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827"/>
  <workbookPr defaultThemeVersion="124226"/>
  <mc:AlternateContent xmlns:mc="http://schemas.openxmlformats.org/markup-compatibility/2006">
    <mc:Choice Requires="x15">
      <x15ac:absPath xmlns:x15ac="http://schemas.microsoft.com/office/spreadsheetml/2010/11/ac" url="\\wcnx.org\Regions\Western Region\2000 Western Region Office\WUTC\WUTC-Murrey  2111\Dump Fee Filings\DF 2023\"/>
    </mc:Choice>
  </mc:AlternateContent>
  <xr:revisionPtr revIDLastSave="0" documentId="13_ncr:1_{86BF00CA-58F5-450C-B11D-8A68E0431F6F}" xr6:coauthVersionLast="47" xr6:coauthVersionMax="47" xr10:uidLastSave="{00000000-0000-0000-0000-000000000000}"/>
  <bookViews>
    <workbookView xWindow="-120" yWindow="-120" windowWidth="29040" windowHeight="15840" tabRatio="727" activeTab="2" xr2:uid="{00000000-000D-0000-FFFF-FFFF00000000}"/>
  </bookViews>
  <sheets>
    <sheet name="References" sheetId="4" r:id="rId1"/>
    <sheet name="DF Calculation" sheetId="7" r:id="rId2"/>
    <sheet name="To Populate Tariff" sheetId="22" r:id="rId3"/>
    <sheet name="Mapping" sheetId="17" r:id="rId4"/>
    <sheet name="Murrey's Price Out 2022" sheetId="23" r:id="rId5"/>
    <sheet name="Disposal" sheetId="25" r:id="rId6"/>
    <sheet name="Reg-MUR" sheetId="31" r:id="rId7"/>
    <sheet name="NonReg" sheetId="30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</externalReferences>
  <definedNames>
    <definedName name="\A" localSheetId="5">#REF!</definedName>
    <definedName name="\A" localSheetId="4">#REF!</definedName>
    <definedName name="\A">#REF!</definedName>
    <definedName name="\c">'[1]10200'!$IU$8196</definedName>
    <definedName name="\D" localSheetId="5">#REF!</definedName>
    <definedName name="\D" localSheetId="4">#REF!</definedName>
    <definedName name="\D">#REF!</definedName>
    <definedName name="\E">'[2]#REF'!$AD$4</definedName>
    <definedName name="\R">'[2]#REF'!$AD$8</definedName>
    <definedName name="\S" localSheetId="5">#REF!</definedName>
    <definedName name="\S" localSheetId="4">#REF!</definedName>
    <definedName name="\S">#REF!</definedName>
    <definedName name="\Y" localSheetId="4">#REF!</definedName>
    <definedName name="\Y">#REF!</definedName>
    <definedName name="\z" localSheetId="4">#REF!</definedName>
    <definedName name="\z">#REF!</definedName>
    <definedName name="______________CYA1">[3]Hidden!$N$11</definedName>
    <definedName name="______________CYA10">[3]Hidden!$E$11</definedName>
    <definedName name="______________CYA11">[3]Hidden!$P$11</definedName>
    <definedName name="______________CYA2">[3]Hidden!$M$11</definedName>
    <definedName name="______________CYA3">[3]Hidden!$L$11</definedName>
    <definedName name="______________CYA4">[3]Hidden!$K$11</definedName>
    <definedName name="______________CYA5">[3]Hidden!$J$11</definedName>
    <definedName name="______________CYA6">[3]Hidden!$I$11</definedName>
    <definedName name="______________CYA7">[3]Hidden!$H$11</definedName>
    <definedName name="______________CYA8">[3]Hidden!$G$11</definedName>
    <definedName name="______________CYA9">[3]Hidden!$F$11</definedName>
    <definedName name="______________LYA12">[3]Hidden!$O$11</definedName>
    <definedName name="_____________CYA1">[3]Hidden!$N$11</definedName>
    <definedName name="_____________CYA10">[3]Hidden!$E$11</definedName>
    <definedName name="_____________CYA11">[3]Hidden!$P$11</definedName>
    <definedName name="_____________CYA2">[3]Hidden!$M$11</definedName>
    <definedName name="_____________CYA3">[3]Hidden!$L$11</definedName>
    <definedName name="_____________CYA4">[3]Hidden!$K$11</definedName>
    <definedName name="_____________CYA5">[3]Hidden!$J$11</definedName>
    <definedName name="_____________CYA6">[3]Hidden!$I$11</definedName>
    <definedName name="_____________CYA7">[3]Hidden!$H$11</definedName>
    <definedName name="_____________CYA8">[3]Hidden!$G$11</definedName>
    <definedName name="_____________CYA9">[3]Hidden!$F$11</definedName>
    <definedName name="_____________LYA12">[3]Hidden!$O$11</definedName>
    <definedName name="____________CYA1">[3]Hidden!$N$11</definedName>
    <definedName name="____________CYA10">[3]Hidden!$E$11</definedName>
    <definedName name="____________CYA11">[3]Hidden!$P$11</definedName>
    <definedName name="____________CYA2">[3]Hidden!$M$11</definedName>
    <definedName name="____________CYA3">[3]Hidden!$L$11</definedName>
    <definedName name="____________CYA4">[3]Hidden!$K$11</definedName>
    <definedName name="____________CYA5">[3]Hidden!$J$11</definedName>
    <definedName name="____________CYA6">[3]Hidden!$I$11</definedName>
    <definedName name="____________CYA7">[3]Hidden!$H$11</definedName>
    <definedName name="____________CYA8">[3]Hidden!$G$11</definedName>
    <definedName name="____________CYA9">[3]Hidden!$F$11</definedName>
    <definedName name="____________LYA12">[3]Hidden!$O$11</definedName>
    <definedName name="___________CYA1">[3]Hidden!$N$11</definedName>
    <definedName name="___________CYA10">[3]Hidden!$E$11</definedName>
    <definedName name="___________CYA11">[3]Hidden!$P$11</definedName>
    <definedName name="___________CYA2">[3]Hidden!$M$11</definedName>
    <definedName name="___________CYA3">[3]Hidden!$L$11</definedName>
    <definedName name="___________CYA4">[3]Hidden!$K$11</definedName>
    <definedName name="___________CYA5">[3]Hidden!$J$11</definedName>
    <definedName name="___________CYA6">[3]Hidden!$I$11</definedName>
    <definedName name="___________CYA7">[3]Hidden!$H$11</definedName>
    <definedName name="___________CYA8">[3]Hidden!$G$11</definedName>
    <definedName name="___________CYA9">[3]Hidden!$F$11</definedName>
    <definedName name="___________LYA12">[3]Hidden!$O$11</definedName>
    <definedName name="__________CYA1">[3]Hidden!$N$11</definedName>
    <definedName name="__________CYA10">[3]Hidden!$E$11</definedName>
    <definedName name="__________CYA11">[3]Hidden!$P$11</definedName>
    <definedName name="__________CYA2">[3]Hidden!$M$11</definedName>
    <definedName name="__________CYA3">[3]Hidden!$L$11</definedName>
    <definedName name="__________CYA4">[3]Hidden!$K$11</definedName>
    <definedName name="__________CYA5">[3]Hidden!$J$11</definedName>
    <definedName name="__________CYA6">[3]Hidden!$I$11</definedName>
    <definedName name="__________CYA7">[3]Hidden!$H$11</definedName>
    <definedName name="__________CYA8">[3]Hidden!$G$11</definedName>
    <definedName name="__________CYA9">[3]Hidden!$F$11</definedName>
    <definedName name="__________LYA12">[3]Hidden!$O$11</definedName>
    <definedName name="_________CYA1">[3]Hidden!$N$11</definedName>
    <definedName name="_________CYA10">[3]Hidden!$E$11</definedName>
    <definedName name="_________CYA11">[3]Hidden!$P$11</definedName>
    <definedName name="_________CYA2">[3]Hidden!$M$11</definedName>
    <definedName name="_________CYA3">[3]Hidden!$L$11</definedName>
    <definedName name="_________CYA4">[3]Hidden!$K$11</definedName>
    <definedName name="_________CYA5">[3]Hidden!$J$11</definedName>
    <definedName name="_________CYA6">[3]Hidden!$I$11</definedName>
    <definedName name="_________CYA7">[3]Hidden!$H$11</definedName>
    <definedName name="_________CYA8">[3]Hidden!$G$11</definedName>
    <definedName name="_________CYA9">[3]Hidden!$F$11</definedName>
    <definedName name="_________LYA12">[3]Hidden!$O$11</definedName>
    <definedName name="________CYA1">[3]Hidden!$N$11</definedName>
    <definedName name="________CYA10">[3]Hidden!$E$11</definedName>
    <definedName name="________CYA11">[3]Hidden!$P$11</definedName>
    <definedName name="________CYA2">[3]Hidden!$M$11</definedName>
    <definedName name="________CYA3">[3]Hidden!$L$11</definedName>
    <definedName name="________CYA4">[3]Hidden!$K$11</definedName>
    <definedName name="________CYA5">[3]Hidden!$J$11</definedName>
    <definedName name="________CYA6">[3]Hidden!$I$11</definedName>
    <definedName name="________CYA7">[3]Hidden!$H$11</definedName>
    <definedName name="________CYA8">[3]Hidden!$G$11</definedName>
    <definedName name="________CYA9">[3]Hidden!$F$11</definedName>
    <definedName name="________LYA12">[3]Hidden!$O$11</definedName>
    <definedName name="_______CYA1">[3]Hidden!$N$11</definedName>
    <definedName name="_______CYA10">[3]Hidden!$E$11</definedName>
    <definedName name="_______CYA11">[3]Hidden!$P$11</definedName>
    <definedName name="_______CYA2">[3]Hidden!$M$11</definedName>
    <definedName name="_______CYA3">[3]Hidden!$L$11</definedName>
    <definedName name="_______CYA4">[3]Hidden!$K$11</definedName>
    <definedName name="_______CYA5">[3]Hidden!$J$11</definedName>
    <definedName name="_______CYA6">[3]Hidden!$I$11</definedName>
    <definedName name="_______CYA7">[3]Hidden!$H$11</definedName>
    <definedName name="_______CYA8">[3]Hidden!$G$11</definedName>
    <definedName name="_______CYA9">[3]Hidden!$F$11</definedName>
    <definedName name="_______LYA12">[3]Hidden!$O$11</definedName>
    <definedName name="______ACT1">[4]Hidden!#REF!</definedName>
    <definedName name="______ACT2">[4]Hidden!#REF!</definedName>
    <definedName name="______ACT3">[4]Hidden!#REF!</definedName>
    <definedName name="______CYA1">[3]Hidden!$N$11</definedName>
    <definedName name="______CYA10">[3]Hidden!$E$11</definedName>
    <definedName name="______CYA11">[3]Hidden!$P$11</definedName>
    <definedName name="______CYA2">[3]Hidden!$M$11</definedName>
    <definedName name="______CYA3">[3]Hidden!$L$11</definedName>
    <definedName name="______CYA4">[3]Hidden!$K$11</definedName>
    <definedName name="______CYA5">[3]Hidden!$J$11</definedName>
    <definedName name="______CYA6">[3]Hidden!$I$11</definedName>
    <definedName name="______CYA7">[3]Hidden!$H$11</definedName>
    <definedName name="______CYA8">[3]Hidden!$G$11</definedName>
    <definedName name="______CYA9">[3]Hidden!$F$11</definedName>
    <definedName name="______LYA12">[3]Hidden!$O$11</definedName>
    <definedName name="_____ACT1">[4]Hidden!#REF!</definedName>
    <definedName name="_____ACT2">[4]Hidden!#REF!</definedName>
    <definedName name="_____ACT3">[4]Hidden!#REF!</definedName>
    <definedName name="_____CYA1">[3]Hidden!$N$11</definedName>
    <definedName name="_____CYA10">[3]Hidden!$E$11</definedName>
    <definedName name="_____CYA11">[3]Hidden!$P$11</definedName>
    <definedName name="_____CYA2">[3]Hidden!$M$11</definedName>
    <definedName name="_____CYA3">[3]Hidden!$L$11</definedName>
    <definedName name="_____CYA4">[3]Hidden!$K$11</definedName>
    <definedName name="_____CYA5">[3]Hidden!$J$11</definedName>
    <definedName name="_____CYA6">[3]Hidden!$I$11</definedName>
    <definedName name="_____CYA7">[3]Hidden!$H$11</definedName>
    <definedName name="_____CYA8">[3]Hidden!$G$11</definedName>
    <definedName name="_____CYA9">[3]Hidden!$F$11</definedName>
    <definedName name="_____LYA12">[3]Hidden!$O$11</definedName>
    <definedName name="____ACT1">[4]Hidden!#REF!</definedName>
    <definedName name="____ACT2">[4]Hidden!#REF!</definedName>
    <definedName name="____ACT3">[4]Hidden!#REF!</definedName>
    <definedName name="____CYA1">[3]Hidden!$N$11</definedName>
    <definedName name="____CYA10">[3]Hidden!$E$11</definedName>
    <definedName name="____CYA11">[3]Hidden!$P$11</definedName>
    <definedName name="____CYA2">[3]Hidden!$M$11</definedName>
    <definedName name="____CYA3">[3]Hidden!$L$11</definedName>
    <definedName name="____CYA4">[3]Hidden!$K$11</definedName>
    <definedName name="____CYA5">[3]Hidden!$J$11</definedName>
    <definedName name="____CYA6">[3]Hidden!$I$11</definedName>
    <definedName name="____CYA7">[3]Hidden!$H$11</definedName>
    <definedName name="____CYA8">[3]Hidden!$G$11</definedName>
    <definedName name="____CYA9">[3]Hidden!$F$11</definedName>
    <definedName name="____LYA12">[3]Hidden!$O$11</definedName>
    <definedName name="___ACT1">[4]Hidden!#REF!</definedName>
    <definedName name="___ACT2">[4]Hidden!#REF!</definedName>
    <definedName name="___ACT3">[4]Hidden!#REF!</definedName>
    <definedName name="___CYA1">[3]Hidden!$N$11</definedName>
    <definedName name="___CYA10">[3]Hidden!$E$11</definedName>
    <definedName name="___CYA11">[3]Hidden!$P$11</definedName>
    <definedName name="___CYA2">[3]Hidden!$M$11</definedName>
    <definedName name="___CYA3">[3]Hidden!$L$11</definedName>
    <definedName name="___CYA4">[3]Hidden!$K$11</definedName>
    <definedName name="___CYA5">[3]Hidden!$J$11</definedName>
    <definedName name="___CYA6">[3]Hidden!$I$11</definedName>
    <definedName name="___CYA7">[3]Hidden!$H$11</definedName>
    <definedName name="___CYA8">[3]Hidden!$G$11</definedName>
    <definedName name="___CYA9">[3]Hidden!$F$11</definedName>
    <definedName name="___LYA12">[3]Hidden!$O$11</definedName>
    <definedName name="__ACT1" localSheetId="5">[5]Hidden!#REF!</definedName>
    <definedName name="__ACT1" localSheetId="4">[5]Hidden!#REF!</definedName>
    <definedName name="__ACT1">[5]Hidden!#REF!</definedName>
    <definedName name="__ACT2" localSheetId="5">[5]Hidden!#REF!</definedName>
    <definedName name="__ACT2" localSheetId="4">[5]Hidden!#REF!</definedName>
    <definedName name="__ACT2">[5]Hidden!#REF!</definedName>
    <definedName name="__ACT3" localSheetId="4">[5]Hidden!#REF!</definedName>
    <definedName name="__ACT3">[5]Hidden!#REF!</definedName>
    <definedName name="__CYA1">[3]Hidden!$N$11</definedName>
    <definedName name="__CYA10">[3]Hidden!$E$11</definedName>
    <definedName name="__CYA11">[3]Hidden!$P$11</definedName>
    <definedName name="__CYA2">[3]Hidden!$M$11</definedName>
    <definedName name="__CYA3">[3]Hidden!$L$11</definedName>
    <definedName name="__CYA4">[3]Hidden!$K$11</definedName>
    <definedName name="__CYA5">[3]Hidden!$J$11</definedName>
    <definedName name="__CYA6">[3]Hidden!$I$11</definedName>
    <definedName name="__CYA7">[3]Hidden!$H$11</definedName>
    <definedName name="__CYA8">[3]Hidden!$G$11</definedName>
    <definedName name="__CYA9">[3]Hidden!$F$11</definedName>
    <definedName name="__LYA1">[6]Hidden!$P$11</definedName>
    <definedName name="__LYA10">[6]Hidden!$G$11</definedName>
    <definedName name="__LYA11">[6]Hidden!$F$11</definedName>
    <definedName name="__LYA12">[3]Hidden!$O$11</definedName>
    <definedName name="__LYA2">[6]Hidden!$O$11</definedName>
    <definedName name="__LYA3">[6]Hidden!$N$11</definedName>
    <definedName name="__LYA4">[6]Hidden!$M$11</definedName>
    <definedName name="__LYA5">[6]Hidden!$L$11</definedName>
    <definedName name="__LYA6">[6]Hidden!$K$11</definedName>
    <definedName name="__LYA7">[6]Hidden!$J$11</definedName>
    <definedName name="__LYA8">[6]Hidden!$I$11</definedName>
    <definedName name="__LYA9">[6]Hidden!$H$11</definedName>
    <definedName name="_123Graph_g" hidden="1">'[2]#REF'!$F$9:$F$83</definedName>
    <definedName name="_13054">'[7]10800-10899'!#REF!</definedName>
    <definedName name="_132" hidden="1">[1]XXXXXX!$B$10:$B$10</definedName>
    <definedName name="_132Graph_h" localSheetId="5" hidden="1">#REF!</definedName>
    <definedName name="_132Graph_h" localSheetId="4" hidden="1">#REF!</definedName>
    <definedName name="_132Graph_h" hidden="1">#REF!</definedName>
    <definedName name="_ACT1" localSheetId="5">[8]Hidden!#REF!</definedName>
    <definedName name="_ACT1" localSheetId="4">[8]Hidden!#REF!</definedName>
    <definedName name="_ACT1" localSheetId="7">[8]Hidden!#REF!</definedName>
    <definedName name="_ACT1" localSheetId="6">[8]Hidden!#REF!</definedName>
    <definedName name="_ACT1">[8]Hidden!#REF!</definedName>
    <definedName name="_ACT2" localSheetId="5">[8]Hidden!#REF!</definedName>
    <definedName name="_ACT2" localSheetId="4">[8]Hidden!#REF!</definedName>
    <definedName name="_ACT2" localSheetId="7">[8]Hidden!#REF!</definedName>
    <definedName name="_ACT2">[8]Hidden!#REF!</definedName>
    <definedName name="_ACT3" localSheetId="7">[8]Hidden!#REF!</definedName>
    <definedName name="_ACT3">[8]Hidden!#REF!</definedName>
    <definedName name="_ACT4">[4]Hidden!#REF!</definedName>
    <definedName name="_BUN1">'[9]2008 West Group IS'!$AJ$5</definedName>
    <definedName name="_BUN3">'[9]2008 Group Office IS'!$AJ$5</definedName>
    <definedName name="_COS1" localSheetId="5">#REF!</definedName>
    <definedName name="_COS1" localSheetId="4">#REF!</definedName>
    <definedName name="_COS1">#REF!</definedName>
    <definedName name="_COS2" localSheetId="4">#REF!</definedName>
    <definedName name="_COS2">#REF!</definedName>
    <definedName name="_CYA1">[3]Hidden!$N$11</definedName>
    <definedName name="_CYA10">[3]Hidden!$E$11</definedName>
    <definedName name="_CYA11">[3]Hidden!$P$11</definedName>
    <definedName name="_CYA2">[3]Hidden!$M$11</definedName>
    <definedName name="_CYA3">[3]Hidden!$L$11</definedName>
    <definedName name="_CYA4">[3]Hidden!$K$11</definedName>
    <definedName name="_CYA5">[3]Hidden!$J$11</definedName>
    <definedName name="_CYA6">[3]Hidden!$I$11</definedName>
    <definedName name="_CYA7">[3]Hidden!$H$11</definedName>
    <definedName name="_CYA8">[3]Hidden!$G$11</definedName>
    <definedName name="_CYA9">[3]Hidden!$F$11</definedName>
    <definedName name="_Fill" localSheetId="5" hidden="1">#REF!</definedName>
    <definedName name="_Fill" localSheetId="4" hidden="1">#REF!</definedName>
    <definedName name="_Fill" hidden="1">#REF!</definedName>
    <definedName name="_xlnm._FilterDatabase" localSheetId="3" hidden="1">Mapping!$A$1:$M$158</definedName>
    <definedName name="_xlnm._FilterDatabase" localSheetId="2" hidden="1">'To Populate Tariff'!$A$1:$B$125</definedName>
    <definedName name="_Key1" localSheetId="5" hidden="1">#REF!</definedName>
    <definedName name="_Key1" localSheetId="4" hidden="1">#REF!</definedName>
    <definedName name="_Key1" hidden="1">#REF!</definedName>
    <definedName name="_Key2" hidden="1">'[2]#REF'!$D$12</definedName>
    <definedName name="_key5" hidden="1">[1]XXXXXX!$H$10</definedName>
    <definedName name="_LYA1">[6]Hidden!$P$11</definedName>
    <definedName name="_LYA10">[6]Hidden!$G$11</definedName>
    <definedName name="_LYA11">[6]Hidden!$F$11</definedName>
    <definedName name="_LYA12">[3]Hidden!$O$11</definedName>
    <definedName name="_LYA2">[6]Hidden!$O$11</definedName>
    <definedName name="_LYA3">[6]Hidden!$N$11</definedName>
    <definedName name="_LYA4">[6]Hidden!$M$11</definedName>
    <definedName name="_LYA5">[6]Hidden!$L$11</definedName>
    <definedName name="_LYA6">[6]Hidden!$K$11</definedName>
    <definedName name="_LYA7">[6]Hidden!$J$11</definedName>
    <definedName name="_LYA8">[6]Hidden!$I$11</definedName>
    <definedName name="_LYA9">[6]Hidden!$H$11</definedName>
    <definedName name="_max" localSheetId="5" hidden="1">#REF!</definedName>
    <definedName name="_max" localSheetId="4" hidden="1">#REF!</definedName>
    <definedName name="_max" hidden="1">#REF!</definedName>
    <definedName name="_Mon" localSheetId="4" hidden="1">#REF!</definedName>
    <definedName name="_Mon" hidden="1">#REF!</definedName>
    <definedName name="_Order1" hidden="1">255</definedName>
    <definedName name="_Order2" hidden="1">255</definedName>
    <definedName name="_Order3" hidden="1">0</definedName>
    <definedName name="_PER1">[9]WTB!$DC$8</definedName>
    <definedName name="_PER2">'[9]2008 West Group IS'!$AH$8</definedName>
    <definedName name="_PER3">'[9]2008 West Group IS'!$AI$5</definedName>
    <definedName name="_PER4">'[9]2008 Group Office IS'!$AH$8</definedName>
    <definedName name="_PER5">'[9]2008 Group Office IS'!$AI$5</definedName>
    <definedName name="_Regression_Int">0</definedName>
    <definedName name="_SFD1">'[9]2008 West Group IS'!$AK$5</definedName>
    <definedName name="_SFD3">'[9]2008 Group Office IS'!$AK$5</definedName>
    <definedName name="_SFV1">'[9]2008 West Group IS'!$AK$4</definedName>
    <definedName name="_SFV4">'[9]2008 Group Office IS'!$AK$4</definedName>
    <definedName name="_Sort" localSheetId="5" hidden="1">#REF!</definedName>
    <definedName name="_Sort" localSheetId="4" hidden="1">#REF!</definedName>
    <definedName name="_Sort" hidden="1">#REF!</definedName>
    <definedName name="_Sort1" hidden="1">'[2]#REF'!$A$10:$Z$281</definedName>
    <definedName name="_sort3" hidden="1">[1]XXXXXX!$G$10:$J$11</definedName>
    <definedName name="a" localSheetId="5">#REF!</definedName>
    <definedName name="a" localSheetId="4">#REF!</definedName>
    <definedName name="a">#REF!</definedName>
    <definedName name="aaaaaaa" localSheetId="5">rank</definedName>
    <definedName name="aaaaaaa">rank</definedName>
    <definedName name="Accounts">#REF!</definedName>
    <definedName name="ACCT" localSheetId="5">[8]Hidden!#REF!</definedName>
    <definedName name="ACCT" localSheetId="4">[8]Hidden!#REF!</definedName>
    <definedName name="ACCT" localSheetId="7">[8]Hidden!#REF!</definedName>
    <definedName name="ACCT">[8]Hidden!#REF!</definedName>
    <definedName name="ACCT.ConsolSum">[3]Hidden!$Q$11</definedName>
    <definedName name="AcctName">'[10]2012 Act-Fcast P&amp;L'!#REF!</definedName>
    <definedName name="ACT_CUR" localSheetId="5">[8]Hidden!#REF!</definedName>
    <definedName name="ACT_CUR" localSheetId="4">[8]Hidden!#REF!</definedName>
    <definedName name="ACT_CUR" localSheetId="7">[8]Hidden!#REF!</definedName>
    <definedName name="ACT_CUR">[8]Hidden!#REF!</definedName>
    <definedName name="ACT_YTD" localSheetId="4">[8]Hidden!#REF!</definedName>
    <definedName name="ACT_YTD" localSheetId="7">[8]Hidden!#REF!</definedName>
    <definedName name="ACT_YTD">[8]Hidden!#REF!</definedName>
    <definedName name="AD">'[1]ACC DEP 12XXX'!$A$4:$L$22</definedName>
    <definedName name="adfd" localSheetId="5">rank</definedName>
    <definedName name="adfd">rank</definedName>
    <definedName name="ADK">'[1]10250_Recy Chkg'!$D$27</definedName>
    <definedName name="afsdfsdfsd" localSheetId="5">#REF!</definedName>
    <definedName name="afsdfsdfsd" localSheetId="4">#REF!</definedName>
    <definedName name="afsdfsdfsd">#REF!</definedName>
    <definedName name="AmountCount" localSheetId="4">#REF!</definedName>
    <definedName name="AmountCount" localSheetId="7">#REF!</definedName>
    <definedName name="AmountCount" localSheetId="6">#REF!</definedName>
    <definedName name="AmountCount">#REF!</definedName>
    <definedName name="AmountCount1" localSheetId="4">#REF!</definedName>
    <definedName name="AmountCount1">#REF!</definedName>
    <definedName name="AmountFrom">#REF!</definedName>
    <definedName name="AmountTo">#REF!</definedName>
    <definedName name="AmountTotal" localSheetId="7">#REF!</definedName>
    <definedName name="AmountTotal" localSheetId="6">#REF!</definedName>
    <definedName name="AmountTotal">#REF!</definedName>
    <definedName name="AmountTotal1">#REF!</definedName>
    <definedName name="AOK">#REF!</definedName>
    <definedName name="APA">'[11]Income Statement (WMofWA)'!#REF!</definedName>
    <definedName name="APN">'[11]Income Statement (WMofWA)'!#REF!</definedName>
    <definedName name="ASD">'[11]Income Statement (WMofWA)'!#REF!</definedName>
    <definedName name="AST">'[11]Income Statement (WMofWA)'!#REF!</definedName>
    <definedName name="BaseMonthDate">[12]Settings!$I$15</definedName>
    <definedName name="BaseMonthDate2">[12]Settings!$I$16</definedName>
    <definedName name="BaseMonthDate3">[12]Settings!$I$17</definedName>
    <definedName name="BaseYear" localSheetId="5">#REF!</definedName>
    <definedName name="BaseYear" localSheetId="4">#REF!</definedName>
    <definedName name="BaseYear">#REF!</definedName>
    <definedName name="BEGCELL" localSheetId="4">#REF!</definedName>
    <definedName name="BEGCELL">#REF!</definedName>
    <definedName name="begin" localSheetId="4">#REF!</definedName>
    <definedName name="begin">#REF!</definedName>
    <definedName name="BookRev">'[13]Pacific Regulated - Price Out'!$F$50</definedName>
    <definedName name="BookRev_com">'[13]Pacific Regulated - Price Out'!$F$214</definedName>
    <definedName name="BookRev_mfr">'[13]Pacific Regulated - Price Out'!$F$222</definedName>
    <definedName name="BookRev_ro">'[13]Pacific Regulated - Price Out'!$F$282</definedName>
    <definedName name="BookRev_rr">'[13]Pacific Regulated - Price Out'!$F$59</definedName>
    <definedName name="BookRev_yw">'[13]Pacific Regulated - Price Out'!$F$70</definedName>
    <definedName name="BREMAIR_COST_of_SERVICE_STUDY" localSheetId="5">#REF!</definedName>
    <definedName name="BREMAIR_COST_of_SERVICE_STUDY" localSheetId="4">#REF!</definedName>
    <definedName name="BREMAIR_COST_of_SERVICE_STUDY" localSheetId="7">#REF!</definedName>
    <definedName name="BREMAIR_COST_of_SERVICE_STUDY" localSheetId="6">#REF!</definedName>
    <definedName name="BREMAIR_COST_of_SERVICE_STUDY">#REF!</definedName>
    <definedName name="Brokerage">'[14]Finance Charges'!$H$8</definedName>
    <definedName name="BUD_CUR" localSheetId="5">[8]Hidden!#REF!</definedName>
    <definedName name="BUD_CUR" localSheetId="4">[8]Hidden!#REF!</definedName>
    <definedName name="BUD_CUR" localSheetId="7">[8]Hidden!#REF!</definedName>
    <definedName name="BUD_CUR" localSheetId="6">[8]Hidden!#REF!</definedName>
    <definedName name="BUD_CUR">[8]Hidden!#REF!</definedName>
    <definedName name="BUD_YTD" localSheetId="5">[8]Hidden!#REF!</definedName>
    <definedName name="BUD_YTD" localSheetId="4">[8]Hidden!#REF!</definedName>
    <definedName name="BUD_YTD" localSheetId="7">[8]Hidden!#REF!</definedName>
    <definedName name="BUD_YTD">[8]Hidden!#REF!</definedName>
    <definedName name="BUN">[9]WTB!$DD$5</definedName>
    <definedName name="BusUnitCode">[12]Settings!$I$3</definedName>
    <definedName name="BusUnitName">[12]Settings!$I$4</definedName>
    <definedName name="BUV">'[11]Income Statement (WMofWA)'!#REF!</definedName>
    <definedName name="Calc">[9]WTB!#REF!</definedName>
    <definedName name="Calc0">[9]WTB!#REF!</definedName>
    <definedName name="Calc1">[9]WTB!#REF!</definedName>
    <definedName name="Calc10">[9]WTB!#REF!</definedName>
    <definedName name="Calc11">[9]WTB!#REF!</definedName>
    <definedName name="Calc12">[9]WTB!#REF!</definedName>
    <definedName name="Calc13">[9]WTB!#REF!</definedName>
    <definedName name="Calc14">[9]WTB!#REF!</definedName>
    <definedName name="Calc15">[9]WTB!#REF!</definedName>
    <definedName name="Calc16">[9]WTB!#REF!</definedName>
    <definedName name="Calc17">[9]WTB!#REF!</definedName>
    <definedName name="Calc18">[9]WTB!#REF!</definedName>
    <definedName name="Calc2">[9]WTB!#REF!</definedName>
    <definedName name="Calc3">[9]WTB!#REF!</definedName>
    <definedName name="Calc4">[9]WTB!#REF!</definedName>
    <definedName name="Calc5">[9]WTB!#REF!</definedName>
    <definedName name="Calc6">[9]WTB!#REF!</definedName>
    <definedName name="Calc7">[9]WTB!#REF!</definedName>
    <definedName name="Calc8">[9]WTB!#REF!</definedName>
    <definedName name="Calc9">[9]WTB!#REF!</definedName>
    <definedName name="CalRecyTons">'[15]Recycl Tons, Commodity Value'!$L$23</definedName>
    <definedName name="CanCartTons">[16]CanCartTonsAllocate!$E$3</definedName>
    <definedName name="CheckTotals" localSheetId="5">#REF!</definedName>
    <definedName name="CheckTotals" localSheetId="4">#REF!</definedName>
    <definedName name="CheckTotals" localSheetId="7">#REF!</definedName>
    <definedName name="CheckTotals" localSheetId="6">#REF!</definedName>
    <definedName name="CheckTotals">#REF!</definedName>
    <definedName name="clear" localSheetId="5">#REF!</definedName>
    <definedName name="clear">#REF!</definedName>
    <definedName name="CoCanTons">[17]Cust_Count1!$M$28</definedName>
    <definedName name="CoComYd">'[17]Gross Yardage Worksheet'!$L$16</definedName>
    <definedName name="CoCustCnt" localSheetId="5">#REF!</definedName>
    <definedName name="CoCustCnt" localSheetId="4">#REF!</definedName>
    <definedName name="CoCustCnt">#REF!</definedName>
    <definedName name="colgroup">[3]Orientation!$G$6</definedName>
    <definedName name="colsegment">[3]Orientation!$F$6</definedName>
    <definedName name="Comments">[18]Main!$K$57:INDEX([18]Main!$K$57:$K$59,SUMPRODUCT(--([18]Main!$K$57:$K$59&lt;&gt;"")))</definedName>
    <definedName name="CommlStaffPriceOut" localSheetId="5">'[19]Price Out-Reg EASTSIDE-Resi'!#REF!</definedName>
    <definedName name="CommlStaffPriceOut" localSheetId="4">'[19]Price Out-Reg EASTSIDE-Resi'!#REF!</definedName>
    <definedName name="CommlStaffPriceOut">'[19]Price Out-Reg EASTSIDE-Resi'!#REF!</definedName>
    <definedName name="CoMultiYd">'[17]Gross Yardage Worksheet'!$L$31</definedName>
    <definedName name="ContainerTons">[16]ContainerTonsAllocation!$E$2</definedName>
    <definedName name="ControlNumber">[20]Summary!$J$8</definedName>
    <definedName name="COST_OF_SERVICE_STUDY" localSheetId="5">#REF!</definedName>
    <definedName name="COST_OF_SERVICE_STUDY" localSheetId="4">#REF!</definedName>
    <definedName name="COST_OF_SERVICE_STUDY">#REF!</definedName>
    <definedName name="Coststudy" localSheetId="4">#REF!</definedName>
    <definedName name="Coststudy">#REF!</definedName>
    <definedName name="CoXtraYds" localSheetId="4">#REF!</definedName>
    <definedName name="CoXtraYds">#REF!</definedName>
    <definedName name="CR">#REF!</definedName>
    <definedName name="CRCTable" localSheetId="4">#REF!</definedName>
    <definedName name="CRCTable" localSheetId="7">#REF!</definedName>
    <definedName name="CRCTable" localSheetId="6">#REF!</definedName>
    <definedName name="CRCTable">#REF!</definedName>
    <definedName name="CRCTableOLD" localSheetId="4">#REF!</definedName>
    <definedName name="CRCTableOLD" localSheetId="7">#REF!</definedName>
    <definedName name="CRCTableOLD" localSheetId="6">#REF!</definedName>
    <definedName name="CRCTableOLD">#REF!</definedName>
    <definedName name="CriteriaType">[21]ControlPanel!$Z$2:$Z$5</definedName>
    <definedName name="CtyCanTons">[17]Cust_Count1!$N$28</definedName>
    <definedName name="CtyComYd">'[17]Gross Yardage Worksheet'!$L$49</definedName>
    <definedName name="CtyCustCnt" localSheetId="5">#REF!</definedName>
    <definedName name="CtyCustCnt" localSheetId="4">#REF!</definedName>
    <definedName name="CtyCustCnt">#REF!</definedName>
    <definedName name="CtyMultiYd">'[17]Gross Yardage Worksheet'!$L$64</definedName>
    <definedName name="CtyXtraYds" localSheetId="5">#REF!</definedName>
    <definedName name="CtyXtraYds" localSheetId="4">#REF!</definedName>
    <definedName name="CtyXtraYds">#REF!</definedName>
    <definedName name="CUR" localSheetId="5">'[22]O-9'!#REF!</definedName>
    <definedName name="CUR" localSheetId="4">'[22]O-9'!#REF!</definedName>
    <definedName name="CUR">'[22]O-9'!#REF!</definedName>
    <definedName name="Currency">[18]Main!$I$82</definedName>
    <definedName name="CurrentMonth" localSheetId="5">#REF!</definedName>
    <definedName name="CurrentMonth" localSheetId="4">#REF!</definedName>
    <definedName name="CurrentMonth">#REF!</definedName>
    <definedName name="Cutomers" localSheetId="4">#REF!</definedName>
    <definedName name="Cutomers" localSheetId="7">#REF!</definedName>
    <definedName name="Cutomers" localSheetId="6">#REF!</definedName>
    <definedName name="Cutomers">#REF!</definedName>
    <definedName name="CWR">'[1]SALES TAX RETURN_20140'!$A$1:$E$49</definedName>
    <definedName name="CWRS" localSheetId="5">#REF!</definedName>
    <definedName name="CWRS" localSheetId="4">#REF!</definedName>
    <definedName name="CWRS">#REF!</definedName>
    <definedName name="CYear" localSheetId="5">'[22]O-9'!#REF!</definedName>
    <definedName name="CYear" localSheetId="4">'[22]O-9'!#REF!</definedName>
    <definedName name="CYear">'[22]O-9'!#REF!</definedName>
    <definedName name="dasd" localSheetId="5">rank</definedName>
    <definedName name="dasd">rank</definedName>
    <definedName name="Data_End_Test" localSheetId="5">#REF!</definedName>
    <definedName name="Data_End_Test" localSheetId="4">#REF!</definedName>
    <definedName name="Data_End_Test">#REF!</definedName>
    <definedName name="Data_Start_Test" localSheetId="4">#REF!</definedName>
    <definedName name="Data_Start_Test">#REF!</definedName>
    <definedName name="_xlnm.Database" localSheetId="7">#REF!</definedName>
    <definedName name="_xlnm.Database" localSheetId="6">#REF!</definedName>
    <definedName name="_xlnm.Database">#REF!</definedName>
    <definedName name="Database_MI">#REF!</definedName>
    <definedName name="Database1" localSheetId="7">#REF!</definedName>
    <definedName name="Database1" localSheetId="6">#REF!</definedName>
    <definedName name="Database1">#REF!</definedName>
    <definedName name="DateFrom" localSheetId="5">#REF!</definedName>
    <definedName name="DateFrom" localSheetId="4">#REF!</definedName>
    <definedName name="DateFrom" localSheetId="7">'[53]Disp-JE'!$I$12</definedName>
    <definedName name="DateFrom" localSheetId="6">'[53]Disp-JE'!$I$12</definedName>
    <definedName name="DateFrom">#REF!</definedName>
    <definedName name="DateRange">#REF!</definedName>
    <definedName name="DateTo" localSheetId="5">#REF!</definedName>
    <definedName name="DateTo" localSheetId="4">#REF!</definedName>
    <definedName name="DateTo" localSheetId="7">'[53]Disp-JE'!$I$13</definedName>
    <definedName name="DateTo" localSheetId="6">'[53]Disp-JE'!$I$13</definedName>
    <definedName name="DateTo">#REF!</definedName>
    <definedName name="DAY" localSheetId="5">'[11]Income Statement (WMofWA)'!#REF!</definedName>
    <definedName name="DAY">'[11]Income Statement (WMofWA)'!#REF!</definedName>
    <definedName name="DBxStaffPriceOut">'[19]Price Out-Reg EASTSIDE-Resi'!#REF!</definedName>
    <definedName name="DEBITS">'[1]ASSETS 11XXX'!$A$1:$L$19</definedName>
    <definedName name="debtP" localSheetId="5">#REF!</definedName>
    <definedName name="debtP" localSheetId="4">#REF!</definedName>
    <definedName name="debtP">#REF!</definedName>
    <definedName name="DeleteCMReconBook">[20]Summary!$J$10</definedName>
    <definedName name="deletion" localSheetId="5">#REF!</definedName>
    <definedName name="deletion" localSheetId="4">#REF!</definedName>
    <definedName name="deletion">#REF!</definedName>
    <definedName name="DEPT" localSheetId="5">[8]Hidden!#REF!</definedName>
    <definedName name="DEPT" localSheetId="7">[8]Hidden!#REF!</definedName>
    <definedName name="DEPT" localSheetId="6">[8]Hidden!#REF!</definedName>
    <definedName name="DEPT">[8]Hidden!#REF!</definedName>
    <definedName name="Detail" localSheetId="5">#REF!</definedName>
    <definedName name="Detail" localSheetId="4">#REF!</definedName>
    <definedName name="Detail">#REF!</definedName>
    <definedName name="DetailBudYear" localSheetId="4">#REF!</definedName>
    <definedName name="DetailBudYear">#REF!</definedName>
    <definedName name="DetailDistrict" localSheetId="4">#REF!</definedName>
    <definedName name="DetailDistrict">#REF!</definedName>
    <definedName name="DispRates">#REF!</definedName>
    <definedName name="Dist" localSheetId="5">[23]Data!$E$3</definedName>
    <definedName name="Dist" localSheetId="4">[23]Data!$E$3</definedName>
    <definedName name="Dist">[24]Data!$E$3</definedName>
    <definedName name="District" localSheetId="5">'[25]Vashon BS'!#REF!</definedName>
    <definedName name="District" localSheetId="4">[20]Summary!$J$17</definedName>
    <definedName name="District" localSheetId="7">'[25]Vashon BS'!#REF!</definedName>
    <definedName name="District" localSheetId="6">'[25]Vashon BS'!#REF!</definedName>
    <definedName name="District">'[25]Vashon BS'!#REF!</definedName>
    <definedName name="DistrictName">[20]Summary!$M$8</definedName>
    <definedName name="DistrictNum" localSheetId="5">#REF!</definedName>
    <definedName name="DistrictNum" localSheetId="4">#REF!</definedName>
    <definedName name="DistrictNum" localSheetId="7">#REF!</definedName>
    <definedName name="DistrictNum" localSheetId="6">#REF!</definedName>
    <definedName name="DistrictNum">#REF!</definedName>
    <definedName name="Districts">#REF!</definedName>
    <definedName name="DistrictSelection">[26]Summary!$C$6</definedName>
    <definedName name="DistStaffSignOffStatus">[20]Summary!$N$19</definedName>
    <definedName name="DivisionSignOffReq">[20]Summary!$M$11</definedName>
    <definedName name="DivSignOffStatus">[20]Summary!$N$18</definedName>
    <definedName name="dOG" localSheetId="5">#REF!</definedName>
    <definedName name="dOG" localSheetId="4">#REF!</definedName>
    <definedName name="dOG">#REF!</definedName>
    <definedName name="drlFilter">[3]Settings!$D$27</definedName>
    <definedName name="End" localSheetId="5">#REF!</definedName>
    <definedName name="End" localSheetId="4">#REF!</definedName>
    <definedName name="End" localSheetId="7">#REF!</definedName>
    <definedName name="End" localSheetId="6">#REF!</definedName>
    <definedName name="End">#REF!</definedName>
    <definedName name="EndTime" localSheetId="5">'[22]O-9'!#REF!</definedName>
    <definedName name="EndTime" localSheetId="4">'[22]O-9'!#REF!</definedName>
    <definedName name="EndTime">'[22]O-9'!#REF!</definedName>
    <definedName name="EntrieShownLimit" localSheetId="5">#REF!</definedName>
    <definedName name="EntrieShownLimit" localSheetId="4">#REF!</definedName>
    <definedName name="EntrieShownLimit" localSheetId="7">'[53]Disp-JE'!$D$6</definedName>
    <definedName name="EntrieShownLimit" localSheetId="6">'[53]Disp-JE'!$D$6</definedName>
    <definedName name="EntrieShownLimit">#REF!</definedName>
    <definedName name="ExcludeIC" localSheetId="5">'[25]Vashon BS'!#REF!</definedName>
    <definedName name="ExcludeIC" localSheetId="4">'[25]Vashon BS'!#REF!</definedName>
    <definedName name="ExcludeIC" localSheetId="7">'[25]Vashon BS'!#REF!</definedName>
    <definedName name="ExcludeIC">'[25]Vashon BS'!#REF!</definedName>
    <definedName name="expenses" localSheetId="5">#REF!</definedName>
    <definedName name="expenses" localSheetId="4">#REF!</definedName>
    <definedName name="expenses">#REF!</definedName>
    <definedName name="ExpensesPF1" localSheetId="4">#REF!</definedName>
    <definedName name="ExpensesPF1">#REF!</definedName>
    <definedName name="EXT" localSheetId="4">#REF!</definedName>
    <definedName name="EXT">#REF!</definedName>
    <definedName name="FBTable" localSheetId="4">#REF!</definedName>
    <definedName name="FBTable" localSheetId="7">#REF!</definedName>
    <definedName name="FBTable" localSheetId="6">#REF!</definedName>
    <definedName name="FBTable">#REF!</definedName>
    <definedName name="FBTableOld" localSheetId="7">#REF!</definedName>
    <definedName name="FBTableOld" localSheetId="6">#REF!</definedName>
    <definedName name="FBTableOld">#REF!</definedName>
    <definedName name="filter">[3]Settings!$B$14:$H$25</definedName>
    <definedName name="Financial">[9]WTB!#REF!</definedName>
    <definedName name="FirstColCriteria">[9]WTB!#REF!</definedName>
    <definedName name="FirstHeaderCriteria">[9]WTB!#REF!</definedName>
    <definedName name="flag">[9]WTB!#REF!</definedName>
    <definedName name="Format_Column" localSheetId="5">#REF!</definedName>
    <definedName name="Format_Column" localSheetId="4">#REF!</definedName>
    <definedName name="Format_Column">#REF!</definedName>
    <definedName name="formata" localSheetId="4">#REF!</definedName>
    <definedName name="formata">#REF!</definedName>
    <definedName name="formatb" localSheetId="4">#REF!</definedName>
    <definedName name="formatb">#REF!</definedName>
    <definedName name="FromMonth" localSheetId="4">#REF!</definedName>
    <definedName name="FromMonth">#REF!</definedName>
    <definedName name="FundsApprPend" localSheetId="5">[23]Data!#REF!</definedName>
    <definedName name="FundsApprPend" localSheetId="4">[23]Data!#REF!</definedName>
    <definedName name="FundsApprPend">[24]Data!#REF!</definedName>
    <definedName name="FundsBudUnbud" localSheetId="5">[23]Data!#REF!</definedName>
    <definedName name="FundsBudUnbud" localSheetId="4">[23]Data!#REF!</definedName>
    <definedName name="FundsBudUnbud">[24]Data!#REF!</definedName>
    <definedName name="FY">'[11]Income Statement (WMofWA)'!#REF!</definedName>
    <definedName name="GLMappingStart" localSheetId="5">#REF!</definedName>
    <definedName name="GLMappingStart" localSheetId="4">#REF!</definedName>
    <definedName name="GLMappingStart" localSheetId="7">#REF!</definedName>
    <definedName name="GLMappingStart" localSheetId="6">#REF!</definedName>
    <definedName name="GLMappingStart">#REF!</definedName>
    <definedName name="GLMappingStart1" localSheetId="4">#REF!</definedName>
    <definedName name="GLMappingStart1">#REF!</definedName>
    <definedName name="GRETABLE">[27]Gresham!$E$12:$AI$261</definedName>
    <definedName name="HeaderReturnMessage">[20]Summary!$Q$16</definedName>
    <definedName name="Heading1">'[11]Income Statement (WMofWA)'!#REF!</definedName>
    <definedName name="IDN">'[11]Income Statement (WMofWA)'!#REF!</definedName>
    <definedName name="IFN">'[11]Income Statement (WMofWA)'!#REF!</definedName>
    <definedName name="Import_Range" localSheetId="5">[23]Data!#REF!</definedName>
    <definedName name="Import_Range" localSheetId="4">[23]Data!#REF!</definedName>
    <definedName name="Import_Range">[24]Data!#REF!</definedName>
    <definedName name="IncomeStmnt" localSheetId="5">#REF!</definedName>
    <definedName name="IncomeStmnt" localSheetId="4">#REF!</definedName>
    <definedName name="IncomeStmnt" localSheetId="7">#REF!</definedName>
    <definedName name="IncomeStmnt" localSheetId="6">#REF!</definedName>
    <definedName name="IncomeStmnt">#REF!</definedName>
    <definedName name="INPUT" localSheetId="4">#REF!</definedName>
    <definedName name="INPUT" localSheetId="7">#REF!</definedName>
    <definedName name="INPUT" localSheetId="6">#REF!</definedName>
    <definedName name="INPUT">#REF!</definedName>
    <definedName name="INPUTc" localSheetId="4">#REF!</definedName>
    <definedName name="INPUTc">#REF!</definedName>
    <definedName name="InsertColRange">[9]WTB!#REF!</definedName>
    <definedName name="Insurance" localSheetId="5">#REF!</definedName>
    <definedName name="Insurance" localSheetId="4">#REF!</definedName>
    <definedName name="Insurance" localSheetId="7">#REF!</definedName>
    <definedName name="Insurance" localSheetId="6">#REF!</definedName>
    <definedName name="Insurance">#REF!</definedName>
    <definedName name="Interject_LastPulledValues_BalanceRange" localSheetId="4">#REF!</definedName>
    <definedName name="Interject_LastPulledValues_BalanceRange">#REF!</definedName>
    <definedName name="Interject_LastPulledValues_DescriptionRange" localSheetId="4">#REF!</definedName>
    <definedName name="Interject_LastPulledValues_DescriptionRange">#REF!</definedName>
    <definedName name="Interject_LastPulledValues_LastChangeGUID" localSheetId="4">#REF!</definedName>
    <definedName name="Interject_LastPulledValues_LastChangeGUID">#REF!</definedName>
    <definedName name="Interject_LastPulledValues_PreviousLastChangeGUID" localSheetId="4">#REF!</definedName>
    <definedName name="Interject_LastPulledValues_PreviousLastChangeGUID">#REF!</definedName>
    <definedName name="Invoice_Start" localSheetId="5">[23]Invoice_Drill!#REF!</definedName>
    <definedName name="Invoice_Start" localSheetId="4">[23]Invoice_Drill!#REF!</definedName>
    <definedName name="Invoice_Start">[24]Invoice_Drill!#REF!</definedName>
    <definedName name="IQ_CH">110000</definedName>
    <definedName name="IQ_CQ">5000</definedName>
    <definedName name="IQ_CY">10000</definedName>
    <definedName name="IQ_DAILY">500000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NTM">6000</definedName>
    <definedName name="IQ_TODAY" hidden="1">0</definedName>
    <definedName name="IQ_WEEK">50000</definedName>
    <definedName name="IQ_YTD">3000</definedName>
    <definedName name="IQ_YTDMONTH" hidden="1">130000</definedName>
    <definedName name="JEDetail" localSheetId="4">#REF!</definedName>
    <definedName name="JEDetail" localSheetId="7">#REF!</definedName>
    <definedName name="JEDetail" localSheetId="6">#REF!</definedName>
    <definedName name="JEDetail">#REF!</definedName>
    <definedName name="JEDetail1" localSheetId="4">#REF!</definedName>
    <definedName name="JEDetail1">#REF!</definedName>
    <definedName name="JEType" localSheetId="4">#REF!</definedName>
    <definedName name="JEType" localSheetId="7">#REF!</definedName>
    <definedName name="JEType" localSheetId="6">#REF!</definedName>
    <definedName name="JEType">#REF!</definedName>
    <definedName name="JEType1">#REF!</definedName>
    <definedName name="Juris1CanCount">[16]Cust_Count1!$C$60</definedName>
    <definedName name="Juris1CanTons">[16]Cust_Count1!$C$30</definedName>
    <definedName name="Juris1ComYd">'[16]Gross Yardage Worksheet'!$L$16</definedName>
    <definedName name="Juris1CustCnt">[16]Cust_Count2!$E$39</definedName>
    <definedName name="Juris1MultiYd">'[16]Gross Yardage Worksheet'!$X$16</definedName>
    <definedName name="Juris1SeasonalYds">'[16]Gross Yardage Worksheet'!$R$18</definedName>
    <definedName name="Juris1XtraYds">[16]Cust_Count2!$E$28</definedName>
    <definedName name="Juris2CanCount">[16]Cust_Count1!$D$60</definedName>
    <definedName name="Juris2CanTons">[16]Cust_Count1!$D$30</definedName>
    <definedName name="Juris2ComYd">'[16]Gross Yardage Worksheet'!$L$33</definedName>
    <definedName name="Juris2CustCnt">[16]Cust_Count2!$F$39</definedName>
    <definedName name="Juris2MultiYd">'[16]Gross Yardage Worksheet'!$X$33</definedName>
    <definedName name="Juris2SeasonalYds">'[16]Gross Yardage Worksheet'!$R$35</definedName>
    <definedName name="Juris2XtraYds">[16]Cust_Count2!$F$28</definedName>
    <definedName name="Juris3CanCount">[16]Cust_Count1!$E$60</definedName>
    <definedName name="Juris3CanTons">[16]Cust_Count1!$E$30</definedName>
    <definedName name="Juris3ComYd">'[16]Gross Yardage Worksheet'!$L$51</definedName>
    <definedName name="Juris3CustCnt">[16]Cust_Count2!$G$39</definedName>
    <definedName name="Juris3MultiYd">'[16]Gross Yardage Worksheet'!$X$51</definedName>
    <definedName name="Juris3SeasonalYds">'[16]Gross Yardage Worksheet'!$R$53</definedName>
    <definedName name="Juris3XtraYds">[16]Cust_Count2!$G$28</definedName>
    <definedName name="Juris4CanCount">[16]Cust_Count1!$F$60</definedName>
    <definedName name="Juris4CanTons">[16]Cust_Count1!$F$30</definedName>
    <definedName name="Juris4ComYd">'[16]Gross Yardage Worksheet'!$L$68</definedName>
    <definedName name="Juris4CustCnt">[16]Cust_Count2!$H$39</definedName>
    <definedName name="Juris4MultiYd">'[16]Gross Yardage Worksheet'!$X$68</definedName>
    <definedName name="Juris4SeasonalYds">'[16]Gross Yardage Worksheet'!$R$70</definedName>
    <definedName name="Juris4XtraYds">[16]Cust_Count2!$H$28</definedName>
    <definedName name="Juris5CanCount">[16]Cust_Count1!$G$60</definedName>
    <definedName name="Juris5CanTons">[16]Cust_Count1!$G$30</definedName>
    <definedName name="Juris5ComYD">'[16]Gross Yardage Worksheet'!$L$85</definedName>
    <definedName name="Juris5CustCnt">[16]Cust_Count2!$I$39</definedName>
    <definedName name="Juris5MultiYd">'[16]Gross Yardage Worksheet'!$X$85</definedName>
    <definedName name="Juris5SeasonalYds">'[16]Gross Yardage Worksheet'!$R$87</definedName>
    <definedName name="Juris5XtraYds">[16]Cust_Count2!$I$28</definedName>
    <definedName name="Jurisdiction_1">'[16]Title Inputs'!$C$5</definedName>
    <definedName name="Jurisdiction_2">'[16]Title Inputs'!$C$6</definedName>
    <definedName name="Jurisdiction_3">'[16]Title Inputs'!$C$7</definedName>
    <definedName name="Jurisdiction_4">'[16]Title Inputs'!$C$8</definedName>
    <definedName name="Jurisdiction_5">'[16]Title Inputs'!$C$9</definedName>
    <definedName name="LAST_ROW">'[28]Income Statement (Tonnage)'!#REF!</definedName>
    <definedName name="LastExecutedFor">[20]Summary!$Q$17</definedName>
    <definedName name="LastSavedOn">[20]Summary!$Q$19</definedName>
    <definedName name="lblBillAreaStatus" localSheetId="5">#REF!</definedName>
    <definedName name="lblBillAreaStatus" localSheetId="4">#REF!</definedName>
    <definedName name="lblBillAreaStatus" localSheetId="7">#REF!</definedName>
    <definedName name="lblBillAreaStatus" localSheetId="6">#REF!</definedName>
    <definedName name="lblBillAreaStatus">#REF!</definedName>
    <definedName name="lblBillCycleStatus" localSheetId="5">#REF!</definedName>
    <definedName name="lblBillCycleStatus" localSheetId="7">#REF!</definedName>
    <definedName name="lblBillCycleStatus" localSheetId="6">#REF!</definedName>
    <definedName name="lblBillCycleStatus">#REF!</definedName>
    <definedName name="lblCategoryStatus" localSheetId="7">#REF!</definedName>
    <definedName name="lblCategoryStatus" localSheetId="6">#REF!</definedName>
    <definedName name="lblCategoryStatus">#REF!</definedName>
    <definedName name="lblCompanyStatus" localSheetId="7">#REF!</definedName>
    <definedName name="lblCompanyStatus" localSheetId="6">#REF!</definedName>
    <definedName name="lblCompanyStatus">#REF!</definedName>
    <definedName name="lblDatabaseStatus" localSheetId="7">#REF!</definedName>
    <definedName name="lblDatabaseStatus" localSheetId="6">#REF!</definedName>
    <definedName name="lblDatabaseStatus">#REF!</definedName>
    <definedName name="lblPullStatus" localSheetId="7">#REF!</definedName>
    <definedName name="lblPullStatus" localSheetId="6">#REF!</definedName>
    <definedName name="lblPullStatus">#REF!</definedName>
    <definedName name="lllllllllllllllllllll" localSheetId="7">#REF!</definedName>
    <definedName name="lllllllllllllllllllll" localSheetId="6">#REF!</definedName>
    <definedName name="lllllllllllllllllllll">#REF!</definedName>
    <definedName name="LOB" localSheetId="5">[29]DropDownRanges!$B$4:$B$37</definedName>
    <definedName name="LOB" localSheetId="4">[29]DropDownRanges!$B$4:$B$37</definedName>
    <definedName name="LOB">[30]DropDownRanges!$B$4:$B$37</definedName>
    <definedName name="LOCAL_MYSQL_DATE_FORMAT" localSheetId="5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U_Line" localSheetId="5">#REF!</definedName>
    <definedName name="LU_Line" localSheetId="4">#REF!</definedName>
    <definedName name="LU_Line">#REF!</definedName>
    <definedName name="Lurito" localSheetId="4">#REF!</definedName>
    <definedName name="Lurito">#REF!</definedName>
    <definedName name="LYN" localSheetId="5">'[11]Income Statement (WMofWA)'!#REF!</definedName>
    <definedName name="LYN" localSheetId="4">'[11]Income Statement (WMofWA)'!#REF!</definedName>
    <definedName name="LYN">'[11]Income Statement (WMofWA)'!#REF!</definedName>
    <definedName name="MainDataEnd" localSheetId="5">#REF!</definedName>
    <definedName name="MainDataEnd" localSheetId="4">#REF!</definedName>
    <definedName name="MainDataEnd" localSheetId="7">#REF!</definedName>
    <definedName name="MainDataEnd" localSheetId="6">#REF!</definedName>
    <definedName name="MainDataEnd">#REF!</definedName>
    <definedName name="MainDataStart" localSheetId="4">#REF!</definedName>
    <definedName name="MainDataStart" localSheetId="7">#REF!</definedName>
    <definedName name="MainDataStart" localSheetId="6">#REF!</definedName>
    <definedName name="MainDataStart">#REF!</definedName>
    <definedName name="MapKeyStart" localSheetId="4">#REF!</definedName>
    <definedName name="MapKeyStart" localSheetId="7">#REF!</definedName>
    <definedName name="MapKeyStart" localSheetId="6">#REF!</definedName>
    <definedName name="MapKeyStart">#REF!</definedName>
    <definedName name="master_def" localSheetId="7">#REF!</definedName>
    <definedName name="master_def" localSheetId="6">#REF!</definedName>
    <definedName name="master_def">#REF!</definedName>
    <definedName name="MATRIX">#REF!</definedName>
    <definedName name="MemoAttachment" localSheetId="7">#REF!</definedName>
    <definedName name="MemoAttachment" localSheetId="6">#REF!</definedName>
    <definedName name="MemoAttachment">#REF!</definedName>
    <definedName name="MetaSet">[3]Orientation!$C$22</definedName>
    <definedName name="MFStaffPriceOut" localSheetId="5">'[19]Price Out-Reg EASTSIDE-Resi'!#REF!</definedName>
    <definedName name="MFStaffPriceOut" localSheetId="4">'[19]Price Out-Reg EASTSIDE-Resi'!#REF!</definedName>
    <definedName name="MFStaffPriceOut">'[19]Price Out-Reg EASTSIDE-Resi'!#REF!</definedName>
    <definedName name="MILTON" localSheetId="5">#REF!</definedName>
    <definedName name="MILTON" localSheetId="4">#REF!</definedName>
    <definedName name="MILTON">#REF!</definedName>
    <definedName name="MissingAccountList">[20]Summary!$Q$18</definedName>
    <definedName name="Month" localSheetId="5">#REF!</definedName>
    <definedName name="Month" localSheetId="4">#REF!</definedName>
    <definedName name="Month">#REF!</definedName>
    <definedName name="MonthList" localSheetId="5">'[23]Lookup Tables'!$A$1:$A$13</definedName>
    <definedName name="MonthList" localSheetId="4">'[23]Lookup Tables'!$A$1:$A$13</definedName>
    <definedName name="MonthList">'[24]Lookup Tables'!$A$1:$A$13</definedName>
    <definedName name="MthValue">'[22]O-9'!#REF!</definedName>
    <definedName name="NarrThreshold_Doll">[12]Settings!$I$27</definedName>
    <definedName name="NarrThreshold_Perc">[12]Settings!$I$26</definedName>
    <definedName name="New" localSheetId="5">#REF!</definedName>
    <definedName name="New" localSheetId="4">#REF!</definedName>
    <definedName name="New">#REF!</definedName>
    <definedName name="NewAccountCheck">[20]Summary!$L$18</definedName>
    <definedName name="NewLob" localSheetId="5">[29]DropDownRanges!$B$4:$B$37</definedName>
    <definedName name="NewLob" localSheetId="4">[29]DropDownRanges!$B$4:$B$37</definedName>
    <definedName name="NewLob">[30]DropDownRanges!$B$4:$B$37</definedName>
    <definedName name="NewOnlyOrg">#N/A</definedName>
    <definedName name="NewSource" localSheetId="5">[29]DropDownRanges!$D$4:$D$7</definedName>
    <definedName name="NewSource" localSheetId="4">[29]DropDownRanges!$D$4:$D$7</definedName>
    <definedName name="NewSource">[30]DropDownRanges!$D$4:$D$7</definedName>
    <definedName name="nn" localSheetId="5">#REF!</definedName>
    <definedName name="nn" localSheetId="4">#REF!</definedName>
    <definedName name="nn">#REF!</definedName>
    <definedName name="NONRECAP" localSheetId="4">#REF!</definedName>
    <definedName name="NONRECAP">#REF!</definedName>
    <definedName name="NOTES" localSheetId="4">#REF!</definedName>
    <definedName name="NOTES" localSheetId="7">#REF!</definedName>
    <definedName name="NOTES" localSheetId="6">#REF!</definedName>
    <definedName name="NOTES">#REF!</definedName>
    <definedName name="NR" localSheetId="4">#REF!</definedName>
    <definedName name="NR" localSheetId="7">#REF!</definedName>
    <definedName name="NR" localSheetId="6">#REF!</definedName>
    <definedName name="NR">#REF!</definedName>
    <definedName name="NvsASD">"V2008-12-31"</definedName>
    <definedName name="NvsAutoDrillOk">"VN"</definedName>
    <definedName name="NvsElapsedTime">0.000729166669771075</definedName>
    <definedName name="NvsEndTime">39896.5868402778</definedName>
    <definedName name="NvsEndTime2">39823.1371643519</definedName>
    <definedName name="NvsEndTime3">39918.4137268519</definedName>
    <definedName name="NvsEndTime4">39825.0263078704</definedName>
    <definedName name="NvsEndTime5">39822.9425347222</definedName>
    <definedName name="NvsInstanceHook" localSheetId="5">rank</definedName>
    <definedName name="NvsInstanceHook">rank</definedName>
    <definedName name="NvsInstanceHook1" localSheetId="5">rank</definedName>
    <definedName name="NvsInstanceHook1">rank</definedName>
    <definedName name="NvsInstLang">"VENG"</definedName>
    <definedName name="NvsInstSpec">"%,FBUSINESS_UNIT,V01815"</definedName>
    <definedName name="NvsInstSpec1">","</definedName>
    <definedName name="NvsInstSpec2">","</definedName>
    <definedName name="NvsInstSpec3">","</definedName>
    <definedName name="NvsInstSpec4">","</definedName>
    <definedName name="NvsInstSpec5">","</definedName>
    <definedName name="NvsInstSpec6">","</definedName>
    <definedName name="NvsInstSpec7">","</definedName>
    <definedName name="NvsInstSpec8">","</definedName>
    <definedName name="NvsInstSpec9">","</definedName>
    <definedName name="NvsLayoutType">"M3"</definedName>
    <definedName name="NvsNplSpec">"%,X,RZF..,CZF.."</definedName>
    <definedName name="NvsPanelBusUnit">"V"</definedName>
    <definedName name="NvsPanelEffdt">"V1950-01-01"</definedName>
    <definedName name="NvsPanelSetid">"VWASTE"</definedName>
    <definedName name="NvsReqBU">"V01815"</definedName>
    <definedName name="NvsReqBUOnly">"VY"</definedName>
    <definedName name="NvsTransLed">"VN"</definedName>
    <definedName name="NvsTreeASD">"V2008-12-31"</definedName>
    <definedName name="NvsValTbl.ACCOUNT">"GL_ACCOUNT_TBL"</definedName>
    <definedName name="NvsValTbl.ACCOUNT_SUM">"ZGL_SACCT_VW"</definedName>
    <definedName name="NvsValTbl.ASSET_CLASS">"ASSET_CLASS_TBL"</definedName>
    <definedName name="NvsValTbl.BUSINESS_UNIT">"BUS_UNIT_TBL_GL"</definedName>
    <definedName name="NvsValTbl.CURRENCY_CD">"CURRENCY_CD_TBL"</definedName>
    <definedName name="NvsValTbl.DEPTID">"DEPT_TBL"</definedName>
    <definedName name="NvsValTbl.OPERATING_UNIT">"OPER_UNIT_TBL"</definedName>
    <definedName name="NvsValTbl.PRODUCT">"PRODUCT_TBL"</definedName>
    <definedName name="OfficerSalary">#N/A</definedName>
    <definedName name="OffsetAcctBil" localSheetId="4">[31]JEexport!$L$10</definedName>
    <definedName name="OffsetAcctBil">[32]JEexport!$L$10</definedName>
    <definedName name="OffsetAcctPmt" localSheetId="4">[31]JEexport!$L$9</definedName>
    <definedName name="OffsetAcctPmt">[32]JEexport!$L$9</definedName>
    <definedName name="Operations">'[11]Income Statement (WMofWA)'!#REF!</definedName>
    <definedName name="OPR">'[11]Income Statement (WMofWA)'!#REF!</definedName>
    <definedName name="Org11_13">#N/A</definedName>
    <definedName name="Org7_10">#N/A</definedName>
    <definedName name="ORIG2GALWT_">#REF!</definedName>
    <definedName name="ORIG2OH" localSheetId="5">#REF!</definedName>
    <definedName name="ORIG2OH" localSheetId="4">#REF!</definedName>
    <definedName name="ORIG2OH">#REF!</definedName>
    <definedName name="OthCanTons">[17]Cust_Count1!$O$28</definedName>
    <definedName name="OthComYd">'[17]Gross Yardage Worksheet'!$L$82</definedName>
    <definedName name="OthCustCnt" localSheetId="5">#REF!</definedName>
    <definedName name="OthCustCnt" localSheetId="4">#REF!</definedName>
    <definedName name="OthCustCnt">#REF!</definedName>
    <definedName name="OthMultiYd">'[17]Gross Yardage Worksheet'!$L$98</definedName>
    <definedName name="OthXtraYds" localSheetId="5">#REF!</definedName>
    <definedName name="OthXtraYds" localSheetId="4">#REF!</definedName>
    <definedName name="OthXtraYds">#REF!</definedName>
    <definedName name="p" localSheetId="4">#REF!</definedName>
    <definedName name="p" localSheetId="7">#REF!</definedName>
    <definedName name="p" localSheetId="6">#REF!</definedName>
    <definedName name="p">#REF!</definedName>
    <definedName name="PAGE_1" localSheetId="4">#REF!</definedName>
    <definedName name="PAGE_1" localSheetId="7">#REF!</definedName>
    <definedName name="PAGE_1" localSheetId="6">#REF!</definedName>
    <definedName name="PAGE_1">#REF!</definedName>
    <definedName name="Page10">#REF!</definedName>
    <definedName name="Page10a">#REF!</definedName>
    <definedName name="page11">#REF!</definedName>
    <definedName name="page12">#REF!</definedName>
    <definedName name="Page16" localSheetId="4">#REF!</definedName>
    <definedName name="Page16">#REF!</definedName>
    <definedName name="Page17">#REF!</definedName>
    <definedName name="Page18">#REF!</definedName>
    <definedName name="Page20">#REF!</definedName>
    <definedName name="page7">#REF!</definedName>
    <definedName name="Page7a">#REF!</definedName>
    <definedName name="pBatchID" localSheetId="7">#REF!</definedName>
    <definedName name="pBatchID" localSheetId="6">#REF!</definedName>
    <definedName name="pBatchID">#REF!</definedName>
    <definedName name="pBillArea" localSheetId="7">#REF!</definedName>
    <definedName name="pBillArea" localSheetId="6">#REF!</definedName>
    <definedName name="pBillArea">#REF!</definedName>
    <definedName name="pBillCycle" localSheetId="7">#REF!</definedName>
    <definedName name="pBillCycle" localSheetId="6">#REF!</definedName>
    <definedName name="pBillCycle">#REF!</definedName>
    <definedName name="pCategory" localSheetId="7">#REF!</definedName>
    <definedName name="pCategory" localSheetId="6">#REF!</definedName>
    <definedName name="pCategory">#REF!</definedName>
    <definedName name="pCompany" localSheetId="7">#REF!</definedName>
    <definedName name="pCompany" localSheetId="6">#REF!</definedName>
    <definedName name="pCompany">#REF!</definedName>
    <definedName name="pCustomerNumber" localSheetId="7">#REF!</definedName>
    <definedName name="pCustomerNumber" localSheetId="6">#REF!</definedName>
    <definedName name="pCustomerNumber">#REF!</definedName>
    <definedName name="pDatabase" localSheetId="7">#REF!</definedName>
    <definedName name="pDatabase" localSheetId="6">#REF!</definedName>
    <definedName name="pDatabase">#REF!</definedName>
    <definedName name="PED">'[11]Income Statement (WMofWA)'!#REF!</definedName>
    <definedName name="pEndPostDate" localSheetId="5">#REF!</definedName>
    <definedName name="pEndPostDate" localSheetId="4">#REF!</definedName>
    <definedName name="pEndPostDate" localSheetId="7">#REF!</definedName>
    <definedName name="pEndPostDate" localSheetId="6">#REF!</definedName>
    <definedName name="pEndPostDate">#REF!</definedName>
    <definedName name="PER">[9]WTB!$DC$5</definedName>
    <definedName name="Period" localSheetId="5">#REF!</definedName>
    <definedName name="Period" localSheetId="4">#REF!</definedName>
    <definedName name="Period" localSheetId="7">#REF!</definedName>
    <definedName name="Period" localSheetId="6">#REF!</definedName>
    <definedName name="Period">#REF!</definedName>
    <definedName name="PFREVB4" localSheetId="5">#REF!</definedName>
    <definedName name="PFREVB4" localSheetId="4">#REF!</definedName>
    <definedName name="PFREVB4">#REF!</definedName>
    <definedName name="pMonth" localSheetId="7">#REF!</definedName>
    <definedName name="pMonth" localSheetId="6">#REF!</definedName>
    <definedName name="pMonth">#REF!</definedName>
    <definedName name="pOnlyShowLastTranx" localSheetId="7">#REF!</definedName>
    <definedName name="pOnlyShowLastTranx" localSheetId="6">#REF!</definedName>
    <definedName name="pOnlyShowLastTranx">#REF!</definedName>
    <definedName name="Posting">#REF!</definedName>
    <definedName name="primtbl">[3]Orientation!$C$23</definedName>
    <definedName name="_xlnm.Print_Area" localSheetId="1">'DF Calculation'!$A$1:$Q$153</definedName>
    <definedName name="_xlnm.Print_Area" localSheetId="5">Disposal!$A$1:$G$28</definedName>
    <definedName name="_xlnm.Print_Area" localSheetId="3">Mapping!$A$1:$T$158</definedName>
    <definedName name="_xlnm.Print_Area" localSheetId="4">'Murrey''s Price Out 2022'!$A$1:$CB$275</definedName>
    <definedName name="_xlnm.Print_Area" localSheetId="7">#REF!</definedName>
    <definedName name="_xlnm.Print_Area" localSheetId="6">#REF!</definedName>
    <definedName name="_xlnm.Print_Area" localSheetId="2">'To Populate Tariff'!$A$1:$G$125</definedName>
    <definedName name="_xlnm.Print_Area">#REF!</definedName>
    <definedName name="Print_Area_MI" localSheetId="5">#REF!</definedName>
    <definedName name="Print_Area_MI" localSheetId="4">#REF!</definedName>
    <definedName name="Print_Area_MI" localSheetId="7">#REF!</definedName>
    <definedName name="Print_Area_MI" localSheetId="6">#REF!</definedName>
    <definedName name="Print_Area_MI">#REF!</definedName>
    <definedName name="Print_Area_MIc" localSheetId="4">#REF!</definedName>
    <definedName name="Print_Area_MIc">#REF!</definedName>
    <definedName name="Print_Area1" localSheetId="7">#REF!</definedName>
    <definedName name="Print_Area1" localSheetId="6">#REF!</definedName>
    <definedName name="Print_Area1">#REF!</definedName>
    <definedName name="Print_Area2" localSheetId="7">#REF!</definedName>
    <definedName name="Print_Area2" localSheetId="6">#REF!</definedName>
    <definedName name="Print_Area2">#REF!</definedName>
    <definedName name="Print_Area3" localSheetId="7">#REF!</definedName>
    <definedName name="Print_Area3" localSheetId="6">#REF!</definedName>
    <definedName name="Print_Area3">#REF!</definedName>
    <definedName name="Print_Area5" localSheetId="7">#REF!</definedName>
    <definedName name="Print_Area5" localSheetId="6">#REF!</definedName>
    <definedName name="Print_Area5">#REF!</definedName>
    <definedName name="_xlnm.Print_Titles" localSheetId="1">'DF Calculation'!$1:$6</definedName>
    <definedName name="_xlnm.Print_Titles" localSheetId="3">Mapping!$1:$1</definedName>
    <definedName name="_xlnm.Print_Titles" localSheetId="4">'Murrey''s Price Out 2022'!$1:$7</definedName>
    <definedName name="_xlnm.Print_Titles" localSheetId="2">'To Populate Tariff'!$1:$1</definedName>
    <definedName name="Print_Titles_MI" localSheetId="5">#REF!</definedName>
    <definedName name="Print_Titles_MI" localSheetId="4">#REF!</definedName>
    <definedName name="Print_Titles_MI">#REF!</definedName>
    <definedName name="Print1" localSheetId="4">#REF!</definedName>
    <definedName name="Print1" localSheetId="7">#REF!</definedName>
    <definedName name="Print1" localSheetId="6">#REF!</definedName>
    <definedName name="Print1">#REF!</definedName>
    <definedName name="Print2" localSheetId="4">#REF!</definedName>
    <definedName name="Print2" localSheetId="7">#REF!</definedName>
    <definedName name="Print2" localSheetId="6">#REF!</definedName>
    <definedName name="Print2">#REF!</definedName>
    <definedName name="Print5" localSheetId="4">#REF!</definedName>
    <definedName name="Print5" localSheetId="7">#REF!</definedName>
    <definedName name="Print5" localSheetId="6">#REF!</definedName>
    <definedName name="Print5">#REF!</definedName>
    <definedName name="Prnit_Range">#REF!</definedName>
    <definedName name="ProRev">'[13]Pacific Regulated - Price Out'!$M$49</definedName>
    <definedName name="ProRev_com">'[13]Pacific Regulated - Price Out'!$M$213</definedName>
    <definedName name="ProRev_mfr">'[13]Pacific Regulated - Price Out'!$M$221</definedName>
    <definedName name="ProRev_ro">'[13]Pacific Regulated - Price Out'!$M$281</definedName>
    <definedName name="ProRev_rr">'[13]Pacific Regulated - Price Out'!$M$58</definedName>
    <definedName name="ProRev_yw">'[13]Pacific Regulated - Price Out'!$M$69</definedName>
    <definedName name="pServer" localSheetId="5">#REF!</definedName>
    <definedName name="pServer" localSheetId="4">#REF!</definedName>
    <definedName name="pServer" localSheetId="7">#REF!</definedName>
    <definedName name="pServer" localSheetId="6">#REF!</definedName>
    <definedName name="pServer">#REF!</definedName>
    <definedName name="pServiceCode" localSheetId="4">#REF!</definedName>
    <definedName name="pServiceCode" localSheetId="7">#REF!</definedName>
    <definedName name="pServiceCode" localSheetId="6">#REF!</definedName>
    <definedName name="pServiceCode">#REF!</definedName>
    <definedName name="pShowAllUnposted" localSheetId="4">#REF!</definedName>
    <definedName name="pShowAllUnposted" localSheetId="7">#REF!</definedName>
    <definedName name="pShowAllUnposted" localSheetId="6">#REF!</definedName>
    <definedName name="pShowAllUnposted">#REF!</definedName>
    <definedName name="pShowCustomerDetail" localSheetId="7">#REF!</definedName>
    <definedName name="pShowCustomerDetail" localSheetId="6">#REF!</definedName>
    <definedName name="pShowCustomerDetail">#REF!</definedName>
    <definedName name="pSortOption" localSheetId="7">#REF!</definedName>
    <definedName name="pSortOption" localSheetId="6">#REF!</definedName>
    <definedName name="pSortOption">#REF!</definedName>
    <definedName name="pStartPostDate" localSheetId="7">#REF!</definedName>
    <definedName name="pStartPostDate" localSheetId="6">#REF!</definedName>
    <definedName name="pStartPostDate">#REF!</definedName>
    <definedName name="pTransType" localSheetId="7">#REF!</definedName>
    <definedName name="pTransType" localSheetId="6">#REF!</definedName>
    <definedName name="pTransType">#REF!</definedName>
    <definedName name="PYear">'[22]O-9'!#REF!</definedName>
    <definedName name="QtrValue" localSheetId="5">#REF!</definedName>
    <definedName name="QtrValue" localSheetId="4">#REF!</definedName>
    <definedName name="QtrValue">#REF!</definedName>
    <definedName name="Quarter_Budget" localSheetId="4">#REF!</definedName>
    <definedName name="Quarter_Budget">#REF!</definedName>
    <definedName name="Quarter_Month" localSheetId="4">#REF!</definedName>
    <definedName name="Quarter_Month">#REF!</definedName>
    <definedName name="RBU" localSheetId="4">'[11]Income Statement (WMofWA)'!#REF!</definedName>
    <definedName name="RBU">'[11]Income Statement (WMofWA)'!#REF!</definedName>
    <definedName name="RCW_81.04.080">#N/A</definedName>
    <definedName name="RECAP" localSheetId="5">#REF!</definedName>
    <definedName name="RECAP" localSheetId="4">#REF!</definedName>
    <definedName name="RECAP">#REF!</definedName>
    <definedName name="RECAP2" localSheetId="4">#REF!</definedName>
    <definedName name="RECAP2">#REF!</definedName>
    <definedName name="ReconMonth">[20]Summary!$J$18</definedName>
    <definedName name="_xlnm.Recorder" localSheetId="5">#REF!</definedName>
    <definedName name="_xlnm.Recorder" localSheetId="4">#REF!</definedName>
    <definedName name="_xlnm.Recorder">#REF!</definedName>
    <definedName name="RecyDisposal">#N/A</definedName>
    <definedName name="Reg_Cust_Billed_Percent" localSheetId="5">'[33]Consolidated IS 2009 2010'!$AK$20</definedName>
    <definedName name="Reg_Cust_Billed_Percent" localSheetId="4">'[33]Consolidated IS 2009 2010'!$AK$20</definedName>
    <definedName name="Reg_Cust_Billed_Percent">'[34]Consolidated IS 2009 2010'!$AK$20</definedName>
    <definedName name="Reg_Cust_Percent" localSheetId="5">'[33]Consolidated IS 2009 2010'!$AC$20</definedName>
    <definedName name="Reg_Cust_Percent" localSheetId="4">'[33]Consolidated IS 2009 2010'!$AC$20</definedName>
    <definedName name="Reg_Cust_Percent">'[34]Consolidated IS 2009 2010'!$AC$20</definedName>
    <definedName name="Reg_Drive_Percent" localSheetId="5">'[33]Consolidated IS 2009 2010'!$AC$40</definedName>
    <definedName name="Reg_Drive_Percent" localSheetId="4">'[33]Consolidated IS 2009 2010'!$AC$40</definedName>
    <definedName name="Reg_Drive_Percent">'[34]Consolidated IS 2009 2010'!$AC$40</definedName>
    <definedName name="Reg_Haul_Rev_Percent" localSheetId="5">'[33]Consolidated IS 2009 2010'!$Z$18</definedName>
    <definedName name="Reg_Haul_Rev_Percent" localSheetId="4">'[33]Consolidated IS 2009 2010'!$Z$18</definedName>
    <definedName name="Reg_Haul_Rev_Percent">'[34]Consolidated IS 2009 2010'!$Z$18</definedName>
    <definedName name="Reg_Lab_Percent" localSheetId="5">'[33]Consolidated IS 2009 2010'!$AC$39</definedName>
    <definedName name="Reg_Lab_Percent" localSheetId="4">'[33]Consolidated IS 2009 2010'!$AC$39</definedName>
    <definedName name="Reg_Lab_Percent">'[34]Consolidated IS 2009 2010'!$AC$39</definedName>
    <definedName name="Reg_Steel_Cont_Percent" localSheetId="5">'[33]Consolidated IS 2009 2010'!$AE$120</definedName>
    <definedName name="Reg_Steel_Cont_Percent" localSheetId="4">'[33]Consolidated IS 2009 2010'!$AE$120</definedName>
    <definedName name="Reg_Steel_Cont_Percent">'[34]Consolidated IS 2009 2010'!$AE$120</definedName>
    <definedName name="RegionSignOffReq">[20]Summary!$M$10</definedName>
    <definedName name="RegionSignOffStatus">[20]Summary!$N$17</definedName>
    <definedName name="RegulatedIS" localSheetId="5">'[33]2009 IS'!$A$12:$Q$655</definedName>
    <definedName name="RegulatedIS" localSheetId="4">'[33]2009 IS'!$A$12:$Q$655</definedName>
    <definedName name="RegulatedIS">'[34]2009 IS'!$A$12:$Q$655</definedName>
    <definedName name="RelatedSalary">#N/A</definedName>
    <definedName name="report_type">[3]Orientation!$C$24</definedName>
    <definedName name="Reporting_Jurisdiction">'[16]Title Inputs'!$C$4</definedName>
    <definedName name="ReportNames">[35]ControlPanel!$S$2:$S$16</definedName>
    <definedName name="ReportVersion">[3]Settings!$D$5</definedName>
    <definedName name="ReslStaffPriceOut" localSheetId="5">'[19]Price Out-Reg EASTSIDE-Resi'!#REF!</definedName>
    <definedName name="ReslStaffPriceOut" localSheetId="4">'[19]Price Out-Reg EASTSIDE-Resi'!#REF!</definedName>
    <definedName name="ReslStaffPriceOut">'[19]Price Out-Reg EASTSIDE-Resi'!#REF!</definedName>
    <definedName name="RetainedEarnings" localSheetId="5">#REF!</definedName>
    <definedName name="RetainedEarnings" localSheetId="4">#REF!</definedName>
    <definedName name="RetainedEarnings" localSheetId="7">#REF!</definedName>
    <definedName name="RetainedEarnings" localSheetId="6">#REF!</definedName>
    <definedName name="RetainedEarnings">#REF!</definedName>
    <definedName name="RevCust" localSheetId="5">[36]RevenuesCust!#REF!</definedName>
    <definedName name="RevCust" localSheetId="4">[36]RevenuesCust!#REF!</definedName>
    <definedName name="RevCust" localSheetId="7">[36]RevenuesCust!#REF!</definedName>
    <definedName name="RevCust">[36]RevenuesCust!#REF!</definedName>
    <definedName name="RevCustomer" localSheetId="5">#REF!</definedName>
    <definedName name="RevCustomer" localSheetId="4">#REF!</definedName>
    <definedName name="RevCustomer" localSheetId="7">#REF!</definedName>
    <definedName name="RevCustomer" localSheetId="6">#REF!</definedName>
    <definedName name="RevCustomer">#REF!</definedName>
    <definedName name="REVDETAIL" localSheetId="5">#REF!</definedName>
    <definedName name="REVDETAIL">#REF!</definedName>
    <definedName name="Revenue" localSheetId="5">#REF!</definedName>
    <definedName name="Revenue" localSheetId="4">#REF!</definedName>
    <definedName name="Revenue">#REF!</definedName>
    <definedName name="RevenuePF1" localSheetId="5">#REF!</definedName>
    <definedName name="RevenuePF1" localSheetId="4">#REF!</definedName>
    <definedName name="RevenuePF1">#REF!</definedName>
    <definedName name="REVMAT">#REF!</definedName>
    <definedName name="RID">'[11]Income Statement (WMofWA)'!#REF!</definedName>
    <definedName name="rngBodyText">[6]Delivery!$B$15</definedName>
    <definedName name="RngBottomRight">[6]Delivery!$B$23</definedName>
    <definedName name="rngColDelChars">[6]Delivery!$B$26</definedName>
    <definedName name="rngColumnDelete">[6]Delivery!$B$26</definedName>
    <definedName name="rngCreateLog">[3]Delivery!$B$12</definedName>
    <definedName name="rngDeleteColumns">[6]Delivery!$A$29:$A$38</definedName>
    <definedName name="rngDeleteRows">[6]Delivery!$B$29:$B$38</definedName>
    <definedName name="rngEmail">[6]Delivery!$B$9</definedName>
    <definedName name="rngFileDir">[6]Delivery!$B$6</definedName>
    <definedName name="rngFileFormat">[6]Delivery!$B$4</definedName>
    <definedName name="rngFileName">[6]Delivery!$B$5</definedName>
    <definedName name="rngFilePassword">[3]Delivery!$B$6</definedName>
    <definedName name="rngPassword">[6]Delivery!$B$21</definedName>
    <definedName name="rngPasswordProtect">[6]Delivery!$B$20</definedName>
    <definedName name="rngPrint">[6]Delivery!$B$11</definedName>
    <definedName name="rngRetainFormulas">[6]Delivery!$B$19</definedName>
    <definedName name="rngSaveFile">[6]Delivery!$B$10</definedName>
    <definedName name="rngSourceTab">[3]Delivery!$E$8</definedName>
    <definedName name="rngSubjectLine">[6]Delivery!$B$14</definedName>
    <definedName name="rngTabName">[6]Delivery!$B$18</definedName>
    <definedName name="rngTopLeft">[6]Delivery!$B$22</definedName>
    <definedName name="ROCE" localSheetId="5">#REF!,#REF!</definedName>
    <definedName name="ROCE" localSheetId="4">#REF!,#REF!</definedName>
    <definedName name="ROCE">#REF!,#REF!</definedName>
    <definedName name="ROW_SUPRESS" localSheetId="5">'[11]Income Statement (WMofWA)'!#REF!</definedName>
    <definedName name="ROW_SUPRESS" localSheetId="4">'[11]Income Statement (WMofWA)'!#REF!</definedName>
    <definedName name="ROW_SUPRESS">'[11]Income Statement (WMofWA)'!#REF!</definedName>
    <definedName name="rowgroup">[3]Orientation!$C$17</definedName>
    <definedName name="rowsegment">[3]Orientation!$B$17</definedName>
    <definedName name="RptEmailAddress">[6]Delivery!$D$4:$D$1005</definedName>
    <definedName name="rtr">'[37]Variance Report'!#REF!</definedName>
    <definedName name="RTT">'[11]Income Statement (WMofWA)'!#REF!</definedName>
    <definedName name="sale" localSheetId="5">#REF!</definedName>
    <definedName name="sale" localSheetId="4">#REF!</definedName>
    <definedName name="sale">#REF!</definedName>
    <definedName name="SALES_TAX_RETURN" localSheetId="4">#REF!</definedName>
    <definedName name="SALES_TAX_RETURN">#REF!</definedName>
    <definedName name="Sbst" localSheetId="4">#REF!</definedName>
    <definedName name="Sbst">#REF!</definedName>
    <definedName name="SCN" localSheetId="4">'[11]Income Statement (WMofWA)'!#REF!</definedName>
    <definedName name="SCN">'[11]Income Statement (WMofWA)'!#REF!</definedName>
    <definedName name="seffasfasdfsd" localSheetId="4">[8]Hidden!#REF!</definedName>
    <definedName name="seffasfasdfsd">[8]Hidden!#REF!</definedName>
    <definedName name="SEPARATE" localSheetId="5">#REF!</definedName>
    <definedName name="SEPARATE" localSheetId="4">#REF!</definedName>
    <definedName name="SEPARATE">#REF!</definedName>
    <definedName name="Separation" localSheetId="5">[38]ProF!#REF!</definedName>
    <definedName name="Separation" localSheetId="4">[38]ProF!#REF!</definedName>
    <definedName name="Separation">[38]ProF!#REF!</definedName>
    <definedName name="Sequential_Group">[3]Settings!$J$6</definedName>
    <definedName name="Sequential_Segment">[3]Settings!$I$6</definedName>
    <definedName name="Sequential_sort">[3]Settings!$I$10:$J$11</definedName>
    <definedName name="Setting_DeprFactor">[12]Settings!$F$5</definedName>
    <definedName name="Setting_LFDeplUnitAcct">[12]Settings!$F$4</definedName>
    <definedName name="Setting_LFUnitCost">[12]Settings!$F$3</definedName>
    <definedName name="Setting_LFUnitCostNY">[12]Settings!$F$7</definedName>
    <definedName name="Setting_LFUnitRow">[12]Settings!$C$3</definedName>
    <definedName name="SFD">[9]WTB!$DE$5</definedName>
    <definedName name="SFD_BU">'[11]Income Statement (WMofWA)'!#REF!</definedName>
    <definedName name="SFD_DEPTID">'[11]Income Statement (WMofWA)'!#REF!</definedName>
    <definedName name="SFD_OP">'[11]Income Statement (WMofWA)'!#REF!</definedName>
    <definedName name="SFD_PROD">'[11]Income Statement (WMofWA)'!#REF!</definedName>
    <definedName name="SFD_PROJ">'[11]Income Statement (WMofWA)'!#REF!</definedName>
    <definedName name="sfdbusunit" localSheetId="5">#REF!</definedName>
    <definedName name="sfdbusunit" localSheetId="4">#REF!</definedName>
    <definedName name="sfdbusunit">#REF!</definedName>
    <definedName name="SFV">[9]WTB!$DE$4</definedName>
    <definedName name="SFV_BU">'[11]Income Statement (WMofWA)'!#REF!</definedName>
    <definedName name="SFV_CUR" localSheetId="5">#REF!</definedName>
    <definedName name="SFV_CUR" localSheetId="4">#REF!</definedName>
    <definedName name="SFV_CUR">#REF!</definedName>
    <definedName name="SFV_CUR1">'[9]2008 West Group IS'!$AM$9</definedName>
    <definedName name="SFV_CUR5">'[9]2008 Group Office IS'!$AM$9</definedName>
    <definedName name="SFV_DEPTID">'[11]Income Statement (WMofWA)'!#REF!</definedName>
    <definedName name="SFV_OP">'[11]Income Statement (WMofWA)'!#REF!</definedName>
    <definedName name="SFV_PROD">'[11]Income Statement (WMofWA)'!#REF!</definedName>
    <definedName name="SFV_PROJ">'[11]Income Statement (WMofWA)'!#REF!</definedName>
    <definedName name="SIC_Table" localSheetId="5">#REF!</definedName>
    <definedName name="SIC_Table" localSheetId="4">#REF!</definedName>
    <definedName name="SIC_Table">#REF!</definedName>
    <definedName name="slope">'[39]LG Nonpublic 2018 V5.0'!$X$58</definedName>
    <definedName name="sort" localSheetId="5">#REF!</definedName>
    <definedName name="sort" localSheetId="4">#REF!</definedName>
    <definedName name="sort">#REF!</definedName>
    <definedName name="Sort1" localSheetId="4">#REF!</definedName>
    <definedName name="Sort1">#REF!</definedName>
    <definedName name="sortcol" localSheetId="4">#REF!</definedName>
    <definedName name="sortcol" localSheetId="7">#REF!</definedName>
    <definedName name="sortcol" localSheetId="6">#REF!</definedName>
    <definedName name="sortcol">#REF!</definedName>
    <definedName name="Source" localSheetId="5">[29]DropDownRanges!$D$4:$D$7</definedName>
    <definedName name="Source" localSheetId="4">[29]DropDownRanges!$D$4:$D$7</definedName>
    <definedName name="Source">[30]DropDownRanges!$D$4:$D$7</definedName>
    <definedName name="SPWS_WBID">"115966228744984"</definedName>
    <definedName name="sSRCDate" localSheetId="5">'[40]Feb''12 FAR Data'!#REF!</definedName>
    <definedName name="sSRCDate" localSheetId="4">'[40]Feb''12 FAR Data'!#REF!</definedName>
    <definedName name="sSRCDate" localSheetId="7">'[40]Feb''12 FAR Data'!#REF!</definedName>
    <definedName name="sSRCDate" localSheetId="6">'[40]Feb''12 FAR Data'!#REF!</definedName>
    <definedName name="sSRCDate">'[40]Feb''12 FAR Data'!#REF!</definedName>
    <definedName name="start" localSheetId="5">#REF!</definedName>
    <definedName name="start" localSheetId="4">#REF!</definedName>
    <definedName name="start">#REF!</definedName>
    <definedName name="Stop" localSheetId="5">'[22]O-9'!#REF!</definedName>
    <definedName name="Stop" localSheetId="4">'[22]O-9'!#REF!</definedName>
    <definedName name="Stop">'[22]O-9'!#REF!</definedName>
    <definedName name="SubSystems">#REF!</definedName>
    <definedName name="SubtypeToTruckType">[41]TruckCenterReference!$C$36:$D$86</definedName>
    <definedName name="SUMMARY" localSheetId="5">#REF!</definedName>
    <definedName name="SUMMARY" localSheetId="4">#REF!</definedName>
    <definedName name="SUMMARY">#REF!</definedName>
    <definedName name="Summary_DistrictName">[42]Summary!$B$7</definedName>
    <definedName name="Summary_DistrictNo">[42]Summary!$B$5</definedName>
    <definedName name="Supplemental_filter">[3]Settings!$C$31</definedName>
    <definedName name="SWDisposal">#N/A</definedName>
    <definedName name="Syst">#REF!</definedName>
    <definedName name="System">[43]BS_Close!$V$8</definedName>
    <definedName name="Systems">#REF!</definedName>
    <definedName name="Table_SIC" localSheetId="5">#REF!</definedName>
    <definedName name="Table_SIC">#REF!</definedName>
    <definedName name="TargetMonths">[12]Settings!$I$18</definedName>
    <definedName name="TemplateEnd" localSheetId="5">#REF!</definedName>
    <definedName name="TemplateEnd" localSheetId="4">#REF!</definedName>
    <definedName name="TemplateEnd" localSheetId="7">#REF!</definedName>
    <definedName name="TemplateEnd" localSheetId="6">#REF!</definedName>
    <definedName name="TemplateEnd">#REF!</definedName>
    <definedName name="TemplateStart" localSheetId="5">#REF!</definedName>
    <definedName name="TemplateStart" localSheetId="7">#REF!</definedName>
    <definedName name="TemplateStart" localSheetId="6">#REF!</definedName>
    <definedName name="TemplateStart">#REF!</definedName>
    <definedName name="test">'[44]Sch 4 - 12months'!$B$10:$O$86</definedName>
    <definedName name="TheTable" localSheetId="5">#REF!</definedName>
    <definedName name="TheTable" localSheetId="4">#REF!</definedName>
    <definedName name="TheTable" localSheetId="7">#REF!</definedName>
    <definedName name="TheTable" localSheetId="6">#REF!</definedName>
    <definedName name="TheTable">#REF!</definedName>
    <definedName name="TheTableOLD" localSheetId="5">#REF!</definedName>
    <definedName name="TheTableOLD" localSheetId="7">#REF!</definedName>
    <definedName name="TheTableOLD" localSheetId="6">#REF!</definedName>
    <definedName name="TheTableOLD">#REF!</definedName>
    <definedName name="timeseries">[3]Orientation!$B$6:$C$13</definedName>
    <definedName name="Title2">'[22]O-9'!#REF!</definedName>
    <definedName name="ToMonth" localSheetId="5">#REF!</definedName>
    <definedName name="ToMonth" localSheetId="4">#REF!</definedName>
    <definedName name="ToMonth">#REF!</definedName>
    <definedName name="Tons" localSheetId="4">#REF!</definedName>
    <definedName name="Tons">#REF!</definedName>
    <definedName name="TOP">'[7]10800-10899'!#REF!</definedName>
    <definedName name="Total_Comm">'[15]Tariff Rate Sheet'!$L$214</definedName>
    <definedName name="Total_DB">'[15]Tariff Rate Sheet'!$L$278</definedName>
    <definedName name="Total_Interest">'[45]Amortization Table'!$F$18</definedName>
    <definedName name="Total_Resi">'[15]Tariff Rate Sheet'!$L$107</definedName>
    <definedName name="TotalYards">'[17]Gross Yardage Worksheet'!$N$101</definedName>
    <definedName name="TOTCONT">'[27]Sorted Master'!$K$9</definedName>
    <definedName name="TOTCRECCONT">'[27]Sorted Master'!$Z$9</definedName>
    <definedName name="TOTCRECCUST" localSheetId="5">'[46]Sorted Master-2112-2148'!#REF!</definedName>
    <definedName name="TOTCRECCUST" localSheetId="4">'[46]Sorted Master-2112-2148'!#REF!</definedName>
    <definedName name="TOTCRECCUST">'[46]Sorted Master-2112-2148'!#REF!</definedName>
    <definedName name="TOTCRECDH" localSheetId="5">'[46]Sorted Master-2112-2148'!#REF!</definedName>
    <definedName name="TOTCRECDH" localSheetId="4">'[46]Sorted Master-2112-2148'!#REF!</definedName>
    <definedName name="TOTCRECDH">'[46]Sorted Master-2112-2148'!#REF!</definedName>
    <definedName name="TOTCRECREV" localSheetId="4">'[46]Sorted Master-2112-2148'!#REF!</definedName>
    <definedName name="TOTCRECREV">'[46]Sorted Master-2112-2148'!#REF!</definedName>
    <definedName name="TOTCRECTDEP" localSheetId="4">'[46]Sorted Master-2112-2148'!#REF!</definedName>
    <definedName name="TOTCRECTDEP">'[46]Sorted Master-2112-2148'!#REF!</definedName>
    <definedName name="TOTCRECTH">'[27]Sorted Master'!$Z$8</definedName>
    <definedName name="TOTCRECTV" localSheetId="5">'[46]Sorted Master-2112-2148'!#REF!</definedName>
    <definedName name="TOTCRECTV" localSheetId="4">'[46]Sorted Master-2112-2148'!#REF!</definedName>
    <definedName name="TOTCRECTV">'[46]Sorted Master-2112-2148'!#REF!</definedName>
    <definedName name="TOTCUST" localSheetId="5">'[46]Sorted Master-2112-2148'!#REF!</definedName>
    <definedName name="TOTCUST" localSheetId="4">'[46]Sorted Master-2112-2148'!#REF!</definedName>
    <definedName name="TOTCUST">'[46]Sorted Master-2112-2148'!#REF!</definedName>
    <definedName name="TOTDBCONT" localSheetId="4">'[46]Sorted Master-2112-2148'!#REF!</definedName>
    <definedName name="TOTDBCONT">'[46]Sorted Master-2112-2148'!#REF!</definedName>
    <definedName name="TOTDBCUST" localSheetId="4">'[46]Sorted Master-2112-2148'!#REF!</definedName>
    <definedName name="TOTDBCUST">'[46]Sorted Master-2112-2148'!#REF!</definedName>
    <definedName name="TOTDBDH">'[46]Sorted Master-2112-2148'!#REF!</definedName>
    <definedName name="TOTDBREV">'[46]Sorted Master-2112-2148'!#REF!</definedName>
    <definedName name="TOTDBTDEP">'[46]Sorted Master-2112-2148'!#REF!</definedName>
    <definedName name="TOTDBTH">'[46]Sorted Master-2112-2148'!#REF!</definedName>
    <definedName name="TOTDBTV">'[46]Sorted Master-2112-2148'!#REF!</definedName>
    <definedName name="TOTDEBCONT">'[46]Sorted Master-2112-2148'!#REF!</definedName>
    <definedName name="TOTDEBCUST">'[46]Sorted Master-2112-2148'!#REF!</definedName>
    <definedName name="TOTDEBDH">'[46]Sorted Master-2112-2148'!#REF!</definedName>
    <definedName name="TOTDEBREV">'[46]Sorted Master-2112-2148'!#REF!</definedName>
    <definedName name="TOTDEBTH">'[27]Sorted Master'!$AD$8</definedName>
    <definedName name="TOTDH" localSheetId="5">'[46]Sorted Master-2112-2148'!#REF!</definedName>
    <definedName name="TOTDH" localSheetId="4">'[46]Sorted Master-2112-2148'!#REF!</definedName>
    <definedName name="TOTDH">'[46]Sorted Master-2112-2148'!#REF!</definedName>
    <definedName name="TOTFELCONT" localSheetId="5">'[46]Sorted Master-2112-2148'!#REF!</definedName>
    <definedName name="TOTFELCONT" localSheetId="4">'[46]Sorted Master-2112-2148'!#REF!</definedName>
    <definedName name="TOTFELCONT">'[46]Sorted Master-2112-2148'!#REF!</definedName>
    <definedName name="TOTFELCUST" localSheetId="4">'[46]Sorted Master-2112-2148'!#REF!</definedName>
    <definedName name="TOTFELCUST">'[46]Sorted Master-2112-2148'!#REF!</definedName>
    <definedName name="TOTFELDH" localSheetId="4">'[46]Sorted Master-2112-2148'!#REF!</definedName>
    <definedName name="TOTFELDH">'[46]Sorted Master-2112-2148'!#REF!</definedName>
    <definedName name="TOTFELREV">'[46]Sorted Master-2112-2148'!#REF!</definedName>
    <definedName name="TOTFELTDEP">'[46]Sorted Master-2112-2148'!#REF!</definedName>
    <definedName name="TOTFELTH">'[46]Sorted Master-2112-2148'!#REF!</definedName>
    <definedName name="TOTFELTV">'[46]Sorted Master-2112-2148'!#REF!</definedName>
    <definedName name="TOTRESCONT">'[46]Sorted Master-2112-2148'!#REF!</definedName>
    <definedName name="TOTRESCUST">'[46]Sorted Master-2112-2148'!#REF!</definedName>
    <definedName name="TOTRESDH">'[46]Sorted Master-2112-2148'!#REF!</definedName>
    <definedName name="TOTRESRCONT">'[46]Sorted Master-2112-2148'!#REF!</definedName>
    <definedName name="TOTRESRCUST">'[46]Sorted Master-2112-2148'!#REF!</definedName>
    <definedName name="TOTRESRDH">'[46]Sorted Master-2112-2148'!#REF!</definedName>
    <definedName name="TOTRESREV">'[46]Sorted Master-2112-2148'!#REF!</definedName>
    <definedName name="TOTRESRREV">'[46]Sorted Master-2112-2148'!#REF!</definedName>
    <definedName name="TOTRESRTDEP">'[46]Sorted Master-2112-2148'!#REF!</definedName>
    <definedName name="TOTRESRTH">'[46]Sorted Master-2112-2148'!#REF!</definedName>
    <definedName name="TOTRESRTV">'[46]Sorted Master-2112-2148'!#REF!</definedName>
    <definedName name="TOTRESTDEP">'[46]Sorted Master-2112-2148'!#REF!</definedName>
    <definedName name="TOTRESTH">'[46]Sorted Master-2112-2148'!#REF!</definedName>
    <definedName name="TOTRESTV">'[46]Sorted Master-2112-2148'!#REF!</definedName>
    <definedName name="TOTREV">'[46]Sorted Master-2112-2148'!#REF!</definedName>
    <definedName name="TOTTDEP">'[46]Sorted Master-2112-2148'!#REF!</definedName>
    <definedName name="TOTTH">'[46]Sorted Master-2112-2148'!#REF!</definedName>
    <definedName name="TOTTV">'[46]Sorted Master-2112-2148'!#REF!</definedName>
    <definedName name="Transactions" localSheetId="5">#REF!</definedName>
    <definedName name="Transactions" localSheetId="4">#REF!</definedName>
    <definedName name="Transactions" localSheetId="7">#REF!</definedName>
    <definedName name="Transactions" localSheetId="6">#REF!</definedName>
    <definedName name="Transactions">#REF!</definedName>
    <definedName name="UnformattedIS" localSheetId="5">#REF!</definedName>
    <definedName name="UnformattedIS">#REF!</definedName>
    <definedName name="UnregulatedIS" localSheetId="5">'[33]2010 IS'!$A$12:$Q$654</definedName>
    <definedName name="UnregulatedIS" localSheetId="4">'[33]2010 IS'!$A$12:$Q$654</definedName>
    <definedName name="UnregulatedIS">'[34]2010 IS'!$A$12:$Q$654</definedName>
    <definedName name="UserTestMode">[20]Summary!$J$9</definedName>
    <definedName name="ValidFormats">[6]Delivery!$AA$4:$AA$10</definedName>
    <definedName name="Variables">'[11]Income Statement (WMofWA)'!#REF!</definedName>
    <definedName name="VarianceStatus">[20]Summary!$L$17</definedName>
    <definedName name="VarianceTolerance">[20]Summary!$U$21</definedName>
    <definedName name="VendorCode">#REF!</definedName>
    <definedName name="Version" localSheetId="5">[23]Data!#REF!</definedName>
    <definedName name="Version" localSheetId="4">[23]Data!#REF!</definedName>
    <definedName name="Version">[24]Data!#REF!</definedName>
    <definedName name="Waste_Management__Inc." localSheetId="5">#REF!</definedName>
    <definedName name="Waste_Management__Inc." localSheetId="4">#REF!</definedName>
    <definedName name="Waste_Management__Inc.">#REF!</definedName>
    <definedName name="WksInYr" localSheetId="4">#REF!</definedName>
    <definedName name="WksInYr">#REF!</definedName>
    <definedName name="WM" localSheetId="4">#REF!</definedName>
    <definedName name="WM">#REF!</definedName>
    <definedName name="wrn.PrintReview." localSheetId="5" hidden="1">{#N/A,#N/A,TRUE,"SUMM";#N/A,#N/A,TRUE,"Rev";#N/A,#N/A,TRUE,"Dir_Costs";#N/A,#N/A,TRUE,"G and A Costs";#N/A,#N/A,TRUE,"Itemize";#N/A,#N/A,TRUE,"Cust_Count1";#N/A,#N/A,TRUE,"Cust_Count2";#N/A,#N/A,TRUE,"Rev_Breakdown";#N/A,#N/A,TRUE,"Truck Hours";#N/A,#N/A,TRUE,"Labor Hours";#N/A,#N/A,TRUE,"Container Breakdown";#N/A,#N/A,TRUE,"Cart Breakdown"}</definedName>
    <definedName name="wrn.PrintReview." localSheetId="4" hidden="1">{#N/A,#N/A,TRUE,"SUMM";#N/A,#N/A,TRUE,"Rev";#N/A,#N/A,TRUE,"Dir_Costs";#N/A,#N/A,TRUE,"G and A Costs";#N/A,#N/A,TRUE,"Itemize";#N/A,#N/A,TRUE,"Cust_Count1";#N/A,#N/A,TRUE,"Cust_Count2";#N/A,#N/A,TRUE,"Rev_Breakdown";#N/A,#N/A,TRUE,"Truck Hours";#N/A,#N/A,TRUE,"Labor Hours";#N/A,#N/A,TRUE,"Container Breakdown";#N/A,#N/A,TRUE,"Cart Breakdown"}</definedName>
    <definedName name="wrn.PrintReview." hidden="1">{#N/A,#N/A,TRUE,"SUMM";#N/A,#N/A,TRUE,"Rev";#N/A,#N/A,TRUE,"Dir_Costs";#N/A,#N/A,TRUE,"G and A Costs";#N/A,#N/A,TRUE,"Itemize";#N/A,#N/A,TRUE,"Cust_Count1";#N/A,#N/A,TRUE,"Cust_Count2";#N/A,#N/A,TRUE,"Rev_Breakdown";#N/A,#N/A,TRUE,"Truck Hours";#N/A,#N/A,TRUE,"Labor Hours";#N/A,#N/A,TRUE,"Container Breakdown";#N/A,#N/A,TRUE,"Cart Breakdown"}</definedName>
    <definedName name="wrn.PrintReview2" localSheetId="5" hidden="1">{#N/A,#N/A,TRUE,"SUMM";#N/A,#N/A,TRUE,"Rev";#N/A,#N/A,TRUE,"Dir_Costs";#N/A,#N/A,TRUE,"G and A Costs";#N/A,#N/A,TRUE,"Itemize";#N/A,#N/A,TRUE,"Cust_Count1";#N/A,#N/A,TRUE,"Cust_Count2";#N/A,#N/A,TRUE,"Rev_Breakdown";#N/A,#N/A,TRUE,"Truck Hours";#N/A,#N/A,TRUE,"Labor Hours";#N/A,#N/A,TRUE,"Container Breakdown";#N/A,#N/A,TRUE,"Cart Breakdown"}</definedName>
    <definedName name="wrn.PrintReview2" localSheetId="4" hidden="1">{#N/A,#N/A,TRUE,"SUMM";#N/A,#N/A,TRUE,"Rev";#N/A,#N/A,TRUE,"Dir_Costs";#N/A,#N/A,TRUE,"G and A Costs";#N/A,#N/A,TRUE,"Itemize";#N/A,#N/A,TRUE,"Cust_Count1";#N/A,#N/A,TRUE,"Cust_Count2";#N/A,#N/A,TRUE,"Rev_Breakdown";#N/A,#N/A,TRUE,"Truck Hours";#N/A,#N/A,TRUE,"Labor Hours";#N/A,#N/A,TRUE,"Container Breakdown";#N/A,#N/A,TRUE,"Cart Breakdown"}</definedName>
    <definedName name="wrn.PrintReview2" hidden="1">{#N/A,#N/A,TRUE,"SUMM";#N/A,#N/A,TRUE,"Rev";#N/A,#N/A,TRUE,"Dir_Costs";#N/A,#N/A,TRUE,"G and A Costs";#N/A,#N/A,TRUE,"Itemize";#N/A,#N/A,TRUE,"Cust_Count1";#N/A,#N/A,TRUE,"Cust_Count2";#N/A,#N/A,TRUE,"Rev_Breakdown";#N/A,#N/A,TRUE,"Truck Hours";#N/A,#N/A,TRUE,"Labor Hours";#N/A,#N/A,TRUE,"Container Breakdown";#N/A,#N/A,TRUE,"Cart Breakdown"}</definedName>
    <definedName name="wrn.PrintReviewPDXAM" localSheetId="5" hidden="1">{#N/A,#N/A,TRUE,"SUMM";#N/A,#N/A,TRUE,"Rev";#N/A,#N/A,TRUE,"Dir_Costs";#N/A,#N/A,TRUE,"G and A Costs";#N/A,#N/A,TRUE,"Itemize";#N/A,#N/A,TRUE,"Cust_Count1";#N/A,#N/A,TRUE,"Cust_Count2";#N/A,#N/A,TRUE,"Rev_Breakdown";#N/A,#N/A,TRUE,"Truck Hours";#N/A,#N/A,TRUE,"Labor Hours";#N/A,#N/A,TRUE,"Container Breakdown";#N/A,#N/A,TRUE,"Cart Breakdown"}</definedName>
    <definedName name="wrn.PrintReviewPDXAM" localSheetId="4" hidden="1">{#N/A,#N/A,TRUE,"SUMM";#N/A,#N/A,TRUE,"Rev";#N/A,#N/A,TRUE,"Dir_Costs";#N/A,#N/A,TRUE,"G and A Costs";#N/A,#N/A,TRUE,"Itemize";#N/A,#N/A,TRUE,"Cust_Count1";#N/A,#N/A,TRUE,"Cust_Count2";#N/A,#N/A,TRUE,"Rev_Breakdown";#N/A,#N/A,TRUE,"Truck Hours";#N/A,#N/A,TRUE,"Labor Hours";#N/A,#N/A,TRUE,"Container Breakdown";#N/A,#N/A,TRUE,"Cart Breakdown"}</definedName>
    <definedName name="wrn.PrintReviewPDXAM" hidden="1">{#N/A,#N/A,TRUE,"SUMM";#N/A,#N/A,TRUE,"Rev";#N/A,#N/A,TRUE,"Dir_Costs";#N/A,#N/A,TRUE,"G and A Costs";#N/A,#N/A,TRUE,"Itemize";#N/A,#N/A,TRUE,"Cust_Count1";#N/A,#N/A,TRUE,"Cust_Count2";#N/A,#N/A,TRUE,"Rev_Breakdown";#N/A,#N/A,TRUE,"Truck Hours";#N/A,#N/A,TRUE,"Labor Hours";#N/A,#N/A,TRUE,"Container Breakdown";#N/A,#N/A,TRUE,"Cart Breakdown"}</definedName>
    <definedName name="wrn.PrnPg1_Pg11." localSheetId="5" hidden="1">{"Page1",#N/A,TRUE,"SUMM";"Page2",#N/A,TRUE,"Rev";"Page3",#N/A,TRUE,"Dir_Costs";"Page4",#N/A,TRUE,"G and A Costs";"Page5",#N/A,TRUE,"Itemize";"Page6",#N/A,TRUE,"Cust_Count1";"Page7",#N/A,TRUE,"Cust_Count2";"Page8",#N/A,TRUE,"Rev_Breakdown";"Page9",#N/A,TRUE,"Truck Hours";"Page10",#N/A,TRUE,"Labor Hours";"Page11",#N/A,TRUE,"Container Breakdown"}</definedName>
    <definedName name="wrn.PrnPg1_Pg11." localSheetId="4" hidden="1">{"Page1",#N/A,TRUE,"SUMM";"Page2",#N/A,TRUE,"Rev";"Page3",#N/A,TRUE,"Dir_Costs";"Page4",#N/A,TRUE,"G and A Costs";"Page5",#N/A,TRUE,"Itemize";"Page6",#N/A,TRUE,"Cust_Count1";"Page7",#N/A,TRUE,"Cust_Count2";"Page8",#N/A,TRUE,"Rev_Breakdown";"Page9",#N/A,TRUE,"Truck Hours";"Page10",#N/A,TRUE,"Labor Hours";"Page11",#N/A,TRUE,"Container Breakdown"}</definedName>
    <definedName name="wrn.PrnPg1_Pg11." hidden="1">{"Page1",#N/A,TRUE,"SUMM";"Page2",#N/A,TRUE,"Rev";"Page3",#N/A,TRUE,"Dir_Costs";"Page4",#N/A,TRUE,"G and A Costs";"Page5",#N/A,TRUE,"Itemize";"Page6",#N/A,TRUE,"Cust_Count1";"Page7",#N/A,TRUE,"Cust_Count2";"Page8",#N/A,TRUE,"Rev_Breakdown";"Page9",#N/A,TRUE,"Truck Hours";"Page10",#N/A,TRUE,"Labor Hours";"Page11",#N/A,TRUE,"Container Breakdown"}</definedName>
    <definedName name="wrn.test." localSheetId="5" hidden="1">{"Page1",#N/A,TRUE,"SUMM";"Page2",#N/A,TRUE,"Rev";"Page3",#N/A,TRUE,"Dir_Costs"}</definedName>
    <definedName name="wrn.test." localSheetId="4" hidden="1">{"Page1",#N/A,TRUE,"SUMM";"Page2",#N/A,TRUE,"Rev";"Page3",#N/A,TRUE,"Dir_Costs"}</definedName>
    <definedName name="wrn.test." hidden="1">{"Page1",#N/A,TRUE,"SUMM";"Page2",#N/A,TRUE,"Rev";"Page3",#N/A,TRUE,"Dir_Costs"}</definedName>
    <definedName name="WTable" localSheetId="5">#REF!</definedName>
    <definedName name="WTable" localSheetId="4">#REF!</definedName>
    <definedName name="WTable" localSheetId="7">#REF!</definedName>
    <definedName name="WTable" localSheetId="6">#REF!</definedName>
    <definedName name="WTable">#REF!</definedName>
    <definedName name="WTableOld" localSheetId="4">#REF!</definedName>
    <definedName name="WTableOld" localSheetId="7">#REF!</definedName>
    <definedName name="WTableOld" localSheetId="6">#REF!</definedName>
    <definedName name="WTableOld">#REF!</definedName>
    <definedName name="ww" localSheetId="4">#REF!</definedName>
    <definedName name="ww" localSheetId="7">#REF!</definedName>
    <definedName name="ww" localSheetId="6">#REF!</definedName>
    <definedName name="ww">#REF!</definedName>
    <definedName name="x" localSheetId="5">rank</definedName>
    <definedName name="x">rank</definedName>
    <definedName name="xperiod">[3]Orientation!$G$15</definedName>
    <definedName name="xtabin" localSheetId="5">[8]Hidden!#REF!</definedName>
    <definedName name="xtabin" localSheetId="4">[8]Hidden!#REF!</definedName>
    <definedName name="xtabin" localSheetId="7">[8]Hidden!#REF!</definedName>
    <definedName name="xtabin" localSheetId="6">[8]Hidden!#REF!</definedName>
    <definedName name="xtabin">[8]Hidden!#REF!</definedName>
    <definedName name="xx" localSheetId="5">#REF!</definedName>
    <definedName name="xx" localSheetId="4">#REF!</definedName>
    <definedName name="xx" localSheetId="7">#REF!</definedName>
    <definedName name="xx" localSheetId="6">#REF!</definedName>
    <definedName name="xx">#REF!</definedName>
    <definedName name="xxx" localSheetId="4">#REF!</definedName>
    <definedName name="xxx" localSheetId="7">#REF!</definedName>
    <definedName name="xxx" localSheetId="6">#REF!</definedName>
    <definedName name="xxx">#REF!</definedName>
    <definedName name="xxxx" localSheetId="4">#REF!</definedName>
    <definedName name="xxxx" localSheetId="7">#REF!</definedName>
    <definedName name="xxxx" localSheetId="6">#REF!</definedName>
    <definedName name="xxxx">#REF!</definedName>
    <definedName name="y_inter1">'[39]LG Nonpublic 2018 V5.0'!$W$55</definedName>
    <definedName name="y_inter2">'[39]LG Nonpublic 2018 V5.0'!$W$56</definedName>
    <definedName name="y_inter3">'[39]LG Nonpublic 2018 V5.0'!$Y$55</definedName>
    <definedName name="y_inter4">'[39]LG Nonpublic 2018 V5.0'!$Y$56</definedName>
    <definedName name="Year">'[47]Aug Av. Fuel Price'!$E$15</definedName>
    <definedName name="Year_of_Review">'[16]Title Inputs'!$C$3</definedName>
    <definedName name="YEAR4" localSheetId="5">#REF!</definedName>
    <definedName name="YEAR4" localSheetId="4">#REF!</definedName>
    <definedName name="YEAR4">#REF!</definedName>
    <definedName name="YearMonth" localSheetId="5">'[25]Vashon BS'!#REF!</definedName>
    <definedName name="YearMonth" localSheetId="4">'[25]Vashon BS'!#REF!</definedName>
    <definedName name="YearMonth" localSheetId="7">'[25]Vashon BS'!#REF!</definedName>
    <definedName name="YearMonth" localSheetId="6">'[25]Vashon BS'!#REF!</definedName>
    <definedName name="YearMonth">'[25]Vashon BS'!#REF!</definedName>
    <definedName name="YearMonthDate">[12]Settings!$I$10</definedName>
    <definedName name="YearMonthDate2">[12]Settings!$I$11</definedName>
    <definedName name="YearMonthDate3">[12]Settings!$I$12</definedName>
    <definedName name="YearMonthDate4">[12]Settings!$I$13</definedName>
    <definedName name="YearMonthDate5">[12]Settings!$I$14</definedName>
    <definedName name="yrCur">'[48]Report Template'!$B$2002</definedName>
    <definedName name="yrNext">'[48]Report Template'!$B$2003</definedName>
    <definedName name="YWMedWasteDisp">#N/A</definedName>
    <definedName name="yy" localSheetId="5">#REF!</definedName>
    <definedName name="yy" localSheetId="4">#REF!</definedName>
    <definedName name="yy" localSheetId="7">#REF!</definedName>
    <definedName name="yy" localSheetId="6">#REF!</definedName>
    <definedName name="yy">#REF!</definedName>
    <definedName name="Zero_Format" localSheetId="5">#REF!</definedName>
    <definedName name="Zero_Format" localSheetId="4">#REF!</definedName>
    <definedName name="Zero_Format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4" i="31" l="1"/>
  <c r="N8" i="31"/>
  <c r="N11" i="31" s="1"/>
  <c r="N9" i="31"/>
  <c r="D10" i="31"/>
  <c r="F10" i="31"/>
  <c r="G10" i="31"/>
  <c r="I10" i="31" s="1"/>
  <c r="H10" i="31"/>
  <c r="N10" i="31"/>
  <c r="D11" i="31"/>
  <c r="G11" i="31" s="1"/>
  <c r="I11" i="31" s="1"/>
  <c r="F11" i="31"/>
  <c r="F27" i="31" s="1"/>
  <c r="H11" i="31"/>
  <c r="D12" i="31"/>
  <c r="G12" i="31" s="1"/>
  <c r="I12" i="31" s="1"/>
  <c r="F12" i="31"/>
  <c r="H12" i="31"/>
  <c r="D13" i="31"/>
  <c r="F13" i="31"/>
  <c r="G13" i="31"/>
  <c r="I13" i="31" s="1"/>
  <c r="H13" i="31"/>
  <c r="D14" i="31"/>
  <c r="G14" i="31"/>
  <c r="I14" i="31" s="1"/>
  <c r="H14" i="31"/>
  <c r="D15" i="31"/>
  <c r="G15" i="31" s="1"/>
  <c r="I15" i="31" s="1"/>
  <c r="F15" i="31"/>
  <c r="H15" i="31"/>
  <c r="D16" i="31"/>
  <c r="G16" i="31" s="1"/>
  <c r="I16" i="31" s="1"/>
  <c r="F16" i="31"/>
  <c r="H16" i="31"/>
  <c r="D17" i="31"/>
  <c r="G17" i="31" s="1"/>
  <c r="I17" i="31" s="1"/>
  <c r="F17" i="31"/>
  <c r="H17" i="31"/>
  <c r="D18" i="31"/>
  <c r="G18" i="31"/>
  <c r="I18" i="31" s="1"/>
  <c r="H18" i="31"/>
  <c r="H27" i="31" s="1"/>
  <c r="D19" i="31"/>
  <c r="G19" i="31" s="1"/>
  <c r="I19" i="31" s="1"/>
  <c r="F19" i="31"/>
  <c r="H19" i="31"/>
  <c r="D20" i="31"/>
  <c r="F20" i="31"/>
  <c r="G20" i="31"/>
  <c r="I20" i="31" s="1"/>
  <c r="H20" i="31"/>
  <c r="D21" i="31"/>
  <c r="G21" i="31" s="1"/>
  <c r="I21" i="31" s="1"/>
  <c r="F21" i="31"/>
  <c r="H21" i="31"/>
  <c r="D22" i="31"/>
  <c r="F22" i="31"/>
  <c r="G22" i="31"/>
  <c r="I22" i="31" s="1"/>
  <c r="H22" i="31"/>
  <c r="D23" i="31"/>
  <c r="G23" i="31" s="1"/>
  <c r="I23" i="31" s="1"/>
  <c r="F23" i="31"/>
  <c r="H23" i="31"/>
  <c r="D24" i="31"/>
  <c r="G24" i="31" s="1"/>
  <c r="I24" i="31" s="1"/>
  <c r="D25" i="31"/>
  <c r="F25" i="31"/>
  <c r="G25" i="31"/>
  <c r="I25" i="31" s="1"/>
  <c r="H25" i="31"/>
  <c r="E27" i="31"/>
  <c r="D32" i="31"/>
  <c r="G32" i="31" s="1"/>
  <c r="F32" i="31"/>
  <c r="H32" i="31"/>
  <c r="D33" i="31"/>
  <c r="F33" i="31"/>
  <c r="G33" i="31"/>
  <c r="I33" i="31" s="1"/>
  <c r="H33" i="31"/>
  <c r="D34" i="31"/>
  <c r="G34" i="31" s="1"/>
  <c r="I34" i="31" s="1"/>
  <c r="F34" i="31"/>
  <c r="F82" i="31" s="1"/>
  <c r="H34" i="31"/>
  <c r="D35" i="31"/>
  <c r="F35" i="31"/>
  <c r="G35" i="31"/>
  <c r="I35" i="31" s="1"/>
  <c r="H35" i="31"/>
  <c r="H82" i="31" s="1"/>
  <c r="D36" i="31"/>
  <c r="G36" i="31" s="1"/>
  <c r="I36" i="31" s="1"/>
  <c r="D37" i="31"/>
  <c r="G37" i="31"/>
  <c r="I37" i="31" s="1"/>
  <c r="H37" i="31"/>
  <c r="D38" i="31"/>
  <c r="G38" i="31" s="1"/>
  <c r="I38" i="31" s="1"/>
  <c r="H38" i="31"/>
  <c r="D39" i="31"/>
  <c r="F39" i="31"/>
  <c r="G39" i="31"/>
  <c r="I39" i="31" s="1"/>
  <c r="H39" i="31"/>
  <c r="D40" i="31"/>
  <c r="G40" i="31" s="1"/>
  <c r="I40" i="31" s="1"/>
  <c r="F40" i="31"/>
  <c r="H40" i="31"/>
  <c r="D41" i="31"/>
  <c r="G41" i="31" s="1"/>
  <c r="I41" i="31" s="1"/>
  <c r="H41" i="31"/>
  <c r="D42" i="31"/>
  <c r="F42" i="31"/>
  <c r="G42" i="31" s="1"/>
  <c r="I42" i="31" s="1"/>
  <c r="H42" i="31"/>
  <c r="D43" i="31"/>
  <c r="G43" i="31" s="1"/>
  <c r="I43" i="31" s="1"/>
  <c r="F43" i="31"/>
  <c r="H43" i="31"/>
  <c r="D44" i="31"/>
  <c r="F44" i="31"/>
  <c r="G44" i="31"/>
  <c r="I44" i="31" s="1"/>
  <c r="H44" i="31"/>
  <c r="D45" i="31"/>
  <c r="G45" i="31" s="1"/>
  <c r="I45" i="31" s="1"/>
  <c r="H45" i="31"/>
  <c r="D46" i="31"/>
  <c r="F46" i="31"/>
  <c r="G46" i="31"/>
  <c r="I46" i="31" s="1"/>
  <c r="H46" i="31"/>
  <c r="D47" i="31"/>
  <c r="G47" i="31" s="1"/>
  <c r="I47" i="31" s="1"/>
  <c r="F47" i="31"/>
  <c r="H47" i="31"/>
  <c r="D48" i="31"/>
  <c r="F48" i="31"/>
  <c r="G48" i="31"/>
  <c r="I48" i="31" s="1"/>
  <c r="H48" i="31"/>
  <c r="D49" i="31"/>
  <c r="G49" i="31" s="1"/>
  <c r="I49" i="31" s="1"/>
  <c r="F49" i="31"/>
  <c r="H49" i="31"/>
  <c r="D50" i="31"/>
  <c r="G50" i="31" s="1"/>
  <c r="I50" i="31" s="1"/>
  <c r="H50" i="31"/>
  <c r="D51" i="31"/>
  <c r="F51" i="31"/>
  <c r="G51" i="31"/>
  <c r="I51" i="31" s="1"/>
  <c r="H51" i="31"/>
  <c r="D52" i="31"/>
  <c r="G52" i="31" s="1"/>
  <c r="I52" i="31" s="1"/>
  <c r="F52" i="31"/>
  <c r="H52" i="31"/>
  <c r="D53" i="31"/>
  <c r="F53" i="31"/>
  <c r="G53" i="31" s="1"/>
  <c r="I53" i="31" s="1"/>
  <c r="H53" i="31"/>
  <c r="D54" i="31"/>
  <c r="G54" i="31" s="1"/>
  <c r="I54" i="31" s="1"/>
  <c r="F54" i="31"/>
  <c r="H54" i="31"/>
  <c r="D55" i="31"/>
  <c r="F55" i="31"/>
  <c r="G55" i="31"/>
  <c r="I55" i="31" s="1"/>
  <c r="H55" i="31"/>
  <c r="D56" i="31"/>
  <c r="G56" i="31" s="1"/>
  <c r="I56" i="31" s="1"/>
  <c r="H56" i="31"/>
  <c r="D57" i="31"/>
  <c r="F57" i="31"/>
  <c r="G57" i="31"/>
  <c r="I57" i="31" s="1"/>
  <c r="H57" i="31"/>
  <c r="D58" i="31"/>
  <c r="G58" i="31" s="1"/>
  <c r="I58" i="31" s="1"/>
  <c r="F58" i="31"/>
  <c r="H58" i="31"/>
  <c r="D59" i="31"/>
  <c r="F59" i="31"/>
  <c r="G59" i="31"/>
  <c r="I59" i="31" s="1"/>
  <c r="H59" i="31"/>
  <c r="D60" i="31"/>
  <c r="G60" i="31" s="1"/>
  <c r="I60" i="31" s="1"/>
  <c r="F60" i="31"/>
  <c r="H60" i="31"/>
  <c r="D61" i="31"/>
  <c r="G61" i="31" s="1"/>
  <c r="I61" i="31" s="1"/>
  <c r="H61" i="31"/>
  <c r="D62" i="31"/>
  <c r="F62" i="31"/>
  <c r="G62" i="31"/>
  <c r="I62" i="31" s="1"/>
  <c r="H62" i="31"/>
  <c r="D63" i="31"/>
  <c r="G63" i="31" s="1"/>
  <c r="I63" i="31" s="1"/>
  <c r="F63" i="31"/>
  <c r="H63" i="31"/>
  <c r="D64" i="31"/>
  <c r="F64" i="31"/>
  <c r="G64" i="31" s="1"/>
  <c r="I64" i="31" s="1"/>
  <c r="H64" i="31"/>
  <c r="D65" i="31"/>
  <c r="G65" i="31" s="1"/>
  <c r="I65" i="31" s="1"/>
  <c r="F65" i="31"/>
  <c r="H65" i="31"/>
  <c r="D66" i="31"/>
  <c r="G66" i="31"/>
  <c r="I66" i="31" s="1"/>
  <c r="H66" i="31"/>
  <c r="D67" i="31"/>
  <c r="G67" i="31" s="1"/>
  <c r="I67" i="31" s="1"/>
  <c r="H67" i="31"/>
  <c r="D68" i="31"/>
  <c r="G68" i="31" s="1"/>
  <c r="I68" i="31" s="1"/>
  <c r="F68" i="31"/>
  <c r="H68" i="31"/>
  <c r="D69" i="31"/>
  <c r="F69" i="31"/>
  <c r="G69" i="31"/>
  <c r="I69" i="31" s="1"/>
  <c r="H69" i="31"/>
  <c r="D70" i="31"/>
  <c r="G70" i="31" s="1"/>
  <c r="I70" i="31" s="1"/>
  <c r="F70" i="31"/>
  <c r="H70" i="31"/>
  <c r="D71" i="31"/>
  <c r="G71" i="31"/>
  <c r="I71" i="31" s="1"/>
  <c r="H71" i="31"/>
  <c r="D72" i="31"/>
  <c r="G72" i="31"/>
  <c r="I72" i="31" s="1"/>
  <c r="H72" i="31"/>
  <c r="D73" i="31"/>
  <c r="G73" i="31" s="1"/>
  <c r="I73" i="31" s="1"/>
  <c r="F73" i="31"/>
  <c r="H73" i="31"/>
  <c r="D74" i="31"/>
  <c r="F74" i="31"/>
  <c r="G74" i="31" s="1"/>
  <c r="I74" i="31" s="1"/>
  <c r="H74" i="31"/>
  <c r="D75" i="31"/>
  <c r="G75" i="31" s="1"/>
  <c r="I75" i="31" s="1"/>
  <c r="F75" i="31"/>
  <c r="H75" i="31"/>
  <c r="D76" i="31"/>
  <c r="F76" i="31"/>
  <c r="G76" i="31"/>
  <c r="I76" i="31" s="1"/>
  <c r="H76" i="31"/>
  <c r="D77" i="31"/>
  <c r="G77" i="31" s="1"/>
  <c r="I77" i="31" s="1"/>
  <c r="F77" i="31"/>
  <c r="H77" i="31"/>
  <c r="F78" i="31"/>
  <c r="G78" i="31"/>
  <c r="I78" i="31" s="1"/>
  <c r="H78" i="31"/>
  <c r="D79" i="31"/>
  <c r="G79" i="31"/>
  <c r="I79" i="31" s="1"/>
  <c r="H79" i="31"/>
  <c r="D80" i="31"/>
  <c r="G80" i="31" s="1"/>
  <c r="I80" i="31" s="1"/>
  <c r="H80" i="31"/>
  <c r="D93" i="31"/>
  <c r="G93" i="31" s="1"/>
  <c r="F93" i="31"/>
  <c r="H93" i="31"/>
  <c r="D94" i="31"/>
  <c r="F94" i="31"/>
  <c r="G94" i="31"/>
  <c r="I94" i="31" s="1"/>
  <c r="H94" i="31"/>
  <c r="D95" i="31"/>
  <c r="G95" i="31" s="1"/>
  <c r="I95" i="31" s="1"/>
  <c r="F95" i="31"/>
  <c r="H95" i="31"/>
  <c r="D96" i="31"/>
  <c r="F96" i="31"/>
  <c r="G96" i="31"/>
  <c r="I96" i="31" s="1"/>
  <c r="H96" i="31"/>
  <c r="D97" i="31"/>
  <c r="G97" i="31" s="1"/>
  <c r="I97" i="31" s="1"/>
  <c r="F97" i="31"/>
  <c r="H97" i="31"/>
  <c r="D98" i="31"/>
  <c r="F98" i="31"/>
  <c r="G98" i="31"/>
  <c r="I98" i="31" s="1"/>
  <c r="H98" i="31"/>
  <c r="D99" i="31"/>
  <c r="G99" i="31" s="1"/>
  <c r="I99" i="31" s="1"/>
  <c r="F99" i="31"/>
  <c r="H99" i="31"/>
  <c r="D100" i="31"/>
  <c r="G100" i="31" s="1"/>
  <c r="I100" i="31" s="1"/>
  <c r="H100" i="31"/>
  <c r="D101" i="31"/>
  <c r="G101" i="31"/>
  <c r="I101" i="31" s="1"/>
  <c r="H101" i="31"/>
  <c r="G102" i="31"/>
  <c r="I102" i="31" s="1"/>
  <c r="H102" i="31"/>
  <c r="D103" i="31"/>
  <c r="G103" i="31" s="1"/>
  <c r="I103" i="31" s="1"/>
  <c r="F103" i="31"/>
  <c r="H103" i="31"/>
  <c r="D104" i="31"/>
  <c r="G104" i="31"/>
  <c r="I104" i="31" s="1"/>
  <c r="H104" i="31"/>
  <c r="H124" i="31" s="1"/>
  <c r="D105" i="31"/>
  <c r="G105" i="31" s="1"/>
  <c r="I105" i="31" s="1"/>
  <c r="F105" i="31"/>
  <c r="H105" i="31"/>
  <c r="D106" i="31"/>
  <c r="F106" i="31"/>
  <c r="G106" i="31"/>
  <c r="I106" i="31" s="1"/>
  <c r="H106" i="31"/>
  <c r="D107" i="31"/>
  <c r="G107" i="31"/>
  <c r="I107" i="31" s="1"/>
  <c r="H107" i="31"/>
  <c r="D108" i="31"/>
  <c r="G108" i="31" s="1"/>
  <c r="I108" i="31" s="1"/>
  <c r="F108" i="31"/>
  <c r="H108" i="31"/>
  <c r="D109" i="31"/>
  <c r="F109" i="31"/>
  <c r="G109" i="31"/>
  <c r="I109" i="31" s="1"/>
  <c r="H109" i="31"/>
  <c r="D110" i="31"/>
  <c r="G110" i="31" s="1"/>
  <c r="I110" i="31" s="1"/>
  <c r="F110" i="31"/>
  <c r="H110" i="31"/>
  <c r="D111" i="31"/>
  <c r="F111" i="31"/>
  <c r="F124" i="31" s="1"/>
  <c r="G111" i="31"/>
  <c r="I111" i="31" s="1"/>
  <c r="H111" i="31"/>
  <c r="D112" i="31"/>
  <c r="G112" i="31" s="1"/>
  <c r="I112" i="31" s="1"/>
  <c r="H112" i="31"/>
  <c r="D113" i="31"/>
  <c r="F113" i="31"/>
  <c r="G113" i="31" s="1"/>
  <c r="I113" i="31" s="1"/>
  <c r="H113" i="31"/>
  <c r="D114" i="31"/>
  <c r="G114" i="31" s="1"/>
  <c r="I114" i="31" s="1"/>
  <c r="F114" i="31"/>
  <c r="H114" i="31"/>
  <c r="D115" i="31"/>
  <c r="F115" i="31"/>
  <c r="G115" i="31"/>
  <c r="I115" i="31" s="1"/>
  <c r="H115" i="31"/>
  <c r="D116" i="31"/>
  <c r="G116" i="31" s="1"/>
  <c r="I116" i="31" s="1"/>
  <c r="F116" i="31"/>
  <c r="H116" i="31"/>
  <c r="D117" i="31"/>
  <c r="F117" i="31"/>
  <c r="G117" i="31"/>
  <c r="I117" i="31" s="1"/>
  <c r="H117" i="31"/>
  <c r="D118" i="31"/>
  <c r="G118" i="31"/>
  <c r="I118" i="31" s="1"/>
  <c r="H118" i="31"/>
  <c r="D119" i="31"/>
  <c r="G119" i="31" s="1"/>
  <c r="I119" i="31" s="1"/>
  <c r="H119" i="31"/>
  <c r="D120" i="31"/>
  <c r="G120" i="31" s="1"/>
  <c r="I120" i="31" s="1"/>
  <c r="H120" i="31"/>
  <c r="D121" i="31"/>
  <c r="G121" i="31"/>
  <c r="I121" i="31" s="1"/>
  <c r="H121" i="31"/>
  <c r="D122" i="31"/>
  <c r="G122" i="31"/>
  <c r="I122" i="31" s="1"/>
  <c r="H122" i="31"/>
  <c r="E124" i="31"/>
  <c r="C135" i="31"/>
  <c r="C136" i="31" s="1"/>
  <c r="D142" i="31"/>
  <c r="D143" i="31"/>
  <c r="A3" i="30"/>
  <c r="AO8" i="30"/>
  <c r="AO9" i="30"/>
  <c r="F10" i="30"/>
  <c r="G10" i="30"/>
  <c r="I10" i="30"/>
  <c r="J10" i="30"/>
  <c r="J23" i="30" s="1"/>
  <c r="J24" i="30" s="1"/>
  <c r="L10" i="30"/>
  <c r="M10" i="30"/>
  <c r="O10" i="30"/>
  <c r="P10" i="30"/>
  <c r="P23" i="30" s="1"/>
  <c r="P24" i="30" s="1"/>
  <c r="R10" i="30"/>
  <c r="AD10" i="30" s="1"/>
  <c r="S10" i="30"/>
  <c r="U10" i="30"/>
  <c r="V10" i="30"/>
  <c r="X10" i="30"/>
  <c r="Y10" i="30"/>
  <c r="AA10" i="30"/>
  <c r="AB10" i="30"/>
  <c r="AB23" i="30" s="1"/>
  <c r="AB24" i="30" s="1"/>
  <c r="AF10" i="30"/>
  <c r="AH10" i="30"/>
  <c r="AO10" i="30"/>
  <c r="F11" i="30"/>
  <c r="G11" i="30"/>
  <c r="AD11" i="30" s="1"/>
  <c r="AG11" i="30" s="1"/>
  <c r="AI11" i="30" s="1"/>
  <c r="I11" i="30"/>
  <c r="J11" i="30"/>
  <c r="L11" i="30"/>
  <c r="M11" i="30"/>
  <c r="O11" i="30"/>
  <c r="P11" i="30"/>
  <c r="R11" i="30"/>
  <c r="S11" i="30"/>
  <c r="U11" i="30"/>
  <c r="V11" i="30"/>
  <c r="X11" i="30"/>
  <c r="Y11" i="30"/>
  <c r="AA11" i="30"/>
  <c r="AB11" i="30"/>
  <c r="AF11" i="30"/>
  <c r="AH11" i="30"/>
  <c r="AO11" i="30"/>
  <c r="F12" i="30"/>
  <c r="G12" i="30"/>
  <c r="AD12" i="30" s="1"/>
  <c r="AG12" i="30" s="1"/>
  <c r="AI12" i="30" s="1"/>
  <c r="I12" i="30"/>
  <c r="J12" i="30"/>
  <c r="L12" i="30"/>
  <c r="M12" i="30"/>
  <c r="M23" i="30" s="1"/>
  <c r="M24" i="30" s="1"/>
  <c r="O12" i="30"/>
  <c r="P12" i="30"/>
  <c r="R12" i="30"/>
  <c r="S12" i="30"/>
  <c r="U12" i="30"/>
  <c r="V12" i="30"/>
  <c r="X12" i="30"/>
  <c r="Y12" i="30"/>
  <c r="Y23" i="30" s="1"/>
  <c r="Y24" i="30" s="1"/>
  <c r="AA12" i="30"/>
  <c r="AB12" i="30"/>
  <c r="AF12" i="30"/>
  <c r="AH12" i="30"/>
  <c r="F13" i="30"/>
  <c r="G13" i="30"/>
  <c r="I13" i="30"/>
  <c r="J13" i="30"/>
  <c r="L13" i="30"/>
  <c r="M13" i="30"/>
  <c r="O13" i="30"/>
  <c r="P13" i="30"/>
  <c r="R13" i="30"/>
  <c r="AD13" i="30" s="1"/>
  <c r="AG13" i="30" s="1"/>
  <c r="AI13" i="30" s="1"/>
  <c r="S13" i="30"/>
  <c r="U13" i="30"/>
  <c r="V13" i="30"/>
  <c r="X13" i="30"/>
  <c r="Y13" i="30"/>
  <c r="AA13" i="30"/>
  <c r="AB13" i="30"/>
  <c r="AF13" i="30"/>
  <c r="AH13" i="30"/>
  <c r="F14" i="30"/>
  <c r="G14" i="30"/>
  <c r="G23" i="30" s="1"/>
  <c r="G24" i="30" s="1"/>
  <c r="I14" i="30"/>
  <c r="J14" i="30"/>
  <c r="L14" i="30"/>
  <c r="M14" i="30"/>
  <c r="O14" i="30"/>
  <c r="P14" i="30"/>
  <c r="R14" i="30"/>
  <c r="S14" i="30"/>
  <c r="U14" i="30"/>
  <c r="V14" i="30"/>
  <c r="X14" i="30"/>
  <c r="Y14" i="30"/>
  <c r="AA14" i="30"/>
  <c r="AB14" i="30"/>
  <c r="AF14" i="30"/>
  <c r="AF23" i="30" s="1"/>
  <c r="AH14" i="30"/>
  <c r="F15" i="30"/>
  <c r="G15" i="30"/>
  <c r="AD15" i="30" s="1"/>
  <c r="AG15" i="30" s="1"/>
  <c r="AI15" i="30" s="1"/>
  <c r="I15" i="30"/>
  <c r="J15" i="30"/>
  <c r="L15" i="30"/>
  <c r="M15" i="30"/>
  <c r="O15" i="30"/>
  <c r="P15" i="30"/>
  <c r="R15" i="30"/>
  <c r="S15" i="30"/>
  <c r="U15" i="30"/>
  <c r="V15" i="30"/>
  <c r="X15" i="30"/>
  <c r="Y15" i="30"/>
  <c r="AA15" i="30"/>
  <c r="AB15" i="30"/>
  <c r="AF15" i="30"/>
  <c r="AH15" i="30"/>
  <c r="F16" i="30"/>
  <c r="G16" i="30"/>
  <c r="AD16" i="30" s="1"/>
  <c r="AG16" i="30" s="1"/>
  <c r="AI16" i="30" s="1"/>
  <c r="I16" i="30"/>
  <c r="J16" i="30"/>
  <c r="L16" i="30"/>
  <c r="M16" i="30"/>
  <c r="O16" i="30"/>
  <c r="P16" i="30"/>
  <c r="R16" i="30"/>
  <c r="S16" i="30"/>
  <c r="U16" i="30"/>
  <c r="V16" i="30"/>
  <c r="X16" i="30"/>
  <c r="Y16" i="30"/>
  <c r="AA16" i="30"/>
  <c r="AB16" i="30"/>
  <c r="AF16" i="30"/>
  <c r="AH16" i="30"/>
  <c r="F17" i="30"/>
  <c r="G17" i="30"/>
  <c r="I17" i="30"/>
  <c r="J17" i="30"/>
  <c r="L17" i="30"/>
  <c r="M17" i="30"/>
  <c r="O17" i="30"/>
  <c r="P17" i="30"/>
  <c r="R17" i="30"/>
  <c r="AD17" i="30" s="1"/>
  <c r="AG17" i="30" s="1"/>
  <c r="AI17" i="30" s="1"/>
  <c r="S17" i="30"/>
  <c r="U17" i="30"/>
  <c r="V17" i="30"/>
  <c r="X17" i="30"/>
  <c r="Y17" i="30"/>
  <c r="AA17" i="30"/>
  <c r="AB17" i="30"/>
  <c r="AF17" i="30"/>
  <c r="AH17" i="30"/>
  <c r="F18" i="30"/>
  <c r="G18" i="30"/>
  <c r="AD18" i="30" s="1"/>
  <c r="AG18" i="30" s="1"/>
  <c r="AI18" i="30" s="1"/>
  <c r="I18" i="30"/>
  <c r="J18" i="30"/>
  <c r="L18" i="30"/>
  <c r="M18" i="30"/>
  <c r="O18" i="30"/>
  <c r="P18" i="30"/>
  <c r="R18" i="30"/>
  <c r="S18" i="30"/>
  <c r="U18" i="30"/>
  <c r="V18" i="30"/>
  <c r="X18" i="30"/>
  <c r="Y18" i="30"/>
  <c r="AA18" i="30"/>
  <c r="AB18" i="30"/>
  <c r="AF18" i="30"/>
  <c r="AH18" i="30"/>
  <c r="F19" i="30"/>
  <c r="G19" i="30"/>
  <c r="AD19" i="30" s="1"/>
  <c r="AG19" i="30" s="1"/>
  <c r="AI19" i="30" s="1"/>
  <c r="I19" i="30"/>
  <c r="J19" i="30"/>
  <c r="L19" i="30"/>
  <c r="M19" i="30"/>
  <c r="O19" i="30"/>
  <c r="P19" i="30"/>
  <c r="R19" i="30"/>
  <c r="S19" i="30"/>
  <c r="U19" i="30"/>
  <c r="V19" i="30"/>
  <c r="X19" i="30"/>
  <c r="Y19" i="30"/>
  <c r="AA19" i="30"/>
  <c r="AB19" i="30"/>
  <c r="AF19" i="30"/>
  <c r="AH19" i="30"/>
  <c r="F20" i="30"/>
  <c r="G20" i="30"/>
  <c r="I20" i="30"/>
  <c r="J20" i="30"/>
  <c r="L20" i="30"/>
  <c r="M20" i="30"/>
  <c r="O20" i="30"/>
  <c r="AD20" i="30" s="1"/>
  <c r="AG20" i="30" s="1"/>
  <c r="AI20" i="30" s="1"/>
  <c r="P20" i="30"/>
  <c r="R20" i="30"/>
  <c r="S20" i="30"/>
  <c r="U20" i="30"/>
  <c r="V20" i="30"/>
  <c r="X20" i="30"/>
  <c r="AA20" i="30"/>
  <c r="F21" i="30"/>
  <c r="G21" i="30"/>
  <c r="AD21" i="30" s="1"/>
  <c r="AG21" i="30" s="1"/>
  <c r="AI21" i="30" s="1"/>
  <c r="I21" i="30"/>
  <c r="J21" i="30"/>
  <c r="L21" i="30"/>
  <c r="M21" i="30"/>
  <c r="O21" i="30"/>
  <c r="P21" i="30"/>
  <c r="R21" i="30"/>
  <c r="S21" i="30"/>
  <c r="U21" i="30"/>
  <c r="V21" i="30"/>
  <c r="X21" i="30"/>
  <c r="Y21" i="30"/>
  <c r="AA21" i="30"/>
  <c r="AB21" i="30"/>
  <c r="AF21" i="30"/>
  <c r="AH21" i="30"/>
  <c r="D23" i="30"/>
  <c r="S23" i="30"/>
  <c r="S24" i="30" s="1"/>
  <c r="V23" i="30"/>
  <c r="V24" i="30" s="1"/>
  <c r="AE23" i="30"/>
  <c r="AH23" i="30"/>
  <c r="F28" i="30"/>
  <c r="G28" i="30"/>
  <c r="AD28" i="30" s="1"/>
  <c r="I28" i="30"/>
  <c r="J28" i="30"/>
  <c r="L28" i="30"/>
  <c r="M28" i="30"/>
  <c r="O28" i="30"/>
  <c r="P28" i="30"/>
  <c r="R28" i="30"/>
  <c r="S28" i="30"/>
  <c r="U28" i="30"/>
  <c r="V28" i="30"/>
  <c r="X28" i="30"/>
  <c r="Y28" i="30"/>
  <c r="Y68" i="30" s="1"/>
  <c r="AA28" i="30"/>
  <c r="AB28" i="30"/>
  <c r="AF28" i="30"/>
  <c r="AH28" i="30"/>
  <c r="F29" i="30"/>
  <c r="G29" i="30"/>
  <c r="I29" i="30"/>
  <c r="J29" i="30"/>
  <c r="L29" i="30"/>
  <c r="M29" i="30"/>
  <c r="O29" i="30"/>
  <c r="P29" i="30"/>
  <c r="R29" i="30"/>
  <c r="S29" i="30"/>
  <c r="U29" i="30"/>
  <c r="V29" i="30"/>
  <c r="X29" i="30"/>
  <c r="Y29" i="30"/>
  <c r="AA29" i="30"/>
  <c r="AB29" i="30"/>
  <c r="AB68" i="30" s="1"/>
  <c r="AD29" i="30"/>
  <c r="AG29" i="30" s="1"/>
  <c r="AI29" i="30" s="1"/>
  <c r="AF29" i="30"/>
  <c r="AH29" i="30"/>
  <c r="F30" i="30"/>
  <c r="G30" i="30"/>
  <c r="G68" i="30" s="1"/>
  <c r="I30" i="30"/>
  <c r="J30" i="30"/>
  <c r="L30" i="30"/>
  <c r="M30" i="30"/>
  <c r="O30" i="30"/>
  <c r="P30" i="30"/>
  <c r="R30" i="30"/>
  <c r="S30" i="30"/>
  <c r="S68" i="30" s="1"/>
  <c r="U30" i="30"/>
  <c r="V30" i="30"/>
  <c r="X30" i="30"/>
  <c r="Y30" i="30"/>
  <c r="AA30" i="30"/>
  <c r="AB30" i="30"/>
  <c r="AF30" i="30"/>
  <c r="AF68" i="30" s="1"/>
  <c r="AH30" i="30"/>
  <c r="F31" i="30"/>
  <c r="G31" i="30"/>
  <c r="AD31" i="30" s="1"/>
  <c r="AG31" i="30" s="1"/>
  <c r="AI31" i="30" s="1"/>
  <c r="I31" i="30"/>
  <c r="J31" i="30"/>
  <c r="J68" i="30" s="1"/>
  <c r="L31" i="30"/>
  <c r="M31" i="30"/>
  <c r="O31" i="30"/>
  <c r="P31" i="30"/>
  <c r="R31" i="30"/>
  <c r="S31" i="30"/>
  <c r="U31" i="30"/>
  <c r="V31" i="30"/>
  <c r="V68" i="30" s="1"/>
  <c r="X31" i="30"/>
  <c r="Y31" i="30"/>
  <c r="AA31" i="30"/>
  <c r="AB31" i="30"/>
  <c r="AF31" i="30"/>
  <c r="AH31" i="30"/>
  <c r="F32" i="30"/>
  <c r="G32" i="30"/>
  <c r="AD32" i="30" s="1"/>
  <c r="AG32" i="30" s="1"/>
  <c r="AI32" i="30" s="1"/>
  <c r="I32" i="30"/>
  <c r="L32" i="30"/>
  <c r="O32" i="30"/>
  <c r="R32" i="30"/>
  <c r="S32" i="30"/>
  <c r="U32" i="30"/>
  <c r="X32" i="30"/>
  <c r="AA32" i="30"/>
  <c r="F33" i="30"/>
  <c r="G33" i="30"/>
  <c r="I33" i="30"/>
  <c r="J33" i="30"/>
  <c r="L33" i="30"/>
  <c r="M33" i="30"/>
  <c r="O33" i="30"/>
  <c r="P33" i="30"/>
  <c r="R33" i="30"/>
  <c r="AD33" i="30" s="1"/>
  <c r="AG33" i="30" s="1"/>
  <c r="AI33" i="30" s="1"/>
  <c r="S33" i="30"/>
  <c r="U33" i="30"/>
  <c r="V33" i="30"/>
  <c r="X33" i="30"/>
  <c r="Y33" i="30"/>
  <c r="AA33" i="30"/>
  <c r="AB33" i="30"/>
  <c r="AH33" i="30"/>
  <c r="F34" i="30"/>
  <c r="G34" i="30"/>
  <c r="I34" i="30"/>
  <c r="AD34" i="30" s="1"/>
  <c r="AG34" i="30" s="1"/>
  <c r="AI34" i="30" s="1"/>
  <c r="J34" i="30"/>
  <c r="L34" i="30"/>
  <c r="M34" i="30"/>
  <c r="O34" i="30"/>
  <c r="P34" i="30"/>
  <c r="R34" i="30"/>
  <c r="S34" i="30"/>
  <c r="U34" i="30"/>
  <c r="V34" i="30"/>
  <c r="X34" i="30"/>
  <c r="Y34" i="30"/>
  <c r="AA34" i="30"/>
  <c r="AB34" i="30"/>
  <c r="AH34" i="30"/>
  <c r="F35" i="30"/>
  <c r="G35" i="30"/>
  <c r="AD35" i="30" s="1"/>
  <c r="AG35" i="30" s="1"/>
  <c r="AI35" i="30" s="1"/>
  <c r="I35" i="30"/>
  <c r="J35" i="30"/>
  <c r="L35" i="30"/>
  <c r="M35" i="30"/>
  <c r="O35" i="30"/>
  <c r="P35" i="30"/>
  <c r="R35" i="30"/>
  <c r="S35" i="30"/>
  <c r="U35" i="30"/>
  <c r="V35" i="30"/>
  <c r="X35" i="30"/>
  <c r="Y35" i="30"/>
  <c r="AA35" i="30"/>
  <c r="AB35" i="30"/>
  <c r="AF35" i="30"/>
  <c r="AH35" i="30"/>
  <c r="F36" i="30"/>
  <c r="G36" i="30"/>
  <c r="I36" i="30"/>
  <c r="J36" i="30"/>
  <c r="L36" i="30"/>
  <c r="M36" i="30"/>
  <c r="O36" i="30"/>
  <c r="P36" i="30"/>
  <c r="R36" i="30"/>
  <c r="AD36" i="30" s="1"/>
  <c r="AG36" i="30" s="1"/>
  <c r="AI36" i="30" s="1"/>
  <c r="S36" i="30"/>
  <c r="U36" i="30"/>
  <c r="V36" i="30"/>
  <c r="X36" i="30"/>
  <c r="Y36" i="30"/>
  <c r="AA36" i="30"/>
  <c r="AB36" i="30"/>
  <c r="AF36" i="30"/>
  <c r="AH36" i="30"/>
  <c r="F37" i="30"/>
  <c r="G37" i="30"/>
  <c r="AD37" i="30" s="1"/>
  <c r="AG37" i="30" s="1"/>
  <c r="AI37" i="30" s="1"/>
  <c r="I37" i="30"/>
  <c r="J37" i="30"/>
  <c r="L37" i="30"/>
  <c r="M37" i="30"/>
  <c r="O37" i="30"/>
  <c r="P37" i="30"/>
  <c r="R37" i="30"/>
  <c r="S37" i="30"/>
  <c r="U37" i="30"/>
  <c r="V37" i="30"/>
  <c r="X37" i="30"/>
  <c r="Y37" i="30"/>
  <c r="AA37" i="30"/>
  <c r="AB37" i="30"/>
  <c r="AF37" i="30"/>
  <c r="AH37" i="30"/>
  <c r="F38" i="30"/>
  <c r="G38" i="30"/>
  <c r="AD38" i="30" s="1"/>
  <c r="AG38" i="30" s="1"/>
  <c r="AI38" i="30" s="1"/>
  <c r="I38" i="30"/>
  <c r="J38" i="30"/>
  <c r="L38" i="30"/>
  <c r="M38" i="30"/>
  <c r="O38" i="30"/>
  <c r="P38" i="30"/>
  <c r="R38" i="30"/>
  <c r="S38" i="30"/>
  <c r="U38" i="30"/>
  <c r="V38" i="30"/>
  <c r="X38" i="30"/>
  <c r="Y38" i="30"/>
  <c r="AA38" i="30"/>
  <c r="AB38" i="30"/>
  <c r="AH38" i="30"/>
  <c r="F39" i="30"/>
  <c r="G39" i="30"/>
  <c r="I39" i="30"/>
  <c r="AD39" i="30" s="1"/>
  <c r="AG39" i="30" s="1"/>
  <c r="AI39" i="30" s="1"/>
  <c r="J39" i="30"/>
  <c r="L39" i="30"/>
  <c r="M39" i="30"/>
  <c r="O39" i="30"/>
  <c r="P39" i="30"/>
  <c r="R39" i="30"/>
  <c r="S39" i="30"/>
  <c r="U39" i="30"/>
  <c r="V39" i="30"/>
  <c r="X39" i="30"/>
  <c r="Y39" i="30"/>
  <c r="AA39" i="30"/>
  <c r="AB39" i="30"/>
  <c r="AF39" i="30"/>
  <c r="AH39" i="30"/>
  <c r="F40" i="30"/>
  <c r="G40" i="30"/>
  <c r="AD40" i="30" s="1"/>
  <c r="AG40" i="30" s="1"/>
  <c r="AI40" i="30" s="1"/>
  <c r="I40" i="30"/>
  <c r="J40" i="30"/>
  <c r="L40" i="30"/>
  <c r="M40" i="30"/>
  <c r="O40" i="30"/>
  <c r="P40" i="30"/>
  <c r="R40" i="30"/>
  <c r="S40" i="30"/>
  <c r="U40" i="30"/>
  <c r="V40" i="30"/>
  <c r="X40" i="30"/>
  <c r="Y40" i="30"/>
  <c r="AA40" i="30"/>
  <c r="AB40" i="30"/>
  <c r="AF40" i="30"/>
  <c r="AH40" i="30"/>
  <c r="F41" i="30"/>
  <c r="G41" i="30"/>
  <c r="I41" i="30"/>
  <c r="AD41" i="30" s="1"/>
  <c r="AG41" i="30" s="1"/>
  <c r="AI41" i="30" s="1"/>
  <c r="J41" i="30"/>
  <c r="L41" i="30"/>
  <c r="M41" i="30"/>
  <c r="O41" i="30"/>
  <c r="P41" i="30"/>
  <c r="R41" i="30"/>
  <c r="S41" i="30"/>
  <c r="U41" i="30"/>
  <c r="V41" i="30"/>
  <c r="X41" i="30"/>
  <c r="Y41" i="30"/>
  <c r="AA41" i="30"/>
  <c r="AB41" i="30"/>
  <c r="AF41" i="30"/>
  <c r="AH41" i="30"/>
  <c r="F42" i="30"/>
  <c r="G42" i="30"/>
  <c r="I42" i="30"/>
  <c r="J42" i="30"/>
  <c r="L42" i="30"/>
  <c r="AD42" i="30" s="1"/>
  <c r="AG42" i="30" s="1"/>
  <c r="AI42" i="30" s="1"/>
  <c r="M42" i="30"/>
  <c r="M68" i="30" s="1"/>
  <c r="O42" i="30"/>
  <c r="P42" i="30"/>
  <c r="R42" i="30"/>
  <c r="S42" i="30"/>
  <c r="U42" i="30"/>
  <c r="V42" i="30"/>
  <c r="X42" i="30"/>
  <c r="Y42" i="30"/>
  <c r="AA42" i="30"/>
  <c r="AB42" i="30"/>
  <c r="AF42" i="30"/>
  <c r="AH42" i="30"/>
  <c r="F43" i="30"/>
  <c r="G43" i="30"/>
  <c r="I43" i="30"/>
  <c r="AD43" i="30" s="1"/>
  <c r="AG43" i="30" s="1"/>
  <c r="AI43" i="30" s="1"/>
  <c r="J43" i="30"/>
  <c r="L43" i="30"/>
  <c r="M43" i="30"/>
  <c r="O43" i="30"/>
  <c r="P43" i="30"/>
  <c r="R43" i="30"/>
  <c r="S43" i="30"/>
  <c r="U43" i="30"/>
  <c r="V43" i="30"/>
  <c r="X43" i="30"/>
  <c r="Y43" i="30"/>
  <c r="AA43" i="30"/>
  <c r="AB43" i="30"/>
  <c r="AH43" i="30"/>
  <c r="F44" i="30"/>
  <c r="G44" i="30"/>
  <c r="AD44" i="30" s="1"/>
  <c r="AG44" i="30" s="1"/>
  <c r="AI44" i="30" s="1"/>
  <c r="I44" i="30"/>
  <c r="J44" i="30"/>
  <c r="L44" i="30"/>
  <c r="M44" i="30"/>
  <c r="O44" i="30"/>
  <c r="P44" i="30"/>
  <c r="R44" i="30"/>
  <c r="S44" i="30"/>
  <c r="U44" i="30"/>
  <c r="V44" i="30"/>
  <c r="X44" i="30"/>
  <c r="Y44" i="30"/>
  <c r="AA44" i="30"/>
  <c r="AB44" i="30"/>
  <c r="AF44" i="30"/>
  <c r="AH44" i="30"/>
  <c r="F45" i="30"/>
  <c r="G45" i="30"/>
  <c r="AD45" i="30" s="1"/>
  <c r="AG45" i="30" s="1"/>
  <c r="AI45" i="30" s="1"/>
  <c r="I45" i="30"/>
  <c r="J45" i="30"/>
  <c r="L45" i="30"/>
  <c r="M45" i="30"/>
  <c r="O45" i="30"/>
  <c r="P45" i="30"/>
  <c r="R45" i="30"/>
  <c r="S45" i="30"/>
  <c r="U45" i="30"/>
  <c r="V45" i="30"/>
  <c r="X45" i="30"/>
  <c r="Y45" i="30"/>
  <c r="AA45" i="30"/>
  <c r="AB45" i="30"/>
  <c r="AF45" i="30"/>
  <c r="AH45" i="30"/>
  <c r="F46" i="30"/>
  <c r="G46" i="30"/>
  <c r="AD46" i="30" s="1"/>
  <c r="AG46" i="30" s="1"/>
  <c r="AI46" i="30" s="1"/>
  <c r="I46" i="30"/>
  <c r="J46" i="30"/>
  <c r="L46" i="30"/>
  <c r="M46" i="30"/>
  <c r="O46" i="30"/>
  <c r="P46" i="30"/>
  <c r="R46" i="30"/>
  <c r="S46" i="30"/>
  <c r="U46" i="30"/>
  <c r="V46" i="30"/>
  <c r="X46" i="30"/>
  <c r="Y46" i="30"/>
  <c r="AA46" i="30"/>
  <c r="AB46" i="30"/>
  <c r="AF46" i="30"/>
  <c r="AH46" i="30"/>
  <c r="F47" i="30"/>
  <c r="G47" i="30"/>
  <c r="I47" i="30"/>
  <c r="J47" i="30"/>
  <c r="L47" i="30"/>
  <c r="M47" i="30"/>
  <c r="O47" i="30"/>
  <c r="P47" i="30"/>
  <c r="R47" i="30"/>
  <c r="AD47" i="30" s="1"/>
  <c r="AG47" i="30" s="1"/>
  <c r="AI47" i="30" s="1"/>
  <c r="S47" i="30"/>
  <c r="U47" i="30"/>
  <c r="V47" i="30"/>
  <c r="X47" i="30"/>
  <c r="Y47" i="30"/>
  <c r="AA47" i="30"/>
  <c r="AB47" i="30"/>
  <c r="AF47" i="30"/>
  <c r="AH47" i="30"/>
  <c r="F48" i="30"/>
  <c r="G48" i="30"/>
  <c r="AD48" i="30" s="1"/>
  <c r="AG48" i="30" s="1"/>
  <c r="AI48" i="30" s="1"/>
  <c r="I48" i="30"/>
  <c r="J48" i="30"/>
  <c r="L48" i="30"/>
  <c r="M48" i="30"/>
  <c r="O48" i="30"/>
  <c r="P48" i="30"/>
  <c r="R48" i="30"/>
  <c r="S48" i="30"/>
  <c r="U48" i="30"/>
  <c r="V48" i="30"/>
  <c r="X48" i="30"/>
  <c r="Y48" i="30"/>
  <c r="AA48" i="30"/>
  <c r="AB48" i="30"/>
  <c r="AF48" i="30"/>
  <c r="AH48" i="30"/>
  <c r="F49" i="30"/>
  <c r="G49" i="30"/>
  <c r="AD49" i="30" s="1"/>
  <c r="AG49" i="30" s="1"/>
  <c r="AI49" i="30" s="1"/>
  <c r="I49" i="30"/>
  <c r="J49" i="30"/>
  <c r="L49" i="30"/>
  <c r="M49" i="30"/>
  <c r="O49" i="30"/>
  <c r="P49" i="30"/>
  <c r="R49" i="30"/>
  <c r="S49" i="30"/>
  <c r="U49" i="30"/>
  <c r="V49" i="30"/>
  <c r="X49" i="30"/>
  <c r="Y49" i="30"/>
  <c r="AA49" i="30"/>
  <c r="AB49" i="30"/>
  <c r="AH49" i="30"/>
  <c r="F50" i="30"/>
  <c r="G50" i="30"/>
  <c r="I50" i="30"/>
  <c r="AD50" i="30" s="1"/>
  <c r="AG50" i="30" s="1"/>
  <c r="AI50" i="30" s="1"/>
  <c r="J50" i="30"/>
  <c r="L50" i="30"/>
  <c r="M50" i="30"/>
  <c r="O50" i="30"/>
  <c r="P50" i="30"/>
  <c r="R50" i="30"/>
  <c r="S50" i="30"/>
  <c r="U50" i="30"/>
  <c r="V50" i="30"/>
  <c r="X50" i="30"/>
  <c r="Y50" i="30"/>
  <c r="AA50" i="30"/>
  <c r="AB50" i="30"/>
  <c r="AF50" i="30"/>
  <c r="AH50" i="30"/>
  <c r="F51" i="30"/>
  <c r="G51" i="30"/>
  <c r="AD51" i="30" s="1"/>
  <c r="AG51" i="30" s="1"/>
  <c r="AI51" i="30" s="1"/>
  <c r="I51" i="30"/>
  <c r="J51" i="30"/>
  <c r="L51" i="30"/>
  <c r="M51" i="30"/>
  <c r="O51" i="30"/>
  <c r="P51" i="30"/>
  <c r="R51" i="30"/>
  <c r="S51" i="30"/>
  <c r="U51" i="30"/>
  <c r="V51" i="30"/>
  <c r="X51" i="30"/>
  <c r="Y51" i="30"/>
  <c r="AA51" i="30"/>
  <c r="AB51" i="30"/>
  <c r="AF51" i="30"/>
  <c r="AH51" i="30"/>
  <c r="F52" i="30"/>
  <c r="G52" i="30"/>
  <c r="I52" i="30"/>
  <c r="AD52" i="30" s="1"/>
  <c r="AG52" i="30" s="1"/>
  <c r="AI52" i="30" s="1"/>
  <c r="J52" i="30"/>
  <c r="L52" i="30"/>
  <c r="M52" i="30"/>
  <c r="O52" i="30"/>
  <c r="P52" i="30"/>
  <c r="R52" i="30"/>
  <c r="S52" i="30"/>
  <c r="U52" i="30"/>
  <c r="V52" i="30"/>
  <c r="X52" i="30"/>
  <c r="Y52" i="30"/>
  <c r="AA52" i="30"/>
  <c r="AB52" i="30"/>
  <c r="AF52" i="30"/>
  <c r="AH52" i="30"/>
  <c r="F53" i="30"/>
  <c r="G53" i="30"/>
  <c r="I53" i="30"/>
  <c r="J53" i="30"/>
  <c r="L53" i="30"/>
  <c r="AD53" i="30" s="1"/>
  <c r="AG53" i="30" s="1"/>
  <c r="AI53" i="30" s="1"/>
  <c r="M53" i="30"/>
  <c r="O53" i="30"/>
  <c r="P53" i="30"/>
  <c r="R53" i="30"/>
  <c r="S53" i="30"/>
  <c r="U53" i="30"/>
  <c r="V53" i="30"/>
  <c r="X53" i="30"/>
  <c r="Y53" i="30"/>
  <c r="AA53" i="30"/>
  <c r="AB53" i="30"/>
  <c r="AF53" i="30"/>
  <c r="AH53" i="30"/>
  <c r="F54" i="30"/>
  <c r="G54" i="30"/>
  <c r="I54" i="30"/>
  <c r="AD54" i="30" s="1"/>
  <c r="AG54" i="30" s="1"/>
  <c r="AI54" i="30" s="1"/>
  <c r="J54" i="30"/>
  <c r="L54" i="30"/>
  <c r="M54" i="30"/>
  <c r="O54" i="30"/>
  <c r="P54" i="30"/>
  <c r="R54" i="30"/>
  <c r="S54" i="30"/>
  <c r="U54" i="30"/>
  <c r="V54" i="30"/>
  <c r="X54" i="30"/>
  <c r="Y54" i="30"/>
  <c r="AA54" i="30"/>
  <c r="AB54" i="30"/>
  <c r="AF54" i="30"/>
  <c r="AH54" i="30"/>
  <c r="F55" i="30"/>
  <c r="G55" i="30"/>
  <c r="AD55" i="30" s="1"/>
  <c r="AG55" i="30" s="1"/>
  <c r="AI55" i="30" s="1"/>
  <c r="I55" i="30"/>
  <c r="J55" i="30"/>
  <c r="L55" i="30"/>
  <c r="M55" i="30"/>
  <c r="O55" i="30"/>
  <c r="P55" i="30"/>
  <c r="R55" i="30"/>
  <c r="S55" i="30"/>
  <c r="U55" i="30"/>
  <c r="V55" i="30"/>
  <c r="X55" i="30"/>
  <c r="Y55" i="30"/>
  <c r="AA55" i="30"/>
  <c r="AB55" i="30"/>
  <c r="AF55" i="30"/>
  <c r="AH55" i="30"/>
  <c r="F56" i="30"/>
  <c r="G56" i="30"/>
  <c r="I56" i="30"/>
  <c r="AD56" i="30" s="1"/>
  <c r="AG56" i="30" s="1"/>
  <c r="AI56" i="30" s="1"/>
  <c r="J56" i="30"/>
  <c r="L56" i="30"/>
  <c r="M56" i="30"/>
  <c r="O56" i="30"/>
  <c r="P56" i="30"/>
  <c r="R56" i="30"/>
  <c r="S56" i="30"/>
  <c r="U56" i="30"/>
  <c r="V56" i="30"/>
  <c r="X56" i="30"/>
  <c r="Y56" i="30"/>
  <c r="AA56" i="30"/>
  <c r="AB56" i="30"/>
  <c r="AF56" i="30"/>
  <c r="AH56" i="30"/>
  <c r="F57" i="30"/>
  <c r="G57" i="30"/>
  <c r="I57" i="30"/>
  <c r="J57" i="30"/>
  <c r="L57" i="30"/>
  <c r="AD57" i="30" s="1"/>
  <c r="AG57" i="30" s="1"/>
  <c r="AI57" i="30" s="1"/>
  <c r="M57" i="30"/>
  <c r="O57" i="30"/>
  <c r="P57" i="30"/>
  <c r="R57" i="30"/>
  <c r="S57" i="30"/>
  <c r="U57" i="30"/>
  <c r="V57" i="30"/>
  <c r="X57" i="30"/>
  <c r="Y57" i="30"/>
  <c r="AA57" i="30"/>
  <c r="AB57" i="30"/>
  <c r="AH57" i="30"/>
  <c r="F58" i="30"/>
  <c r="G58" i="30"/>
  <c r="I58" i="30"/>
  <c r="J58" i="30"/>
  <c r="L58" i="30"/>
  <c r="M58" i="30"/>
  <c r="O58" i="30"/>
  <c r="P58" i="30"/>
  <c r="R58" i="30"/>
  <c r="AD58" i="30" s="1"/>
  <c r="AG58" i="30" s="1"/>
  <c r="AI58" i="30" s="1"/>
  <c r="S58" i="30"/>
  <c r="U58" i="30"/>
  <c r="V58" i="30"/>
  <c r="X58" i="30"/>
  <c r="Y58" i="30"/>
  <c r="AA58" i="30"/>
  <c r="AB58" i="30"/>
  <c r="AF58" i="30"/>
  <c r="AH58" i="30"/>
  <c r="F59" i="30"/>
  <c r="G59" i="30"/>
  <c r="AD59" i="30" s="1"/>
  <c r="AG59" i="30" s="1"/>
  <c r="AI59" i="30" s="1"/>
  <c r="I59" i="30"/>
  <c r="J59" i="30"/>
  <c r="L59" i="30"/>
  <c r="M59" i="30"/>
  <c r="O59" i="30"/>
  <c r="P59" i="30"/>
  <c r="R59" i="30"/>
  <c r="S59" i="30"/>
  <c r="U59" i="30"/>
  <c r="V59" i="30"/>
  <c r="X59" i="30"/>
  <c r="Y59" i="30"/>
  <c r="AA59" i="30"/>
  <c r="AB59" i="30"/>
  <c r="AF59" i="30"/>
  <c r="AH59" i="30"/>
  <c r="F60" i="30"/>
  <c r="G60" i="30"/>
  <c r="AD60" i="30" s="1"/>
  <c r="AG60" i="30" s="1"/>
  <c r="AI60" i="30" s="1"/>
  <c r="I60" i="30"/>
  <c r="J60" i="30"/>
  <c r="L60" i="30"/>
  <c r="M60" i="30"/>
  <c r="O60" i="30"/>
  <c r="P60" i="30"/>
  <c r="R60" i="30"/>
  <c r="S60" i="30"/>
  <c r="U60" i="30"/>
  <c r="V60" i="30"/>
  <c r="X60" i="30"/>
  <c r="Y60" i="30"/>
  <c r="AA60" i="30"/>
  <c r="AB60" i="30"/>
  <c r="AH60" i="30"/>
  <c r="F61" i="30"/>
  <c r="G61" i="30"/>
  <c r="I61" i="30"/>
  <c r="J61" i="30"/>
  <c r="L61" i="30"/>
  <c r="M61" i="30"/>
  <c r="O61" i="30"/>
  <c r="AD61" i="30" s="1"/>
  <c r="AG61" i="30" s="1"/>
  <c r="AI61" i="30" s="1"/>
  <c r="P61" i="30"/>
  <c r="R61" i="30"/>
  <c r="S61" i="30"/>
  <c r="U61" i="30"/>
  <c r="V61" i="30"/>
  <c r="X61" i="30"/>
  <c r="Y61" i="30"/>
  <c r="AA61" i="30"/>
  <c r="AB61" i="30"/>
  <c r="AF61" i="30"/>
  <c r="AH61" i="30"/>
  <c r="F62" i="30"/>
  <c r="G62" i="30"/>
  <c r="AD62" i="30" s="1"/>
  <c r="AG62" i="30" s="1"/>
  <c r="AI62" i="30" s="1"/>
  <c r="I62" i="30"/>
  <c r="J62" i="30"/>
  <c r="L62" i="30"/>
  <c r="M62" i="30"/>
  <c r="O62" i="30"/>
  <c r="P62" i="30"/>
  <c r="R62" i="30"/>
  <c r="S62" i="30"/>
  <c r="U62" i="30"/>
  <c r="V62" i="30"/>
  <c r="X62" i="30"/>
  <c r="Y62" i="30"/>
  <c r="AA62" i="30"/>
  <c r="AB62" i="30"/>
  <c r="AF62" i="30"/>
  <c r="AH62" i="30"/>
  <c r="F63" i="30"/>
  <c r="G63" i="30"/>
  <c r="I63" i="30"/>
  <c r="AD63" i="30" s="1"/>
  <c r="AG63" i="30" s="1"/>
  <c r="AI63" i="30" s="1"/>
  <c r="J63" i="30"/>
  <c r="L63" i="30"/>
  <c r="M63" i="30"/>
  <c r="O63" i="30"/>
  <c r="P63" i="30"/>
  <c r="R63" i="30"/>
  <c r="S63" i="30"/>
  <c r="U63" i="30"/>
  <c r="V63" i="30"/>
  <c r="X63" i="30"/>
  <c r="Y63" i="30"/>
  <c r="AA63" i="30"/>
  <c r="AB63" i="30"/>
  <c r="AF63" i="30"/>
  <c r="AH63" i="30"/>
  <c r="F64" i="30"/>
  <c r="G64" i="30"/>
  <c r="I64" i="30"/>
  <c r="J64" i="30"/>
  <c r="L64" i="30"/>
  <c r="AD64" i="30" s="1"/>
  <c r="AG64" i="30" s="1"/>
  <c r="AI64" i="30" s="1"/>
  <c r="M64" i="30"/>
  <c r="O64" i="30"/>
  <c r="P64" i="30"/>
  <c r="R64" i="30"/>
  <c r="S64" i="30"/>
  <c r="U64" i="30"/>
  <c r="V64" i="30"/>
  <c r="X64" i="30"/>
  <c r="Y64" i="30"/>
  <c r="AA64" i="30"/>
  <c r="AB64" i="30"/>
  <c r="AF64" i="30"/>
  <c r="AH64" i="30"/>
  <c r="F65" i="30"/>
  <c r="G65" i="30"/>
  <c r="I65" i="30"/>
  <c r="J65" i="30"/>
  <c r="L65" i="30"/>
  <c r="M65" i="30"/>
  <c r="O65" i="30"/>
  <c r="AD65" i="30" s="1"/>
  <c r="AG65" i="30" s="1"/>
  <c r="AI65" i="30" s="1"/>
  <c r="P65" i="30"/>
  <c r="P68" i="30" s="1"/>
  <c r="R65" i="30"/>
  <c r="S65" i="30"/>
  <c r="U65" i="30"/>
  <c r="V65" i="30"/>
  <c r="X65" i="30"/>
  <c r="Y65" i="30"/>
  <c r="AA65" i="30"/>
  <c r="AB65" i="30"/>
  <c r="AF65" i="30"/>
  <c r="AH65" i="30"/>
  <c r="F66" i="30"/>
  <c r="G66" i="30"/>
  <c r="AD66" i="30" s="1"/>
  <c r="AG66" i="30" s="1"/>
  <c r="AI66" i="30" s="1"/>
  <c r="I66" i="30"/>
  <c r="J66" i="30"/>
  <c r="L66" i="30"/>
  <c r="M66" i="30"/>
  <c r="O66" i="30"/>
  <c r="P66" i="30"/>
  <c r="R66" i="30"/>
  <c r="S66" i="30"/>
  <c r="U66" i="30"/>
  <c r="V66" i="30"/>
  <c r="X66" i="30"/>
  <c r="Y66" i="30"/>
  <c r="AA66" i="30"/>
  <c r="AB66" i="30"/>
  <c r="AH66" i="30"/>
  <c r="D68" i="30"/>
  <c r="AH68" i="30"/>
  <c r="AD76" i="30"/>
  <c r="AF76" i="30"/>
  <c r="AG76" i="30"/>
  <c r="AH76" i="30"/>
  <c r="AH107" i="30" s="1"/>
  <c r="AI76" i="30"/>
  <c r="G77" i="30"/>
  <c r="AD77" i="30"/>
  <c r="AG77" i="30" s="1"/>
  <c r="AF77" i="30"/>
  <c r="AH77" i="30"/>
  <c r="G78" i="30"/>
  <c r="AD78" i="30" s="1"/>
  <c r="AF78" i="30"/>
  <c r="AH78" i="30"/>
  <c r="G79" i="30"/>
  <c r="AD79" i="30" s="1"/>
  <c r="AG79" i="30" s="1"/>
  <c r="AI79" i="30" s="1"/>
  <c r="AF79" i="30"/>
  <c r="AH79" i="30"/>
  <c r="G80" i="30"/>
  <c r="AD80" i="30"/>
  <c r="AG80" i="30" s="1"/>
  <c r="AI80" i="30" s="1"/>
  <c r="AF80" i="30"/>
  <c r="AH80" i="30"/>
  <c r="G81" i="30"/>
  <c r="AD81" i="30"/>
  <c r="AG81" i="30" s="1"/>
  <c r="AI81" i="30" s="1"/>
  <c r="AF81" i="30"/>
  <c r="AF107" i="30" s="1"/>
  <c r="AH81" i="30"/>
  <c r="G82" i="30"/>
  <c r="AD82" i="30"/>
  <c r="AF82" i="30"/>
  <c r="AG82" i="30"/>
  <c r="AI82" i="30" s="1"/>
  <c r="AH82" i="30"/>
  <c r="G83" i="30"/>
  <c r="AD83" i="30"/>
  <c r="AF83" i="30"/>
  <c r="AG83" i="30"/>
  <c r="AI83" i="30" s="1"/>
  <c r="AH83" i="30"/>
  <c r="G84" i="30"/>
  <c r="AD84" i="30" s="1"/>
  <c r="AG84" i="30" s="1"/>
  <c r="AI84" i="30" s="1"/>
  <c r="AF84" i="30"/>
  <c r="AH84" i="30"/>
  <c r="AD85" i="30"/>
  <c r="AG85" i="30"/>
  <c r="AI85" i="30" s="1"/>
  <c r="AH85" i="30"/>
  <c r="G86" i="30"/>
  <c r="AD86" i="30"/>
  <c r="AG86" i="30" s="1"/>
  <c r="AI86" i="30" s="1"/>
  <c r="AF86" i="30"/>
  <c r="AH86" i="30"/>
  <c r="G87" i="30"/>
  <c r="AD87" i="30"/>
  <c r="AG87" i="30"/>
  <c r="AI87" i="30" s="1"/>
  <c r="AH87" i="30"/>
  <c r="G88" i="30"/>
  <c r="AD88" i="30"/>
  <c r="AF88" i="30"/>
  <c r="AG88" i="30"/>
  <c r="AI88" i="30" s="1"/>
  <c r="AH88" i="30"/>
  <c r="G89" i="30"/>
  <c r="AD89" i="30" s="1"/>
  <c r="AG89" i="30" s="1"/>
  <c r="AI89" i="30" s="1"/>
  <c r="AF89" i="30"/>
  <c r="AH89" i="30"/>
  <c r="AD90" i="30"/>
  <c r="AG90" i="30"/>
  <c r="AI90" i="30" s="1"/>
  <c r="AH90" i="30"/>
  <c r="G91" i="30"/>
  <c r="AD91" i="30"/>
  <c r="AG91" i="30" s="1"/>
  <c r="AI91" i="30" s="1"/>
  <c r="AF91" i="30"/>
  <c r="AH91" i="30"/>
  <c r="G92" i="30"/>
  <c r="AD92" i="30"/>
  <c r="AG92" i="30" s="1"/>
  <c r="AI92" i="30" s="1"/>
  <c r="AF92" i="30"/>
  <c r="AH92" i="30"/>
  <c r="G93" i="30"/>
  <c r="AD93" i="30"/>
  <c r="AF93" i="30"/>
  <c r="AG93" i="30"/>
  <c r="AI93" i="30" s="1"/>
  <c r="AH93" i="30"/>
  <c r="G94" i="30"/>
  <c r="AD94" i="30"/>
  <c r="AF94" i="30"/>
  <c r="AG94" i="30"/>
  <c r="AI94" i="30" s="1"/>
  <c r="AH94" i="30"/>
  <c r="G95" i="30"/>
  <c r="AD95" i="30" s="1"/>
  <c r="AG95" i="30" s="1"/>
  <c r="AI95" i="30" s="1"/>
  <c r="AF95" i="30"/>
  <c r="AH95" i="30"/>
  <c r="G96" i="30"/>
  <c r="AD96" i="30"/>
  <c r="AG96" i="30" s="1"/>
  <c r="AI96" i="30" s="1"/>
  <c r="AH96" i="30"/>
  <c r="G97" i="30"/>
  <c r="AD97" i="30" s="1"/>
  <c r="AG97" i="30" s="1"/>
  <c r="AI97" i="30" s="1"/>
  <c r="AF97" i="30"/>
  <c r="AH97" i="30"/>
  <c r="G98" i="30"/>
  <c r="AD98" i="30"/>
  <c r="AG98" i="30" s="1"/>
  <c r="AI98" i="30" s="1"/>
  <c r="AF98" i="30"/>
  <c r="AH98" i="30"/>
  <c r="G99" i="30"/>
  <c r="AD99" i="30"/>
  <c r="AG99" i="30" s="1"/>
  <c r="AI99" i="30" s="1"/>
  <c r="AF99" i="30"/>
  <c r="AH99" i="30"/>
  <c r="G100" i="30"/>
  <c r="AD100" i="30"/>
  <c r="AF100" i="30"/>
  <c r="AG100" i="30"/>
  <c r="AI100" i="30" s="1"/>
  <c r="AH100" i="30"/>
  <c r="G101" i="30"/>
  <c r="AD101" i="30"/>
  <c r="AF101" i="30"/>
  <c r="AG101" i="30"/>
  <c r="AI101" i="30" s="1"/>
  <c r="AH101" i="30"/>
  <c r="G102" i="30"/>
  <c r="AD102" i="30" s="1"/>
  <c r="AG102" i="30" s="1"/>
  <c r="AI102" i="30" s="1"/>
  <c r="AH102" i="30"/>
  <c r="G103" i="30"/>
  <c r="AD103" i="30" s="1"/>
  <c r="AG103" i="30" s="1"/>
  <c r="AI103" i="30" s="1"/>
  <c r="AH103" i="30"/>
  <c r="G104" i="30"/>
  <c r="AD104" i="30"/>
  <c r="AG104" i="30" s="1"/>
  <c r="AI104" i="30" s="1"/>
  <c r="AH104" i="30"/>
  <c r="G105" i="30"/>
  <c r="AD105" i="30"/>
  <c r="AG105" i="30"/>
  <c r="AI105" i="30" s="1"/>
  <c r="AH105" i="30"/>
  <c r="G106" i="30"/>
  <c r="AD106" i="30" s="1"/>
  <c r="AH106" i="30"/>
  <c r="D107" i="30"/>
  <c r="E107" i="30"/>
  <c r="F107" i="30"/>
  <c r="H107" i="30"/>
  <c r="I107" i="30"/>
  <c r="J107" i="30"/>
  <c r="K107" i="30"/>
  <c r="L107" i="30"/>
  <c r="M107" i="30"/>
  <c r="N107" i="30"/>
  <c r="O107" i="30"/>
  <c r="P107" i="30"/>
  <c r="Q107" i="30"/>
  <c r="R107" i="30"/>
  <c r="S107" i="30"/>
  <c r="T107" i="30"/>
  <c r="U107" i="30"/>
  <c r="V107" i="30"/>
  <c r="W107" i="30"/>
  <c r="X107" i="30"/>
  <c r="Y107" i="30"/>
  <c r="Z107" i="30"/>
  <c r="AA107" i="30"/>
  <c r="AB107" i="30"/>
  <c r="AC107" i="30"/>
  <c r="AE107" i="30"/>
  <c r="D110" i="30"/>
  <c r="G124" i="31" l="1"/>
  <c r="I93" i="31"/>
  <c r="H128" i="31"/>
  <c r="I27" i="31"/>
  <c r="D134" i="31" s="1"/>
  <c r="F128" i="31"/>
  <c r="G82" i="31"/>
  <c r="I32" i="31"/>
  <c r="D82" i="31"/>
  <c r="G27" i="31"/>
  <c r="D124" i="31"/>
  <c r="D27" i="31"/>
  <c r="AB69" i="30"/>
  <c r="AB110" i="30"/>
  <c r="AG28" i="30"/>
  <c r="AH110" i="30"/>
  <c r="AG107" i="30"/>
  <c r="AI77" i="30"/>
  <c r="M110" i="30"/>
  <c r="M69" i="30"/>
  <c r="S110" i="30"/>
  <c r="S69" i="30"/>
  <c r="G69" i="30"/>
  <c r="AF110" i="30"/>
  <c r="AG10" i="30"/>
  <c r="Y69" i="30"/>
  <c r="Y110" i="30"/>
  <c r="P110" i="30"/>
  <c r="P69" i="30"/>
  <c r="P72" i="30" s="1"/>
  <c r="AD107" i="30"/>
  <c r="AN10" i="30" s="1"/>
  <c r="AP10" i="30" s="1"/>
  <c r="AG78" i="30"/>
  <c r="AI78" i="30" s="1"/>
  <c r="V110" i="30"/>
  <c r="V69" i="30"/>
  <c r="J110" i="30"/>
  <c r="J69" i="30"/>
  <c r="AD30" i="30"/>
  <c r="AG30" i="30" s="1"/>
  <c r="AI30" i="30" s="1"/>
  <c r="AD14" i="30"/>
  <c r="AG14" i="30" s="1"/>
  <c r="AI14" i="30" s="1"/>
  <c r="AI107" i="30"/>
  <c r="D144" i="31" s="1"/>
  <c r="D145" i="31" s="1"/>
  <c r="G107" i="30"/>
  <c r="G108" i="30" s="1"/>
  <c r="G128" i="31" l="1"/>
  <c r="M10" i="31"/>
  <c r="O10" i="31" s="1"/>
  <c r="D125" i="31"/>
  <c r="M9" i="31"/>
  <c r="O9" i="31" s="1"/>
  <c r="D128" i="31"/>
  <c r="D83" i="31"/>
  <c r="D28" i="31"/>
  <c r="M8" i="31"/>
  <c r="I82" i="31"/>
  <c r="I124" i="31"/>
  <c r="D136" i="31" s="1"/>
  <c r="AI10" i="30"/>
  <c r="AG23" i="30"/>
  <c r="G110" i="30"/>
  <c r="AG68" i="30"/>
  <c r="AG110" i="30" s="1"/>
  <c r="AI28" i="30"/>
  <c r="AD68" i="30"/>
  <c r="AD23" i="30"/>
  <c r="AN8" i="30" s="1"/>
  <c r="C137" i="31" l="1"/>
  <c r="O8" i="31"/>
  <c r="O11" i="31" s="1"/>
  <c r="M11" i="31"/>
  <c r="D135" i="31"/>
  <c r="D137" i="31" s="1"/>
  <c r="D147" i="31" s="1"/>
  <c r="D154" i="31" s="1"/>
  <c r="I128" i="31"/>
  <c r="AI68" i="30"/>
  <c r="AP8" i="30"/>
  <c r="AD110" i="30"/>
  <c r="AN9" i="30"/>
  <c r="AP9" i="30" s="1"/>
  <c r="AI23" i="30"/>
  <c r="AN11" i="30" l="1"/>
  <c r="AP11" i="30"/>
  <c r="AI110" i="30"/>
  <c r="C138" i="31" s="1"/>
  <c r="J118" i="31" l="1"/>
  <c r="J36" i="31"/>
  <c r="J18" i="31"/>
  <c r="J47" i="31"/>
  <c r="J46" i="31"/>
  <c r="J14" i="31"/>
  <c r="J48" i="31"/>
  <c r="J122" i="31"/>
  <c r="J53" i="31"/>
  <c r="J63" i="31"/>
  <c r="J121" i="31"/>
  <c r="J62" i="31"/>
  <c r="J116" i="31"/>
  <c r="J95" i="31"/>
  <c r="J25" i="31"/>
  <c r="J105" i="31"/>
  <c r="J80" i="31"/>
  <c r="J74" i="31"/>
  <c r="J112" i="31"/>
  <c r="J120" i="31"/>
  <c r="J40" i="31"/>
  <c r="J11" i="31"/>
  <c r="J39" i="31"/>
  <c r="J51" i="31"/>
  <c r="J106" i="31"/>
  <c r="J78" i="31"/>
  <c r="J73" i="31"/>
  <c r="J20" i="31"/>
  <c r="J115" i="31"/>
  <c r="J44" i="31"/>
  <c r="J117" i="31"/>
  <c r="J41" i="31"/>
  <c r="J109" i="31"/>
  <c r="J38" i="31"/>
  <c r="J119" i="31"/>
  <c r="J19" i="31"/>
  <c r="J58" i="31"/>
  <c r="J21" i="31"/>
  <c r="J52" i="31"/>
  <c r="J56" i="31"/>
  <c r="J50" i="31"/>
  <c r="J68" i="31"/>
  <c r="J108" i="31"/>
  <c r="J75" i="31"/>
  <c r="J12" i="31"/>
  <c r="J96" i="31"/>
  <c r="J24" i="31"/>
  <c r="J111" i="31"/>
  <c r="J97" i="31"/>
  <c r="J55" i="31"/>
  <c r="J16" i="31"/>
  <c r="J101" i="31"/>
  <c r="J23" i="31"/>
  <c r="J71" i="31"/>
  <c r="J34" i="31"/>
  <c r="J65" i="31"/>
  <c r="J72" i="31"/>
  <c r="J103" i="31"/>
  <c r="J33" i="31"/>
  <c r="J35" i="31"/>
  <c r="J110" i="31"/>
  <c r="J79" i="31"/>
  <c r="J67" i="31"/>
  <c r="J104" i="31"/>
  <c r="J64" i="31"/>
  <c r="J43" i="31"/>
  <c r="J13" i="31"/>
  <c r="J113" i="31"/>
  <c r="J57" i="31"/>
  <c r="J60" i="31"/>
  <c r="J70" i="31"/>
  <c r="J22" i="31"/>
  <c r="J77" i="31"/>
  <c r="J49" i="31"/>
  <c r="J66" i="31"/>
  <c r="J99" i="31"/>
  <c r="J98" i="31"/>
  <c r="J102" i="31"/>
  <c r="J37" i="31"/>
  <c r="J100" i="31"/>
  <c r="J42" i="31"/>
  <c r="J45" i="31"/>
  <c r="J59" i="31"/>
  <c r="J15" i="31"/>
  <c r="J69" i="31"/>
  <c r="J107" i="31"/>
  <c r="J61" i="31"/>
  <c r="J54" i="31"/>
  <c r="J76" i="31"/>
  <c r="J114" i="31"/>
  <c r="J10" i="31"/>
  <c r="J94" i="31"/>
  <c r="J17" i="31"/>
  <c r="J93" i="31"/>
  <c r="J32" i="31"/>
  <c r="J124" i="31" l="1"/>
  <c r="F136" i="31" s="1"/>
  <c r="J27" i="31"/>
  <c r="F134" i="31" s="1"/>
  <c r="J82" i="31"/>
  <c r="F135" i="31" l="1"/>
  <c r="F137" i="31" s="1"/>
  <c r="G134" i="31" s="1"/>
  <c r="J128" i="31"/>
  <c r="C38" i="25" s="1"/>
  <c r="G136" i="31" l="1"/>
  <c r="F138" i="31"/>
  <c r="G135" i="31"/>
  <c r="G137" i="31" l="1"/>
  <c r="AJ90" i="30"/>
  <c r="AJ102" i="30"/>
  <c r="AJ86" i="30"/>
  <c r="AJ43" i="30"/>
  <c r="AJ12" i="30"/>
  <c r="AJ94" i="30"/>
  <c r="AJ33" i="30"/>
  <c r="AJ50" i="30"/>
  <c r="AJ49" i="30"/>
  <c r="AJ34" i="30"/>
  <c r="AJ76" i="30"/>
  <c r="AJ38" i="30"/>
  <c r="AJ59" i="30"/>
  <c r="AJ32" i="30"/>
  <c r="AJ15" i="30"/>
  <c r="AJ45" i="30"/>
  <c r="AJ62" i="30"/>
  <c r="AJ52" i="30"/>
  <c r="AJ17" i="30"/>
  <c r="AJ16" i="30"/>
  <c r="AJ55" i="30"/>
  <c r="AJ103" i="30"/>
  <c r="AJ57" i="30"/>
  <c r="AJ80" i="30"/>
  <c r="AJ92" i="30"/>
  <c r="AJ98" i="30"/>
  <c r="AJ40" i="30"/>
  <c r="AJ42" i="30"/>
  <c r="AJ96" i="30"/>
  <c r="AJ101" i="30"/>
  <c r="AJ105" i="30"/>
  <c r="AJ88" i="30"/>
  <c r="AJ100" i="30"/>
  <c r="AJ65" i="30"/>
  <c r="AJ46" i="30"/>
  <c r="AJ29" i="30"/>
  <c r="AJ83" i="30"/>
  <c r="AJ36" i="30"/>
  <c r="AJ39" i="30"/>
  <c r="AJ104" i="30"/>
  <c r="AJ87" i="30"/>
  <c r="AJ85" i="30"/>
  <c r="AJ82" i="30"/>
  <c r="AJ93" i="30"/>
  <c r="AJ63" i="30"/>
  <c r="AJ41" i="30"/>
  <c r="AJ21" i="30"/>
  <c r="AJ64" i="30"/>
  <c r="AJ35" i="30"/>
  <c r="AJ81" i="30"/>
  <c r="AJ89" i="30"/>
  <c r="AJ79" i="30"/>
  <c r="AJ95" i="30"/>
  <c r="AJ61" i="30"/>
  <c r="AJ37" i="30"/>
  <c r="AJ19" i="30"/>
  <c r="AJ66" i="30"/>
  <c r="AJ56" i="30"/>
  <c r="AJ20" i="30"/>
  <c r="AJ31" i="30"/>
  <c r="AJ58" i="30"/>
  <c r="AJ48" i="30"/>
  <c r="AJ13" i="30"/>
  <c r="AJ91" i="30"/>
  <c r="AJ99" i="30"/>
  <c r="AJ51" i="30"/>
  <c r="AJ84" i="30"/>
  <c r="AJ54" i="30"/>
  <c r="AJ11" i="30"/>
  <c r="AJ18" i="30"/>
  <c r="AJ44" i="30"/>
  <c r="AJ60" i="30"/>
  <c r="AJ97" i="30"/>
  <c r="AJ47" i="30"/>
  <c r="AJ53" i="30"/>
  <c r="AJ14" i="30"/>
  <c r="AJ77" i="30"/>
  <c r="AJ30" i="30"/>
  <c r="AJ78" i="30"/>
  <c r="AJ28" i="30"/>
  <c r="AJ10" i="30"/>
  <c r="AJ107" i="30" l="1"/>
  <c r="F144" i="31" s="1"/>
  <c r="AJ23" i="30"/>
  <c r="F142" i="31" s="1"/>
  <c r="AJ68" i="30"/>
  <c r="F143" i="31" s="1"/>
  <c r="F145" i="31" l="1"/>
  <c r="AJ110" i="30"/>
  <c r="D38" i="25" s="1"/>
  <c r="F146" i="31" l="1"/>
  <c r="F147" i="31"/>
  <c r="D149" i="31" s="1"/>
  <c r="G143" i="31"/>
  <c r="G142" i="31"/>
  <c r="G144" i="31"/>
  <c r="E60" i="25"/>
  <c r="D60" i="25"/>
  <c r="C60" i="25"/>
  <c r="E59" i="25"/>
  <c r="F149" i="31" l="1"/>
  <c r="D151" i="31"/>
  <c r="F151" i="31" s="1"/>
  <c r="G145" i="31"/>
  <c r="D152" i="31" l="1"/>
  <c r="E24" i="7" l="1"/>
  <c r="E25" i="7"/>
  <c r="E26" i="7"/>
  <c r="E27" i="7"/>
  <c r="E28" i="7"/>
  <c r="E29" i="7"/>
  <c r="E30" i="7"/>
  <c r="E31" i="7"/>
  <c r="E32" i="7"/>
  <c r="E33" i="7"/>
  <c r="M7" i="17" l="1"/>
  <c r="S11" i="17"/>
  <c r="S12" i="17"/>
  <c r="R10" i="17"/>
  <c r="R11" i="17"/>
  <c r="L3" i="17"/>
  <c r="M3" i="17" s="1"/>
  <c r="E8" i="7"/>
  <c r="S10" i="17"/>
  <c r="Q1" i="17"/>
  <c r="S6" i="17"/>
  <c r="S5" i="17"/>
  <c r="S4" i="17"/>
  <c r="P1" i="17" l="1"/>
  <c r="D47" i="25" l="1"/>
  <c r="C47" i="25"/>
  <c r="E47" i="25" l="1"/>
  <c r="D48" i="25" s="1"/>
  <c r="D34" i="25"/>
  <c r="C34" i="25"/>
  <c r="C48" i="25" l="1"/>
  <c r="E48" i="25"/>
  <c r="C27" i="25" l="1"/>
  <c r="E19" i="25"/>
  <c r="C19" i="25"/>
  <c r="E18" i="25"/>
  <c r="C18" i="25"/>
  <c r="D18" i="25" s="1"/>
  <c r="E17" i="25"/>
  <c r="C17" i="25"/>
  <c r="D53" i="25" s="1"/>
  <c r="E16" i="25"/>
  <c r="C16" i="25"/>
  <c r="E15" i="25"/>
  <c r="C15" i="25"/>
  <c r="E14" i="25"/>
  <c r="C14" i="25"/>
  <c r="D14" i="25" s="1"/>
  <c r="E13" i="25"/>
  <c r="C13" i="25"/>
  <c r="E12" i="25"/>
  <c r="C12" i="25"/>
  <c r="E11" i="25"/>
  <c r="C11" i="25"/>
  <c r="E10" i="25"/>
  <c r="C10" i="25"/>
  <c r="D10" i="25" s="1"/>
  <c r="E9" i="25"/>
  <c r="C9" i="25"/>
  <c r="E8" i="25"/>
  <c r="C8" i="25"/>
  <c r="D55" i="25" l="1"/>
  <c r="C53" i="25"/>
  <c r="C55" i="25" s="1"/>
  <c r="D12" i="25"/>
  <c r="D16" i="25"/>
  <c r="D15" i="25"/>
  <c r="C21" i="25"/>
  <c r="D13" i="25"/>
  <c r="D17" i="25"/>
  <c r="D19" i="25"/>
  <c r="D9" i="25"/>
  <c r="D11" i="25"/>
  <c r="E21" i="25"/>
  <c r="D8" i="25"/>
  <c r="D27" i="25"/>
  <c r="E53" i="25" l="1"/>
  <c r="E55" i="25"/>
  <c r="D33" i="25"/>
  <c r="C33" i="25"/>
  <c r="C35" i="25" s="1"/>
  <c r="D21" i="25"/>
  <c r="D22" i="25" s="1"/>
  <c r="C22" i="25"/>
  <c r="C62" i="25" l="1"/>
  <c r="G91" i="7" s="1"/>
  <c r="D62" i="25"/>
  <c r="E62" i="25" s="1"/>
  <c r="C64" i="25"/>
  <c r="E33" i="25"/>
  <c r="D35" i="25"/>
  <c r="E35" i="25" s="1"/>
  <c r="D64" i="25" s="1"/>
  <c r="E64" i="25" s="1"/>
  <c r="E34" i="25" l="1"/>
  <c r="L100" i="17" l="1"/>
  <c r="L101" i="17"/>
  <c r="L102" i="17"/>
  <c r="L103" i="17"/>
  <c r="L104" i="17"/>
  <c r="L105" i="17"/>
  <c r="L106" i="17"/>
  <c r="L99" i="17"/>
  <c r="L98" i="17"/>
  <c r="L31" i="17"/>
  <c r="AI74" i="23"/>
  <c r="AI75" i="23"/>
  <c r="AI76" i="23"/>
  <c r="AI77" i="23"/>
  <c r="AI79" i="23"/>
  <c r="AI82" i="23"/>
  <c r="AI83" i="23"/>
  <c r="AI86" i="23"/>
  <c r="AI95" i="23"/>
  <c r="AI105" i="23"/>
  <c r="AI106" i="23"/>
  <c r="AI107" i="23"/>
  <c r="AI108" i="23"/>
  <c r="AI109" i="23"/>
  <c r="AI174" i="23"/>
  <c r="L136" i="17"/>
  <c r="L137" i="17"/>
  <c r="L138" i="17"/>
  <c r="L139" i="17"/>
  <c r="L140" i="17"/>
  <c r="L141" i="17"/>
  <c r="L142" i="17"/>
  <c r="L143" i="17"/>
  <c r="L144" i="17"/>
  <c r="L145" i="17"/>
  <c r="L146" i="17"/>
  <c r="L147" i="17"/>
  <c r="L148" i="17"/>
  <c r="L149" i="17"/>
  <c r="L150" i="17"/>
  <c r="L151" i="17"/>
  <c r="L152" i="17"/>
  <c r="L153" i="17"/>
  <c r="L154" i="17"/>
  <c r="L155" i="17"/>
  <c r="L156" i="17"/>
  <c r="L157" i="17"/>
  <c r="L158" i="17"/>
  <c r="L135" i="17"/>
  <c r="K32" i="17"/>
  <c r="K33" i="17"/>
  <c r="K34" i="17"/>
  <c r="K35" i="17"/>
  <c r="M24" i="17"/>
  <c r="M23" i="17"/>
  <c r="AI169" i="23"/>
  <c r="AI168" i="23"/>
  <c r="AI167" i="23"/>
  <c r="AI166" i="23"/>
  <c r="AI141" i="23"/>
  <c r="AI142" i="23"/>
  <c r="AI143" i="23"/>
  <c r="AI144" i="23"/>
  <c r="AI145" i="23"/>
  <c r="AI146" i="23"/>
  <c r="AI147" i="23"/>
  <c r="AI148" i="23"/>
  <c r="AI149" i="23"/>
  <c r="AI151" i="23"/>
  <c r="AI152" i="23"/>
  <c r="AI153" i="23"/>
  <c r="AI154" i="23"/>
  <c r="AI155" i="23"/>
  <c r="AI156" i="23"/>
  <c r="AI157" i="23"/>
  <c r="AI158" i="23"/>
  <c r="AI159" i="23"/>
  <c r="AI160" i="23"/>
  <c r="AI161" i="23"/>
  <c r="AI162" i="23"/>
  <c r="AI163" i="23"/>
  <c r="AI164" i="23"/>
  <c r="AI165" i="23"/>
  <c r="AI140" i="23"/>
  <c r="Q5" i="17" l="1"/>
  <c r="Q4" i="17" l="1"/>
  <c r="AI115" i="23"/>
  <c r="AI118" i="23"/>
  <c r="AI119" i="23"/>
  <c r="AI121" i="23"/>
  <c r="AI122" i="23"/>
  <c r="AI110" i="23"/>
  <c r="AI111" i="23"/>
  <c r="L60" i="17"/>
  <c r="L61" i="17"/>
  <c r="L62" i="17"/>
  <c r="L63" i="17"/>
  <c r="L64" i="17"/>
  <c r="L65" i="17"/>
  <c r="L66" i="17"/>
  <c r="L67" i="17"/>
  <c r="L68" i="17"/>
  <c r="L69" i="17"/>
  <c r="L70" i="17"/>
  <c r="L71" i="17"/>
  <c r="L72" i="17"/>
  <c r="L73" i="17"/>
  <c r="L74" i="17"/>
  <c r="L75" i="17"/>
  <c r="L76" i="17"/>
  <c r="L77" i="17"/>
  <c r="L78" i="17"/>
  <c r="L79" i="17"/>
  <c r="L80" i="17"/>
  <c r="L81" i="17"/>
  <c r="L82" i="17"/>
  <c r="L83" i="17"/>
  <c r="L84" i="17"/>
  <c r="L85" i="17"/>
  <c r="L86" i="17"/>
  <c r="L87" i="17"/>
  <c r="L88" i="17"/>
  <c r="L89" i="17"/>
  <c r="L90" i="17"/>
  <c r="L91" i="17"/>
  <c r="L92" i="17"/>
  <c r="L93" i="17"/>
  <c r="L94" i="17"/>
  <c r="L95" i="17"/>
  <c r="L96" i="17"/>
  <c r="L97" i="17"/>
  <c r="L107" i="17"/>
  <c r="L108" i="17"/>
  <c r="L109" i="17"/>
  <c r="L110" i="17"/>
  <c r="L111" i="17"/>
  <c r="L112" i="17"/>
  <c r="L113" i="17"/>
  <c r="L114" i="17"/>
  <c r="L115" i="17"/>
  <c r="L116" i="17"/>
  <c r="L117" i="17"/>
  <c r="L118" i="17"/>
  <c r="L119" i="17"/>
  <c r="L120" i="17"/>
  <c r="L121" i="17"/>
  <c r="L122" i="17"/>
  <c r="L123" i="17"/>
  <c r="L124" i="17"/>
  <c r="L125" i="17"/>
  <c r="L126" i="17"/>
  <c r="L127" i="17"/>
  <c r="L128" i="17"/>
  <c r="L129" i="17"/>
  <c r="L130" i="17"/>
  <c r="L131" i="17"/>
  <c r="L132" i="17"/>
  <c r="L133" i="17"/>
  <c r="L134" i="17"/>
  <c r="L59" i="17"/>
  <c r="L20" i="17"/>
  <c r="L21" i="17"/>
  <c r="L22" i="17"/>
  <c r="L23" i="17"/>
  <c r="L24" i="17"/>
  <c r="L25" i="17"/>
  <c r="L26" i="17"/>
  <c r="L27" i="17"/>
  <c r="L28" i="17"/>
  <c r="L29" i="17"/>
  <c r="L30" i="17"/>
  <c r="L32" i="17"/>
  <c r="L33" i="17"/>
  <c r="L34" i="17"/>
  <c r="L35" i="17"/>
  <c r="L36" i="17"/>
  <c r="L37" i="17"/>
  <c r="L38" i="17"/>
  <c r="L39" i="17"/>
  <c r="L40" i="17"/>
  <c r="L41" i="17"/>
  <c r="L42" i="17"/>
  <c r="L43" i="17"/>
  <c r="L44" i="17"/>
  <c r="L45" i="17"/>
  <c r="L46" i="17"/>
  <c r="L47" i="17"/>
  <c r="L48" i="17"/>
  <c r="L49" i="17"/>
  <c r="L50" i="17"/>
  <c r="L51" i="17"/>
  <c r="L52" i="17"/>
  <c r="L53" i="17"/>
  <c r="L54" i="17"/>
  <c r="L55" i="17"/>
  <c r="L56" i="17"/>
  <c r="L57" i="17"/>
  <c r="L58" i="17"/>
  <c r="L19" i="17"/>
  <c r="L4" i="17"/>
  <c r="L5" i="17"/>
  <c r="L6" i="17"/>
  <c r="L7" i="17"/>
  <c r="L8" i="17"/>
  <c r="L9" i="17"/>
  <c r="L10" i="17"/>
  <c r="L11" i="17"/>
  <c r="L12" i="17"/>
  <c r="L13" i="17"/>
  <c r="L14" i="17"/>
  <c r="L15" i="17"/>
  <c r="L16" i="17"/>
  <c r="L17" i="17"/>
  <c r="L18" i="17"/>
  <c r="L2" i="17"/>
  <c r="C64" i="4"/>
  <c r="D59" i="4"/>
  <c r="F76" i="7" l="1"/>
  <c r="F77" i="7"/>
  <c r="D77" i="7"/>
  <c r="F106" i="7"/>
  <c r="D106" i="7"/>
  <c r="F105" i="7"/>
  <c r="D105" i="7"/>
  <c r="F139" i="7"/>
  <c r="D139" i="7"/>
  <c r="D138" i="7"/>
  <c r="F42" i="7"/>
  <c r="D42" i="7"/>
  <c r="F37" i="7"/>
  <c r="D37" i="7"/>
  <c r="F29" i="7"/>
  <c r="D29" i="7"/>
  <c r="F14" i="7"/>
  <c r="D14" i="7"/>
  <c r="F11" i="7"/>
  <c r="D11" i="7"/>
  <c r="M14" i="17"/>
  <c r="E96" i="7" s="1"/>
  <c r="F23" i="7"/>
  <c r="K47" i="17"/>
  <c r="H47" i="17"/>
  <c r="J47" i="17"/>
  <c r="A11" i="23" l="1"/>
  <c r="A12" i="23"/>
  <c r="A13" i="23"/>
  <c r="A14" i="23"/>
  <c r="A15" i="23"/>
  <c r="A16" i="23"/>
  <c r="A17" i="23"/>
  <c r="A18" i="23"/>
  <c r="A19" i="23"/>
  <c r="A20" i="23"/>
  <c r="A21" i="23"/>
  <c r="A22" i="23"/>
  <c r="A23" i="23"/>
  <c r="A24" i="23"/>
  <c r="A25" i="23"/>
  <c r="A26" i="23"/>
  <c r="A27" i="23"/>
  <c r="A28" i="23"/>
  <c r="A29" i="23"/>
  <c r="A30" i="23"/>
  <c r="A31" i="23"/>
  <c r="A32" i="23"/>
  <c r="A33" i="23"/>
  <c r="A34" i="23"/>
  <c r="A35" i="23"/>
  <c r="A36" i="23"/>
  <c r="A37" i="23"/>
  <c r="A38" i="23"/>
  <c r="A39" i="23"/>
  <c r="A45" i="23"/>
  <c r="A46" i="23"/>
  <c r="A47" i="23"/>
  <c r="A48" i="23"/>
  <c r="A49" i="23"/>
  <c r="A50" i="23"/>
  <c r="A51" i="23"/>
  <c r="A56" i="23"/>
  <c r="A57" i="23"/>
  <c r="A58" i="23"/>
  <c r="A59" i="23"/>
  <c r="A60" i="23"/>
  <c r="A61" i="23"/>
  <c r="A62" i="23"/>
  <c r="A63" i="23"/>
  <c r="A74" i="23"/>
  <c r="A75" i="23"/>
  <c r="A76" i="23"/>
  <c r="A77" i="23"/>
  <c r="A78" i="23"/>
  <c r="A79" i="23"/>
  <c r="A80" i="23"/>
  <c r="A81" i="23"/>
  <c r="A82" i="23"/>
  <c r="A83" i="23"/>
  <c r="A84" i="23"/>
  <c r="A85" i="23"/>
  <c r="A86" i="23"/>
  <c r="A87" i="23"/>
  <c r="A88" i="23"/>
  <c r="A89" i="23"/>
  <c r="A90" i="23"/>
  <c r="A91" i="23"/>
  <c r="A92" i="23"/>
  <c r="A93" i="23"/>
  <c r="A94" i="23"/>
  <c r="A95" i="23"/>
  <c r="A96" i="23"/>
  <c r="A97" i="23"/>
  <c r="A98" i="23"/>
  <c r="A99" i="23"/>
  <c r="A100" i="23"/>
  <c r="A101" i="23"/>
  <c r="A102" i="23"/>
  <c r="A103" i="23"/>
  <c r="A104" i="23"/>
  <c r="A105" i="23"/>
  <c r="A106" i="23"/>
  <c r="A107" i="23"/>
  <c r="A108" i="23"/>
  <c r="A109" i="23"/>
  <c r="A110" i="23"/>
  <c r="A111" i="23"/>
  <c r="A112" i="23"/>
  <c r="A113" i="23"/>
  <c r="A114" i="23"/>
  <c r="A115" i="23"/>
  <c r="A116" i="23"/>
  <c r="A117" i="23"/>
  <c r="A118" i="23"/>
  <c r="A119" i="23"/>
  <c r="A120" i="23"/>
  <c r="A121" i="23"/>
  <c r="A122" i="23"/>
  <c r="A123" i="23"/>
  <c r="A124" i="23"/>
  <c r="A125" i="23"/>
  <c r="A126" i="23"/>
  <c r="A127" i="23"/>
  <c r="A128" i="23"/>
  <c r="A129" i="23"/>
  <c r="A130" i="23"/>
  <c r="A131" i="23"/>
  <c r="A132" i="23"/>
  <c r="A133" i="23"/>
  <c r="A134" i="23"/>
  <c r="A140" i="23"/>
  <c r="A141" i="23"/>
  <c r="A142" i="23"/>
  <c r="A143" i="23"/>
  <c r="A144" i="23"/>
  <c r="A145" i="23"/>
  <c r="A146" i="23"/>
  <c r="A147" i="23"/>
  <c r="A148" i="23"/>
  <c r="A150" i="23"/>
  <c r="A151" i="23"/>
  <c r="A152" i="23"/>
  <c r="A153" i="23"/>
  <c r="CB153" i="23"/>
  <c r="A154" i="23"/>
  <c r="CB154" i="23"/>
  <c r="A155" i="23"/>
  <c r="CB155" i="23"/>
  <c r="A156" i="23"/>
  <c r="CB156" i="23"/>
  <c r="A157" i="23"/>
  <c r="CB157" i="23"/>
  <c r="A158" i="23"/>
  <c r="A159" i="23"/>
  <c r="A160" i="23"/>
  <c r="A161" i="23"/>
  <c r="A162" i="23"/>
  <c r="A163" i="23"/>
  <c r="A164" i="23"/>
  <c r="A165" i="23"/>
  <c r="A166" i="23"/>
  <c r="A167" i="23"/>
  <c r="A168" i="23"/>
  <c r="A169" i="23"/>
  <c r="A170" i="23"/>
  <c r="A171" i="23"/>
  <c r="A172" i="23"/>
  <c r="A173" i="23"/>
  <c r="A174" i="23"/>
  <c r="A180" i="23"/>
  <c r="A181" i="23"/>
  <c r="A182" i="23"/>
  <c r="A183" i="23"/>
  <c r="A184" i="23"/>
  <c r="A185" i="23"/>
  <c r="A186" i="23"/>
  <c r="A187" i="23"/>
  <c r="A197" i="23"/>
  <c r="A198" i="23"/>
  <c r="A199" i="23"/>
  <c r="A200" i="23"/>
  <c r="A201" i="23"/>
  <c r="A202" i="23"/>
  <c r="A203" i="23"/>
  <c r="A204" i="23"/>
  <c r="A205" i="23"/>
  <c r="A206" i="23"/>
  <c r="A207" i="23"/>
  <c r="A208" i="23"/>
  <c r="A209" i="23"/>
  <c r="A210" i="23"/>
  <c r="A211" i="23"/>
  <c r="A212" i="23"/>
  <c r="A213" i="23"/>
  <c r="A214" i="23"/>
  <c r="A215" i="23"/>
  <c r="A216" i="23"/>
  <c r="A217" i="23"/>
  <c r="A218" i="23"/>
  <c r="A219" i="23"/>
  <c r="A220" i="23"/>
  <c r="A221" i="23"/>
  <c r="A222" i="23"/>
  <c r="A223" i="23"/>
  <c r="A224" i="23"/>
  <c r="A225" i="23"/>
  <c r="A226" i="23"/>
  <c r="A227" i="23"/>
  <c r="A228" i="23"/>
  <c r="A232" i="23"/>
  <c r="A233" i="23"/>
  <c r="A234" i="23"/>
  <c r="A235" i="23"/>
  <c r="A240" i="23"/>
  <c r="A249" i="23"/>
  <c r="A250" i="23"/>
  <c r="A251" i="23"/>
  <c r="A263" i="23"/>
  <c r="A264" i="23"/>
  <c r="A265" i="23"/>
  <c r="A266" i="23"/>
  <c r="A267" i="23"/>
  <c r="M62" i="17" l="1"/>
  <c r="R4" i="17"/>
  <c r="M47" i="17" l="1"/>
  <c r="K95" i="7" l="1"/>
  <c r="K69" i="17" l="1"/>
  <c r="J69" i="17"/>
  <c r="H69" i="17"/>
  <c r="K63" i="17"/>
  <c r="J63" i="17"/>
  <c r="M69" i="17" l="1"/>
  <c r="M63" i="17"/>
  <c r="R12" i="17" s="1"/>
  <c r="F97" i="7" l="1"/>
  <c r="F96" i="7"/>
  <c r="D125" i="22" l="1"/>
  <c r="D124" i="22"/>
  <c r="D123" i="22"/>
  <c r="D122" i="22"/>
  <c r="D121" i="22"/>
  <c r="D120" i="22"/>
  <c r="D119" i="22"/>
  <c r="D118" i="22"/>
  <c r="D117" i="22"/>
  <c r="D116" i="22"/>
  <c r="D115" i="22"/>
  <c r="D114" i="22"/>
  <c r="D113" i="22"/>
  <c r="D112" i="22"/>
  <c r="D111" i="22"/>
  <c r="D110" i="22"/>
  <c r="D109" i="22"/>
  <c r="D108" i="22"/>
  <c r="D107" i="22"/>
  <c r="D106" i="22"/>
  <c r="D105" i="22"/>
  <c r="D104" i="22"/>
  <c r="D103" i="22"/>
  <c r="D102" i="22"/>
  <c r="D101" i="22"/>
  <c r="D100" i="22"/>
  <c r="D99" i="22"/>
  <c r="D98" i="22"/>
  <c r="D97" i="22"/>
  <c r="D96" i="22"/>
  <c r="D94" i="22"/>
  <c r="D95" i="22"/>
  <c r="D93" i="22"/>
  <c r="D92" i="22"/>
  <c r="D91" i="22"/>
  <c r="D90" i="22"/>
  <c r="D89" i="22"/>
  <c r="D88" i="22"/>
  <c r="D87" i="22"/>
  <c r="D86" i="22"/>
  <c r="D85" i="22"/>
  <c r="D84" i="22"/>
  <c r="D83" i="22"/>
  <c r="D82" i="22"/>
  <c r="D81" i="22"/>
  <c r="D80" i="22"/>
  <c r="D79" i="22"/>
  <c r="D78" i="22"/>
  <c r="D77" i="22"/>
  <c r="D76" i="22"/>
  <c r="D75" i="22"/>
  <c r="D74" i="22"/>
  <c r="D73" i="22"/>
  <c r="D72" i="22"/>
  <c r="D71" i="22"/>
  <c r="D70" i="22"/>
  <c r="D69" i="22"/>
  <c r="D68" i="22"/>
  <c r="D67" i="22"/>
  <c r="D66" i="22"/>
  <c r="D65" i="22"/>
  <c r="D64" i="22"/>
  <c r="D63" i="22"/>
  <c r="D62" i="22"/>
  <c r="D61" i="22"/>
  <c r="D60" i="22"/>
  <c r="D59" i="22"/>
  <c r="D58" i="22"/>
  <c r="D57" i="22"/>
  <c r="D56" i="22"/>
  <c r="D55" i="22"/>
  <c r="D54" i="22"/>
  <c r="D53" i="22"/>
  <c r="D52" i="22"/>
  <c r="D51" i="22"/>
  <c r="D50" i="22"/>
  <c r="D49" i="22"/>
  <c r="D48" i="22"/>
  <c r="D47" i="22"/>
  <c r="D46" i="22"/>
  <c r="D45" i="22"/>
  <c r="D44" i="22"/>
  <c r="D43" i="22"/>
  <c r="D42" i="22"/>
  <c r="D41" i="22"/>
  <c r="D40" i="22"/>
  <c r="D39" i="22"/>
  <c r="D38" i="22"/>
  <c r="D37" i="22"/>
  <c r="D36" i="22"/>
  <c r="D35" i="22"/>
  <c r="D34" i="22"/>
  <c r="D33" i="22"/>
  <c r="D32" i="22"/>
  <c r="D31" i="22"/>
  <c r="D30" i="22"/>
  <c r="D29" i="22"/>
  <c r="D28" i="22"/>
  <c r="D27" i="22"/>
  <c r="D26" i="22"/>
  <c r="D25" i="22"/>
  <c r="D24" i="22"/>
  <c r="D23" i="22"/>
  <c r="D22" i="22"/>
  <c r="D21" i="22"/>
  <c r="D20" i="22"/>
  <c r="D19" i="22"/>
  <c r="D18" i="22"/>
  <c r="D17" i="22"/>
  <c r="D16" i="22"/>
  <c r="D15" i="22"/>
  <c r="D14" i="22"/>
  <c r="D2" i="22" l="1"/>
  <c r="D13" i="22"/>
  <c r="D12" i="22"/>
  <c r="D11" i="22"/>
  <c r="D10" i="22"/>
  <c r="D9" i="22"/>
  <c r="D8" i="22"/>
  <c r="D7" i="22"/>
  <c r="D6" i="22"/>
  <c r="D5" i="22"/>
  <c r="D4" i="22"/>
  <c r="D3" i="22"/>
  <c r="H158" i="17" l="1"/>
  <c r="H157" i="17"/>
  <c r="H156" i="17"/>
  <c r="H155" i="17"/>
  <c r="H154" i="17"/>
  <c r="H153" i="17"/>
  <c r="H152" i="17"/>
  <c r="H151" i="17"/>
  <c r="D124" i="7" s="1"/>
  <c r="H150" i="17"/>
  <c r="H149" i="17"/>
  <c r="H148" i="17"/>
  <c r="H147" i="17"/>
  <c r="H146" i="17"/>
  <c r="H145" i="17"/>
  <c r="H144" i="17"/>
  <c r="H143" i="17"/>
  <c r="H142" i="17"/>
  <c r="H141" i="17"/>
  <c r="H140" i="17"/>
  <c r="H139" i="17"/>
  <c r="H138" i="17"/>
  <c r="H137" i="17"/>
  <c r="H136" i="17"/>
  <c r="H135" i="17"/>
  <c r="H100" i="17" l="1"/>
  <c r="D63" i="7" s="1"/>
  <c r="H60" i="17"/>
  <c r="D131" i="7" s="1"/>
  <c r="H61" i="17"/>
  <c r="D132" i="7" s="1"/>
  <c r="H62" i="17"/>
  <c r="H64" i="17"/>
  <c r="H65" i="17"/>
  <c r="H66" i="17"/>
  <c r="D55" i="7" s="1"/>
  <c r="H67" i="17"/>
  <c r="D54" i="7" s="1"/>
  <c r="H68" i="17"/>
  <c r="D50" i="7" s="1"/>
  <c r="H70" i="17"/>
  <c r="H71" i="17"/>
  <c r="H72" i="17"/>
  <c r="D52" i="7" s="1"/>
  <c r="H73" i="17"/>
  <c r="H74" i="17"/>
  <c r="D51" i="7" s="1"/>
  <c r="H75" i="17"/>
  <c r="D56" i="7" s="1"/>
  <c r="H76" i="17"/>
  <c r="H77" i="17"/>
  <c r="H78" i="17"/>
  <c r="H79" i="17"/>
  <c r="H80" i="17"/>
  <c r="H81" i="17"/>
  <c r="H82" i="17"/>
  <c r="H83" i="17"/>
  <c r="D58" i="7" s="1"/>
  <c r="H84" i="17"/>
  <c r="H85" i="17"/>
  <c r="D57" i="7" s="1"/>
  <c r="H86" i="17"/>
  <c r="D59" i="7" s="1"/>
  <c r="H87" i="17"/>
  <c r="H88" i="17"/>
  <c r="H89" i="17"/>
  <c r="H90" i="17"/>
  <c r="D60" i="7" s="1"/>
  <c r="H91" i="17"/>
  <c r="D133" i="7" s="1"/>
  <c r="H92" i="17"/>
  <c r="D61" i="7" s="1"/>
  <c r="H93" i="17"/>
  <c r="H94" i="17"/>
  <c r="H95" i="17"/>
  <c r="H96" i="17"/>
  <c r="H97" i="17"/>
  <c r="D62" i="7" s="1"/>
  <c r="H98" i="17"/>
  <c r="D134" i="7" s="1"/>
  <c r="H99" i="17"/>
  <c r="H101" i="17"/>
  <c r="H102" i="17"/>
  <c r="D65" i="7" s="1"/>
  <c r="H103" i="17"/>
  <c r="H104" i="17"/>
  <c r="D67" i="7" s="1"/>
  <c r="H105" i="17"/>
  <c r="H106" i="17"/>
  <c r="D69" i="7" s="1"/>
  <c r="H107" i="17"/>
  <c r="D71" i="7" s="1"/>
  <c r="H108" i="17"/>
  <c r="D45" i="7" s="1"/>
  <c r="H109" i="17"/>
  <c r="H110" i="17"/>
  <c r="D113" i="7" s="1"/>
  <c r="H111" i="17"/>
  <c r="H112" i="17"/>
  <c r="H113" i="17"/>
  <c r="H114" i="17"/>
  <c r="H115" i="17"/>
  <c r="H116" i="17"/>
  <c r="H117" i="17"/>
  <c r="H118" i="17"/>
  <c r="H119" i="17"/>
  <c r="H120" i="17"/>
  <c r="D120" i="7" s="1"/>
  <c r="H121" i="17"/>
  <c r="H122" i="17"/>
  <c r="H123" i="17"/>
  <c r="H124" i="17"/>
  <c r="H125" i="17"/>
  <c r="H126" i="17"/>
  <c r="H127" i="17"/>
  <c r="D126" i="7" s="1"/>
  <c r="H128" i="17"/>
  <c r="H129" i="17"/>
  <c r="H130" i="17"/>
  <c r="D46" i="7" s="1"/>
  <c r="H131" i="17"/>
  <c r="H132" i="17"/>
  <c r="D47" i="7" s="1"/>
  <c r="H133" i="17"/>
  <c r="H134" i="17"/>
  <c r="H59" i="17"/>
  <c r="D49" i="7" s="1"/>
  <c r="D74" i="7"/>
  <c r="D53" i="7"/>
  <c r="H27" i="17"/>
  <c r="H28" i="17"/>
  <c r="H29" i="17"/>
  <c r="H30" i="17"/>
  <c r="H31" i="17"/>
  <c r="C31" i="22" s="1"/>
  <c r="H32" i="17"/>
  <c r="H33" i="17"/>
  <c r="C33" i="22" s="1"/>
  <c r="H34" i="17"/>
  <c r="C34" i="22" s="1"/>
  <c r="H35" i="17"/>
  <c r="C35" i="22" s="1"/>
  <c r="H36" i="17"/>
  <c r="C36" i="22" s="1"/>
  <c r="H37" i="17"/>
  <c r="H38" i="17"/>
  <c r="H39" i="17"/>
  <c r="H40" i="17"/>
  <c r="D33" i="7" s="1"/>
  <c r="H41" i="17"/>
  <c r="H42" i="17"/>
  <c r="D35" i="7" s="1"/>
  <c r="H43" i="17"/>
  <c r="D34" i="7" s="1"/>
  <c r="H44" i="17"/>
  <c r="D38" i="7" s="1"/>
  <c r="H45" i="17"/>
  <c r="H46" i="17"/>
  <c r="H48" i="17"/>
  <c r="D40" i="7" s="1"/>
  <c r="H49" i="17"/>
  <c r="D39" i="7" s="1"/>
  <c r="H50" i="17"/>
  <c r="D41" i="7" s="1"/>
  <c r="H51" i="17"/>
  <c r="H52" i="17"/>
  <c r="H53" i="17"/>
  <c r="D107" i="7" s="1"/>
  <c r="H54" i="17"/>
  <c r="D43" i="7" s="1"/>
  <c r="H55" i="17"/>
  <c r="H56" i="17"/>
  <c r="H57" i="17"/>
  <c r="D44" i="7" s="1"/>
  <c r="H58" i="17"/>
  <c r="D108" i="7" s="1"/>
  <c r="H20" i="17"/>
  <c r="H21" i="17"/>
  <c r="C21" i="22" s="1"/>
  <c r="H22" i="17"/>
  <c r="C22" i="22" s="1"/>
  <c r="H23" i="17"/>
  <c r="C23" i="22" s="1"/>
  <c r="H24" i="17"/>
  <c r="H25" i="17"/>
  <c r="C25" i="22" s="1"/>
  <c r="H26" i="17"/>
  <c r="C26" i="22" s="1"/>
  <c r="H19" i="17"/>
  <c r="D23" i="7" s="1"/>
  <c r="H3" i="17"/>
  <c r="C3" i="22" s="1"/>
  <c r="H4" i="17"/>
  <c r="C4" i="22" s="1"/>
  <c r="H5" i="17"/>
  <c r="C5" i="22" s="1"/>
  <c r="H6" i="17"/>
  <c r="C6" i="22" s="1"/>
  <c r="H7" i="17"/>
  <c r="C7" i="22" s="1"/>
  <c r="H8" i="17"/>
  <c r="C8" i="22" s="1"/>
  <c r="H9" i="17"/>
  <c r="C9" i="22" s="1"/>
  <c r="H10" i="17"/>
  <c r="C10" i="22" s="1"/>
  <c r="H11" i="17"/>
  <c r="C11" i="22" s="1"/>
  <c r="H12" i="17"/>
  <c r="C12" i="22" s="1"/>
  <c r="H13" i="17"/>
  <c r="C13" i="22" s="1"/>
  <c r="H14" i="17"/>
  <c r="H15" i="17"/>
  <c r="H16" i="17"/>
  <c r="H17" i="17"/>
  <c r="H18" i="17"/>
  <c r="C18" i="22" s="1"/>
  <c r="H2" i="17"/>
  <c r="C2" i="22" s="1"/>
  <c r="D73" i="7" l="1"/>
  <c r="D78" i="7"/>
  <c r="D16" i="7"/>
  <c r="D30" i="7"/>
  <c r="D76" i="7"/>
  <c r="D31" i="7"/>
  <c r="D20" i="7"/>
  <c r="D10" i="7"/>
  <c r="D9" i="7"/>
  <c r="D26" i="7"/>
  <c r="D25" i="7"/>
  <c r="C32" i="22"/>
  <c r="D104" i="7"/>
  <c r="D97" i="7"/>
  <c r="C17" i="22"/>
  <c r="C29" i="22"/>
  <c r="D102" i="7"/>
  <c r="D21" i="7"/>
  <c r="D17" i="7"/>
  <c r="D12" i="7"/>
  <c r="D24" i="7"/>
  <c r="D28" i="7"/>
  <c r="D36" i="7"/>
  <c r="D151" i="7"/>
  <c r="D128" i="7"/>
  <c r="D127" i="7"/>
  <c r="D150" i="7"/>
  <c r="D149" i="7"/>
  <c r="D125" i="7"/>
  <c r="D143" i="7"/>
  <c r="D117" i="7"/>
  <c r="D112" i="7"/>
  <c r="D135" i="7"/>
  <c r="D109" i="7"/>
  <c r="C16" i="22"/>
  <c r="D101" i="7"/>
  <c r="C28" i="22"/>
  <c r="D148" i="7"/>
  <c r="D123" i="7"/>
  <c r="D116" i="7"/>
  <c r="D142" i="7"/>
  <c r="D137" i="7"/>
  <c r="D111" i="7"/>
  <c r="C20" i="22"/>
  <c r="D99" i="7"/>
  <c r="D15" i="7"/>
  <c r="D147" i="7"/>
  <c r="D122" i="7"/>
  <c r="D119" i="7"/>
  <c r="D145" i="7"/>
  <c r="D115" i="7"/>
  <c r="D141" i="7"/>
  <c r="D136" i="7"/>
  <c r="D110" i="7"/>
  <c r="C15" i="22"/>
  <c r="C24" i="22"/>
  <c r="C27" i="22"/>
  <c r="D100" i="7"/>
  <c r="D19" i="7"/>
  <c r="D96" i="7"/>
  <c r="C14" i="22"/>
  <c r="C19" i="22"/>
  <c r="D103" i="7"/>
  <c r="C30" i="22"/>
  <c r="D7" i="7"/>
  <c r="D18" i="7"/>
  <c r="D13" i="7"/>
  <c r="D8" i="7"/>
  <c r="D27" i="7"/>
  <c r="D32" i="7"/>
  <c r="D72" i="7"/>
  <c r="D75" i="7"/>
  <c r="D152" i="7"/>
  <c r="D129" i="7"/>
  <c r="D146" i="7"/>
  <c r="D121" i="7"/>
  <c r="D144" i="7"/>
  <c r="D118" i="7"/>
  <c r="D140" i="7"/>
  <c r="D114" i="7"/>
  <c r="K31" i="17" l="1"/>
  <c r="J31" i="17"/>
  <c r="F30" i="7" s="1"/>
  <c r="D57" i="17"/>
  <c r="D52" i="17"/>
  <c r="D48" i="17"/>
  <c r="D42" i="17"/>
  <c r="D38" i="17"/>
  <c r="D149" i="17"/>
  <c r="F47" i="7" l="1"/>
  <c r="F66" i="7"/>
  <c r="D66" i="7"/>
  <c r="F46" i="7"/>
  <c r="F64" i="7"/>
  <c r="D64" i="7"/>
  <c r="D70" i="7"/>
  <c r="F70" i="7"/>
  <c r="F45" i="7"/>
  <c r="F68" i="7"/>
  <c r="D68" i="7"/>
  <c r="C39" i="22"/>
  <c r="C43" i="22"/>
  <c r="C47" i="22"/>
  <c r="C51" i="22"/>
  <c r="C55" i="22"/>
  <c r="C59" i="22"/>
  <c r="C63" i="22"/>
  <c r="C67" i="22"/>
  <c r="C71" i="22"/>
  <c r="C75" i="22"/>
  <c r="C79" i="22"/>
  <c r="C83" i="22"/>
  <c r="C87" i="22"/>
  <c r="C91" i="22"/>
  <c r="C94" i="22"/>
  <c r="C99" i="22"/>
  <c r="C103" i="22"/>
  <c r="C107" i="22"/>
  <c r="C111" i="22"/>
  <c r="C115" i="22"/>
  <c r="C119" i="22"/>
  <c r="C123" i="22"/>
  <c r="C40" i="22"/>
  <c r="C44" i="22"/>
  <c r="C48" i="22"/>
  <c r="C52" i="22"/>
  <c r="C56" i="22"/>
  <c r="C60" i="22"/>
  <c r="C64" i="22"/>
  <c r="C68" i="22"/>
  <c r="C72" i="22"/>
  <c r="C76" i="22"/>
  <c r="C80" i="22"/>
  <c r="C84" i="22"/>
  <c r="C88" i="22"/>
  <c r="C92" i="22"/>
  <c r="C96" i="22"/>
  <c r="C100" i="22"/>
  <c r="C104" i="22"/>
  <c r="C108" i="22"/>
  <c r="C112" i="22"/>
  <c r="C116" i="22"/>
  <c r="C120" i="22"/>
  <c r="C124" i="22"/>
  <c r="C37" i="22"/>
  <c r="C41" i="22"/>
  <c r="C45" i="22"/>
  <c r="C49" i="22"/>
  <c r="C53" i="22"/>
  <c r="C57" i="22"/>
  <c r="C61" i="22"/>
  <c r="C65" i="22"/>
  <c r="C69" i="22"/>
  <c r="C73" i="22"/>
  <c r="C77" i="22"/>
  <c r="C81" i="22"/>
  <c r="C85" i="22"/>
  <c r="C89" i="22"/>
  <c r="C93" i="22"/>
  <c r="C97" i="22"/>
  <c r="C101" i="22"/>
  <c r="C105" i="22"/>
  <c r="C109" i="22"/>
  <c r="C113" i="22"/>
  <c r="C117" i="22"/>
  <c r="C121" i="22"/>
  <c r="C125" i="22"/>
  <c r="C38" i="22"/>
  <c r="C42" i="22"/>
  <c r="C46" i="22"/>
  <c r="C50" i="22"/>
  <c r="C54" i="22"/>
  <c r="C58" i="22"/>
  <c r="C62" i="22"/>
  <c r="C66" i="22"/>
  <c r="C70" i="22"/>
  <c r="C74" i="22"/>
  <c r="C78" i="22"/>
  <c r="C82" i="22"/>
  <c r="C86" i="22"/>
  <c r="C90" i="22"/>
  <c r="C95" i="22"/>
  <c r="C98" i="22"/>
  <c r="C102" i="22"/>
  <c r="C106" i="22"/>
  <c r="C110" i="22"/>
  <c r="C114" i="22"/>
  <c r="C118" i="22"/>
  <c r="C122" i="22"/>
  <c r="J61" i="17"/>
  <c r="F132" i="7" s="1"/>
  <c r="J60" i="17"/>
  <c r="F131" i="7" s="1"/>
  <c r="K61" i="17"/>
  <c r="K60" i="17"/>
  <c r="M60" i="17" l="1"/>
  <c r="E131" i="7" s="1"/>
  <c r="M61" i="17"/>
  <c r="E132" i="7" s="1"/>
  <c r="G131" i="7" l="1"/>
  <c r="G132" i="7"/>
  <c r="M31" i="17" l="1"/>
  <c r="S7" i="17" l="1"/>
  <c r="Q6" i="17"/>
  <c r="T6" i="17" s="1"/>
  <c r="R1" i="17"/>
  <c r="S1" i="17" s="1"/>
  <c r="R6" i="17" l="1"/>
  <c r="R5" i="17"/>
  <c r="T5" i="17"/>
  <c r="T4" i="17"/>
  <c r="Q7" i="17"/>
  <c r="K84" i="17" l="1"/>
  <c r="M84" i="17" s="1"/>
  <c r="K72" i="17"/>
  <c r="M72" i="17" s="1"/>
  <c r="J56" i="17"/>
  <c r="J55" i="17"/>
  <c r="J96" i="17"/>
  <c r="J95" i="17"/>
  <c r="J94" i="17"/>
  <c r="J93" i="17"/>
  <c r="J51" i="17"/>
  <c r="J90" i="17"/>
  <c r="F60" i="7" s="1"/>
  <c r="J89" i="17"/>
  <c r="J88" i="17"/>
  <c r="J87" i="17"/>
  <c r="J46" i="17"/>
  <c r="J45" i="17"/>
  <c r="J85" i="17"/>
  <c r="F57" i="7" s="1"/>
  <c r="J84" i="17"/>
  <c r="J83" i="17"/>
  <c r="F58" i="7" s="1"/>
  <c r="J82" i="17"/>
  <c r="J81" i="17"/>
  <c r="J80" i="17"/>
  <c r="J79" i="17"/>
  <c r="J78" i="17"/>
  <c r="J77" i="17"/>
  <c r="J76" i="17"/>
  <c r="J37" i="17"/>
  <c r="J41" i="17"/>
  <c r="J72" i="17"/>
  <c r="F52" i="7" s="1"/>
  <c r="J71" i="17"/>
  <c r="J70" i="17"/>
  <c r="J65" i="17"/>
  <c r="J64" i="17"/>
  <c r="J100" i="17"/>
  <c r="F63" i="7" s="1"/>
  <c r="J102" i="17"/>
  <c r="F65" i="7" s="1"/>
  <c r="J104" i="17"/>
  <c r="F67" i="7" s="1"/>
  <c r="J106" i="17"/>
  <c r="F69" i="7" s="1"/>
  <c r="K136" i="17"/>
  <c r="K138" i="17"/>
  <c r="K140" i="17"/>
  <c r="K142" i="17"/>
  <c r="K144" i="17"/>
  <c r="K146" i="17"/>
  <c r="K148" i="17"/>
  <c r="K150" i="17"/>
  <c r="K152" i="17"/>
  <c r="K154" i="17"/>
  <c r="K156" i="17"/>
  <c r="K158" i="17"/>
  <c r="M150" i="17" l="1"/>
  <c r="E123" i="7" s="1"/>
  <c r="M156" i="17"/>
  <c r="E47" i="7" s="1"/>
  <c r="M152" i="17"/>
  <c r="E125" i="7" s="1"/>
  <c r="M146" i="17"/>
  <c r="E119" i="7" s="1"/>
  <c r="M142" i="17"/>
  <c r="E115" i="7" s="1"/>
  <c r="M140" i="17"/>
  <c r="E112" i="7" s="1"/>
  <c r="M138" i="17"/>
  <c r="E110" i="7" s="1"/>
  <c r="M136" i="17"/>
  <c r="E109" i="7" s="1"/>
  <c r="M158" i="17"/>
  <c r="E129" i="7" s="1"/>
  <c r="M154" i="17"/>
  <c r="E127" i="7" s="1"/>
  <c r="M148" i="17"/>
  <c r="E121" i="7" s="1"/>
  <c r="M144" i="17"/>
  <c r="E117" i="7" s="1"/>
  <c r="N47" i="7" l="1"/>
  <c r="G47" i="7"/>
  <c r="J107" i="17"/>
  <c r="F71" i="7" s="1"/>
  <c r="J59" i="17"/>
  <c r="F49" i="7" s="1"/>
  <c r="J57" i="17"/>
  <c r="F44" i="7" s="1"/>
  <c r="J54" i="17"/>
  <c r="F43" i="7" s="1"/>
  <c r="J97" i="17"/>
  <c r="F62" i="7" s="1"/>
  <c r="J92" i="17"/>
  <c r="F61" i="7" s="1"/>
  <c r="J58" i="17"/>
  <c r="F108" i="7" s="1"/>
  <c r="J98" i="17"/>
  <c r="F134" i="7" s="1"/>
  <c r="J50" i="17"/>
  <c r="F41" i="7" s="1"/>
  <c r="J52" i="17"/>
  <c r="J86" i="17"/>
  <c r="F59" i="7" s="1"/>
  <c r="J53" i="17"/>
  <c r="F107" i="7" s="1"/>
  <c r="J38" i="17"/>
  <c r="J67" i="17"/>
  <c r="F54" i="7" s="1"/>
  <c r="J66" i="17"/>
  <c r="F55" i="7" s="1"/>
  <c r="J39" i="17"/>
  <c r="J43" i="17"/>
  <c r="F34" i="7" s="1"/>
  <c r="J42" i="17"/>
  <c r="F35" i="7" s="1"/>
  <c r="J74" i="17"/>
  <c r="F51" i="7" s="1"/>
  <c r="J73" i="17"/>
  <c r="J91" i="17"/>
  <c r="F133" i="7" s="1"/>
  <c r="J49" i="17"/>
  <c r="F39" i="7" s="1"/>
  <c r="J48" i="17"/>
  <c r="F40" i="7" s="1"/>
  <c r="M105" i="17"/>
  <c r="E70" i="7" s="1"/>
  <c r="M103" i="17"/>
  <c r="E68" i="7" s="1"/>
  <c r="M101" i="17"/>
  <c r="E66" i="7" s="1"/>
  <c r="M99" i="17"/>
  <c r="E64" i="7" s="1"/>
  <c r="M35" i="17"/>
  <c r="E105" i="7" s="1"/>
  <c r="M34" i="17"/>
  <c r="M33" i="17"/>
  <c r="M32" i="17"/>
  <c r="E104" i="7" s="1"/>
  <c r="J75" i="17"/>
  <c r="F56" i="7" s="1"/>
  <c r="J44" i="17"/>
  <c r="F38" i="7" s="1"/>
  <c r="J62" i="17"/>
  <c r="F53" i="7" s="1"/>
  <c r="J36" i="17"/>
  <c r="F36" i="7" s="1"/>
  <c r="J68" i="17"/>
  <c r="F50" i="7" s="1"/>
  <c r="J40" i="17"/>
  <c r="F33" i="7" s="1"/>
  <c r="K14" i="17"/>
  <c r="K15" i="17"/>
  <c r="M15" i="17" s="1"/>
  <c r="E11" i="7" s="1"/>
  <c r="K16" i="17"/>
  <c r="M16" i="17" s="1"/>
  <c r="E14" i="7" s="1"/>
  <c r="K17" i="17"/>
  <c r="M17" i="17" s="1"/>
  <c r="E97" i="7" s="1"/>
  <c r="K107" i="17"/>
  <c r="M107" i="17" s="1"/>
  <c r="E71" i="7" s="1"/>
  <c r="K59" i="17"/>
  <c r="M59" i="17" s="1"/>
  <c r="E49" i="7" s="1"/>
  <c r="K30" i="17"/>
  <c r="M30" i="17" s="1"/>
  <c r="E103" i="7" s="1"/>
  <c r="K29" i="17"/>
  <c r="M29" i="17" s="1"/>
  <c r="E102" i="7" s="1"/>
  <c r="K28" i="17"/>
  <c r="M28" i="17" s="1"/>
  <c r="E101" i="7" s="1"/>
  <c r="K27" i="17"/>
  <c r="M27" i="17" s="1"/>
  <c r="E100" i="7" s="1"/>
  <c r="K134" i="17"/>
  <c r="M134" i="17" s="1"/>
  <c r="E152" i="7" s="1"/>
  <c r="K132" i="17"/>
  <c r="M132" i="17" s="1"/>
  <c r="E78" i="7" s="1"/>
  <c r="K129" i="17"/>
  <c r="M129" i="17" s="1"/>
  <c r="E150" i="7" s="1"/>
  <c r="K125" i="17"/>
  <c r="M125" i="17" s="1"/>
  <c r="E149" i="7" s="1"/>
  <c r="K124" i="17"/>
  <c r="M124" i="17" s="1"/>
  <c r="E148" i="7" s="1"/>
  <c r="K122" i="17"/>
  <c r="M122" i="17" s="1"/>
  <c r="E146" i="7" s="1"/>
  <c r="K119" i="17"/>
  <c r="M119" i="17" s="1"/>
  <c r="E145" i="7" s="1"/>
  <c r="K117" i="17"/>
  <c r="M117" i="17" s="1"/>
  <c r="E143" i="7" s="1"/>
  <c r="K115" i="17"/>
  <c r="M115" i="17" s="1"/>
  <c r="E141" i="7" s="1"/>
  <c r="K113" i="17"/>
  <c r="M113" i="17" s="1"/>
  <c r="E138" i="7" s="1"/>
  <c r="K111" i="17"/>
  <c r="M111" i="17" s="1"/>
  <c r="E136" i="7" s="1"/>
  <c r="K109" i="17"/>
  <c r="M109" i="17" s="1"/>
  <c r="E135" i="7" s="1"/>
  <c r="K98" i="17"/>
  <c r="M98" i="17" s="1"/>
  <c r="E134" i="7" s="1"/>
  <c r="K91" i="17"/>
  <c r="M91" i="17" s="1"/>
  <c r="E133" i="7" s="1"/>
  <c r="K85" i="17"/>
  <c r="M85" i="17" s="1"/>
  <c r="K67" i="17"/>
  <c r="M67" i="17" s="1"/>
  <c r="K74" i="17"/>
  <c r="M74" i="17" s="1"/>
  <c r="E51" i="7" s="1"/>
  <c r="K97" i="17"/>
  <c r="M97" i="17" s="1"/>
  <c r="K90" i="17"/>
  <c r="M90" i="17" s="1"/>
  <c r="K83" i="17"/>
  <c r="M83" i="17" s="1"/>
  <c r="K66" i="17"/>
  <c r="M66" i="17" s="1"/>
  <c r="K73" i="17"/>
  <c r="M73" i="17" s="1"/>
  <c r="K58" i="17"/>
  <c r="M58" i="17" s="1"/>
  <c r="E108" i="7" s="1"/>
  <c r="K53" i="17"/>
  <c r="M53" i="17" s="1"/>
  <c r="E107" i="7" s="1"/>
  <c r="K49" i="17"/>
  <c r="M49" i="17" s="1"/>
  <c r="K39" i="17"/>
  <c r="M39" i="17" s="1"/>
  <c r="E37" i="7" s="1"/>
  <c r="K43" i="17"/>
  <c r="M43" i="17" s="1"/>
  <c r="E34" i="7" s="1"/>
  <c r="K57" i="17"/>
  <c r="M57" i="17" s="1"/>
  <c r="E44" i="7" s="1"/>
  <c r="K52" i="17"/>
  <c r="M52" i="17" s="1"/>
  <c r="E42" i="7" s="1"/>
  <c r="K48" i="17"/>
  <c r="M48" i="17" s="1"/>
  <c r="K38" i="17"/>
  <c r="M38" i="17" s="1"/>
  <c r="E106" i="7" s="1"/>
  <c r="K42" i="17"/>
  <c r="M42" i="17" s="1"/>
  <c r="K18" i="17"/>
  <c r="M18" i="17" s="1"/>
  <c r="E21" i="7" s="1"/>
  <c r="J18" i="17"/>
  <c r="F21" i="7" s="1"/>
  <c r="J105" i="17"/>
  <c r="J35" i="17"/>
  <c r="J30" i="17"/>
  <c r="F103" i="7" s="1"/>
  <c r="J26" i="17"/>
  <c r="F28" i="7" s="1"/>
  <c r="J25" i="17"/>
  <c r="F27" i="7" s="1"/>
  <c r="J17" i="17"/>
  <c r="J11" i="17"/>
  <c r="F20" i="7" s="1"/>
  <c r="J12" i="17"/>
  <c r="F15" i="7" s="1"/>
  <c r="J13" i="17"/>
  <c r="F16" i="7" s="1"/>
  <c r="J103" i="17"/>
  <c r="J34" i="17"/>
  <c r="F32" i="7" s="1"/>
  <c r="J29" i="17"/>
  <c r="F102" i="7" s="1"/>
  <c r="J24" i="17"/>
  <c r="J23" i="17"/>
  <c r="F26" i="7" s="1"/>
  <c r="J16" i="17"/>
  <c r="J8" i="17"/>
  <c r="F19" i="7" s="1"/>
  <c r="J9" i="17"/>
  <c r="F12" i="7" s="1"/>
  <c r="J10" i="17"/>
  <c r="F13" i="7" s="1"/>
  <c r="J101" i="17"/>
  <c r="J33" i="17"/>
  <c r="F31" i="7" s="1"/>
  <c r="J28" i="17"/>
  <c r="F101" i="7" s="1"/>
  <c r="J22" i="17"/>
  <c r="F25" i="7" s="1"/>
  <c r="J21" i="17"/>
  <c r="F24" i="7" s="1"/>
  <c r="J15" i="17"/>
  <c r="J5" i="17"/>
  <c r="F18" i="7" s="1"/>
  <c r="J6" i="17"/>
  <c r="F9" i="7" s="1"/>
  <c r="J7" i="17"/>
  <c r="F10" i="7" s="1"/>
  <c r="J99" i="17"/>
  <c r="J32" i="17"/>
  <c r="F104" i="7" s="1"/>
  <c r="J27" i="17"/>
  <c r="F100" i="7" s="1"/>
  <c r="J20" i="17"/>
  <c r="F99" i="7" s="1"/>
  <c r="J19" i="17"/>
  <c r="J14" i="17"/>
  <c r="J2" i="17"/>
  <c r="F17" i="7" s="1"/>
  <c r="J3" i="17"/>
  <c r="F7" i="7" s="1"/>
  <c r="J4" i="17"/>
  <c r="F8" i="7" s="1"/>
  <c r="G106" i="7" l="1"/>
  <c r="N106" i="7"/>
  <c r="N42" i="7"/>
  <c r="G42" i="7"/>
  <c r="G105" i="7"/>
  <c r="N105" i="7"/>
  <c r="N37" i="7"/>
  <c r="G37" i="7"/>
  <c r="N14" i="7"/>
  <c r="G14" i="7"/>
  <c r="G11" i="7"/>
  <c r="N11" i="7"/>
  <c r="N70" i="7"/>
  <c r="G70" i="7"/>
  <c r="N64" i="7"/>
  <c r="G64" i="7"/>
  <c r="N66" i="7"/>
  <c r="G66" i="7"/>
  <c r="G68" i="7"/>
  <c r="N68" i="7"/>
  <c r="E60" i="7"/>
  <c r="E35" i="7"/>
  <c r="E54" i="7"/>
  <c r="E39" i="7"/>
  <c r="E57" i="7"/>
  <c r="E40" i="7"/>
  <c r="E52" i="7"/>
  <c r="E55" i="7"/>
  <c r="E58" i="7"/>
  <c r="E62" i="7"/>
  <c r="G133" i="7"/>
  <c r="G134" i="7"/>
  <c r="G107" i="7"/>
  <c r="G108" i="7"/>
  <c r="N30" i="7"/>
  <c r="N78" i="7"/>
  <c r="N71" i="7"/>
  <c r="N31" i="7"/>
  <c r="N21" i="7"/>
  <c r="N51" i="7"/>
  <c r="N32" i="7"/>
  <c r="G62" i="7" l="1"/>
  <c r="N40" i="7"/>
  <c r="N57" i="7"/>
  <c r="G52" i="7"/>
  <c r="N39" i="7"/>
  <c r="N54" i="7"/>
  <c r="G58" i="7"/>
  <c r="N35" i="7"/>
  <c r="G44" i="7"/>
  <c r="N60" i="7"/>
  <c r="N55" i="7"/>
  <c r="G39" i="7"/>
  <c r="G40" i="7"/>
  <c r="G57" i="7"/>
  <c r="N62" i="7"/>
  <c r="N52" i="7"/>
  <c r="G54" i="7"/>
  <c r="N58" i="7"/>
  <c r="N44" i="7"/>
  <c r="G60" i="7"/>
  <c r="G55" i="7"/>
  <c r="E98" i="7"/>
  <c r="N49" i="7"/>
  <c r="G35" i="7"/>
  <c r="G21" i="7"/>
  <c r="G101" i="7"/>
  <c r="G100" i="7"/>
  <c r="G32" i="7"/>
  <c r="G97" i="7"/>
  <c r="G96" i="7"/>
  <c r="G103" i="7"/>
  <c r="G102" i="7"/>
  <c r="G31" i="7"/>
  <c r="G104" i="7"/>
  <c r="G49" i="7"/>
  <c r="G30" i="7"/>
  <c r="G71" i="7"/>
  <c r="G51" i="7"/>
  <c r="N34" i="7"/>
  <c r="H60" i="4"/>
  <c r="G98" i="7" l="1"/>
  <c r="G34" i="7"/>
  <c r="C40" i="4"/>
  <c r="J135" i="17" l="1"/>
  <c r="J136" i="17"/>
  <c r="J108" i="17"/>
  <c r="J109" i="17"/>
  <c r="C61" i="4"/>
  <c r="G93" i="7" s="1"/>
  <c r="F135" i="7" l="1"/>
  <c r="G135" i="7" s="1"/>
  <c r="F109" i="7"/>
  <c r="G109" i="7" s="1"/>
  <c r="F72" i="7"/>
  <c r="E61" i="4"/>
  <c r="C54" i="4"/>
  <c r="C53" i="4"/>
  <c r="C51" i="4"/>
  <c r="C50" i="4"/>
  <c r="C49" i="4"/>
  <c r="C47" i="4"/>
  <c r="C46" i="4"/>
  <c r="C45" i="4"/>
  <c r="C44" i="4"/>
  <c r="C42" i="4"/>
  <c r="C41" i="4"/>
  <c r="J137" i="17" l="1"/>
  <c r="J138" i="17"/>
  <c r="J111" i="17"/>
  <c r="J110" i="17"/>
  <c r="J145" i="17"/>
  <c r="J146" i="17"/>
  <c r="J119" i="17"/>
  <c r="J118" i="17"/>
  <c r="J128" i="17"/>
  <c r="J153" i="17"/>
  <c r="J154" i="17"/>
  <c r="J127" i="17"/>
  <c r="J129" i="17"/>
  <c r="J139" i="17"/>
  <c r="J140" i="17"/>
  <c r="J112" i="17"/>
  <c r="J113" i="17"/>
  <c r="J147" i="17"/>
  <c r="J148" i="17"/>
  <c r="J121" i="17"/>
  <c r="J122" i="17"/>
  <c r="J120" i="17"/>
  <c r="J131" i="17"/>
  <c r="J155" i="17"/>
  <c r="J156" i="17"/>
  <c r="J132" i="17"/>
  <c r="J130" i="17"/>
  <c r="J143" i="17"/>
  <c r="J144" i="17"/>
  <c r="J117" i="17"/>
  <c r="J116" i="17"/>
  <c r="J152" i="17"/>
  <c r="J151" i="17"/>
  <c r="F124" i="7" s="1"/>
  <c r="J126" i="17"/>
  <c r="F74" i="7" s="1"/>
  <c r="J125" i="17"/>
  <c r="J141" i="17"/>
  <c r="J142" i="17"/>
  <c r="J115" i="17"/>
  <c r="J114" i="17"/>
  <c r="J149" i="17"/>
  <c r="J150" i="17"/>
  <c r="J123" i="17"/>
  <c r="J124" i="17"/>
  <c r="J157" i="17"/>
  <c r="J158" i="17"/>
  <c r="J134" i="17"/>
  <c r="J133" i="17"/>
  <c r="C7" i="4"/>
  <c r="C8" i="4"/>
  <c r="C9" i="4"/>
  <c r="C10" i="4"/>
  <c r="F145" i="7" l="1"/>
  <c r="G145" i="7" s="1"/>
  <c r="F119" i="7"/>
  <c r="G119" i="7" s="1"/>
  <c r="F151" i="7"/>
  <c r="F128" i="7"/>
  <c r="K95" i="17"/>
  <c r="M95" i="17" s="1"/>
  <c r="K89" i="17"/>
  <c r="M89" i="17" s="1"/>
  <c r="K81" i="17"/>
  <c r="M81" i="17" s="1"/>
  <c r="F117" i="7"/>
  <c r="G117" i="7" s="1"/>
  <c r="F143" i="7"/>
  <c r="G143" i="7" s="1"/>
  <c r="K94" i="17"/>
  <c r="M94" i="17" s="1"/>
  <c r="K79" i="17"/>
  <c r="M79" i="17" s="1"/>
  <c r="K88" i="17"/>
  <c r="M88" i="17" s="1"/>
  <c r="K46" i="17"/>
  <c r="M46" i="17" s="1"/>
  <c r="K65" i="17"/>
  <c r="M65" i="17" s="1"/>
  <c r="K56" i="17"/>
  <c r="M56" i="17" s="1"/>
  <c r="K80" i="17"/>
  <c r="M80" i="17" s="1"/>
  <c r="K71" i="17"/>
  <c r="M71" i="17" s="1"/>
  <c r="F148" i="7"/>
  <c r="G148" i="7" s="1"/>
  <c r="F123" i="7"/>
  <c r="G123" i="7" s="1"/>
  <c r="F140" i="7"/>
  <c r="F114" i="7"/>
  <c r="F149" i="7"/>
  <c r="G149" i="7" s="1"/>
  <c r="F125" i="7"/>
  <c r="G125" i="7" s="1"/>
  <c r="F116" i="7"/>
  <c r="F142" i="7"/>
  <c r="F136" i="7"/>
  <c r="G136" i="7" s="1"/>
  <c r="F110" i="7"/>
  <c r="G110" i="7" s="1"/>
  <c r="F152" i="7"/>
  <c r="G152" i="7" s="1"/>
  <c r="F129" i="7"/>
  <c r="G129" i="7" s="1"/>
  <c r="F147" i="7"/>
  <c r="F122" i="7"/>
  <c r="F141" i="7"/>
  <c r="G141" i="7" s="1"/>
  <c r="F115" i="7"/>
  <c r="G115" i="7" s="1"/>
  <c r="F121" i="7"/>
  <c r="G121" i="7" s="1"/>
  <c r="F146" i="7"/>
  <c r="G146" i="7" s="1"/>
  <c r="F138" i="7"/>
  <c r="G138" i="7" s="1"/>
  <c r="F112" i="7"/>
  <c r="G112" i="7" s="1"/>
  <c r="F127" i="7"/>
  <c r="G127" i="7" s="1"/>
  <c r="F150" i="7"/>
  <c r="G150" i="7" s="1"/>
  <c r="F78" i="7"/>
  <c r="G78" i="7" s="1"/>
  <c r="F120" i="7"/>
  <c r="F73" i="7"/>
  <c r="K96" i="17"/>
  <c r="M96" i="17" s="1"/>
  <c r="K82" i="17"/>
  <c r="M82" i="17" s="1"/>
  <c r="K55" i="17"/>
  <c r="M55" i="17" s="1"/>
  <c r="K51" i="17"/>
  <c r="M51" i="17" s="1"/>
  <c r="K77" i="17"/>
  <c r="M77" i="17" s="1"/>
  <c r="K70" i="17"/>
  <c r="M70" i="17" s="1"/>
  <c r="K93" i="17"/>
  <c r="M93" i="17" s="1"/>
  <c r="K87" i="17"/>
  <c r="M87" i="17" s="1"/>
  <c r="K37" i="17"/>
  <c r="M37" i="17" s="1"/>
  <c r="K128" i="17"/>
  <c r="M128" i="17" s="1"/>
  <c r="K45" i="17"/>
  <c r="M45" i="17" s="1"/>
  <c r="K64" i="17"/>
  <c r="M64" i="17" s="1"/>
  <c r="K121" i="17"/>
  <c r="M121" i="17" s="1"/>
  <c r="K78" i="17"/>
  <c r="M78" i="17" s="1"/>
  <c r="K41" i="17"/>
  <c r="M41" i="17" s="1"/>
  <c r="F137" i="7"/>
  <c r="F111" i="7"/>
  <c r="F75" i="7"/>
  <c r="F126" i="7"/>
  <c r="F144" i="7"/>
  <c r="F118" i="7"/>
  <c r="F113" i="7"/>
  <c r="E9" i="4"/>
  <c r="D8" i="4"/>
  <c r="F8" i="4"/>
  <c r="H8" i="4"/>
  <c r="G9" i="4"/>
  <c r="D9" i="4"/>
  <c r="E8" i="4"/>
  <c r="G8" i="4"/>
  <c r="I8" i="4"/>
  <c r="D10" i="4"/>
  <c r="I10" i="4"/>
  <c r="F9" i="4"/>
  <c r="H9" i="4"/>
  <c r="I9" i="4"/>
  <c r="D7" i="4"/>
  <c r="E7" i="4"/>
  <c r="F7" i="4"/>
  <c r="G7" i="4"/>
  <c r="H7" i="4"/>
  <c r="I7" i="4"/>
  <c r="H10" i="4" l="1"/>
  <c r="G10" i="4"/>
  <c r="F10" i="4"/>
  <c r="E10" i="4"/>
  <c r="D60" i="4" l="1"/>
  <c r="C13" i="4"/>
  <c r="C12" i="4"/>
  <c r="C11" i="4"/>
  <c r="N132" i="7" l="1"/>
  <c r="N131" i="7"/>
  <c r="N115" i="7"/>
  <c r="N109" i="7"/>
  <c r="N121" i="7"/>
  <c r="N127" i="7"/>
  <c r="N110" i="7"/>
  <c r="N112" i="7"/>
  <c r="N117" i="7"/>
  <c r="N119" i="7"/>
  <c r="N125" i="7"/>
  <c r="N129" i="7"/>
  <c r="N123" i="7"/>
  <c r="N97" i="7"/>
  <c r="N107" i="7"/>
  <c r="N134" i="7"/>
  <c r="N108" i="7"/>
  <c r="N102" i="7"/>
  <c r="N148" i="7"/>
  <c r="N104" i="7"/>
  <c r="N146" i="7"/>
  <c r="N100" i="7"/>
  <c r="N143" i="7"/>
  <c r="N96" i="7"/>
  <c r="N103" i="7"/>
  <c r="N152" i="7"/>
  <c r="N145" i="7"/>
  <c r="N135" i="7"/>
  <c r="N150" i="7"/>
  <c r="N133" i="7"/>
  <c r="N101" i="7"/>
  <c r="N141" i="7"/>
  <c r="N138" i="7"/>
  <c r="N149" i="7"/>
  <c r="N136" i="7"/>
  <c r="K8" i="17"/>
  <c r="M8" i="17" s="1"/>
  <c r="K5" i="17"/>
  <c r="M5" i="17" s="1"/>
  <c r="K11" i="17"/>
  <c r="M11" i="17" s="1"/>
  <c r="K2" i="17"/>
  <c r="M2" i="17" s="1"/>
  <c r="E17" i="7" s="1"/>
  <c r="K149" i="17"/>
  <c r="M149" i="17" s="1"/>
  <c r="E122" i="7" s="1"/>
  <c r="K123" i="17"/>
  <c r="M123" i="17" s="1"/>
  <c r="E147" i="7" s="1"/>
  <c r="K100" i="17"/>
  <c r="M100" i="17" s="1"/>
  <c r="E63" i="7" s="1"/>
  <c r="K104" i="17"/>
  <c r="M104" i="17" s="1"/>
  <c r="K135" i="17"/>
  <c r="M135" i="17" s="1"/>
  <c r="E45" i="7" s="1"/>
  <c r="K137" i="17"/>
  <c r="M137" i="17" s="1"/>
  <c r="K139" i="17"/>
  <c r="M139" i="17" s="1"/>
  <c r="K141" i="17"/>
  <c r="M141" i="17" s="1"/>
  <c r="E114" i="7" s="1"/>
  <c r="K143" i="17"/>
  <c r="M143" i="17" s="1"/>
  <c r="E116" i="7" s="1"/>
  <c r="K145" i="17"/>
  <c r="M145" i="17" s="1"/>
  <c r="K147" i="17"/>
  <c r="M147" i="17" s="1"/>
  <c r="K153" i="17"/>
  <c r="M153" i="17" s="1"/>
  <c r="K155" i="17"/>
  <c r="M155" i="17" s="1"/>
  <c r="E46" i="7" s="1"/>
  <c r="K157" i="17"/>
  <c r="M157" i="17" s="1"/>
  <c r="E128" i="7" s="1"/>
  <c r="K102" i="17"/>
  <c r="M102" i="17" s="1"/>
  <c r="K76" i="17"/>
  <c r="M76" i="17" s="1"/>
  <c r="K106" i="17"/>
  <c r="M106" i="17" s="1"/>
  <c r="E69" i="7" s="1"/>
  <c r="K127" i="17"/>
  <c r="M127" i="17" s="1"/>
  <c r="K116" i="17"/>
  <c r="M116" i="17" s="1"/>
  <c r="E142" i="7" s="1"/>
  <c r="K108" i="17"/>
  <c r="M108" i="17" s="1"/>
  <c r="K36" i="17"/>
  <c r="M36" i="17" s="1"/>
  <c r="K75" i="17"/>
  <c r="M75" i="17" s="1"/>
  <c r="K151" i="17"/>
  <c r="M151" i="17" s="1"/>
  <c r="E124" i="7" s="1"/>
  <c r="K126" i="17"/>
  <c r="M126" i="17" s="1"/>
  <c r="K114" i="17"/>
  <c r="M114" i="17" s="1"/>
  <c r="K54" i="17"/>
  <c r="M54" i="17" s="1"/>
  <c r="K40" i="17"/>
  <c r="M40" i="17" s="1"/>
  <c r="K62" i="17"/>
  <c r="E53" i="7" s="1"/>
  <c r="K25" i="17"/>
  <c r="M25" i="17" s="1"/>
  <c r="K21" i="17"/>
  <c r="M21" i="17" s="1"/>
  <c r="K13" i="17"/>
  <c r="M13" i="17" s="1"/>
  <c r="K7" i="17"/>
  <c r="K26" i="17"/>
  <c r="M26" i="17" s="1"/>
  <c r="K12" i="17"/>
  <c r="M12" i="17" s="1"/>
  <c r="K133" i="17"/>
  <c r="M133" i="17" s="1"/>
  <c r="E151" i="7" s="1"/>
  <c r="K120" i="17"/>
  <c r="M120" i="17" s="1"/>
  <c r="K112" i="17"/>
  <c r="M112" i="17" s="1"/>
  <c r="E137" i="7" s="1"/>
  <c r="K50" i="17"/>
  <c r="M50" i="17" s="1"/>
  <c r="K92" i="17"/>
  <c r="M92" i="17" s="1"/>
  <c r="K68" i="17"/>
  <c r="M68" i="17" s="1"/>
  <c r="E50" i="7" s="1"/>
  <c r="K24" i="17"/>
  <c r="K20" i="17"/>
  <c r="M20" i="17" s="1"/>
  <c r="K9" i="17"/>
  <c r="M9" i="17" s="1"/>
  <c r="E12" i="7" s="1"/>
  <c r="K3" i="17"/>
  <c r="E7" i="7" s="1"/>
  <c r="K22" i="17"/>
  <c r="M22" i="17" s="1"/>
  <c r="K6" i="17"/>
  <c r="M6" i="17" s="1"/>
  <c r="E9" i="7" s="1"/>
  <c r="K130" i="17"/>
  <c r="M130" i="17" s="1"/>
  <c r="K118" i="17"/>
  <c r="M118" i="17" s="1"/>
  <c r="K110" i="17"/>
  <c r="M110" i="17" s="1"/>
  <c r="E139" i="7" s="1"/>
  <c r="K44" i="17"/>
  <c r="M44" i="17" s="1"/>
  <c r="K86" i="17"/>
  <c r="M86" i="17" s="1"/>
  <c r="K23" i="17"/>
  <c r="K19" i="17"/>
  <c r="M19" i="17" s="1"/>
  <c r="E23" i="7" s="1"/>
  <c r="K10" i="17"/>
  <c r="M10" i="17" s="1"/>
  <c r="K4" i="17"/>
  <c r="M4" i="17" s="1"/>
  <c r="K131" i="17"/>
  <c r="M131" i="17" s="1"/>
  <c r="E77" i="7" s="1"/>
  <c r="D61" i="4"/>
  <c r="I12" i="4"/>
  <c r="H12" i="4"/>
  <c r="G12" i="4"/>
  <c r="F12" i="4"/>
  <c r="E12" i="4"/>
  <c r="D12" i="4"/>
  <c r="I11" i="4"/>
  <c r="D11" i="4"/>
  <c r="H11" i="4"/>
  <c r="G11" i="4"/>
  <c r="F11" i="4"/>
  <c r="E11" i="4"/>
  <c r="I13" i="4"/>
  <c r="H13" i="4"/>
  <c r="G13" i="4"/>
  <c r="F13" i="4"/>
  <c r="E13" i="4"/>
  <c r="D13" i="4"/>
  <c r="H62" i="4"/>
  <c r="H64" i="4" s="1"/>
  <c r="G7" i="7" l="1"/>
  <c r="G77" i="7"/>
  <c r="N77" i="7"/>
  <c r="N139" i="7"/>
  <c r="G139" i="7"/>
  <c r="N29" i="7"/>
  <c r="G29" i="7"/>
  <c r="N46" i="7"/>
  <c r="G46" i="7"/>
  <c r="N45" i="7"/>
  <c r="G45" i="7"/>
  <c r="N23" i="7"/>
  <c r="G23" i="7"/>
  <c r="E10" i="7"/>
  <c r="E74" i="7"/>
  <c r="E144" i="7"/>
  <c r="N144" i="7" s="1"/>
  <c r="E76" i="7"/>
  <c r="E61" i="7"/>
  <c r="E16" i="7"/>
  <c r="E65" i="7"/>
  <c r="E111" i="7"/>
  <c r="E20" i="7"/>
  <c r="E41" i="7"/>
  <c r="G41" i="7" s="1"/>
  <c r="E56" i="7"/>
  <c r="E113" i="7"/>
  <c r="E18" i="7"/>
  <c r="E36" i="7"/>
  <c r="N36" i="7" s="1"/>
  <c r="E19" i="7"/>
  <c r="E73" i="7"/>
  <c r="E72" i="7"/>
  <c r="E126" i="7"/>
  <c r="N126" i="7" s="1"/>
  <c r="E67" i="7"/>
  <c r="E140" i="7"/>
  <c r="N140" i="7" s="1"/>
  <c r="E13" i="7"/>
  <c r="E59" i="7"/>
  <c r="G33" i="7"/>
  <c r="E120" i="7"/>
  <c r="N120" i="7" s="1"/>
  <c r="E38" i="7"/>
  <c r="E99" i="7"/>
  <c r="E15" i="7"/>
  <c r="E43" i="7"/>
  <c r="N43" i="7" s="1"/>
  <c r="E75" i="7"/>
  <c r="E118" i="7"/>
  <c r="N98" i="7"/>
  <c r="N137" i="7"/>
  <c r="N63" i="7"/>
  <c r="N17" i="7"/>
  <c r="N7" i="7"/>
  <c r="N9" i="7"/>
  <c r="N12" i="7"/>
  <c r="N151" i="7"/>
  <c r="N142" i="7"/>
  <c r="N128" i="7"/>
  <c r="N28" i="7"/>
  <c r="N69" i="7"/>
  <c r="N116" i="7"/>
  <c r="N122" i="7"/>
  <c r="N24" i="7"/>
  <c r="N147" i="7"/>
  <c r="N114" i="7"/>
  <c r="N8" i="7"/>
  <c r="N124" i="7"/>
  <c r="N53" i="7"/>
  <c r="G114" i="7"/>
  <c r="G12" i="7"/>
  <c r="G151" i="7"/>
  <c r="G124" i="7"/>
  <c r="G142" i="7"/>
  <c r="G24" i="7"/>
  <c r="G128" i="7"/>
  <c r="G147" i="7"/>
  <c r="G8" i="7"/>
  <c r="G9" i="7"/>
  <c r="C65" i="4"/>
  <c r="G28" i="7"/>
  <c r="G69" i="7"/>
  <c r="G116" i="7"/>
  <c r="G122" i="7"/>
  <c r="N72" i="7" l="1"/>
  <c r="N76" i="7"/>
  <c r="E79" i="7"/>
  <c r="Q12" i="17" s="1"/>
  <c r="T12" i="17" s="1"/>
  <c r="E22" i="7"/>
  <c r="E48" i="7"/>
  <c r="N26" i="7"/>
  <c r="G75" i="7"/>
  <c r="N13" i="7"/>
  <c r="N111" i="7"/>
  <c r="N27" i="7"/>
  <c r="N15" i="7"/>
  <c r="N67" i="7"/>
  <c r="N25" i="7"/>
  <c r="N16" i="7"/>
  <c r="N99" i="7"/>
  <c r="N18" i="7"/>
  <c r="N61" i="7"/>
  <c r="N65" i="7"/>
  <c r="N38" i="7"/>
  <c r="N113" i="7"/>
  <c r="N73" i="7"/>
  <c r="N56" i="7"/>
  <c r="N74" i="7"/>
  <c r="G118" i="7"/>
  <c r="N59" i="7"/>
  <c r="N19" i="7"/>
  <c r="N20" i="7"/>
  <c r="N10" i="7"/>
  <c r="G26" i="7"/>
  <c r="G20" i="7"/>
  <c r="G19" i="7"/>
  <c r="G16" i="7"/>
  <c r="G61" i="7"/>
  <c r="G10" i="7"/>
  <c r="G18" i="7"/>
  <c r="G113" i="7"/>
  <c r="G25" i="7"/>
  <c r="G74" i="7"/>
  <c r="G76" i="7"/>
  <c r="G126" i="7"/>
  <c r="G111" i="7"/>
  <c r="G67" i="7"/>
  <c r="G36" i="7"/>
  <c r="G65" i="7"/>
  <c r="G15" i="7"/>
  <c r="G13" i="7"/>
  <c r="G27" i="7"/>
  <c r="G144" i="7"/>
  <c r="G43" i="7"/>
  <c r="G59" i="7"/>
  <c r="G73" i="7"/>
  <c r="N33" i="7"/>
  <c r="G99" i="7"/>
  <c r="N118" i="7"/>
  <c r="G72" i="7"/>
  <c r="G38" i="7"/>
  <c r="N75" i="7"/>
  <c r="N41" i="7"/>
  <c r="G140" i="7"/>
  <c r="G120" i="7"/>
  <c r="E153" i="7"/>
  <c r="G137" i="7"/>
  <c r="R13" i="17"/>
  <c r="N50" i="7"/>
  <c r="E130" i="7"/>
  <c r="G17" i="7"/>
  <c r="G63" i="7"/>
  <c r="G53" i="7"/>
  <c r="G50" i="7"/>
  <c r="N153" i="7"/>
  <c r="G56" i="7"/>
  <c r="Q11" i="17" l="1"/>
  <c r="Q10" i="17"/>
  <c r="T11" i="17"/>
  <c r="G48" i="7"/>
  <c r="N48" i="7"/>
  <c r="G87" i="7" s="1"/>
  <c r="G22" i="7"/>
  <c r="G79" i="7"/>
  <c r="N22" i="7"/>
  <c r="G86" i="7" s="1"/>
  <c r="N130" i="7"/>
  <c r="G130" i="7"/>
  <c r="G153" i="7"/>
  <c r="E80" i="7"/>
  <c r="D88" i="7" s="1"/>
  <c r="G80" i="7" l="1"/>
  <c r="T10" i="17"/>
  <c r="T13" i="17" s="1"/>
  <c r="Q13" i="17"/>
  <c r="N79" i="7" l="1"/>
  <c r="G88" i="7" s="1"/>
  <c r="G89" i="7" s="1"/>
  <c r="N80" i="7" l="1"/>
  <c r="BY151" i="23" l="1"/>
  <c r="BY153" i="23"/>
  <c r="BW154" i="23"/>
  <c r="BY155" i="23"/>
  <c r="BW156" i="23"/>
  <c r="BY157" i="23"/>
  <c r="BW158" i="23"/>
  <c r="BY159" i="23"/>
  <c r="BY161" i="23"/>
  <c r="BW162" i="23"/>
  <c r="BY163" i="23"/>
  <c r="BW164" i="23"/>
  <c r="BY165" i="23"/>
  <c r="BW166" i="23"/>
  <c r="BY167" i="23"/>
  <c r="BY169" i="23"/>
  <c r="BX152" i="23" l="1"/>
  <c r="BX154" i="23"/>
  <c r="BX156" i="23"/>
  <c r="BX158" i="23"/>
  <c r="BX160" i="23"/>
  <c r="BX162" i="23"/>
  <c r="BX164" i="23"/>
  <c r="BX166" i="23"/>
  <c r="BZ166" i="23" s="1"/>
  <c r="BX168" i="23"/>
  <c r="BW151" i="23"/>
  <c r="BW153" i="23"/>
  <c r="BW155" i="23"/>
  <c r="BW157" i="23"/>
  <c r="BW159" i="23"/>
  <c r="BW161" i="23"/>
  <c r="BW163" i="23"/>
  <c r="BW165" i="23"/>
  <c r="BW167" i="23"/>
  <c r="BW169" i="23"/>
  <c r="BX151" i="23"/>
  <c r="BX153" i="23"/>
  <c r="BX155" i="23"/>
  <c r="BX157" i="23"/>
  <c r="BX159" i="23"/>
  <c r="BX161" i="23"/>
  <c r="BX163" i="23"/>
  <c r="BX165" i="23"/>
  <c r="BX167" i="23"/>
  <c r="BX169" i="23"/>
  <c r="BZ154" i="23"/>
  <c r="BW168" i="23"/>
  <c r="BW160" i="23"/>
  <c r="BW152" i="23"/>
  <c r="BY152" i="23"/>
  <c r="BY154" i="23"/>
  <c r="BY156" i="23"/>
  <c r="BY158" i="23"/>
  <c r="BZ158" i="23" s="1"/>
  <c r="BY160" i="23"/>
  <c r="BY162" i="23"/>
  <c r="BZ162" i="23" s="1"/>
  <c r="BY164" i="23"/>
  <c r="BY166" i="23"/>
  <c r="BY168" i="23"/>
  <c r="BZ164" i="23" l="1"/>
  <c r="BZ159" i="23"/>
  <c r="BZ157" i="23"/>
  <c r="BZ156" i="23"/>
  <c r="BY170" i="23"/>
  <c r="BX170" i="23"/>
  <c r="BZ155" i="23"/>
  <c r="BZ169" i="23"/>
  <c r="BZ153" i="23"/>
  <c r="BZ152" i="23"/>
  <c r="BZ167" i="23"/>
  <c r="BZ151" i="23"/>
  <c r="BZ160" i="23"/>
  <c r="BZ165" i="23"/>
  <c r="BZ168" i="23"/>
  <c r="BZ163" i="23"/>
  <c r="BZ161" i="23"/>
  <c r="E38" i="25" l="1"/>
  <c r="C39" i="25" s="1"/>
  <c r="C41" i="25" s="1"/>
  <c r="D39" i="25" l="1"/>
  <c r="D41" i="25" s="1"/>
  <c r="D86" i="7"/>
  <c r="E39" i="25" l="1"/>
  <c r="C66" i="4"/>
  <c r="C67" i="4" s="1"/>
  <c r="D87" i="7"/>
  <c r="D89" i="7" s="1"/>
  <c r="H106" i="7" s="1"/>
  <c r="I106" i="7" s="1"/>
  <c r="J106" i="7" s="1"/>
  <c r="L106" i="7" s="1"/>
  <c r="Q106" i="7" s="1"/>
  <c r="E41" i="25"/>
  <c r="C42" i="25" s="1"/>
  <c r="H73" i="7" l="1"/>
  <c r="I73" i="7" s="1"/>
  <c r="J73" i="7" s="1"/>
  <c r="L73" i="7" s="1"/>
  <c r="Q73" i="7" s="1"/>
  <c r="H19" i="7"/>
  <c r="I19" i="7" s="1"/>
  <c r="J19" i="7" s="1"/>
  <c r="L19" i="7" s="1"/>
  <c r="Q19" i="7" s="1"/>
  <c r="H150" i="7"/>
  <c r="I150" i="7" s="1"/>
  <c r="J150" i="7" s="1"/>
  <c r="L150" i="7" s="1"/>
  <c r="Q150" i="7" s="1"/>
  <c r="H131" i="7"/>
  <c r="H56" i="7"/>
  <c r="I56" i="7" s="1"/>
  <c r="J56" i="7" s="1"/>
  <c r="L56" i="7" s="1"/>
  <c r="M56" i="7" s="1"/>
  <c r="H149" i="7"/>
  <c r="I149" i="7" s="1"/>
  <c r="J149" i="7" s="1"/>
  <c r="L149" i="7" s="1"/>
  <c r="Q149" i="7" s="1"/>
  <c r="H54" i="7"/>
  <c r="I54" i="7" s="1"/>
  <c r="J54" i="7" s="1"/>
  <c r="L54" i="7" s="1"/>
  <c r="Q54" i="7" s="1"/>
  <c r="H114" i="7"/>
  <c r="I114" i="7" s="1"/>
  <c r="J114" i="7" s="1"/>
  <c r="L114" i="7" s="1"/>
  <c r="Q114" i="7" s="1"/>
  <c r="H118" i="7"/>
  <c r="I118" i="7" s="1"/>
  <c r="J118" i="7" s="1"/>
  <c r="L118" i="7" s="1"/>
  <c r="Q118" i="7" s="1"/>
  <c r="H70" i="7"/>
  <c r="I70" i="7" s="1"/>
  <c r="J70" i="7" s="1"/>
  <c r="L70" i="7" s="1"/>
  <c r="Q70" i="7" s="1"/>
  <c r="H33" i="7"/>
  <c r="I33" i="7" s="1"/>
  <c r="J33" i="7" s="1"/>
  <c r="L33" i="7" s="1"/>
  <c r="Q33" i="7" s="1"/>
  <c r="H75" i="7"/>
  <c r="I75" i="7" s="1"/>
  <c r="J75" i="7" s="1"/>
  <c r="L75" i="7" s="1"/>
  <c r="H123" i="7"/>
  <c r="I123" i="7" s="1"/>
  <c r="J123" i="7" s="1"/>
  <c r="L123" i="7" s="1"/>
  <c r="Q123" i="7" s="1"/>
  <c r="H127" i="7"/>
  <c r="I127" i="7" s="1"/>
  <c r="J127" i="7" s="1"/>
  <c r="L127" i="7" s="1"/>
  <c r="Q127" i="7" s="1"/>
  <c r="H12" i="7"/>
  <c r="I12" i="7" s="1"/>
  <c r="J12" i="7" s="1"/>
  <c r="L12" i="7" s="1"/>
  <c r="Q12" i="7" s="1"/>
  <c r="H41" i="7"/>
  <c r="I41" i="7" s="1"/>
  <c r="J41" i="7" s="1"/>
  <c r="L41" i="7" s="1"/>
  <c r="Q41" i="7" s="1"/>
  <c r="H23" i="7"/>
  <c r="H120" i="7"/>
  <c r="I120" i="7" s="1"/>
  <c r="J120" i="7" s="1"/>
  <c r="L120" i="7" s="1"/>
  <c r="H116" i="7"/>
  <c r="I116" i="7" s="1"/>
  <c r="J116" i="7" s="1"/>
  <c r="L116" i="7" s="1"/>
  <c r="Q116" i="7" s="1"/>
  <c r="H119" i="7"/>
  <c r="I119" i="7" s="1"/>
  <c r="J119" i="7" s="1"/>
  <c r="L119" i="7" s="1"/>
  <c r="Q119" i="7" s="1"/>
  <c r="H17" i="7"/>
  <c r="I17" i="7" s="1"/>
  <c r="J17" i="7" s="1"/>
  <c r="L17" i="7" s="1"/>
  <c r="Q17" i="7" s="1"/>
  <c r="H40" i="7"/>
  <c r="I40" i="7" s="1"/>
  <c r="J40" i="7" s="1"/>
  <c r="L40" i="7" s="1"/>
  <c r="Q40" i="7" s="1"/>
  <c r="H78" i="7"/>
  <c r="I78" i="7" s="1"/>
  <c r="J78" i="7" s="1"/>
  <c r="L78" i="7" s="1"/>
  <c r="Q78" i="7" s="1"/>
  <c r="H9" i="7"/>
  <c r="I9" i="7" s="1"/>
  <c r="J9" i="7" s="1"/>
  <c r="L9" i="7" s="1"/>
  <c r="Q9" i="7" s="1"/>
  <c r="H99" i="7"/>
  <c r="H69" i="7"/>
  <c r="I69" i="7" s="1"/>
  <c r="J69" i="7" s="1"/>
  <c r="L69" i="7" s="1"/>
  <c r="Q69" i="7" s="1"/>
  <c r="H97" i="7"/>
  <c r="I97" i="7" s="1"/>
  <c r="J97" i="7" s="1"/>
  <c r="L97" i="7" s="1"/>
  <c r="Q97" i="7" s="1"/>
  <c r="H107" i="7"/>
  <c r="I107" i="7" s="1"/>
  <c r="J107" i="7" s="1"/>
  <c r="L107" i="7" s="1"/>
  <c r="Q107" i="7" s="1"/>
  <c r="H146" i="7"/>
  <c r="I146" i="7" s="1"/>
  <c r="J146" i="7" s="1"/>
  <c r="L146" i="7" s="1"/>
  <c r="Q146" i="7" s="1"/>
  <c r="H32" i="7"/>
  <c r="I32" i="7" s="1"/>
  <c r="J32" i="7" s="1"/>
  <c r="L32" i="7" s="1"/>
  <c r="Q32" i="7" s="1"/>
  <c r="H28" i="7"/>
  <c r="I28" i="7" s="1"/>
  <c r="J28" i="7" s="1"/>
  <c r="L28" i="7" s="1"/>
  <c r="Q28" i="7" s="1"/>
  <c r="H112" i="7"/>
  <c r="I112" i="7" s="1"/>
  <c r="J112" i="7" s="1"/>
  <c r="L112" i="7" s="1"/>
  <c r="Q112" i="7" s="1"/>
  <c r="H16" i="7"/>
  <c r="I16" i="7" s="1"/>
  <c r="J16" i="7" s="1"/>
  <c r="L16" i="7" s="1"/>
  <c r="Q16" i="7" s="1"/>
  <c r="H14" i="7"/>
  <c r="I14" i="7" s="1"/>
  <c r="J14" i="7" s="1"/>
  <c r="L14" i="7" s="1"/>
  <c r="Q14" i="7" s="1"/>
  <c r="H24" i="7"/>
  <c r="I24" i="7" s="1"/>
  <c r="J24" i="7" s="1"/>
  <c r="L24" i="7" s="1"/>
  <c r="Q24" i="7" s="1"/>
  <c r="H147" i="7"/>
  <c r="I147" i="7" s="1"/>
  <c r="J147" i="7" s="1"/>
  <c r="L147" i="7" s="1"/>
  <c r="M147" i="7" s="1"/>
  <c r="H59" i="7"/>
  <c r="I59" i="7" s="1"/>
  <c r="J59" i="7" s="1"/>
  <c r="L59" i="7" s="1"/>
  <c r="Q59" i="7" s="1"/>
  <c r="H13" i="7"/>
  <c r="I13" i="7" s="1"/>
  <c r="J13" i="7" s="1"/>
  <c r="L13" i="7" s="1"/>
  <c r="M13" i="7" s="1"/>
  <c r="H100" i="7"/>
  <c r="I100" i="7" s="1"/>
  <c r="J100" i="7" s="1"/>
  <c r="L100" i="7" s="1"/>
  <c r="Q100" i="7" s="1"/>
  <c r="H136" i="7"/>
  <c r="I136" i="7" s="1"/>
  <c r="J136" i="7" s="1"/>
  <c r="L136" i="7" s="1"/>
  <c r="Q136" i="7" s="1"/>
  <c r="H74" i="7"/>
  <c r="I74" i="7" s="1"/>
  <c r="J74" i="7" s="1"/>
  <c r="L74" i="7" s="1"/>
  <c r="Q74" i="7" s="1"/>
  <c r="H58" i="7"/>
  <c r="I58" i="7" s="1"/>
  <c r="J58" i="7" s="1"/>
  <c r="L58" i="7" s="1"/>
  <c r="M58" i="7" s="1"/>
  <c r="H148" i="7"/>
  <c r="I148" i="7" s="1"/>
  <c r="J148" i="7" s="1"/>
  <c r="L148" i="7" s="1"/>
  <c r="M148" i="7" s="1"/>
  <c r="H42" i="7"/>
  <c r="I42" i="7" s="1"/>
  <c r="J42" i="7" s="1"/>
  <c r="L42" i="7" s="1"/>
  <c r="E46" i="22" s="1"/>
  <c r="H29" i="7"/>
  <c r="I29" i="7" s="1"/>
  <c r="J29" i="7" s="1"/>
  <c r="L29" i="7" s="1"/>
  <c r="Q29" i="7" s="1"/>
  <c r="H77" i="7"/>
  <c r="I77" i="7" s="1"/>
  <c r="J77" i="7" s="1"/>
  <c r="L77" i="7" s="1"/>
  <c r="M77" i="7" s="1"/>
  <c r="O77" i="7" s="1"/>
  <c r="P77" i="7" s="1"/>
  <c r="H111" i="7"/>
  <c r="I111" i="7" s="1"/>
  <c r="J111" i="7" s="1"/>
  <c r="L111" i="7" s="1"/>
  <c r="E106" i="22" s="1"/>
  <c r="H110" i="7"/>
  <c r="I110" i="7" s="1"/>
  <c r="J110" i="7" s="1"/>
  <c r="L110" i="7" s="1"/>
  <c r="Q110" i="7" s="1"/>
  <c r="H117" i="7"/>
  <c r="I117" i="7" s="1"/>
  <c r="J117" i="7" s="1"/>
  <c r="L117" i="7" s="1"/>
  <c r="Q117" i="7" s="1"/>
  <c r="H121" i="7"/>
  <c r="I121" i="7" s="1"/>
  <c r="J121" i="7" s="1"/>
  <c r="L121" i="7" s="1"/>
  <c r="Q121" i="7" s="1"/>
  <c r="H143" i="7"/>
  <c r="I143" i="7" s="1"/>
  <c r="J143" i="7" s="1"/>
  <c r="L143" i="7" s="1"/>
  <c r="Q143" i="7" s="1"/>
  <c r="H137" i="7"/>
  <c r="I137" i="7" s="1"/>
  <c r="J137" i="7" s="1"/>
  <c r="L137" i="7" s="1"/>
  <c r="Q137" i="7" s="1"/>
  <c r="H125" i="7"/>
  <c r="I125" i="7" s="1"/>
  <c r="J125" i="7" s="1"/>
  <c r="L125" i="7" s="1"/>
  <c r="Q125" i="7" s="1"/>
  <c r="H101" i="7"/>
  <c r="I101" i="7" s="1"/>
  <c r="J101" i="7" s="1"/>
  <c r="L101" i="7" s="1"/>
  <c r="Q101" i="7" s="1"/>
  <c r="H132" i="7"/>
  <c r="I132" i="7" s="1"/>
  <c r="J132" i="7" s="1"/>
  <c r="L132" i="7" s="1"/>
  <c r="Q132" i="7" s="1"/>
  <c r="H34" i="7"/>
  <c r="I34" i="7" s="1"/>
  <c r="J34" i="7" s="1"/>
  <c r="L34" i="7" s="1"/>
  <c r="Q34" i="7" s="1"/>
  <c r="H60" i="7"/>
  <c r="I60" i="7" s="1"/>
  <c r="J60" i="7" s="1"/>
  <c r="L60" i="7" s="1"/>
  <c r="Q60" i="7" s="1"/>
  <c r="H21" i="7"/>
  <c r="I21" i="7" s="1"/>
  <c r="J21" i="7" s="1"/>
  <c r="L21" i="7" s="1"/>
  <c r="Q21" i="7" s="1"/>
  <c r="H71" i="7"/>
  <c r="I71" i="7" s="1"/>
  <c r="J71" i="7" s="1"/>
  <c r="L71" i="7" s="1"/>
  <c r="Q71" i="7" s="1"/>
  <c r="H66" i="7"/>
  <c r="I66" i="7" s="1"/>
  <c r="J66" i="7" s="1"/>
  <c r="L66" i="7" s="1"/>
  <c r="Q66" i="7" s="1"/>
  <c r="H51" i="7"/>
  <c r="I51" i="7" s="1"/>
  <c r="J51" i="7" s="1"/>
  <c r="L51" i="7" s="1"/>
  <c r="Q51" i="7" s="1"/>
  <c r="H102" i="7"/>
  <c r="I102" i="7" s="1"/>
  <c r="J102" i="7" s="1"/>
  <c r="L102" i="7" s="1"/>
  <c r="Q102" i="7" s="1"/>
  <c r="H103" i="7"/>
  <c r="I103" i="7" s="1"/>
  <c r="J103" i="7" s="1"/>
  <c r="L103" i="7" s="1"/>
  <c r="E30" i="22" s="1"/>
  <c r="H113" i="7"/>
  <c r="I113" i="7" s="1"/>
  <c r="J113" i="7" s="1"/>
  <c r="L113" i="7" s="1"/>
  <c r="Q113" i="7" s="1"/>
  <c r="H26" i="7"/>
  <c r="I26" i="7" s="1"/>
  <c r="J26" i="7" s="1"/>
  <c r="L26" i="7" s="1"/>
  <c r="Q26" i="7" s="1"/>
  <c r="H96" i="7"/>
  <c r="I96" i="7" s="1"/>
  <c r="H109" i="7"/>
  <c r="I109" i="7" s="1"/>
  <c r="J109" i="7" s="1"/>
  <c r="L109" i="7" s="1"/>
  <c r="Q109" i="7" s="1"/>
  <c r="H138" i="7"/>
  <c r="I138" i="7" s="1"/>
  <c r="J138" i="7" s="1"/>
  <c r="L138" i="7" s="1"/>
  <c r="Q138" i="7" s="1"/>
  <c r="H8" i="7"/>
  <c r="I8" i="7" s="1"/>
  <c r="J8" i="7" s="1"/>
  <c r="L8" i="7" s="1"/>
  <c r="Q8" i="7" s="1"/>
  <c r="H43" i="7"/>
  <c r="I43" i="7" s="1"/>
  <c r="J43" i="7" s="1"/>
  <c r="L43" i="7" s="1"/>
  <c r="Q43" i="7" s="1"/>
  <c r="H65" i="7"/>
  <c r="I65" i="7" s="1"/>
  <c r="J65" i="7" s="1"/>
  <c r="L65" i="7" s="1"/>
  <c r="M65" i="7" s="1"/>
  <c r="H63" i="7"/>
  <c r="I63" i="7" s="1"/>
  <c r="J63" i="7" s="1"/>
  <c r="L63" i="7" s="1"/>
  <c r="M63" i="7" s="1"/>
  <c r="H135" i="7"/>
  <c r="I135" i="7" s="1"/>
  <c r="J135" i="7" s="1"/>
  <c r="L135" i="7" s="1"/>
  <c r="Q135" i="7" s="1"/>
  <c r="H30" i="7"/>
  <c r="I30" i="7" s="1"/>
  <c r="J30" i="7" s="1"/>
  <c r="L30" i="7" s="1"/>
  <c r="Q30" i="7" s="1"/>
  <c r="H67" i="7"/>
  <c r="I67" i="7" s="1"/>
  <c r="J67" i="7" s="1"/>
  <c r="L67" i="7" s="1"/>
  <c r="E73" i="22" s="1"/>
  <c r="H25" i="7"/>
  <c r="I25" i="7" s="1"/>
  <c r="J25" i="7" s="1"/>
  <c r="L25" i="7" s="1"/>
  <c r="Q25" i="7" s="1"/>
  <c r="H44" i="7"/>
  <c r="I44" i="7" s="1"/>
  <c r="J44" i="7" s="1"/>
  <c r="L44" i="7" s="1"/>
  <c r="Q44" i="7" s="1"/>
  <c r="H122" i="7"/>
  <c r="I122" i="7" s="1"/>
  <c r="J122" i="7" s="1"/>
  <c r="L122" i="7" s="1"/>
  <c r="E116" i="22" s="1"/>
  <c r="H38" i="7"/>
  <c r="I38" i="7" s="1"/>
  <c r="J38" i="7" s="1"/>
  <c r="L38" i="7" s="1"/>
  <c r="Q38" i="7" s="1"/>
  <c r="H129" i="7"/>
  <c r="I129" i="7" s="1"/>
  <c r="J129" i="7" s="1"/>
  <c r="L129" i="7" s="1"/>
  <c r="Q129" i="7" s="1"/>
  <c r="H140" i="7"/>
  <c r="I140" i="7" s="1"/>
  <c r="J140" i="7" s="1"/>
  <c r="L140" i="7" s="1"/>
  <c r="M140" i="7" s="1"/>
  <c r="H7" i="7"/>
  <c r="I7" i="7" s="1"/>
  <c r="H52" i="7"/>
  <c r="I52" i="7" s="1"/>
  <c r="J52" i="7" s="1"/>
  <c r="L52" i="7" s="1"/>
  <c r="Q52" i="7" s="1"/>
  <c r="H64" i="7"/>
  <c r="I64" i="7" s="1"/>
  <c r="J64" i="7" s="1"/>
  <c r="L64" i="7" s="1"/>
  <c r="Q64" i="7" s="1"/>
  <c r="H61" i="7"/>
  <c r="I61" i="7" s="1"/>
  <c r="J61" i="7" s="1"/>
  <c r="L61" i="7" s="1"/>
  <c r="Q61" i="7" s="1"/>
  <c r="H31" i="7"/>
  <c r="I31" i="7" s="1"/>
  <c r="J31" i="7" s="1"/>
  <c r="L31" i="7" s="1"/>
  <c r="Q31" i="7" s="1"/>
  <c r="H145" i="7"/>
  <c r="I145" i="7" s="1"/>
  <c r="J145" i="7" s="1"/>
  <c r="L145" i="7" s="1"/>
  <c r="Q145" i="7" s="1"/>
  <c r="H39" i="7"/>
  <c r="I39" i="7" s="1"/>
  <c r="J39" i="7" s="1"/>
  <c r="L39" i="7" s="1"/>
  <c r="Q39" i="7" s="1"/>
  <c r="H141" i="7"/>
  <c r="I141" i="7" s="1"/>
  <c r="J141" i="7" s="1"/>
  <c r="L141" i="7" s="1"/>
  <c r="Q141" i="7" s="1"/>
  <c r="H53" i="7"/>
  <c r="I53" i="7" s="1"/>
  <c r="J53" i="7" s="1"/>
  <c r="L53" i="7" s="1"/>
  <c r="Q53" i="7" s="1"/>
  <c r="H115" i="7"/>
  <c r="I115" i="7" s="1"/>
  <c r="J115" i="7" s="1"/>
  <c r="L115" i="7" s="1"/>
  <c r="Q115" i="7" s="1"/>
  <c r="H126" i="7"/>
  <c r="I126" i="7" s="1"/>
  <c r="J126" i="7" s="1"/>
  <c r="L126" i="7" s="1"/>
  <c r="Q126" i="7" s="1"/>
  <c r="H35" i="7"/>
  <c r="I35" i="7" s="1"/>
  <c r="J35" i="7" s="1"/>
  <c r="L35" i="7" s="1"/>
  <c r="Q35" i="7" s="1"/>
  <c r="H10" i="7"/>
  <c r="I10" i="7" s="1"/>
  <c r="J10" i="7" s="1"/>
  <c r="L10" i="7" s="1"/>
  <c r="Q10" i="7" s="1"/>
  <c r="H45" i="7"/>
  <c r="I45" i="7" s="1"/>
  <c r="J45" i="7" s="1"/>
  <c r="L45" i="7" s="1"/>
  <c r="Q45" i="7" s="1"/>
  <c r="H27" i="7"/>
  <c r="I27" i="7" s="1"/>
  <c r="J27" i="7" s="1"/>
  <c r="L27" i="7" s="1"/>
  <c r="Q27" i="7" s="1"/>
  <c r="H139" i="7"/>
  <c r="I139" i="7" s="1"/>
  <c r="J139" i="7" s="1"/>
  <c r="L139" i="7" s="1"/>
  <c r="Q139" i="7" s="1"/>
  <c r="H134" i="7"/>
  <c r="I134" i="7" s="1"/>
  <c r="J134" i="7" s="1"/>
  <c r="L134" i="7" s="1"/>
  <c r="E68" i="22" s="1"/>
  <c r="H108" i="7"/>
  <c r="I108" i="7" s="1"/>
  <c r="J108" i="7" s="1"/>
  <c r="L108" i="7" s="1"/>
  <c r="E50" i="22" s="1"/>
  <c r="H151" i="7"/>
  <c r="I151" i="7" s="1"/>
  <c r="J151" i="7" s="1"/>
  <c r="L151" i="7" s="1"/>
  <c r="Q151" i="7" s="1"/>
  <c r="H20" i="7"/>
  <c r="I20" i="7" s="1"/>
  <c r="J20" i="7" s="1"/>
  <c r="L20" i="7" s="1"/>
  <c r="Q20" i="7" s="1"/>
  <c r="H68" i="7"/>
  <c r="I68" i="7" s="1"/>
  <c r="J68" i="7" s="1"/>
  <c r="L68" i="7" s="1"/>
  <c r="Q68" i="7" s="1"/>
  <c r="H72" i="7"/>
  <c r="I72" i="7" s="1"/>
  <c r="J72" i="7" s="1"/>
  <c r="L72" i="7" s="1"/>
  <c r="Q72" i="7" s="1"/>
  <c r="H50" i="7"/>
  <c r="I50" i="7" s="1"/>
  <c r="J50" i="7" s="1"/>
  <c r="L50" i="7" s="1"/>
  <c r="Q50" i="7" s="1"/>
  <c r="R50" i="7" s="1"/>
  <c r="H152" i="7"/>
  <c r="I152" i="7" s="1"/>
  <c r="J152" i="7" s="1"/>
  <c r="L152" i="7" s="1"/>
  <c r="Q152" i="7" s="1"/>
  <c r="H18" i="7"/>
  <c r="I18" i="7" s="1"/>
  <c r="J18" i="7" s="1"/>
  <c r="L18" i="7" s="1"/>
  <c r="Q18" i="7" s="1"/>
  <c r="H37" i="7"/>
  <c r="I37" i="7" s="1"/>
  <c r="J37" i="7" s="1"/>
  <c r="L37" i="7" s="1"/>
  <c r="Q37" i="7" s="1"/>
  <c r="H76" i="7"/>
  <c r="I76" i="7" s="1"/>
  <c r="J76" i="7" s="1"/>
  <c r="L76" i="7" s="1"/>
  <c r="Q76" i="7" s="1"/>
  <c r="H144" i="7"/>
  <c r="I144" i="7" s="1"/>
  <c r="J144" i="7" s="1"/>
  <c r="L144" i="7" s="1"/>
  <c r="Q144" i="7" s="1"/>
  <c r="H49" i="7"/>
  <c r="I49" i="7" s="1"/>
  <c r="H47" i="7"/>
  <c r="I47" i="7" s="1"/>
  <c r="J47" i="7" s="1"/>
  <c r="L47" i="7" s="1"/>
  <c r="Q47" i="7" s="1"/>
  <c r="H124" i="7"/>
  <c r="I124" i="7" s="1"/>
  <c r="J124" i="7" s="1"/>
  <c r="L124" i="7" s="1"/>
  <c r="Q124" i="7" s="1"/>
  <c r="H104" i="7"/>
  <c r="I104" i="7" s="1"/>
  <c r="J104" i="7" s="1"/>
  <c r="L104" i="7" s="1"/>
  <c r="Q104" i="7" s="1"/>
  <c r="H128" i="7"/>
  <c r="I128" i="7" s="1"/>
  <c r="J128" i="7" s="1"/>
  <c r="L128" i="7" s="1"/>
  <c r="Q128" i="7" s="1"/>
  <c r="H105" i="7"/>
  <c r="I105" i="7" s="1"/>
  <c r="J105" i="7" s="1"/>
  <c r="L105" i="7" s="1"/>
  <c r="Q105" i="7" s="1"/>
  <c r="H46" i="7"/>
  <c r="I46" i="7" s="1"/>
  <c r="J46" i="7" s="1"/>
  <c r="L46" i="7" s="1"/>
  <c r="Q46" i="7" s="1"/>
  <c r="H11" i="7"/>
  <c r="I11" i="7" s="1"/>
  <c r="J11" i="7" s="1"/>
  <c r="L11" i="7" s="1"/>
  <c r="Q11" i="7" s="1"/>
  <c r="H36" i="7"/>
  <c r="I36" i="7" s="1"/>
  <c r="J36" i="7" s="1"/>
  <c r="L36" i="7" s="1"/>
  <c r="Q36" i="7" s="1"/>
  <c r="D42" i="25"/>
  <c r="E42" i="25" s="1"/>
  <c r="H15" i="7"/>
  <c r="I15" i="7" s="1"/>
  <c r="J15" i="7" s="1"/>
  <c r="L15" i="7" s="1"/>
  <c r="Q15" i="7" s="1"/>
  <c r="H142" i="7"/>
  <c r="I142" i="7" s="1"/>
  <c r="J142" i="7" s="1"/>
  <c r="L142" i="7" s="1"/>
  <c r="Q142" i="7" s="1"/>
  <c r="H57" i="7"/>
  <c r="I57" i="7" s="1"/>
  <c r="J57" i="7" s="1"/>
  <c r="L57" i="7" s="1"/>
  <c r="Q57" i="7" s="1"/>
  <c r="H62" i="7"/>
  <c r="I62" i="7" s="1"/>
  <c r="J62" i="7" s="1"/>
  <c r="L62" i="7" s="1"/>
  <c r="Q62" i="7" s="1"/>
  <c r="H133" i="7"/>
  <c r="I133" i="7" s="1"/>
  <c r="J133" i="7" s="1"/>
  <c r="L133" i="7" s="1"/>
  <c r="Q133" i="7" s="1"/>
  <c r="H55" i="7"/>
  <c r="I55" i="7" s="1"/>
  <c r="J55" i="7" s="1"/>
  <c r="L55" i="7" s="1"/>
  <c r="Q55" i="7" s="1"/>
  <c r="M24" i="7"/>
  <c r="E21" i="22"/>
  <c r="E92" i="22"/>
  <c r="M106" i="7"/>
  <c r="E37" i="22"/>
  <c r="M75" i="7"/>
  <c r="E96" i="22"/>
  <c r="Q75" i="7"/>
  <c r="E76" i="22"/>
  <c r="E83" i="22"/>
  <c r="M19" i="7"/>
  <c r="E8" i="22"/>
  <c r="E79" i="22"/>
  <c r="M14" i="7"/>
  <c r="E16" i="22"/>
  <c r="I131" i="7"/>
  <c r="Q56" i="7"/>
  <c r="E112" i="22"/>
  <c r="E111" i="22"/>
  <c r="I99" i="7"/>
  <c r="E85" i="22"/>
  <c r="M119" i="7"/>
  <c r="E113" i="22"/>
  <c r="M21" i="7"/>
  <c r="E18" i="22"/>
  <c r="I23" i="7"/>
  <c r="M74" i="7"/>
  <c r="E97" i="22"/>
  <c r="M107" i="7"/>
  <c r="E47" i="22"/>
  <c r="M120" i="7"/>
  <c r="E114" i="22"/>
  <c r="Q58" i="7"/>
  <c r="Q120" i="7"/>
  <c r="Q147" i="7"/>
  <c r="E64" i="22"/>
  <c r="Q148" i="7"/>
  <c r="E93" i="22"/>
  <c r="E13" i="22"/>
  <c r="M69" i="7"/>
  <c r="E75" i="22"/>
  <c r="Q63" i="7" l="1"/>
  <c r="E69" i="22"/>
  <c r="M129" i="7"/>
  <c r="M150" i="7"/>
  <c r="E12" i="22"/>
  <c r="E121" i="22"/>
  <c r="E117" i="22"/>
  <c r="M64" i="7"/>
  <c r="F70" i="22" s="1"/>
  <c r="M29" i="7"/>
  <c r="M126" i="7"/>
  <c r="M149" i="7"/>
  <c r="O149" i="7" s="1"/>
  <c r="P149" i="7" s="1"/>
  <c r="M32" i="7"/>
  <c r="O32" i="7" s="1"/>
  <c r="P32" i="7" s="1"/>
  <c r="M117" i="7"/>
  <c r="O117" i="7" s="1"/>
  <c r="P117" i="7" s="1"/>
  <c r="E90" i="22"/>
  <c r="M39" i="7"/>
  <c r="F44" i="22" s="1"/>
  <c r="M60" i="7"/>
  <c r="F64" i="22" s="1"/>
  <c r="G64" i="22" s="1"/>
  <c r="E94" i="22"/>
  <c r="M118" i="7"/>
  <c r="F112" i="22" s="1"/>
  <c r="G112" i="22" s="1"/>
  <c r="M73" i="7"/>
  <c r="F90" i="22" s="1"/>
  <c r="M16" i="7"/>
  <c r="O16" i="7" s="1"/>
  <c r="P16" i="7" s="1"/>
  <c r="E125" i="22"/>
  <c r="E120" i="22"/>
  <c r="E63" i="22"/>
  <c r="E60" i="22"/>
  <c r="E91" i="22"/>
  <c r="M123" i="7"/>
  <c r="O123" i="7" s="1"/>
  <c r="P123" i="7" s="1"/>
  <c r="E100" i="22"/>
  <c r="E70" i="22"/>
  <c r="E105" i="22"/>
  <c r="E35" i="22"/>
  <c r="M40" i="7"/>
  <c r="O40" i="7" s="1"/>
  <c r="P40" i="7" s="1"/>
  <c r="E95" i="22"/>
  <c r="M127" i="7"/>
  <c r="O127" i="7" s="1"/>
  <c r="P127" i="7" s="1"/>
  <c r="E34" i="22"/>
  <c r="E88" i="22"/>
  <c r="E43" i="22"/>
  <c r="M26" i="7"/>
  <c r="O26" i="7" s="1"/>
  <c r="P26" i="7" s="1"/>
  <c r="E23" i="22"/>
  <c r="M70" i="7"/>
  <c r="O70" i="7" s="1"/>
  <c r="P70" i="7" s="1"/>
  <c r="M151" i="7"/>
  <c r="F100" i="22" s="1"/>
  <c r="M102" i="7"/>
  <c r="O102" i="7" s="1"/>
  <c r="P102" i="7" s="1"/>
  <c r="E123" i="22"/>
  <c r="E78" i="22"/>
  <c r="M34" i="7"/>
  <c r="O34" i="7" s="1"/>
  <c r="P34" i="7" s="1"/>
  <c r="E104" i="22"/>
  <c r="E41" i="22"/>
  <c r="E42" i="22"/>
  <c r="M113" i="7"/>
  <c r="O113" i="7" s="1"/>
  <c r="P113" i="7" s="1"/>
  <c r="M136" i="7"/>
  <c r="O136" i="7" s="1"/>
  <c r="P136" i="7" s="1"/>
  <c r="M38" i="7"/>
  <c r="F42" i="22" s="1"/>
  <c r="Q65" i="7"/>
  <c r="E81" i="22"/>
  <c r="E71" i="22"/>
  <c r="E89" i="22"/>
  <c r="M145" i="7"/>
  <c r="O145" i="7" s="1"/>
  <c r="P145" i="7" s="1"/>
  <c r="M110" i="7"/>
  <c r="O110" i="7" s="1"/>
  <c r="P110" i="7" s="1"/>
  <c r="M72" i="7"/>
  <c r="F78" i="22" s="1"/>
  <c r="M45" i="7"/>
  <c r="O45" i="7" s="1"/>
  <c r="P45" i="7" s="1"/>
  <c r="E102" i="22"/>
  <c r="M47" i="7"/>
  <c r="O47" i="7" s="1"/>
  <c r="P47" i="7" s="1"/>
  <c r="E82" i="22"/>
  <c r="M50" i="7"/>
  <c r="O50" i="7" s="1"/>
  <c r="P50" i="7" s="1"/>
  <c r="M61" i="7"/>
  <c r="O61" i="7" s="1"/>
  <c r="P61" i="7" s="1"/>
  <c r="E29" i="22"/>
  <c r="E28" i="22"/>
  <c r="M44" i="7"/>
  <c r="F49" i="22" s="1"/>
  <c r="M101" i="7"/>
  <c r="F28" i="22" s="1"/>
  <c r="E49" i="22"/>
  <c r="E65" i="22"/>
  <c r="E56" i="22"/>
  <c r="E40" i="22"/>
  <c r="E9" i="22"/>
  <c r="M54" i="7"/>
  <c r="F56" i="22" s="1"/>
  <c r="M35" i="7"/>
  <c r="F40" i="22" s="1"/>
  <c r="E66" i="22"/>
  <c r="M12" i="7"/>
  <c r="O12" i="7" s="1"/>
  <c r="P12" i="7" s="1"/>
  <c r="E45" i="22"/>
  <c r="E27" i="22"/>
  <c r="M11" i="7"/>
  <c r="O11" i="7" s="1"/>
  <c r="P11" i="7" s="1"/>
  <c r="M41" i="7"/>
  <c r="O41" i="7" s="1"/>
  <c r="P41" i="7" s="1"/>
  <c r="M114" i="7"/>
  <c r="F108" i="22" s="1"/>
  <c r="Q122" i="7"/>
  <c r="M10" i="7"/>
  <c r="F7" i="22" s="1"/>
  <c r="M111" i="7"/>
  <c r="F106" i="22" s="1"/>
  <c r="G106" i="22" s="1"/>
  <c r="E48" i="22"/>
  <c r="M108" i="7"/>
  <c r="F50" i="22" s="1"/>
  <c r="G50" i="22" s="1"/>
  <c r="E33" i="22"/>
  <c r="M103" i="7"/>
  <c r="O103" i="7" s="1"/>
  <c r="P103" i="7" s="1"/>
  <c r="E53" i="22"/>
  <c r="Q103" i="7"/>
  <c r="M31" i="7"/>
  <c r="O31" i="7" s="1"/>
  <c r="P31" i="7" s="1"/>
  <c r="M55" i="7"/>
  <c r="F55" i="22" s="1"/>
  <c r="M132" i="7"/>
  <c r="F53" i="22" s="1"/>
  <c r="E55" i="22"/>
  <c r="E74" i="22"/>
  <c r="E107" i="22"/>
  <c r="Q111" i="7"/>
  <c r="E15" i="22"/>
  <c r="M112" i="7"/>
  <c r="O112" i="7" s="1"/>
  <c r="P112" i="7" s="1"/>
  <c r="M68" i="7"/>
  <c r="O68" i="7" s="1"/>
  <c r="P68" i="7" s="1"/>
  <c r="E6" i="22"/>
  <c r="M122" i="7"/>
  <c r="F116" i="22" s="1"/>
  <c r="G116" i="22" s="1"/>
  <c r="M100" i="7"/>
  <c r="F27" i="22" s="1"/>
  <c r="M9" i="7"/>
  <c r="F6" i="22" s="1"/>
  <c r="M43" i="7"/>
  <c r="O43" i="7" s="1"/>
  <c r="P43" i="7" s="1"/>
  <c r="E108" i="22"/>
  <c r="E7" i="22"/>
  <c r="Q140" i="7"/>
  <c r="E61" i="22"/>
  <c r="E57" i="22"/>
  <c r="E17" i="22"/>
  <c r="E54" i="22"/>
  <c r="E25" i="22"/>
  <c r="M97" i="7"/>
  <c r="F17" i="22" s="1"/>
  <c r="E84" i="22"/>
  <c r="E39" i="22"/>
  <c r="E118" i="22"/>
  <c r="M27" i="7"/>
  <c r="O27" i="7" s="1"/>
  <c r="P27" i="7" s="1"/>
  <c r="M33" i="7"/>
  <c r="F39" i="22" s="1"/>
  <c r="M124" i="7"/>
  <c r="O124" i="7" s="1"/>
  <c r="P124" i="7" s="1"/>
  <c r="M116" i="7"/>
  <c r="O116" i="7" s="1"/>
  <c r="P116" i="7" s="1"/>
  <c r="E115" i="22"/>
  <c r="E110" i="22"/>
  <c r="M121" i="7"/>
  <c r="F115" i="22" s="1"/>
  <c r="H98" i="7"/>
  <c r="M135" i="7"/>
  <c r="F79" i="22" s="1"/>
  <c r="G79" i="22" s="1"/>
  <c r="E44" i="22"/>
  <c r="M146" i="7"/>
  <c r="F91" i="22" s="1"/>
  <c r="M18" i="7"/>
  <c r="O18" i="7" s="1"/>
  <c r="P18" i="7" s="1"/>
  <c r="M17" i="7"/>
  <c r="F2" i="22" s="1"/>
  <c r="M138" i="7"/>
  <c r="F83" i="22" s="1"/>
  <c r="G83" i="22" s="1"/>
  <c r="M137" i="7"/>
  <c r="F82" i="22" s="1"/>
  <c r="M53" i="7"/>
  <c r="F54" i="22" s="1"/>
  <c r="M142" i="7"/>
  <c r="O142" i="7" s="1"/>
  <c r="P142" i="7" s="1"/>
  <c r="Q134" i="7"/>
  <c r="E5" i="22"/>
  <c r="Q67" i="7"/>
  <c r="E2" i="22"/>
  <c r="Q42" i="7"/>
  <c r="M67" i="7"/>
  <c r="F73" i="22" s="1"/>
  <c r="G73" i="22" s="1"/>
  <c r="E86" i="22"/>
  <c r="M104" i="7"/>
  <c r="F32" i="22" s="1"/>
  <c r="E32" i="22"/>
  <c r="E72" i="22"/>
  <c r="M66" i="7"/>
  <c r="O66" i="7" s="1"/>
  <c r="P66" i="7" s="1"/>
  <c r="M134" i="7"/>
  <c r="O134" i="7" s="1"/>
  <c r="P134" i="7" s="1"/>
  <c r="M42" i="7"/>
  <c r="O42" i="7" s="1"/>
  <c r="P42" i="7" s="1"/>
  <c r="M8" i="7"/>
  <c r="F4" i="22" s="1"/>
  <c r="M51" i="7"/>
  <c r="O51" i="7" s="1"/>
  <c r="P51" i="7" s="1"/>
  <c r="E22" i="22"/>
  <c r="Q13" i="7"/>
  <c r="E4" i="22"/>
  <c r="E59" i="22"/>
  <c r="M25" i="7"/>
  <c r="F22" i="22" s="1"/>
  <c r="M115" i="7"/>
  <c r="O115" i="7" s="1"/>
  <c r="P115" i="7" s="1"/>
  <c r="E124" i="22"/>
  <c r="M125" i="7"/>
  <c r="O125" i="7" s="1"/>
  <c r="P125" i="7" s="1"/>
  <c r="M57" i="7"/>
  <c r="O57" i="7" s="1"/>
  <c r="P57" i="7" s="1"/>
  <c r="E26" i="22"/>
  <c r="E109" i="22"/>
  <c r="E10" i="22"/>
  <c r="M128" i="7"/>
  <c r="O128" i="7" s="1"/>
  <c r="P128" i="7" s="1"/>
  <c r="E119" i="22"/>
  <c r="E62" i="22"/>
  <c r="E58" i="22"/>
  <c r="Q108" i="7"/>
  <c r="M37" i="7"/>
  <c r="O37" i="7" s="1"/>
  <c r="P37" i="7" s="1"/>
  <c r="M52" i="7"/>
  <c r="O52" i="7" s="1"/>
  <c r="P52" i="7" s="1"/>
  <c r="E38" i="22"/>
  <c r="M15" i="7"/>
  <c r="F12" i="22" s="1"/>
  <c r="M71" i="7"/>
  <c r="F77" i="22" s="1"/>
  <c r="M141" i="7"/>
  <c r="F85" i="22" s="1"/>
  <c r="G85" i="22" s="1"/>
  <c r="E80" i="22"/>
  <c r="E24" i="22"/>
  <c r="M28" i="7"/>
  <c r="F26" i="22" s="1"/>
  <c r="G26" i="22" s="1"/>
  <c r="M59" i="7"/>
  <c r="O59" i="7" s="1"/>
  <c r="P59" i="7" s="1"/>
  <c r="M139" i="7"/>
  <c r="O139" i="7" s="1"/>
  <c r="P139" i="7" s="1"/>
  <c r="M109" i="7"/>
  <c r="F103" i="22" s="1"/>
  <c r="E101" i="22"/>
  <c r="E31" i="22"/>
  <c r="E87" i="22"/>
  <c r="Q77" i="7"/>
  <c r="E103" i="22"/>
  <c r="M152" i="7"/>
  <c r="O152" i="7" s="1"/>
  <c r="P152" i="7" s="1"/>
  <c r="M30" i="7"/>
  <c r="O30" i="7" s="1"/>
  <c r="P30" i="7" s="1"/>
  <c r="M143" i="7"/>
  <c r="O143" i="7" s="1"/>
  <c r="P143" i="7" s="1"/>
  <c r="E99" i="22"/>
  <c r="E77" i="22"/>
  <c r="H153" i="7"/>
  <c r="M78" i="7"/>
  <c r="O78" i="7" s="1"/>
  <c r="P78" i="7" s="1"/>
  <c r="M133" i="7"/>
  <c r="O133" i="7" s="1"/>
  <c r="P133" i="7" s="1"/>
  <c r="M20" i="7"/>
  <c r="O20" i="7" s="1"/>
  <c r="P20" i="7" s="1"/>
  <c r="M144" i="7"/>
  <c r="O144" i="7" s="1"/>
  <c r="P144" i="7" s="1"/>
  <c r="E11" i="22"/>
  <c r="E122" i="22"/>
  <c r="H22" i="7"/>
  <c r="M46" i="7"/>
  <c r="O46" i="7" s="1"/>
  <c r="P46" i="7" s="1"/>
  <c r="M105" i="7"/>
  <c r="O105" i="7" s="1"/>
  <c r="P105" i="7" s="1"/>
  <c r="H130" i="7"/>
  <c r="E98" i="22"/>
  <c r="M76" i="7"/>
  <c r="F98" i="22" s="1"/>
  <c r="H48" i="7"/>
  <c r="E36" i="22"/>
  <c r="M36" i="7"/>
  <c r="O36" i="7" s="1"/>
  <c r="P36" i="7" s="1"/>
  <c r="M62" i="7"/>
  <c r="O62" i="7" s="1"/>
  <c r="P62" i="7" s="1"/>
  <c r="E67" i="22"/>
  <c r="H79" i="7"/>
  <c r="O64" i="7"/>
  <c r="P64" i="7" s="1"/>
  <c r="O63" i="7"/>
  <c r="P63" i="7" s="1"/>
  <c r="F69" i="22"/>
  <c r="G69" i="22" s="1"/>
  <c r="O13" i="7"/>
  <c r="P13" i="7" s="1"/>
  <c r="F10" i="22"/>
  <c r="J99" i="7"/>
  <c r="I130" i="7"/>
  <c r="O69" i="7"/>
  <c r="P69" i="7" s="1"/>
  <c r="F75" i="22"/>
  <c r="G75" i="22" s="1"/>
  <c r="F71" i="22"/>
  <c r="O65" i="7"/>
  <c r="P65" i="7" s="1"/>
  <c r="O56" i="7"/>
  <c r="P56" i="7" s="1"/>
  <c r="F60" i="22"/>
  <c r="F37" i="22"/>
  <c r="G37" i="22" s="1"/>
  <c r="O106" i="7"/>
  <c r="P106" i="7" s="1"/>
  <c r="I22" i="7"/>
  <c r="J7" i="7"/>
  <c r="F120" i="22"/>
  <c r="O126" i="7"/>
  <c r="P126" i="7" s="1"/>
  <c r="O19" i="7"/>
  <c r="P19" i="7" s="1"/>
  <c r="F8" i="22"/>
  <c r="G8" i="22" s="1"/>
  <c r="O119" i="7"/>
  <c r="P119" i="7" s="1"/>
  <c r="F113" i="22"/>
  <c r="G113" i="22" s="1"/>
  <c r="F96" i="22"/>
  <c r="G96" i="22" s="1"/>
  <c r="O75" i="7"/>
  <c r="P75" i="7" s="1"/>
  <c r="O147" i="7"/>
  <c r="P147" i="7" s="1"/>
  <c r="F92" i="22"/>
  <c r="G92" i="22" s="1"/>
  <c r="O148" i="7"/>
  <c r="P148" i="7" s="1"/>
  <c r="F93" i="22"/>
  <c r="G93" i="22" s="1"/>
  <c r="F114" i="22"/>
  <c r="G114" i="22" s="1"/>
  <c r="O120" i="7"/>
  <c r="P120" i="7" s="1"/>
  <c r="O150" i="7"/>
  <c r="P150" i="7" s="1"/>
  <c r="F97" i="22"/>
  <c r="G97" i="22" s="1"/>
  <c r="F94" i="22"/>
  <c r="O74" i="7"/>
  <c r="P74" i="7" s="1"/>
  <c r="J23" i="7"/>
  <c r="I48" i="7"/>
  <c r="J49" i="7"/>
  <c r="I79" i="7"/>
  <c r="F61" i="22"/>
  <c r="O58" i="7"/>
  <c r="P58" i="7" s="1"/>
  <c r="F84" i="22"/>
  <c r="O140" i="7"/>
  <c r="P140" i="7" s="1"/>
  <c r="F125" i="22"/>
  <c r="O129" i="7"/>
  <c r="P129" i="7" s="1"/>
  <c r="J131" i="7"/>
  <c r="I153" i="7"/>
  <c r="O14" i="7"/>
  <c r="P14" i="7" s="1"/>
  <c r="F16" i="22"/>
  <c r="G16" i="22" s="1"/>
  <c r="O29" i="7"/>
  <c r="P29" i="7" s="1"/>
  <c r="F24" i="22"/>
  <c r="F47" i="22"/>
  <c r="G47" i="22" s="1"/>
  <c r="O107" i="7"/>
  <c r="P107" i="7" s="1"/>
  <c r="F18" i="22"/>
  <c r="G18" i="22" s="1"/>
  <c r="O21" i="7"/>
  <c r="P21" i="7" s="1"/>
  <c r="J96" i="7"/>
  <c r="I98" i="7"/>
  <c r="F21" i="22"/>
  <c r="G21" i="22" s="1"/>
  <c r="O24" i="7"/>
  <c r="P24" i="7" s="1"/>
  <c r="G12" i="22" l="1"/>
  <c r="G60" i="22"/>
  <c r="G120" i="22"/>
  <c r="O73" i="7"/>
  <c r="P73" i="7" s="1"/>
  <c r="F95" i="22"/>
  <c r="G95" i="22" s="1"/>
  <c r="O101" i="7"/>
  <c r="P101" i="7" s="1"/>
  <c r="G125" i="22"/>
  <c r="F23" i="22"/>
  <c r="G23" i="22" s="1"/>
  <c r="F34" i="22"/>
  <c r="G34" i="22" s="1"/>
  <c r="F111" i="22"/>
  <c r="G111" i="22" s="1"/>
  <c r="G100" i="22"/>
  <c r="G90" i="22"/>
  <c r="O39" i="7"/>
  <c r="P39" i="7" s="1"/>
  <c r="F66" i="22"/>
  <c r="G66" i="22" s="1"/>
  <c r="F105" i="22"/>
  <c r="G105" i="22" s="1"/>
  <c r="O118" i="7"/>
  <c r="P118" i="7" s="1"/>
  <c r="F76" i="22"/>
  <c r="G76" i="22" s="1"/>
  <c r="F43" i="22"/>
  <c r="G43" i="22" s="1"/>
  <c r="F29" i="22"/>
  <c r="G29" i="22" s="1"/>
  <c r="F81" i="22"/>
  <c r="G81" i="22" s="1"/>
  <c r="F121" i="22"/>
  <c r="G121" i="22" s="1"/>
  <c r="O60" i="7"/>
  <c r="P60" i="7" s="1"/>
  <c r="O151" i="7"/>
  <c r="P151" i="7" s="1"/>
  <c r="F118" i="22"/>
  <c r="G118" i="22" s="1"/>
  <c r="G94" i="22"/>
  <c r="F117" i="22"/>
  <c r="G117" i="22" s="1"/>
  <c r="G91" i="22"/>
  <c r="O35" i="7"/>
  <c r="P35" i="7" s="1"/>
  <c r="F13" i="22"/>
  <c r="G13" i="22" s="1"/>
  <c r="G70" i="22"/>
  <c r="G7" i="22"/>
  <c r="O71" i="7"/>
  <c r="P71" i="7" s="1"/>
  <c r="O10" i="7"/>
  <c r="P10" i="7" s="1"/>
  <c r="F33" i="22"/>
  <c r="G33" i="22" s="1"/>
  <c r="F107" i="22"/>
  <c r="G107" i="22" s="1"/>
  <c r="G2" i="22"/>
  <c r="F87" i="22"/>
  <c r="G87" i="22" s="1"/>
  <c r="F124" i="22"/>
  <c r="G124" i="22" s="1"/>
  <c r="O38" i="7"/>
  <c r="P38" i="7" s="1"/>
  <c r="O109" i="7"/>
  <c r="P109" i="7" s="1"/>
  <c r="O17" i="7"/>
  <c r="P17" i="7" s="1"/>
  <c r="F68" i="22"/>
  <c r="G68" i="22" s="1"/>
  <c r="O25" i="7"/>
  <c r="P25" i="7" s="1"/>
  <c r="F102" i="22"/>
  <c r="G102" i="22" s="1"/>
  <c r="O97" i="7"/>
  <c r="P97" i="7" s="1"/>
  <c r="O44" i="7"/>
  <c r="P44" i="7" s="1"/>
  <c r="G108" i="22"/>
  <c r="O15" i="7"/>
  <c r="P15" i="7" s="1"/>
  <c r="G115" i="22"/>
  <c r="F123" i="22"/>
  <c r="G123" i="22" s="1"/>
  <c r="F41" i="22"/>
  <c r="G41" i="22" s="1"/>
  <c r="G40" i="22"/>
  <c r="F15" i="22"/>
  <c r="G15" i="22" s="1"/>
  <c r="F89" i="22"/>
  <c r="G89" i="22" s="1"/>
  <c r="G42" i="22"/>
  <c r="O122" i="7"/>
  <c r="P122" i="7" s="1"/>
  <c r="O108" i="7"/>
  <c r="P108" i="7" s="1"/>
  <c r="F57" i="22"/>
  <c r="G57" i="22" s="1"/>
  <c r="G56" i="22"/>
  <c r="G78" i="22"/>
  <c r="O9" i="7"/>
  <c r="P9" i="7" s="1"/>
  <c r="F30" i="22"/>
  <c r="G30" i="22" s="1"/>
  <c r="F58" i="22"/>
  <c r="G58" i="22" s="1"/>
  <c r="O146" i="7"/>
  <c r="P146" i="7" s="1"/>
  <c r="F104" i="22"/>
  <c r="G104" i="22" s="1"/>
  <c r="F45" i="22"/>
  <c r="G45" i="22" s="1"/>
  <c r="F80" i="22"/>
  <c r="G80" i="22" s="1"/>
  <c r="O72" i="7"/>
  <c r="P72" i="7" s="1"/>
  <c r="O76" i="7"/>
  <c r="P76" i="7" s="1"/>
  <c r="F5" i="22"/>
  <c r="G5" i="22" s="1"/>
  <c r="F72" i="22"/>
  <c r="G72" i="22" s="1"/>
  <c r="F48" i="22"/>
  <c r="G48" i="22" s="1"/>
  <c r="G28" i="22"/>
  <c r="F110" i="22"/>
  <c r="G110" i="22" s="1"/>
  <c r="O54" i="7"/>
  <c r="P54" i="7" s="1"/>
  <c r="G53" i="22"/>
  <c r="F31" i="22"/>
  <c r="G31" i="22" s="1"/>
  <c r="O114" i="7"/>
  <c r="P114" i="7" s="1"/>
  <c r="F88" i="22"/>
  <c r="G88" i="22" s="1"/>
  <c r="G82" i="22"/>
  <c r="G10" i="22"/>
  <c r="G71" i="22"/>
  <c r="G4" i="22"/>
  <c r="G54" i="22"/>
  <c r="O141" i="7"/>
  <c r="P141" i="7" s="1"/>
  <c r="O67" i="7"/>
  <c r="P67" i="7" s="1"/>
  <c r="F9" i="22"/>
  <c r="G9" i="22" s="1"/>
  <c r="O138" i="7"/>
  <c r="P138" i="7" s="1"/>
  <c r="O55" i="7"/>
  <c r="P55" i="7" s="1"/>
  <c r="G49" i="22"/>
  <c r="O111" i="7"/>
  <c r="P111" i="7" s="1"/>
  <c r="O135" i="7"/>
  <c r="P135" i="7" s="1"/>
  <c r="G27" i="22"/>
  <c r="F122" i="22"/>
  <c r="G122" i="22" s="1"/>
  <c r="F59" i="22"/>
  <c r="G59" i="22" s="1"/>
  <c r="F74" i="22"/>
  <c r="G74" i="22" s="1"/>
  <c r="O8" i="7"/>
  <c r="P8" i="7" s="1"/>
  <c r="O121" i="7"/>
  <c r="P121" i="7" s="1"/>
  <c r="H80" i="7"/>
  <c r="G39" i="22"/>
  <c r="O137" i="7"/>
  <c r="P137" i="7" s="1"/>
  <c r="G61" i="22"/>
  <c r="O132" i="7"/>
  <c r="P132" i="7" s="1"/>
  <c r="F119" i="22"/>
  <c r="G119" i="22" s="1"/>
  <c r="G6" i="22"/>
  <c r="O53" i="7"/>
  <c r="P53" i="7" s="1"/>
  <c r="F67" i="22"/>
  <c r="G67" i="22" s="1"/>
  <c r="O33" i="7"/>
  <c r="P33" i="7" s="1"/>
  <c r="G17" i="22"/>
  <c r="O100" i="7"/>
  <c r="P100" i="7" s="1"/>
  <c r="G44" i="22"/>
  <c r="G24" i="22"/>
  <c r="F25" i="22"/>
  <c r="G25" i="22" s="1"/>
  <c r="O104" i="7"/>
  <c r="P104" i="7" s="1"/>
  <c r="G22" i="22"/>
  <c r="F99" i="22"/>
  <c r="G99" i="22" s="1"/>
  <c r="F86" i="22"/>
  <c r="G86" i="22" s="1"/>
  <c r="F62" i="22"/>
  <c r="G62" i="22" s="1"/>
  <c r="G55" i="22"/>
  <c r="G84" i="22"/>
  <c r="F46" i="22"/>
  <c r="G46" i="22" s="1"/>
  <c r="F38" i="22"/>
  <c r="G38" i="22" s="1"/>
  <c r="O28" i="7"/>
  <c r="P28" i="7" s="1"/>
  <c r="G77" i="22"/>
  <c r="G32" i="22"/>
  <c r="G103" i="22"/>
  <c r="F109" i="22"/>
  <c r="G109" i="22" s="1"/>
  <c r="G98" i="22"/>
  <c r="F63" i="22"/>
  <c r="G63" i="22" s="1"/>
  <c r="F65" i="22"/>
  <c r="G65" i="22" s="1"/>
  <c r="F101" i="22"/>
  <c r="G101" i="22" s="1"/>
  <c r="F11" i="22"/>
  <c r="G11" i="22" s="1"/>
  <c r="F35" i="22"/>
  <c r="G35" i="22" s="1"/>
  <c r="F36" i="22"/>
  <c r="G36" i="22" s="1"/>
  <c r="J153" i="7"/>
  <c r="L131" i="7"/>
  <c r="L7" i="7"/>
  <c r="J22" i="7"/>
  <c r="I80" i="7"/>
  <c r="L99" i="7"/>
  <c r="J130" i="7"/>
  <c r="L49" i="7"/>
  <c r="J79" i="7"/>
  <c r="J98" i="7"/>
  <c r="L96" i="7"/>
  <c r="J48" i="7"/>
  <c r="L23" i="7"/>
  <c r="E14" i="22" l="1"/>
  <c r="M96" i="7"/>
  <c r="Q96" i="7"/>
  <c r="E3" i="22"/>
  <c r="M7" i="7"/>
  <c r="K3" i="22" s="1"/>
  <c r="Q7" i="7"/>
  <c r="M49" i="7"/>
  <c r="E51" i="22"/>
  <c r="Q49" i="7"/>
  <c r="Q99" i="7"/>
  <c r="M99" i="7"/>
  <c r="E20" i="22"/>
  <c r="M23" i="7"/>
  <c r="Q23" i="7"/>
  <c r="E19" i="22"/>
  <c r="M131" i="7"/>
  <c r="E52" i="22"/>
  <c r="Q131" i="7"/>
  <c r="J80" i="7"/>
  <c r="O49" i="7" l="1"/>
  <c r="F51" i="22"/>
  <c r="G51" i="22" s="1"/>
  <c r="F52" i="22"/>
  <c r="G52" i="22" s="1"/>
  <c r="O131" i="7"/>
  <c r="F19" i="22"/>
  <c r="G19" i="22" s="1"/>
  <c r="O23" i="7"/>
  <c r="O7" i="7"/>
  <c r="F3" i="22"/>
  <c r="G3" i="22" s="1"/>
  <c r="F20" i="22"/>
  <c r="G20" i="22" s="1"/>
  <c r="O99" i="7"/>
  <c r="O96" i="7"/>
  <c r="F14" i="22"/>
  <c r="G14" i="22" s="1"/>
  <c r="O22" i="7" l="1"/>
  <c r="J86" i="7" s="1"/>
  <c r="P7" i="7"/>
  <c r="P22" i="7" s="1"/>
  <c r="Q22" i="7" s="1"/>
  <c r="P96" i="7"/>
  <c r="P98" i="7" s="1"/>
  <c r="Q98" i="7" s="1"/>
  <c r="O98" i="7"/>
  <c r="P99" i="7"/>
  <c r="P130" i="7" s="1"/>
  <c r="Q130" i="7" s="1"/>
  <c r="O130" i="7"/>
  <c r="P23" i="7"/>
  <c r="P48" i="7" s="1"/>
  <c r="Q48" i="7" s="1"/>
  <c r="O48" i="7"/>
  <c r="J87" i="7" s="1"/>
  <c r="P131" i="7"/>
  <c r="P153" i="7" s="1"/>
  <c r="Q153" i="7" s="1"/>
  <c r="O153" i="7"/>
  <c r="O79" i="7"/>
  <c r="P49" i="7"/>
  <c r="P79" i="7" s="1"/>
  <c r="H87" i="7" l="1"/>
  <c r="K87" i="7"/>
  <c r="P80" i="7"/>
  <c r="Q80" i="7" s="1"/>
  <c r="Q79" i="7"/>
  <c r="J88" i="7"/>
  <c r="O80" i="7"/>
  <c r="H86" i="7"/>
  <c r="K86" i="7"/>
  <c r="K88" i="7" l="1"/>
  <c r="H88" i="7"/>
  <c r="J89" i="7"/>
  <c r="H89" i="7" l="1"/>
  <c r="K89" i="7"/>
  <c r="C72" i="4"/>
  <c r="C73" i="4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Heather Garland</author>
  </authors>
  <commentList>
    <comment ref="E50" authorId="0" shapeId="0" xr:uid="{00000000-0006-0000-0100-000001000000}">
      <text>
        <r>
          <rPr>
            <b/>
            <sz val="9"/>
            <color indexed="81"/>
            <rFont val="Tahoma"/>
            <family val="2"/>
          </rPr>
          <t>Heather Garland:</t>
        </r>
        <r>
          <rPr>
            <sz val="9"/>
            <color indexed="81"/>
            <rFont val="Tahoma"/>
            <family val="2"/>
          </rPr>
          <t xml:space="preserve">
Unique Formula</t>
        </r>
      </text>
    </comment>
    <comment ref="E53" authorId="0" shapeId="0" xr:uid="{00000000-0006-0000-0100-000002000000}">
      <text>
        <r>
          <rPr>
            <b/>
            <sz val="9"/>
            <color indexed="81"/>
            <rFont val="Tahoma"/>
            <family val="2"/>
          </rPr>
          <t>Heather Garland:</t>
        </r>
        <r>
          <rPr>
            <sz val="9"/>
            <color indexed="81"/>
            <rFont val="Tahoma"/>
            <family val="2"/>
          </rPr>
          <t xml:space="preserve">
Unique Formula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Kady Whittaker</author>
    <author>Heather Garland</author>
    <author>Lindsay Waldram</author>
  </authors>
  <commentList>
    <comment ref="D6" authorId="0" shapeId="0" xr:uid="{00000000-0006-0000-1300-000001000000}">
      <text>
        <r>
          <rPr>
            <b/>
            <sz val="9"/>
            <color indexed="81"/>
            <rFont val="Tahoma"/>
            <family val="2"/>
          </rPr>
          <t>Kady Whittaker:</t>
        </r>
        <r>
          <rPr>
            <sz val="9"/>
            <color indexed="81"/>
            <rFont val="Tahoma"/>
            <family val="2"/>
          </rPr>
          <t xml:space="preserve">
Need new pricing to update</t>
        </r>
      </text>
    </comment>
    <comment ref="BO13" authorId="1" shapeId="0" xr:uid="{00000000-0006-0000-1300-000002000000}">
      <text>
        <r>
          <rPr>
            <b/>
            <sz val="9"/>
            <color indexed="81"/>
            <rFont val="Tahoma"/>
            <family val="2"/>
          </rPr>
          <t>Heather Garland:</t>
        </r>
        <r>
          <rPr>
            <sz val="9"/>
            <color indexed="81"/>
            <rFont val="Tahoma"/>
            <family val="2"/>
          </rPr>
          <t xml:space="preserve">
Per the Pierce County Solid Waste Plan customers who elect not to participate in recycling will be charge $1 extra per 20 gallons.</t>
        </r>
      </text>
    </comment>
    <comment ref="E26" authorId="2" shapeId="0" xr:uid="{00000000-0006-0000-1300-000003000000}">
      <text>
        <r>
          <rPr>
            <b/>
            <sz val="9"/>
            <color indexed="81"/>
            <rFont val="Tahoma"/>
            <family val="2"/>
          </rPr>
          <t>Lindsay Waldram:</t>
        </r>
        <r>
          <rPr>
            <sz val="9"/>
            <color indexed="81"/>
            <rFont val="Tahoma"/>
            <family val="2"/>
          </rPr>
          <t xml:space="preserve">
Per Tariff</t>
        </r>
      </text>
    </comment>
    <comment ref="F26" authorId="2" shapeId="0" xr:uid="{00000000-0006-0000-1300-000004000000}">
      <text>
        <r>
          <rPr>
            <b/>
            <sz val="9"/>
            <color indexed="81"/>
            <rFont val="Tahoma"/>
            <family val="2"/>
          </rPr>
          <t>Lindsay Waldram:</t>
        </r>
        <r>
          <rPr>
            <sz val="9"/>
            <color indexed="81"/>
            <rFont val="Tahoma"/>
            <family val="2"/>
          </rPr>
          <t xml:space="preserve">
Per Tariff</t>
        </r>
      </text>
    </comment>
    <comment ref="AJ42" authorId="1" shapeId="0" xr:uid="{00000000-0006-0000-1300-000005000000}">
      <text>
        <r>
          <rPr>
            <b/>
            <sz val="9"/>
            <color indexed="81"/>
            <rFont val="Tahoma"/>
            <family val="2"/>
          </rPr>
          <t>Heather Garland:</t>
        </r>
        <r>
          <rPr>
            <sz val="9"/>
            <color indexed="81"/>
            <rFont val="Tahoma"/>
            <family val="2"/>
          </rPr>
          <t xml:space="preserve">
Codes that include disposal.</t>
        </r>
      </text>
    </comment>
    <comment ref="BO142" authorId="1" shapeId="0" xr:uid="{00000000-0006-0000-1300-000006000000}">
      <text>
        <r>
          <rPr>
            <b/>
            <sz val="9"/>
            <color indexed="81"/>
            <rFont val="Tahoma"/>
            <family val="2"/>
          </rPr>
          <t>Heather Garland:</t>
        </r>
        <r>
          <rPr>
            <sz val="9"/>
            <color indexed="81"/>
            <rFont val="Tahoma"/>
            <family val="2"/>
          </rPr>
          <t xml:space="preserve">
Per the Pierce County Solid Waste Plan customers who elect not to participate in recycling will be charge $1 extra per 20 gallons.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WCNX</author>
    <author>Lindsay Waldram</author>
  </authors>
  <commentList>
    <comment ref="B1" authorId="0" shapeId="0" xr:uid="{00000000-0006-0000-0100-000001000000}">
      <text>
        <r>
          <rPr>
            <b/>
            <sz val="8"/>
            <color indexed="81"/>
            <rFont val="Tahoma"/>
            <family val="2"/>
          </rPr>
          <t>WCNX:</t>
        </r>
        <r>
          <rPr>
            <sz val="8"/>
            <color indexed="81"/>
            <rFont val="Tahoma"/>
            <family val="2"/>
          </rPr>
          <t xml:space="preserve">
Include bill areas: Battleground, LaCenter, Rural, UGA, and Yacolt.</t>
        </r>
      </text>
    </comment>
    <comment ref="D6" authorId="1" shapeId="0" xr:uid="{00000000-0006-0000-0100-000002000000}">
      <text>
        <r>
          <rPr>
            <b/>
            <sz val="9"/>
            <color indexed="81"/>
            <rFont val="Tahoma"/>
            <family val="2"/>
          </rPr>
          <t>WCNX:</t>
        </r>
        <r>
          <rPr>
            <sz val="9"/>
            <color indexed="81"/>
            <rFont val="Tahoma"/>
            <family val="2"/>
          </rPr>
          <t xml:space="preserve">
Customer Counts were obtained from the Price Out.  Copy and pasted values to maintain data integrity.</t>
        </r>
      </text>
    </comment>
  </commentList>
</comments>
</file>

<file path=xl/sharedStrings.xml><?xml version="1.0" encoding="utf-8"?>
<sst xmlns="http://schemas.openxmlformats.org/spreadsheetml/2006/main" count="2838" uniqueCount="825">
  <si>
    <t>Gross Up</t>
  </si>
  <si>
    <t>Totals</t>
  </si>
  <si>
    <t>Increase per ton</t>
  </si>
  <si>
    <t>Total Pick Ups</t>
  </si>
  <si>
    <t>Per Ton</t>
  </si>
  <si>
    <t>Per Pound</t>
  </si>
  <si>
    <t xml:space="preserve">Current Rate </t>
  </si>
  <si>
    <t>New Rate per ton</t>
  </si>
  <si>
    <t>Increase</t>
  </si>
  <si>
    <t>Meeks Weights</t>
  </si>
  <si>
    <t>Adjustment factor</t>
  </si>
  <si>
    <t>Collected Revenue Excess/(Deficiency)</t>
  </si>
  <si>
    <t>Commercial</t>
  </si>
  <si>
    <t>Tariff Page</t>
  </si>
  <si>
    <t>Total</t>
  </si>
  <si>
    <t>Monthly Factor</t>
  </si>
  <si>
    <t>Lbs. per ton</t>
  </si>
  <si>
    <t>Yds. Per ton</t>
  </si>
  <si>
    <t>Weekly Pickup (WG)</t>
  </si>
  <si>
    <t>Monthly (MG)</t>
  </si>
  <si>
    <t>Every Other Week (EOWG)</t>
  </si>
  <si>
    <t>Tons Collected</t>
  </si>
  <si>
    <t>Grossed Up Increase per ton</t>
  </si>
  <si>
    <t>Gross Up Factors</t>
  </si>
  <si>
    <t>B&amp;O tax</t>
  </si>
  <si>
    <t>WUTC fees</t>
  </si>
  <si>
    <t>Factor</t>
  </si>
  <si>
    <t>Disposal Fee Revenue Increase</t>
  </si>
  <si>
    <t>Extras</t>
  </si>
  <si>
    <t>Total Tonnage</t>
  </si>
  <si>
    <t>Total Pounds</t>
  </si>
  <si>
    <t>Calculated Annual Pounds</t>
  </si>
  <si>
    <t>Adjusted Annual Pounds</t>
  </si>
  <si>
    <t>Company Current Revenue</t>
  </si>
  <si>
    <t>Tariff Rate Increase</t>
  </si>
  <si>
    <t>Revised Revenue Increase</t>
  </si>
  <si>
    <t>1 unit</t>
  </si>
  <si>
    <t>2 units</t>
  </si>
  <si>
    <t>3 units</t>
  </si>
  <si>
    <t>n/a</t>
  </si>
  <si>
    <t>4 units</t>
  </si>
  <si>
    <t>5 units</t>
  </si>
  <si>
    <t>6 units</t>
  </si>
  <si>
    <t>Bad Debts</t>
  </si>
  <si>
    <t>Res'l</t>
  </si>
  <si>
    <t>7 unit</t>
  </si>
  <si>
    <t>5 Times per Week</t>
  </si>
  <si>
    <t>3 Times per Week</t>
  </si>
  <si>
    <t>2 Times per Week</t>
  </si>
  <si>
    <t>Pickups:</t>
  </si>
  <si>
    <t>1 can</t>
  </si>
  <si>
    <t>2 cans</t>
  </si>
  <si>
    <t>3 cans</t>
  </si>
  <si>
    <t>4 cans</t>
  </si>
  <si>
    <t>5 cans</t>
  </si>
  <si>
    <t>6 cans</t>
  </si>
  <si>
    <t>Supercan 60</t>
  </si>
  <si>
    <t>Supercan 90</t>
  </si>
  <si>
    <t>Once a month</t>
  </si>
  <si>
    <t>Com'l</t>
  </si>
  <si>
    <t>Cans</t>
  </si>
  <si>
    <t>1 yd container</t>
  </si>
  <si>
    <t>1.5 yd container</t>
  </si>
  <si>
    <t>2 yd container</t>
  </si>
  <si>
    <t>3 yd container</t>
  </si>
  <si>
    <t>4 yd container</t>
  </si>
  <si>
    <t>6 yd container</t>
  </si>
  <si>
    <t>8 yd container</t>
  </si>
  <si>
    <t>3 yd packer/compactor</t>
  </si>
  <si>
    <t>2 yd packer/compactor</t>
  </si>
  <si>
    <t>4 yd packer/compactor</t>
  </si>
  <si>
    <t>6 yd packer/compactor</t>
  </si>
  <si>
    <t>Yards</t>
  </si>
  <si>
    <t>Pounds per Pickup</t>
  </si>
  <si>
    <t>20 gal minican</t>
  </si>
  <si>
    <t>*</t>
  </si>
  <si>
    <t>Annual</t>
  </si>
  <si>
    <t>Res'l &amp; Com'l</t>
  </si>
  <si>
    <t>Revenue Inc from Co Proposed Rates</t>
  </si>
  <si>
    <t>Company Proposed Rates</t>
  </si>
  <si>
    <t>Adjustment Factor Calculation</t>
  </si>
  <si>
    <t>4 Times per Week</t>
  </si>
  <si>
    <t>Transfer Station</t>
  </si>
  <si>
    <t>1YD CONT 1X WEEKLY</t>
  </si>
  <si>
    <t>1.5YD CONT 1X WEEKLY</t>
  </si>
  <si>
    <t>2YD CONT 1X WEEKLY</t>
  </si>
  <si>
    <t>2YD CONT 2X WEEKLY</t>
  </si>
  <si>
    <t>Murrey's Disposal Co., Inc.  G-9</t>
  </si>
  <si>
    <t>WG-R</t>
  </si>
  <si>
    <t>WG-NR</t>
  </si>
  <si>
    <t>MG</t>
  </si>
  <si>
    <t>Extra Units</t>
  </si>
  <si>
    <t>Each</t>
  </si>
  <si>
    <t>On Call</t>
  </si>
  <si>
    <t>Item 105, pg 27</t>
  </si>
  <si>
    <t>Item 105, pg 28</t>
  </si>
  <si>
    <t>1 yard</t>
  </si>
  <si>
    <t>1.5 yard</t>
  </si>
  <si>
    <t>2 yard</t>
  </si>
  <si>
    <t>4 yard</t>
  </si>
  <si>
    <t>6 yard</t>
  </si>
  <si>
    <t>Minimum</t>
  </si>
  <si>
    <t>Special and Temporary</t>
  </si>
  <si>
    <t>3 yard</t>
  </si>
  <si>
    <t>RESIDENTIAL</t>
  </si>
  <si>
    <t>EXTRA UNITS</t>
  </si>
  <si>
    <t>MF 1YD CONT 1X WKLY</t>
  </si>
  <si>
    <t>MF 1.5YD CONT 1X WKLY</t>
  </si>
  <si>
    <t>MF 1.5YD CONT 2X WKLY</t>
  </si>
  <si>
    <t>MF 2YD CONT 1X WKLY</t>
  </si>
  <si>
    <t>MF 2YD CONT 2X WKLY</t>
  </si>
  <si>
    <t>MF 2YD CONT 3X WKLY</t>
  </si>
  <si>
    <t>MF 4YD CONT 1X WKLY</t>
  </si>
  <si>
    <t>MF 4YD CONT 2X WKLY</t>
  </si>
  <si>
    <t>MF 6YD CONT 1X WKLY</t>
  </si>
  <si>
    <t>MF 6YD CONT 2X WKLY</t>
  </si>
  <si>
    <t>MF 6YD CONT 3X WKLY</t>
  </si>
  <si>
    <t>MF 1YD TEMP CONT</t>
  </si>
  <si>
    <t>MF 1.5YD TEMP CONT</t>
  </si>
  <si>
    <t>MF 2YD TEMP CONT</t>
  </si>
  <si>
    <t>2YD CONT 3X WEEKLY</t>
  </si>
  <si>
    <t>4YD CONT 1X WEEKLY</t>
  </si>
  <si>
    <t>4YD CONT 2X WEEKLY</t>
  </si>
  <si>
    <t>4YD CONT 3X WEEKLY</t>
  </si>
  <si>
    <t>6YD CONT 1X WEEKLY</t>
  </si>
  <si>
    <t>6YD CONT 2X WEEKLY</t>
  </si>
  <si>
    <t>6YD CONT 3X WEEKLY</t>
  </si>
  <si>
    <t>6YD CONT 4X WEEKLY</t>
  </si>
  <si>
    <t>6YD CONT 5X WEEKLY</t>
  </si>
  <si>
    <t>1YD CONT 2xWEEKLY</t>
  </si>
  <si>
    <t>1YD CONT 3xWEEKLY</t>
  </si>
  <si>
    <t>1.5YD CONT 2xWEEKLY</t>
  </si>
  <si>
    <t>2YD CONT 1xWEEKLY</t>
  </si>
  <si>
    <t>2YD CONT 2xWEEKLY</t>
  </si>
  <si>
    <t>2YD CONT 3xWEEKLY</t>
  </si>
  <si>
    <t>2YD CONT 4xWEEKLY</t>
  </si>
  <si>
    <t>2YD CONT 5xWEEKLY</t>
  </si>
  <si>
    <t>1.5YD TEMP CONTAINER</t>
  </si>
  <si>
    <t>2YD TEMP CONTAINER</t>
  </si>
  <si>
    <t>Pierce County</t>
  </si>
  <si>
    <t>Compaction Ratio:   3:1</t>
  </si>
  <si>
    <t>Compaction Ratio:   2:25</t>
  </si>
  <si>
    <t>Compaction Ratio:   4:1</t>
  </si>
  <si>
    <t>Compaction Ratio:   5:1</t>
  </si>
  <si>
    <t>COMMERCIAL</t>
  </si>
  <si>
    <t>40 gallon Can</t>
  </si>
  <si>
    <t>Proposed Revenue</t>
  </si>
  <si>
    <t>WG</t>
  </si>
  <si>
    <t>Pass Thru Tons</t>
  </si>
  <si>
    <t xml:space="preserve">* not on meeks - for compactors </t>
  </si>
  <si>
    <t xml:space="preserve">   calculated weight times compaction ratio</t>
  </si>
  <si>
    <t>Item 100, pg 23</t>
  </si>
  <si>
    <t>Item 100, pg 24</t>
  </si>
  <si>
    <t>Item 105, pg 29</t>
  </si>
  <si>
    <t>Item 105, pg 30</t>
  </si>
  <si>
    <t>Item 240, pg 41</t>
  </si>
  <si>
    <t>Item 245, pg 42</t>
  </si>
  <si>
    <t>Item 255, pg 44  2.25:1 compaction</t>
  </si>
  <si>
    <t>Item 255, pg 45  3:1 compaction</t>
  </si>
  <si>
    <t>Item 255, pg 46  4:1 compaction</t>
  </si>
  <si>
    <t>Item 255, pg 47  5:1 compaction</t>
  </si>
  <si>
    <t>Item 255, pg 48  2.25:1 compaction</t>
  </si>
  <si>
    <t>Item 255, pg 49  3:1 compaction</t>
  </si>
  <si>
    <t>Item 255, pg 50  4:1 compaction</t>
  </si>
  <si>
    <t>Item 255, pg 51  5:1 compaction</t>
  </si>
  <si>
    <t>Item 150, pg 34</t>
  </si>
  <si>
    <t>Dump Fee Calc References</t>
  </si>
  <si>
    <t>Dump Fee Calculation</t>
  </si>
  <si>
    <t>20 Gallon Cart</t>
  </si>
  <si>
    <t>35 Gallon Cart</t>
  </si>
  <si>
    <t>65 Gallon Cart</t>
  </si>
  <si>
    <t>95 Gallon Cart</t>
  </si>
  <si>
    <t xml:space="preserve">65 Gallon Cart </t>
  </si>
  <si>
    <t>20 Gallon Cart - On Call</t>
  </si>
  <si>
    <t>65 Gallon Cart - On Call</t>
  </si>
  <si>
    <t>35 Gallon Cart - On Call</t>
  </si>
  <si>
    <t>95 Gallon Cart - On Call</t>
  </si>
  <si>
    <t>20 Gallon Cart Count</t>
  </si>
  <si>
    <t>35 Gallon Cart Count</t>
  </si>
  <si>
    <t>65 Gallon Cart Count</t>
  </si>
  <si>
    <t>95 Gallon Cart Count</t>
  </si>
  <si>
    <t>Service Code</t>
  </si>
  <si>
    <t>1-20 GAL CART MONTHLY</t>
  </si>
  <si>
    <t>1-20 GL CART WKLY NON REC</t>
  </si>
  <si>
    <t>1-20 GL CART WKLY W/ RECY</t>
  </si>
  <si>
    <t>1-35 GAL CART MONTHLY</t>
  </si>
  <si>
    <t>1-35 GAL CART WKLY NONREC</t>
  </si>
  <si>
    <t>1-35 GAL CART WKLY W/REC</t>
  </si>
  <si>
    <t>1-65 GAL CART MONTHLY</t>
  </si>
  <si>
    <t>1-65 GAL CART WKLY NONREC</t>
  </si>
  <si>
    <t>1-65 GAL CART WKLY W/REC</t>
  </si>
  <si>
    <t>1-95 GAL CART MONTHLY</t>
  </si>
  <si>
    <t>1-95 GAL CART WKLY NONREC</t>
  </si>
  <si>
    <t>1-95 GAL CART WKLY W/REC</t>
  </si>
  <si>
    <t>1-20 GAL CART WKLY</t>
  </si>
  <si>
    <t>1-35 GAL CART WKLY</t>
  </si>
  <si>
    <t>1-65 GAL CART WKLY</t>
  </si>
  <si>
    <t>1-95 GAL CART WKLY</t>
  </si>
  <si>
    <t>1YD CONT EXTRA</t>
  </si>
  <si>
    <t>2YD CONT EXTRA</t>
  </si>
  <si>
    <t>4YD CONT 4X WEEKLY SVC</t>
  </si>
  <si>
    <t>4YD CONT EXTRA PICKUP</t>
  </si>
  <si>
    <t>6YD CONT EXTRA PICKUP</t>
  </si>
  <si>
    <t>2 YD 2.25-1 COMP 1X WK</t>
  </si>
  <si>
    <t>4 YD 2.25-1 COMP 1X WK</t>
  </si>
  <si>
    <t>4YD 4-1 COMP 1X WK</t>
  </si>
  <si>
    <t>4 YD 5-1 COMP 1X WK</t>
  </si>
  <si>
    <t>4 YD 5-1 COMP EOW</t>
  </si>
  <si>
    <t>4 YD 5-1 COMP ON CALL</t>
  </si>
  <si>
    <t>6 YD 3-1 COMP 2X WK</t>
  </si>
  <si>
    <t>6 YD 4-1 COMP 2X WK</t>
  </si>
  <si>
    <t>1.5YD CONT 3xWEEKLY</t>
  </si>
  <si>
    <t>1.5YD CONTAINER EXTRA</t>
  </si>
  <si>
    <t>1YD CONTAINER EXTRA</t>
  </si>
  <si>
    <t>1YD TEMP CONT</t>
  </si>
  <si>
    <t>2YD CONTAINER EXTRA</t>
  </si>
  <si>
    <t>EXTRA CANS</t>
  </si>
  <si>
    <t>CMML EXTRA YARDAGE</t>
  </si>
  <si>
    <t>MF 1-35 GAL CART</t>
  </si>
  <si>
    <t>MF 1-35 GAL CART NONREC</t>
  </si>
  <si>
    <t>MF 1-65 GAL CART</t>
  </si>
  <si>
    <t>MF 1-65 GAL CART NONREC</t>
  </si>
  <si>
    <t>MF 1-95 GAL CART</t>
  </si>
  <si>
    <t>MF 1-95 GAL CART NONREC</t>
  </si>
  <si>
    <t>MF 1.5YD CONT EXTRA</t>
  </si>
  <si>
    <t>MF 1YD CONT 2X WKLY</t>
  </si>
  <si>
    <t>MF 1YD CONT EXTRA</t>
  </si>
  <si>
    <t>MF 2YD CONT EXTRA</t>
  </si>
  <si>
    <t>MF 4YD CONT EXTRA</t>
  </si>
  <si>
    <t>MF 6YD CONT EXTRA</t>
  </si>
  <si>
    <t>MF 1-35 GL CART COUNT</t>
  </si>
  <si>
    <t>MF 1-65 GL CART COUNT</t>
  </si>
  <si>
    <t xml:space="preserve">MF 1-95 GL CART COUNT </t>
  </si>
  <si>
    <t>EXTRA CANS - MF</t>
  </si>
  <si>
    <t>MF 4YD TEMP CONT</t>
  </si>
  <si>
    <t>MF 6YD TEMP CONT</t>
  </si>
  <si>
    <t>MF 1-20 GL CART COUNT</t>
  </si>
  <si>
    <t>MULTI FAMILY</t>
  </si>
  <si>
    <t>6 YD 2.25-1 COMP 1X WK</t>
  </si>
  <si>
    <t>6 YD 4-1 COMP 1X WK</t>
  </si>
  <si>
    <t>3 YD 4-1 COMP 1X WK</t>
  </si>
  <si>
    <t>6 YD 3-1 COMP 1X WK</t>
  </si>
  <si>
    <t>4YD TEMP CONTAINER</t>
  </si>
  <si>
    <t>6YD TEMP CONTAINER</t>
  </si>
  <si>
    <t>MF 1-20 GAL CART</t>
  </si>
  <si>
    <t>MF 1-20 GAL CART NONREC</t>
  </si>
  <si>
    <t>Resi</t>
  </si>
  <si>
    <t>2 YD 3-1 COMP 1X WK</t>
  </si>
  <si>
    <t>3 YD 3-1 COMP 1X WK</t>
  </si>
  <si>
    <t>4 YD 3-1 COMP 1X WK</t>
  </si>
  <si>
    <t>6 YD 5-1 COMP 1X WK</t>
  </si>
  <si>
    <t>Item/Page</t>
  </si>
  <si>
    <t>LOB</t>
  </si>
  <si>
    <t>SERVICE CODE</t>
  </si>
  <si>
    <t>SERVICE</t>
  </si>
  <si>
    <t>DETAILS</t>
  </si>
  <si>
    <t>FREQUENCY</t>
  </si>
  <si>
    <t>MEEKS WEIGHT</t>
  </si>
  <si>
    <t>Regular</t>
  </si>
  <si>
    <t>Extra</t>
  </si>
  <si>
    <t>SIZE</t>
  </si>
  <si>
    <t>20 Gal</t>
  </si>
  <si>
    <t>35 Gal</t>
  </si>
  <si>
    <t>65 Gal</t>
  </si>
  <si>
    <t>95 Gal</t>
  </si>
  <si>
    <t>1 YD</t>
  </si>
  <si>
    <t xml:space="preserve">1.5 YD </t>
  </si>
  <si>
    <t xml:space="preserve">2 YD </t>
  </si>
  <si>
    <t>4 YD</t>
  </si>
  <si>
    <t>6 YD</t>
  </si>
  <si>
    <t>3 YD</t>
  </si>
  <si>
    <t>2 YD</t>
  </si>
  <si>
    <t>1-35 Gal Cart On Call</t>
  </si>
  <si>
    <t>1-20 Gal Cart On Call</t>
  </si>
  <si>
    <t>1-65 Gal Cart On Call</t>
  </si>
  <si>
    <t>1-95 Gal Cart On Call</t>
  </si>
  <si>
    <t>4 YD 4-1 COMP ON CALL</t>
  </si>
  <si>
    <t>4 YD 3-1 COMP ON CALL</t>
  </si>
  <si>
    <t>4 YD 2.25-1 COMP ON CALL</t>
  </si>
  <si>
    <t>6 YD 2.25-1 COMP ON CALL</t>
  </si>
  <si>
    <t>2 YD 2.25-1 COMP ON CALL</t>
  </si>
  <si>
    <t>2 YD 3-1 COMP ON CALL</t>
  </si>
  <si>
    <t>3 YD 3-1 COMP ON CALL</t>
  </si>
  <si>
    <t>6 YD 3-1 COMP ON CALL</t>
  </si>
  <si>
    <t>3 YD 4-1 COMP ON CALL</t>
  </si>
  <si>
    <t>6 YD 4-1 COMP ON CALL</t>
  </si>
  <si>
    <t>6 YD 5-1 COMP ON CALL</t>
  </si>
  <si>
    <t>4 YD 4-1 COMP 1X WK</t>
  </si>
  <si>
    <t>STANDARD SERVICE CODE</t>
  </si>
  <si>
    <t>TYPE</t>
  </si>
  <si>
    <t>ANNUAL CUSTOMERS</t>
  </si>
  <si>
    <t>ANNUAL PICKUPS</t>
  </si>
  <si>
    <t>Scheduled Service -   As shown on Tariff</t>
  </si>
  <si>
    <t>Annual Pick Ups</t>
  </si>
  <si>
    <t>Murrey's Disposal Co., Inc. G-9</t>
  </si>
  <si>
    <t>Revenue Price Out by Service Level and Line of Business</t>
  </si>
  <si>
    <t>Number of Months</t>
  </si>
  <si>
    <t>Revenue</t>
  </si>
  <si>
    <t>Customer Count</t>
  </si>
  <si>
    <t>Service Code Description</t>
  </si>
  <si>
    <t>RESIDENTIAL SERVICES</t>
  </si>
  <si>
    <t>RESIDENTIAL GARBAGE</t>
  </si>
  <si>
    <t>20RM1</t>
  </si>
  <si>
    <t>20RW1N</t>
  </si>
  <si>
    <t>20RW1R</t>
  </si>
  <si>
    <t>35RM1</t>
  </si>
  <si>
    <t>35RW1N</t>
  </si>
  <si>
    <t>35RW1R</t>
  </si>
  <si>
    <t>65RM1</t>
  </si>
  <si>
    <t>65RW1N</t>
  </si>
  <si>
    <t>65RW1R</t>
  </si>
  <si>
    <t>95RM1</t>
  </si>
  <si>
    <t>95RW1N</t>
  </si>
  <si>
    <t>95RW1R</t>
  </si>
  <si>
    <t>ADJRES</t>
  </si>
  <si>
    <t>SERVICE ADJ-RESIDENTIAL</t>
  </si>
  <si>
    <t>DRIVEPRVT-RES</t>
  </si>
  <si>
    <t>DRIVE IN PRIVATE RD - RES</t>
  </si>
  <si>
    <t>DRVNRW1</t>
  </si>
  <si>
    <t>DRIVE IN UP TO 125'-WKLY</t>
  </si>
  <si>
    <t>DRVNRW2</t>
  </si>
  <si>
    <t>DRIVE IN OVER 125'-WKLY</t>
  </si>
  <si>
    <t>GWCR</t>
  </si>
  <si>
    <t>GOOD WILL CREDIT - RESI</t>
  </si>
  <si>
    <t>OBSR</t>
  </si>
  <si>
    <t>OBSTRUCTION</t>
  </si>
  <si>
    <t>PACKR</t>
  </si>
  <si>
    <t>CARRY-OUT RESIDENTIAL</t>
  </si>
  <si>
    <t>RESTART FEE</t>
  </si>
  <si>
    <t>REXTRA</t>
  </si>
  <si>
    <t>SUNKENR</t>
  </si>
  <si>
    <t>SUNKEN CAN CHARGE - RESI</t>
  </si>
  <si>
    <t>TRIPRCANS</t>
  </si>
  <si>
    <t>RETURN TRIP CHARGE - CANS</t>
  </si>
  <si>
    <t>TRIPRCARTS</t>
  </si>
  <si>
    <t>RESI TRIP CHARGE - CARTS</t>
  </si>
  <si>
    <t>TOTAL RESIDENTIAL GARBAGE</t>
  </si>
  <si>
    <t>RESIDENTIAL RECYCLING</t>
  </si>
  <si>
    <t>RECYCLE SERVICE ONLY</t>
  </si>
  <si>
    <t>RECYR</t>
  </si>
  <si>
    <t>RECYCLE PROGRAM</t>
  </si>
  <si>
    <t>RECYRNB</t>
  </si>
  <si>
    <t>RECY PROGRAM-NO CART</t>
  </si>
  <si>
    <t>DRVNR-RECYCLE</t>
  </si>
  <si>
    <t>DRIVE IN RECYCLE</t>
  </si>
  <si>
    <t>PACKR-RECYCLE</t>
  </si>
  <si>
    <t>RECY ROLLOUT RESI &lt;25'</t>
  </si>
  <si>
    <t>RECYCLE TOTER REDELIVERY</t>
  </si>
  <si>
    <t>RECYDEL</t>
  </si>
  <si>
    <t>TOTAL RESIDENTIAL RECYCLING</t>
  </si>
  <si>
    <t>RESIDENTIAL YARD WASTE</t>
  </si>
  <si>
    <t>YDW90</t>
  </si>
  <si>
    <t>90 GAL YARDWASTE</t>
  </si>
  <si>
    <t>YDWDEL</t>
  </si>
  <si>
    <t>YARDWASTE REDELIVERY</t>
  </si>
  <si>
    <t>YDWEX</t>
  </si>
  <si>
    <t>EXTRA YARD WASTE</t>
  </si>
  <si>
    <t>DRVNR-YARDWASTE</t>
  </si>
  <si>
    <t>DRIVE IN YARDWASTE</t>
  </si>
  <si>
    <t>PACKR-YARDWASTE</t>
  </si>
  <si>
    <t>YRDWSTE ROLLOUT RES &lt;25'</t>
  </si>
  <si>
    <t>TRIPYCARTS</t>
  </si>
  <si>
    <t>YDW TRIP CHARGE - RESI</t>
  </si>
  <si>
    <t>MYDW90</t>
  </si>
  <si>
    <t>MF YARDWASTE</t>
  </si>
  <si>
    <t>TOTAL RESIDENTIAL YARD WASTE</t>
  </si>
  <si>
    <t>SUBTOTAL RESIDENTIAL</t>
  </si>
  <si>
    <t>COMMERCIAL SERVICES</t>
  </si>
  <si>
    <t>COMMERCIAL GARBAGE</t>
  </si>
  <si>
    <t>20CW1</t>
  </si>
  <si>
    <t>35CW1</t>
  </si>
  <si>
    <t>65CW1</t>
  </si>
  <si>
    <t>95CW1</t>
  </si>
  <si>
    <t>F1.5YD1W</t>
  </si>
  <si>
    <t>F1YD1W</t>
  </si>
  <si>
    <t>F1YDEX</t>
  </si>
  <si>
    <t>F2YD1W</t>
  </si>
  <si>
    <t>F2YD2W</t>
  </si>
  <si>
    <t>F2YD3W</t>
  </si>
  <si>
    <t>F2YDEX</t>
  </si>
  <si>
    <t>F4YD1W</t>
  </si>
  <si>
    <t>F4YD2W</t>
  </si>
  <si>
    <t>F4YD3W</t>
  </si>
  <si>
    <t>F4YD4W</t>
  </si>
  <si>
    <t>F4YDEX</t>
  </si>
  <si>
    <t>F6YD1W</t>
  </si>
  <si>
    <t>F6YD2W</t>
  </si>
  <si>
    <t>F6YD3W</t>
  </si>
  <si>
    <t>F6YD4W</t>
  </si>
  <si>
    <t>F6YD5W</t>
  </si>
  <si>
    <t>F6YDEX</t>
  </si>
  <si>
    <t>FCP2YD1W2.25-1</t>
  </si>
  <si>
    <t>FCP4YD1W4-1</t>
  </si>
  <si>
    <t>FCP4YD1W5-1</t>
  </si>
  <si>
    <t>FCP4YDEOW5-1</t>
  </si>
  <si>
    <t>FCP4YDOC5-1</t>
  </si>
  <si>
    <t>FCP6YD2W3-1</t>
  </si>
  <si>
    <t>FCP6YD2W4-1</t>
  </si>
  <si>
    <t>PACKC</t>
  </si>
  <si>
    <t>CARRY-OUT COMMERCIAL</t>
  </si>
  <si>
    <t>R1.5YD1W</t>
  </si>
  <si>
    <t>1.5YD CONT 1xWEEKLY</t>
  </si>
  <si>
    <t>R1.5YD2W</t>
  </si>
  <si>
    <t>R1.5YDEX</t>
  </si>
  <si>
    <t>R1.5YDTPU</t>
  </si>
  <si>
    <t>R1YD1W</t>
  </si>
  <si>
    <t>1YD CONT 1xWEEKLY</t>
  </si>
  <si>
    <t>R1YD2W</t>
  </si>
  <si>
    <t>R1YD3W</t>
  </si>
  <si>
    <t>R1YDEX</t>
  </si>
  <si>
    <t>R1YDTPU</t>
  </si>
  <si>
    <t>R2YD1W</t>
  </si>
  <si>
    <t>R2YD2W</t>
  </si>
  <si>
    <t>R2YD3W</t>
  </si>
  <si>
    <t>R2YD4W</t>
  </si>
  <si>
    <t>R2YD5W</t>
  </si>
  <si>
    <t>R2YDEX</t>
  </si>
  <si>
    <t>R2YDTPU</t>
  </si>
  <si>
    <t>ADJCOM</t>
  </si>
  <si>
    <t>SERVICE ADJ-COMMERCIAL</t>
  </si>
  <si>
    <t>CDEL</t>
  </si>
  <si>
    <t>CONTAINER DELIVERY CHARGE</t>
  </si>
  <si>
    <t>CEX</t>
  </si>
  <si>
    <t>CEXYD</t>
  </si>
  <si>
    <t>CLOCK</t>
  </si>
  <si>
    <t>LOCK CHARGE-CONTAINER</t>
  </si>
  <si>
    <t>CROLL</t>
  </si>
  <si>
    <t>ROLLOUT CHARGE - CMML</t>
  </si>
  <si>
    <t>CTDEL</t>
  </si>
  <si>
    <t>TEMP CONTAINER DELIVERY</t>
  </si>
  <si>
    <t>CTRIP</t>
  </si>
  <si>
    <t>RETURN TRIP CHARGE - CONT</t>
  </si>
  <si>
    <t>CUNLOCK</t>
  </si>
  <si>
    <t>COMM UNLOCK GATE OR CONT</t>
  </si>
  <si>
    <t>DRVNC</t>
  </si>
  <si>
    <t>DRIVE IN - CMML</t>
  </si>
  <si>
    <t>TIMEC</t>
  </si>
  <si>
    <t>CMML TIME CHARGE</t>
  </si>
  <si>
    <t>TOTAL COMMERCIAL GARBAGE</t>
  </si>
  <si>
    <t>MULTI-FAMILY</t>
  </si>
  <si>
    <t>MULTI-FAMILY GARBAGE</t>
  </si>
  <si>
    <t>35MW1</t>
  </si>
  <si>
    <t>35MW1N</t>
  </si>
  <si>
    <t>65MW1</t>
  </si>
  <si>
    <t>65MW1N</t>
  </si>
  <si>
    <t>95MW1</t>
  </si>
  <si>
    <t>95MW1N</t>
  </si>
  <si>
    <t>M1.5YD1W</t>
  </si>
  <si>
    <t>M1.5YD2W</t>
  </si>
  <si>
    <t>M1YD1W</t>
  </si>
  <si>
    <t>M1YDEX</t>
  </si>
  <si>
    <t>M1YDTPU</t>
  </si>
  <si>
    <t>M2YD1W</t>
  </si>
  <si>
    <t>M2YD2W</t>
  </si>
  <si>
    <t>M2YD3W</t>
  </si>
  <si>
    <t>M2YDEX</t>
  </si>
  <si>
    <t>M2YDTPU</t>
  </si>
  <si>
    <t>M4YD1W</t>
  </si>
  <si>
    <t>M4YD2W</t>
  </si>
  <si>
    <t>M4YDEX</t>
  </si>
  <si>
    <t>M6YD1W</t>
  </si>
  <si>
    <t>M6YD2W</t>
  </si>
  <si>
    <t>M6YD3W</t>
  </si>
  <si>
    <t>M6YDEX</t>
  </si>
  <si>
    <t>MCCWR35</t>
  </si>
  <si>
    <t>MCCWR65</t>
  </si>
  <si>
    <t>MRENT90</t>
  </si>
  <si>
    <t>MF 90GAL TOTER RENT</t>
  </si>
  <si>
    <t>MROLL</t>
  </si>
  <si>
    <t>ROLLOUT CHARGE - MF</t>
  </si>
  <si>
    <t>PACKM</t>
  </si>
  <si>
    <t>CARRY-OUT MULTI FAMILY</t>
  </si>
  <si>
    <t>DRVNM</t>
  </si>
  <si>
    <t>DRIVE IN - MULTIFAMILY</t>
  </si>
  <si>
    <t>EXTRA-MF</t>
  </si>
  <si>
    <t>TOTAL MULTI-FAMILY GARBAGE</t>
  </si>
  <si>
    <t>MULTI-FAMILY RECYCLING</t>
  </si>
  <si>
    <t>M2YDRECY</t>
  </si>
  <si>
    <t>MF 2YD RECYCLING</t>
  </si>
  <si>
    <t>M6YDRECY</t>
  </si>
  <si>
    <t>MF 6YD RECYCLING</t>
  </si>
  <si>
    <t>MCCRECYR</t>
  </si>
  <si>
    <t>MF CAN COUNT RECYCLE PROG</t>
  </si>
  <si>
    <t>MRECYIN</t>
  </si>
  <si>
    <t>MF RECYCLING INCENTIVE</t>
  </si>
  <si>
    <t>MRECYONLY</t>
  </si>
  <si>
    <t>MF RECYCLE ONLY</t>
  </si>
  <si>
    <t>MRECYR</t>
  </si>
  <si>
    <t>RECYCLE PROGRAM W/ BINS</t>
  </si>
  <si>
    <t>MRENT2YDRECY</t>
  </si>
  <si>
    <t>MF 2YD RECYCLE RENT</t>
  </si>
  <si>
    <t>MRENT6YDRECY</t>
  </si>
  <si>
    <t>MF 6YD RECYCLE RENT</t>
  </si>
  <si>
    <t>MSRTOT</t>
  </si>
  <si>
    <t>MF TOTER SERVICE</t>
  </si>
  <si>
    <t>TOTAL MULTI-FAMILY RECYCLING</t>
  </si>
  <si>
    <t>DROP BOX SERVICES</t>
  </si>
  <si>
    <t>DROP BOX HAULS/RENTAL</t>
  </si>
  <si>
    <t>ROHAUL20</t>
  </si>
  <si>
    <t>20YD ROLL OFF-HAUL</t>
  </si>
  <si>
    <t>ROHAUL20CO</t>
  </si>
  <si>
    <t>20YD CUST OWNED R/O HAUL</t>
  </si>
  <si>
    <t>ROHAUL20T</t>
  </si>
  <si>
    <t>20YD ROLL OFF TEMP HAUL</t>
  </si>
  <si>
    <t>ROHAUL25</t>
  </si>
  <si>
    <t>25YD ROLL OFF - HAUL</t>
  </si>
  <si>
    <t>ROHAUL25T</t>
  </si>
  <si>
    <t>25YD ROLL OFF TEMP HAUL</t>
  </si>
  <si>
    <t>ROHAUL30</t>
  </si>
  <si>
    <t>30YD ROLL OFF-HAUL</t>
  </si>
  <si>
    <t>ROHAUL30T</t>
  </si>
  <si>
    <t>30YD ROLL OFF TEMP HAUL</t>
  </si>
  <si>
    <t>ROHAUL40</t>
  </si>
  <si>
    <t>40YD ROLL OFF-HAUL</t>
  </si>
  <si>
    <t>ROHAUL40T</t>
  </si>
  <si>
    <t>40YD ROLL OFF TEMP</t>
  </si>
  <si>
    <t>CPHAUL10</t>
  </si>
  <si>
    <t>10YD COMPACTOR-HAUL</t>
  </si>
  <si>
    <t>CPHAUL15</t>
  </si>
  <si>
    <t>15YD COMPACTOR-HAUL</t>
  </si>
  <si>
    <t>CPHAUL20</t>
  </si>
  <si>
    <t>20YD COMPACTOR-HAUL</t>
  </si>
  <si>
    <t>CPHAUL25</t>
  </si>
  <si>
    <t>25YD COMPACTOR-HAUL</t>
  </si>
  <si>
    <t>CPHAUL30</t>
  </si>
  <si>
    <t>30YD COMPACTOR-HAUL</t>
  </si>
  <si>
    <t>CPHAUL35</t>
  </si>
  <si>
    <t>35YD COMPACTOR-HAUL</t>
  </si>
  <si>
    <t>CPHAUL40</t>
  </si>
  <si>
    <t>40YD COMPACTOR - HAUL</t>
  </si>
  <si>
    <t>RORENT20P</t>
  </si>
  <si>
    <t>20YD ROLL OFF-PERM RENT</t>
  </si>
  <si>
    <t>RORENT20T</t>
  </si>
  <si>
    <t>20YD ROLL OFF-TEMP RENT</t>
  </si>
  <si>
    <t>RORENT25P</t>
  </si>
  <si>
    <t>25YD ROLL OFF-PERM RENT</t>
  </si>
  <si>
    <t>RORENT25T</t>
  </si>
  <si>
    <t>25YD ROLL OFF-TEMP RENT</t>
  </si>
  <si>
    <t>RORENT30P</t>
  </si>
  <si>
    <t>30YD ROLL OFF-PERM RENT</t>
  </si>
  <si>
    <t>RORENT30T</t>
  </si>
  <si>
    <t>30YD ROLL OFF-TEMP RENT</t>
  </si>
  <si>
    <t>RORENT40P</t>
  </si>
  <si>
    <t>40YD ROLL OFF-PERM RENT</t>
  </si>
  <si>
    <t>RORENT40T</t>
  </si>
  <si>
    <t>40YD ROLL OFF-TEMP RENT</t>
  </si>
  <si>
    <t>ROSPC</t>
  </si>
  <si>
    <t>SPECIAL CHARGES</t>
  </si>
  <si>
    <t>ROTA</t>
  </si>
  <si>
    <t>TANDEM AXLE</t>
  </si>
  <si>
    <t>ADJRO</t>
  </si>
  <si>
    <t>SERVICE ADJ-ROLL OFF</t>
  </si>
  <si>
    <t>CPCONNECT</t>
  </si>
  <si>
    <t>COMP CONNECT/RECONNECT</t>
  </si>
  <si>
    <t>ROCLEAN</t>
  </si>
  <si>
    <t>ROLLOFF CLEANING</t>
  </si>
  <si>
    <t>RODEL</t>
  </si>
  <si>
    <t>ROLL OFF-DELIVERY</t>
  </si>
  <si>
    <t>ROMILE</t>
  </si>
  <si>
    <t>MILEAGE</t>
  </si>
  <si>
    <t>RORELOCATE</t>
  </si>
  <si>
    <t>ROLLOFF RELOCATE</t>
  </si>
  <si>
    <t>TOTAL DROP BOX HAULS/RENTAL</t>
  </si>
  <si>
    <t>PASSTHROUGH DISPOSAL</t>
  </si>
  <si>
    <t>DISP</t>
  </si>
  <si>
    <t>DISPOSAL FEE PER TON</t>
  </si>
  <si>
    <t>TOTAL PASSTHROUGH DISPOSAL</t>
  </si>
  <si>
    <t>SUBTOTAL DROP BOX</t>
  </si>
  <si>
    <t>MEDICAL WASTE</t>
  </si>
  <si>
    <t>MD10</t>
  </si>
  <si>
    <t>10 GALLON</t>
  </si>
  <si>
    <t>MD20</t>
  </si>
  <si>
    <t>20 GALLON</t>
  </si>
  <si>
    <t>MD35</t>
  </si>
  <si>
    <t>35 GALLON</t>
  </si>
  <si>
    <t>TOTAL MEDICAL WASTE</t>
  </si>
  <si>
    <t>SUBTOTAL MEDICAL WASTE</t>
  </si>
  <si>
    <t>ACCOUNTING</t>
  </si>
  <si>
    <t>SERVICE CHARGES</t>
  </si>
  <si>
    <t>ADJ-SB</t>
  </si>
  <si>
    <t>SERVICE ADJ-SMALL BALANCE</t>
  </si>
  <si>
    <t>ADJTAX</t>
  </si>
  <si>
    <t>TAX ADJUSTMENT</t>
  </si>
  <si>
    <t>FINCHG</t>
  </si>
  <si>
    <t>LATE FEE</t>
  </si>
  <si>
    <t>NSF FEES</t>
  </si>
  <si>
    <t>RETURNED CHECK FEE</t>
  </si>
  <si>
    <t>SHOPSERVICE</t>
  </si>
  <si>
    <t>MAINTENANCE SERVICES</t>
  </si>
  <si>
    <t>TOTAL SERVICE CHARGES</t>
  </si>
  <si>
    <t>SUBTOTAL SERVICE CHARGES</t>
  </si>
  <si>
    <t>Check</t>
  </si>
  <si>
    <t>Summary</t>
  </si>
  <si>
    <t>Current Revenue</t>
  </si>
  <si>
    <t>MF</t>
  </si>
  <si>
    <t>Comm</t>
  </si>
  <si>
    <t>INPUT CELLS</t>
  </si>
  <si>
    <t>Immaterial</t>
  </si>
  <si>
    <t>Annual Customers:</t>
  </si>
  <si>
    <t>Pass</t>
  </si>
  <si>
    <t>Drum</t>
  </si>
  <si>
    <t>Drum Special Pickup</t>
  </si>
  <si>
    <t>Pass Thru Increase</t>
  </si>
  <si>
    <t>Customers</t>
  </si>
  <si>
    <t>Monthly</t>
  </si>
  <si>
    <t>1-20 GAL CART WKLY - PU</t>
  </si>
  <si>
    <t>1-35 GAL CART WKLY - PU</t>
  </si>
  <si>
    <t>1-65 GAL CART WKLY - PU</t>
  </si>
  <si>
    <t>1-95 GAL CART WKLY - PU</t>
  </si>
  <si>
    <t>Multi Family</t>
  </si>
  <si>
    <t>Commericial</t>
  </si>
  <si>
    <t>NEW RATES</t>
  </si>
  <si>
    <t>SERVICE CODES WITH NO CURRENT CUSTOMERS LISTED BELOW</t>
  </si>
  <si>
    <t>4.33 Factor Used</t>
  </si>
  <si>
    <t>Temp</t>
  </si>
  <si>
    <t>As Shown In Tariff</t>
  </si>
  <si>
    <t>Extra Yardage</t>
  </si>
  <si>
    <t>Special</t>
  </si>
  <si>
    <t>Can</t>
  </si>
  <si>
    <t xml:space="preserve">20 Gallon Cart </t>
  </si>
  <si>
    <t>per PU</t>
  </si>
  <si>
    <t>Company Current Tariff  with COVID Recovery</t>
  </si>
  <si>
    <t>Current COVID Rate</t>
  </si>
  <si>
    <t>Proposed COVID Rate</t>
  </si>
  <si>
    <t>Check COVID Change</t>
  </si>
  <si>
    <t>Per Price Out</t>
  </si>
  <si>
    <t>Annual PU's Per Mapping</t>
  </si>
  <si>
    <t>No Cust Counts</t>
  </si>
  <si>
    <t>Diff</t>
  </si>
  <si>
    <t>Annual PU's per Calc</t>
  </si>
  <si>
    <t>1.5 yard Regular</t>
  </si>
  <si>
    <t xml:space="preserve">Company Current Tariff </t>
  </si>
  <si>
    <t xml:space="preserve"> Calculated Rate </t>
  </si>
  <si>
    <t>Grand Total District Operations</t>
  </si>
  <si>
    <t/>
  </si>
  <si>
    <t xml:space="preserve"> </t>
  </si>
  <si>
    <t>MED WASTE MINIMUM TRIP CH</t>
  </si>
  <si>
    <t>MDTRIP</t>
  </si>
  <si>
    <t>MINIMUM MONTHLY CHARGE</t>
  </si>
  <si>
    <t>MED WASTE DELIVERY</t>
  </si>
  <si>
    <t>MDDEL</t>
  </si>
  <si>
    <t>MDMINMO</t>
  </si>
  <si>
    <t>ROLL OFF TIME CHARGE</t>
  </si>
  <si>
    <t>TIME-RO</t>
  </si>
  <si>
    <t>TARPING FEE - RO</t>
  </si>
  <si>
    <t>TARP-RO</t>
  </si>
  <si>
    <t>OVERTIME PERIOD - RO</t>
  </si>
  <si>
    <t>OT-RO</t>
  </si>
  <si>
    <t>40YD CUST OWNED R/O HAUL</t>
  </si>
  <si>
    <t>ROHAUL40CO</t>
  </si>
  <si>
    <t>MURREYSROLLOFFROHAUL40CO</t>
  </si>
  <si>
    <t>RELO-RO</t>
  </si>
  <si>
    <t>MURREYSROLLOFFRELO-RO</t>
  </si>
  <si>
    <t>10YD CUST OWNED R/O HAUL</t>
  </si>
  <si>
    <t>ROHAUL10CO</t>
  </si>
  <si>
    <t>MURREYSROLLOFFROHAUL10CO</t>
  </si>
  <si>
    <t>RESTART FEE-RO</t>
  </si>
  <si>
    <t>ROLL OFF</t>
  </si>
  <si>
    <t>SUBTOTAL MF &amp; COMMERCIAL</t>
  </si>
  <si>
    <t>Can Count - divided by 30</t>
  </si>
  <si>
    <t>Recycle</t>
  </si>
  <si>
    <t>6YD</t>
  </si>
  <si>
    <t>4YD</t>
  </si>
  <si>
    <t>3YD</t>
  </si>
  <si>
    <t>2YD</t>
  </si>
  <si>
    <t>1.5YD</t>
  </si>
  <si>
    <t>1YD</t>
  </si>
  <si>
    <t>Service</t>
  </si>
  <si>
    <t>Extra/Temp</t>
  </si>
  <si>
    <t>4x week</t>
  </si>
  <si>
    <t>MF 2YD CONT 4X WKLY</t>
  </si>
  <si>
    <t>M2YD4W</t>
  </si>
  <si>
    <t>3x week</t>
  </si>
  <si>
    <t>2x week</t>
  </si>
  <si>
    <t>Weekly</t>
  </si>
  <si>
    <t>EOW</t>
  </si>
  <si>
    <t>M1.5YDTPU</t>
  </si>
  <si>
    <t>Freq.</t>
  </si>
  <si>
    <t>Recycle Rate</t>
  </si>
  <si>
    <t>Garbage Annual Increase</t>
  </si>
  <si>
    <t>Recycle Annual Increase</t>
  </si>
  <si>
    <t>Rate Increase</t>
  </si>
  <si>
    <t>Garbage Portion of Rate</t>
  </si>
  <si>
    <t>Recycle Portion of Rate</t>
  </si>
  <si>
    <t>Non-COVID per Yard Rate</t>
  </si>
  <si>
    <t>MF 1-65 GAL CART ON CALL</t>
  </si>
  <si>
    <t>65MOCPU</t>
  </si>
  <si>
    <t>MURREYSCOMMERCIAL65MOCPU</t>
  </si>
  <si>
    <t>20MW1</t>
  </si>
  <si>
    <t>RESTART FEE-COM</t>
  </si>
  <si>
    <t>RETURN TRIP CHG - CANS</t>
  </si>
  <si>
    <t>CTRIPCAN</t>
  </si>
  <si>
    <t>GATE OPEN/CLOSE</t>
  </si>
  <si>
    <t>CGATE</t>
  </si>
  <si>
    <t>BULKY ITEM</t>
  </si>
  <si>
    <t>BULKY-COM</t>
  </si>
  <si>
    <t>YDWSTROLLOUT &gt;25 PER 5</t>
  </si>
  <si>
    <t>PACKR-YARDAD</t>
  </si>
  <si>
    <t>RECYROLLOUT &gt;25 PER 5</t>
  </si>
  <si>
    <t>PACKR-RECYADL</t>
  </si>
  <si>
    <t>recyonly</t>
  </si>
  <si>
    <t>Recycling Customers</t>
  </si>
  <si>
    <t>CART REDELIVERY</t>
  </si>
  <si>
    <t>DELCART</t>
  </si>
  <si>
    <t>BULKY-RES</t>
  </si>
  <si>
    <t>1-65 GAL CART ON CALL</t>
  </si>
  <si>
    <t>65ROCPU</t>
  </si>
  <si>
    <t>1-35 GAL CART ON CALL</t>
  </si>
  <si>
    <t>35ROCPU</t>
  </si>
  <si>
    <t>1-20 GAL CAN WEEKLY</t>
  </si>
  <si>
    <t>20RW1</t>
  </si>
  <si>
    <t>Proposed Annual Revenue</t>
  </si>
  <si>
    <t>New Tariff Rate</t>
  </si>
  <si>
    <t>Annual Increase</t>
  </si>
  <si>
    <t>Tariff Increase</t>
  </si>
  <si>
    <t>Non-Covid Beginning Rate</t>
  </si>
  <si>
    <t>Count</t>
  </si>
  <si>
    <t>Quantity</t>
  </si>
  <si>
    <t>Container Size</t>
  </si>
  <si>
    <t>Can Size</t>
  </si>
  <si>
    <t>Cart Size</t>
  </si>
  <si>
    <t>Average</t>
  </si>
  <si>
    <t>2019 Garbage</t>
  </si>
  <si>
    <t>2019 Recycle</t>
  </si>
  <si>
    <t>Total Customers</t>
  </si>
  <si>
    <t>Tariff Rate 3/1/2022</t>
  </si>
  <si>
    <t>Tariff Rate 9/1/2021</t>
  </si>
  <si>
    <t>Tariff Rate 3/1/2021 - 8/31/2021</t>
  </si>
  <si>
    <t>Med Waste</t>
  </si>
  <si>
    <t>Yard Waste</t>
  </si>
  <si>
    <t>Container Counts</t>
  </si>
  <si>
    <t>MF Recycling Yards Per Month</t>
  </si>
  <si>
    <t>MF Container</t>
  </si>
  <si>
    <t>MURREYS</t>
  </si>
  <si>
    <t>June 2021 - May 2022</t>
  </si>
  <si>
    <t>Garbage</t>
  </si>
  <si>
    <t>Difference</t>
  </si>
  <si>
    <t>LG Increase</t>
  </si>
  <si>
    <t>Price Out Increase</t>
  </si>
  <si>
    <t>Total % Change</t>
  </si>
  <si>
    <t>Plug to Balance</t>
  </si>
  <si>
    <t>Increase Per LG</t>
  </si>
  <si>
    <t>TG-220857</t>
  </si>
  <si>
    <t>Effective 3/1/2023</t>
  </si>
  <si>
    <t>Customer Count from GRC filing TG-220587</t>
  </si>
  <si>
    <t>Vashon Disposal (Under American Disposal Co.)</t>
  </si>
  <si>
    <t>Dump Fee Schedule</t>
  </si>
  <si>
    <t>June 2021 -May 2022</t>
  </si>
  <si>
    <t>Murrey's</t>
  </si>
  <si>
    <t>Pass Thru $</t>
  </si>
  <si>
    <t>Packer $</t>
  </si>
  <si>
    <t>Total $</t>
  </si>
  <si>
    <t>Acct. 31005</t>
  </si>
  <si>
    <t>Plug</t>
  </si>
  <si>
    <t>Acct. 40109</t>
  </si>
  <si>
    <t>Pierce County Disposal Rates</t>
  </si>
  <si>
    <t>Rate per ton March 21- February 22</t>
  </si>
  <si>
    <t>Increase Effective 3/1/22</t>
  </si>
  <si>
    <t>New Rate Effective 3/1/22</t>
  </si>
  <si>
    <t>Tacoma Hauling</t>
  </si>
  <si>
    <t>Non-Regulated Areas</t>
  </si>
  <si>
    <t>UTC Non-Reg</t>
  </si>
  <si>
    <t>Puyallup</t>
  </si>
  <si>
    <t>Bonney Lake</t>
  </si>
  <si>
    <t>Sumner</t>
  </si>
  <si>
    <t>Buckley</t>
  </si>
  <si>
    <t>Milton</t>
  </si>
  <si>
    <t>Orting</t>
  </si>
  <si>
    <t>Carbonado</t>
  </si>
  <si>
    <t>Ruston</t>
  </si>
  <si>
    <t>Annual Customers</t>
  </si>
  <si>
    <t>Annual Customer Count</t>
  </si>
  <si>
    <t>Monthly Frequency</t>
  </si>
  <si>
    <t>Annual PU's</t>
  </si>
  <si>
    <t>Residential Garbage</t>
  </si>
  <si>
    <t>10RW1N</t>
  </si>
  <si>
    <t>1-10 GAL CART WKLY NON REC</t>
  </si>
  <si>
    <t>10RW1R</t>
  </si>
  <si>
    <t>1-10 GAL CART WKLY W/ REC</t>
  </si>
  <si>
    <t>TOTAL RESIDENTIAL SERVICES</t>
  </si>
  <si>
    <t xml:space="preserve">COMMERCIAL SERVICES </t>
  </si>
  <si>
    <t>Commercial Garbage</t>
  </si>
  <si>
    <t>F8YD2W</t>
  </si>
  <si>
    <t>8 YD CONT 2X WKLY</t>
  </si>
  <si>
    <t>FCP2YD1W4-1</t>
  </si>
  <si>
    <t>2 YD 4-1 COMP 1X WK</t>
  </si>
  <si>
    <t>FCP2YD2W</t>
  </si>
  <si>
    <t>2 YD COMPACTOR 2X WKLY</t>
  </si>
  <si>
    <t>FCP6YD2W</t>
  </si>
  <si>
    <t>6YD COMPACTOR 2X WKLY</t>
  </si>
  <si>
    <t>R1.5YD3W</t>
  </si>
  <si>
    <t>TOTAL COMMERCIAL SERVICES</t>
  </si>
  <si>
    <t>GRAND TOTAL</t>
  </si>
  <si>
    <t>Murrey's Regulated</t>
  </si>
  <si>
    <t>June 1, 2021- May 31, 2022</t>
  </si>
  <si>
    <t>R2YDEOW</t>
  </si>
  <si>
    <t>2YD CONT EOW</t>
  </si>
  <si>
    <t>Calc lbs</t>
  </si>
  <si>
    <t>Adj lbs</t>
  </si>
  <si>
    <t>Tons</t>
  </si>
  <si>
    <t>Packer Ton Allocation</t>
  </si>
  <si>
    <t>June-Feb</t>
  </si>
  <si>
    <t>Mar-May</t>
  </si>
  <si>
    <t>Expense</t>
  </si>
  <si>
    <t>Test Year</t>
  </si>
  <si>
    <t>Disposal fee</t>
  </si>
  <si>
    <t>Disposal Fee Calculated Annual Lbs</t>
  </si>
  <si>
    <t>Regulated</t>
  </si>
  <si>
    <t>Non Regulated</t>
  </si>
  <si>
    <t>Allocation of Packer Tons</t>
  </si>
  <si>
    <t>Secondary Proof of Ratio from Filing :</t>
  </si>
  <si>
    <t>Disposal Expense GL A/C 40109</t>
  </si>
  <si>
    <t>Roll Off Ton Allocation</t>
  </si>
  <si>
    <t>Rate Case Pass Thru Disposal Expense</t>
  </si>
  <si>
    <t>Allocation of Roll Tons</t>
  </si>
  <si>
    <t>TOTAL MULTI FAMILY SERVICES</t>
  </si>
  <si>
    <t>MCCWR95</t>
  </si>
  <si>
    <t>Multi-Family</t>
  </si>
  <si>
    <t>Multi-Family Garbage</t>
  </si>
  <si>
    <t>MF 2YD CONT 5X WKLY</t>
  </si>
  <si>
    <t>M2YD5W</t>
  </si>
  <si>
    <t>Residential</t>
  </si>
  <si>
    <t>Price Out</t>
  </si>
  <si>
    <t>DF Allocation</t>
  </si>
  <si>
    <t>Customer Type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</si>
</sst>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5"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  <numFmt numFmtId="165" formatCode="_(&quot;$&quot;* #,##0.000_);_(&quot;$&quot;* \(#,##0.000\);_(&quot;$&quot;* &quot;-&quot;??_);_(@_)"/>
    <numFmt numFmtId="166" formatCode="_(* #,##0_);_(* \(#,##0\);_(* &quot;-&quot;??_);_(@_)"/>
    <numFmt numFmtId="167" formatCode="_(* #,##0.000000_);_(* \(#,##0.000000\);_(* &quot;-&quot;??_);_(@_)"/>
    <numFmt numFmtId="168" formatCode="0.0000%"/>
    <numFmt numFmtId="169" formatCode="_(&quot;$&quot;* #,##0.000000_);_(&quot;$&quot;* \(#,##0.000000\);_(&quot;$&quot;* &quot;-&quot;??_);_(@_)"/>
    <numFmt numFmtId="170" formatCode="0.000000"/>
    <numFmt numFmtId="171" formatCode="0.0%"/>
    <numFmt numFmtId="172" formatCode="_-* #,##0.00_-;\-* #,##0.00_-;_-* &quot;-&quot;??_-;_-@_-"/>
    <numFmt numFmtId="173" formatCode="&quot;$&quot;#,##0\ ;\(&quot;$&quot;#,##0\)"/>
    <numFmt numFmtId="174" formatCode="_([$€-2]* #,##0.00_);_([$€-2]* \(#,##0.00\);_([$€-2]* &quot;-&quot;??_)"/>
    <numFmt numFmtId="175" formatCode="General_)"/>
    <numFmt numFmtId="176" formatCode="mm\-yy;\-0;;@"/>
    <numFmt numFmtId="177" formatCode=".00#####;\-.00####;;@"/>
    <numFmt numFmtId="178" formatCode="_(&quot;$&quot;* #,##0.0_);_(&quot;$&quot;* \(#,##0.0\);_(&quot;$&quot;* &quot;-&quot;??_);_(@_)"/>
    <numFmt numFmtId="179" formatCode="0.000%"/>
    <numFmt numFmtId="180" formatCode="_(* #,##0.0_);_(* \(#,##0.0\);_(* &quot;-&quot;??_);_(@_)"/>
    <numFmt numFmtId="181" formatCode="_(* #,##0.000_);_(* \(#,##0.000\);_(* &quot;-&quot;??_);_(@_)"/>
    <numFmt numFmtId="182" formatCode="&quot;$&quot;#,##0.00"/>
    <numFmt numFmtId="183" formatCode="&quot;$&quot;#,##0"/>
    <numFmt numFmtId="184" formatCode="_(* #,##0.0000000_);_(* \(#,##0.0000000\);_(* &quot;-&quot;??_);_(@_)"/>
  </numFmts>
  <fonts count="13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1"/>
      <color theme="1"/>
      <name val="Calibri"/>
      <family val="2"/>
      <scheme val="minor"/>
    </font>
    <font>
      <sz val="12"/>
      <name val="Arial"/>
      <family val="2"/>
    </font>
    <font>
      <sz val="8"/>
      <color indexed="56"/>
      <name val="Arial"/>
      <family val="2"/>
    </font>
    <font>
      <sz val="10"/>
      <name val="MS Sans Serif"/>
      <family val="2"/>
    </font>
    <font>
      <b/>
      <sz val="10"/>
      <name val="MS Sans Serif"/>
      <family val="2"/>
    </font>
    <font>
      <sz val="11"/>
      <color indexed="8"/>
      <name val="Calibri"/>
      <family val="2"/>
    </font>
    <font>
      <sz val="11"/>
      <color rgb="FFFF0000"/>
      <name val="Calibri"/>
      <family val="2"/>
      <scheme val="minor"/>
    </font>
    <font>
      <sz val="10"/>
      <color indexed="12"/>
      <name val="Arial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Arial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10"/>
      <name val="Calibri"/>
      <family val="2"/>
    </font>
    <font>
      <b/>
      <sz val="11"/>
      <color indexed="9"/>
      <name val="Calibri"/>
      <family val="2"/>
    </font>
    <font>
      <sz val="10"/>
      <color indexed="8"/>
      <name val="Arial"/>
      <family val="2"/>
    </font>
    <font>
      <sz val="10"/>
      <name val="Times New Roman"/>
      <family val="1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62"/>
      <name val="Calibri"/>
      <family val="2"/>
    </font>
    <font>
      <sz val="11"/>
      <color indexed="10"/>
      <name val="Calibri"/>
      <family val="2"/>
    </font>
    <font>
      <sz val="11"/>
      <color indexed="19"/>
      <name val="Calibri"/>
      <family val="2"/>
    </font>
    <font>
      <sz val="12"/>
      <name val="Helv"/>
    </font>
    <font>
      <b/>
      <sz val="11"/>
      <color indexed="63"/>
      <name val="Calibri"/>
      <family val="2"/>
    </font>
    <font>
      <b/>
      <sz val="18"/>
      <color indexed="62"/>
      <name val="Cambria"/>
      <family val="2"/>
    </font>
    <font>
      <b/>
      <sz val="11"/>
      <color indexed="8"/>
      <name val="Calibri"/>
      <family val="2"/>
    </font>
    <font>
      <b/>
      <sz val="11"/>
      <color indexed="51"/>
      <name val="Calibri"/>
      <family val="2"/>
    </font>
    <font>
      <sz val="12"/>
      <name val="Courier"/>
      <family val="3"/>
    </font>
    <font>
      <sz val="9"/>
      <color indexed="8"/>
      <name val="Arial"/>
      <family val="2"/>
    </font>
    <font>
      <b/>
      <sz val="10"/>
      <color indexed="12"/>
      <name val="Arial"/>
      <family val="2"/>
    </font>
    <font>
      <b/>
      <sz val="15"/>
      <color indexed="61"/>
      <name val="Calibri"/>
      <family val="2"/>
    </font>
    <font>
      <b/>
      <sz val="13"/>
      <color indexed="61"/>
      <name val="Calibri"/>
      <family val="2"/>
    </font>
    <font>
      <b/>
      <sz val="11"/>
      <color indexed="61"/>
      <name val="Calibri"/>
      <family val="2"/>
    </font>
    <font>
      <u/>
      <sz val="10"/>
      <color indexed="12"/>
      <name val="Arial"/>
      <family val="2"/>
    </font>
    <font>
      <u/>
      <sz val="11"/>
      <color indexed="12"/>
      <name val="Calibri"/>
      <family val="2"/>
    </font>
    <font>
      <sz val="11"/>
      <color indexed="61"/>
      <name val="Calibri"/>
      <family val="2"/>
    </font>
    <font>
      <sz val="11"/>
      <color indexed="51"/>
      <name val="Calibri"/>
      <family val="2"/>
    </font>
    <font>
      <sz val="11"/>
      <color indexed="59"/>
      <name val="Calibri"/>
      <family val="2"/>
    </font>
    <font>
      <i/>
      <sz val="10"/>
      <color indexed="10"/>
      <name val="Arial"/>
      <family val="2"/>
    </font>
    <font>
      <b/>
      <sz val="18"/>
      <color indexed="61"/>
      <name val="Cambria"/>
      <family val="2"/>
    </font>
    <font>
      <sz val="11"/>
      <color indexed="8"/>
      <name val="Arial"/>
      <family val="2"/>
    </font>
    <font>
      <u/>
      <sz val="11"/>
      <color theme="10"/>
      <name val="Calibri"/>
      <family val="2"/>
    </font>
    <font>
      <b/>
      <sz val="11"/>
      <color indexed="52"/>
      <name val="Calibri"/>
      <family val="2"/>
    </font>
    <font>
      <sz val="8"/>
      <name val="Arial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sz val="12"/>
      <name val="Arial MT"/>
    </font>
    <font>
      <b/>
      <u/>
      <sz val="11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0"/>
      <color indexed="10"/>
      <name val="Arial"/>
      <family val="2"/>
    </font>
    <font>
      <b/>
      <sz val="12"/>
      <color indexed="12"/>
      <name val="Times New Roman"/>
      <family val="1"/>
    </font>
    <font>
      <b/>
      <sz val="11"/>
      <color indexed="18"/>
      <name val="Britannic Bold"/>
      <family val="2"/>
    </font>
    <font>
      <sz val="12"/>
      <name val="CG Omega"/>
    </font>
    <font>
      <sz val="12"/>
      <color theme="1"/>
      <name val="Calibri"/>
      <family val="2"/>
      <scheme val="minor"/>
    </font>
    <font>
      <sz val="12"/>
      <color indexed="8"/>
      <name val="Calibri"/>
      <family val="2"/>
    </font>
    <font>
      <sz val="11"/>
      <name val="Bookman Old Style"/>
      <family val="1"/>
    </font>
    <font>
      <u/>
      <sz val="10"/>
      <name val="Arial"/>
      <family val="2"/>
    </font>
    <font>
      <u/>
      <sz val="9.35"/>
      <color theme="10"/>
      <name val="Calibri"/>
      <family val="2"/>
    </font>
    <font>
      <u/>
      <sz val="8.8000000000000007"/>
      <color theme="10"/>
      <name val="Calibri"/>
      <family val="2"/>
    </font>
    <font>
      <u/>
      <sz val="7.5"/>
      <color indexed="12"/>
      <name val="Arial"/>
      <family val="2"/>
    </font>
    <font>
      <u/>
      <sz val="11"/>
      <color indexed="12"/>
      <name val="Arial"/>
      <family val="2"/>
    </font>
    <font>
      <u/>
      <sz val="11"/>
      <color theme="10"/>
      <name val="Century Gothic"/>
      <family val="2"/>
    </font>
    <font>
      <b/>
      <sz val="14"/>
      <name val="Helv"/>
    </font>
    <font>
      <sz val="11"/>
      <color theme="1"/>
      <name val="Arial"/>
      <family val="2"/>
    </font>
    <font>
      <sz val="10"/>
      <color rgb="FF000000"/>
      <name val="Arial"/>
      <family val="2"/>
    </font>
    <font>
      <sz val="12"/>
      <name val="SWISS"/>
    </font>
    <font>
      <sz val="11"/>
      <color rgb="FF000000"/>
      <name val="Calibri"/>
      <family val="2"/>
      <scheme val="minor"/>
    </font>
    <font>
      <sz val="11"/>
      <color theme="1"/>
      <name val="Century Gothic"/>
      <family val="2"/>
    </font>
    <font>
      <b/>
      <sz val="10"/>
      <name val="Times New Roman"/>
      <family val="1"/>
    </font>
    <font>
      <sz val="18"/>
      <color indexed="13"/>
      <name val="Helv"/>
    </font>
    <font>
      <sz val="12"/>
      <color indexed="13"/>
      <name val="Helv"/>
    </font>
    <font>
      <b/>
      <sz val="18"/>
      <color indexed="56"/>
      <name val="Cambria"/>
      <family val="2"/>
    </font>
    <font>
      <sz val="10"/>
      <color indexed="10"/>
      <name val="Arial"/>
      <family val="2"/>
    </font>
    <font>
      <sz val="11"/>
      <color indexed="8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1"/>
      <color indexed="8"/>
      <name val="Calibri"/>
      <family val="2"/>
      <scheme val="minor"/>
    </font>
    <font>
      <b/>
      <u/>
      <sz val="11"/>
      <color indexed="8"/>
      <name val="Calibri"/>
      <family val="2"/>
      <scheme val="minor"/>
    </font>
    <font>
      <b/>
      <sz val="11"/>
      <color indexed="50"/>
      <name val="Calibri"/>
      <family val="2"/>
      <scheme val="minor"/>
    </font>
    <font>
      <b/>
      <sz val="10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i/>
      <sz val="10"/>
      <color rgb="FFFF0000"/>
      <name val="Calibri"/>
      <family val="2"/>
      <scheme val="minor"/>
    </font>
    <font>
      <b/>
      <i/>
      <sz val="11"/>
      <color rgb="FFFF0000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1"/>
      <color rgb="FF0000FF"/>
      <name val="Calibri"/>
      <family val="2"/>
      <scheme val="minor"/>
    </font>
    <font>
      <sz val="11"/>
      <color theme="7"/>
      <name val="Calibri"/>
      <family val="2"/>
      <scheme val="minor"/>
    </font>
    <font>
      <b/>
      <sz val="11"/>
      <color theme="7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i/>
      <sz val="11"/>
      <color indexed="8"/>
      <name val="Calibri"/>
      <family val="2"/>
      <scheme val="minor"/>
    </font>
    <font>
      <sz val="11"/>
      <color rgb="FFFF0000"/>
      <name val="Arial"/>
      <family val="2"/>
    </font>
    <font>
      <b/>
      <sz val="10"/>
      <color indexed="8"/>
      <name val="Calibri"/>
      <family val="2"/>
    </font>
    <font>
      <sz val="10"/>
      <color indexed="8"/>
      <name val="Calibri"/>
      <family val="2"/>
    </font>
    <font>
      <sz val="8"/>
      <name val="Calibri"/>
      <family val="2"/>
      <scheme val="minor"/>
    </font>
    <font>
      <b/>
      <sz val="12"/>
      <name val="Calibri"/>
      <family val="2"/>
      <scheme val="minor"/>
    </font>
    <font>
      <b/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b/>
      <u/>
      <sz val="1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"/>
      <color indexed="8"/>
      <name val="Calibri"/>
      <family val="2"/>
    </font>
    <font>
      <b/>
      <sz val="12"/>
      <color indexed="8"/>
      <name val="Calibri"/>
      <family val="2"/>
    </font>
    <font>
      <b/>
      <u/>
      <sz val="9"/>
      <color indexed="8"/>
      <name val="Calibri"/>
      <family val="2"/>
    </font>
    <font>
      <b/>
      <sz val="9.5"/>
      <color theme="0"/>
      <name val="Calibri"/>
      <family val="2"/>
      <scheme val="minor"/>
    </font>
    <font>
      <b/>
      <u/>
      <sz val="9"/>
      <color indexed="8"/>
      <name val="Calibri"/>
      <family val="2"/>
      <scheme val="minor"/>
    </font>
    <font>
      <b/>
      <sz val="9"/>
      <color indexed="8"/>
      <name val="Calibri"/>
      <family val="2"/>
      <scheme val="minor"/>
    </font>
    <font>
      <b/>
      <sz val="9"/>
      <color indexed="8"/>
      <name val="Calibri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</fonts>
  <fills count="9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mediumGray">
        <fgColor indexed="22"/>
      </patternFill>
    </fill>
    <fill>
      <patternFill patternType="solid">
        <fgColor indexed="4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44"/>
      </patternFill>
    </fill>
    <fill>
      <patternFill patternType="solid">
        <fgColor indexed="47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27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45"/>
      </patternFill>
    </fill>
    <fill>
      <patternFill patternType="solid">
        <fgColor indexed="48"/>
      </patternFill>
    </fill>
    <fill>
      <patternFill patternType="solid">
        <fgColor indexed="53"/>
      </patternFill>
    </fill>
    <fill>
      <patternFill patternType="solid">
        <fgColor indexed="51"/>
      </patternFill>
    </fill>
    <fill>
      <patternFill patternType="solid">
        <fgColor indexed="56"/>
      </patternFill>
    </fill>
    <fill>
      <patternFill patternType="solid">
        <fgColor indexed="10"/>
      </patternFill>
    </fill>
    <fill>
      <patternFill patternType="solid">
        <fgColor indexed="54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46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63"/>
      </patternFill>
    </fill>
    <fill>
      <patternFill patternType="solid">
        <fgColor indexed="45"/>
        <bgColor indexed="64"/>
      </patternFill>
    </fill>
    <fill>
      <patternFill patternType="solid">
        <fgColor indexed="65"/>
        <bgColor indexed="10"/>
      </patternFill>
    </fill>
    <fill>
      <patternFill patternType="gray125">
        <fgColor indexed="10"/>
      </patternFill>
    </fill>
    <fill>
      <patternFill patternType="solid">
        <fgColor indexed="42"/>
      </patternFill>
    </fill>
    <fill>
      <patternFill patternType="solid">
        <fgColor indexed="22"/>
        <bgColor indexed="64"/>
      </patternFill>
    </fill>
    <fill>
      <patternFill patternType="solid">
        <fgColor indexed="31"/>
      </patternFill>
    </fill>
    <fill>
      <patternFill patternType="solid">
        <fgColor indexed="30"/>
      </patternFill>
    </fill>
    <fill>
      <patternFill patternType="solid">
        <fgColor indexed="11"/>
      </patternFill>
    </fill>
    <fill>
      <patternFill patternType="solid">
        <fgColor indexed="36"/>
      </patternFill>
    </fill>
    <fill>
      <patternFill patternType="solid">
        <fgColor indexed="62"/>
      </patternFill>
    </fill>
    <fill>
      <patternFill patternType="solid">
        <fgColor indexed="57"/>
      </patternFill>
    </fill>
    <fill>
      <patternFill patternType="solid">
        <fgColor rgb="FF92D05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6" tint="0.59999389629810485"/>
        <bgColor indexed="64"/>
      </patternFill>
    </fill>
    <fill>
      <patternFill patternType="solid">
        <fgColor indexed="42"/>
        <bgColor indexed="29"/>
      </patternFill>
    </fill>
    <fill>
      <patternFill patternType="solid">
        <fgColor indexed="9"/>
        <bgColor indexed="64"/>
      </patternFill>
    </fill>
    <fill>
      <patternFill patternType="solid">
        <fgColor indexed="13"/>
      </patternFill>
    </fill>
    <fill>
      <patternFill patternType="solid">
        <fgColor indexed="12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B050"/>
        <bgColor indexed="64"/>
      </patternFill>
    </fill>
  </fills>
  <borders count="37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double">
        <color indexed="62"/>
      </left>
      <right style="double">
        <color indexed="62"/>
      </right>
      <top style="double">
        <color indexed="62"/>
      </top>
      <bottom style="double">
        <color indexed="62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medium">
        <color indexed="48"/>
      </bottom>
      <diagonal/>
    </border>
    <border>
      <left/>
      <right/>
      <top/>
      <bottom style="double">
        <color indexed="10"/>
      </bottom>
      <diagonal/>
    </border>
    <border>
      <left/>
      <right/>
      <top/>
      <bottom style="double">
        <color indexed="5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2"/>
      </left>
      <right style="thin">
        <color indexed="62"/>
      </right>
      <top style="thin">
        <color indexed="62"/>
      </top>
      <bottom style="thin">
        <color indexed="62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medium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8"/>
      </left>
      <right style="thin">
        <color indexed="8"/>
      </right>
      <top style="double">
        <color indexed="8"/>
      </top>
      <bottom style="thin">
        <color indexed="8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2"/>
      </left>
      <right style="thin">
        <color indexed="62"/>
      </right>
      <top style="thin">
        <color indexed="62"/>
      </top>
      <bottom style="thin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2"/>
      </left>
      <right style="thin">
        <color indexed="62"/>
      </right>
      <top style="thin">
        <color indexed="62"/>
      </top>
      <bottom style="thin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2"/>
      </left>
      <right style="thin">
        <color indexed="62"/>
      </right>
      <top style="thin">
        <color indexed="62"/>
      </top>
      <bottom style="thin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/>
      <bottom style="medium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2"/>
      </left>
      <right style="thin">
        <color indexed="62"/>
      </right>
      <top style="thin">
        <color indexed="62"/>
      </top>
      <bottom style="thin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2"/>
      </left>
      <right style="thin">
        <color indexed="62"/>
      </right>
      <top style="thin">
        <color indexed="62"/>
      </top>
      <bottom style="thin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2"/>
      </left>
      <right style="thin">
        <color indexed="62"/>
      </right>
      <top style="thin">
        <color indexed="62"/>
      </top>
      <bottom style="thin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2"/>
      </left>
      <right style="thin">
        <color indexed="62"/>
      </right>
      <top style="thin">
        <color indexed="62"/>
      </top>
      <bottom style="thin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2"/>
      </left>
      <right style="thin">
        <color indexed="62"/>
      </right>
      <top style="thin">
        <color indexed="62"/>
      </top>
      <bottom style="thin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2"/>
      </left>
      <right style="thin">
        <color indexed="62"/>
      </right>
      <top style="thin">
        <color indexed="62"/>
      </top>
      <bottom style="thin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2"/>
      </left>
      <right style="thin">
        <color indexed="62"/>
      </right>
      <top style="thin">
        <color indexed="62"/>
      </top>
      <bottom style="thin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2"/>
      </left>
      <right style="thin">
        <color indexed="62"/>
      </right>
      <top style="thin">
        <color indexed="62"/>
      </top>
      <bottom style="thin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2"/>
      </left>
      <right style="thin">
        <color indexed="62"/>
      </right>
      <top style="thin">
        <color indexed="62"/>
      </top>
      <bottom style="thin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2"/>
      </left>
      <right style="thin">
        <color indexed="62"/>
      </right>
      <top style="thin">
        <color indexed="62"/>
      </top>
      <bottom style="thin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2"/>
      </left>
      <right style="thin">
        <color indexed="62"/>
      </right>
      <top style="thin">
        <color indexed="62"/>
      </top>
      <bottom style="thin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2"/>
      </left>
      <right style="thin">
        <color indexed="62"/>
      </right>
      <top style="thin">
        <color indexed="62"/>
      </top>
      <bottom style="thin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2"/>
      </left>
      <right style="thin">
        <color indexed="62"/>
      </right>
      <top style="thin">
        <color indexed="62"/>
      </top>
      <bottom style="thin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2"/>
      </left>
      <right style="thin">
        <color indexed="62"/>
      </right>
      <top style="thin">
        <color indexed="62"/>
      </top>
      <bottom style="thin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2"/>
      </left>
      <right style="thin">
        <color indexed="62"/>
      </right>
      <top style="thin">
        <color indexed="62"/>
      </top>
      <bottom style="thin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2"/>
      </left>
      <right style="thin">
        <color indexed="62"/>
      </right>
      <top style="thin">
        <color indexed="62"/>
      </top>
      <bottom style="thin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2"/>
      </left>
      <right style="thin">
        <color indexed="62"/>
      </right>
      <top style="thin">
        <color indexed="62"/>
      </top>
      <bottom style="thin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2"/>
      </left>
      <right style="thin">
        <color indexed="62"/>
      </right>
      <top style="thin">
        <color indexed="62"/>
      </top>
      <bottom style="thin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2"/>
      </left>
      <right style="thin">
        <color indexed="62"/>
      </right>
      <top style="thin">
        <color indexed="62"/>
      </top>
      <bottom style="thin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2"/>
      </left>
      <right style="thin">
        <color indexed="62"/>
      </right>
      <top style="thin">
        <color indexed="62"/>
      </top>
      <bottom style="thin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2"/>
      </left>
      <right style="thin">
        <color indexed="62"/>
      </right>
      <top style="thin">
        <color indexed="62"/>
      </top>
      <bottom style="thin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2"/>
      </left>
      <right style="thin">
        <color indexed="62"/>
      </right>
      <top style="thin">
        <color indexed="62"/>
      </top>
      <bottom style="thin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2"/>
      </left>
      <right style="thin">
        <color indexed="62"/>
      </right>
      <top style="thin">
        <color indexed="62"/>
      </top>
      <bottom style="thin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2"/>
      </left>
      <right style="thin">
        <color indexed="62"/>
      </right>
      <top style="thin">
        <color indexed="62"/>
      </top>
      <bottom style="thin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2"/>
      </left>
      <right style="thin">
        <color indexed="62"/>
      </right>
      <top style="thin">
        <color indexed="62"/>
      </top>
      <bottom style="thin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2"/>
      </left>
      <right style="thin">
        <color indexed="62"/>
      </right>
      <top style="thin">
        <color indexed="62"/>
      </top>
      <bottom style="thin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2"/>
      </left>
      <right style="thin">
        <color indexed="62"/>
      </right>
      <top style="thin">
        <color indexed="62"/>
      </top>
      <bottom style="thin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2"/>
      </left>
      <right style="thin">
        <color indexed="62"/>
      </right>
      <top style="thin">
        <color indexed="62"/>
      </top>
      <bottom style="thin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2"/>
      </left>
      <right style="thin">
        <color indexed="62"/>
      </right>
      <top style="thin">
        <color indexed="62"/>
      </top>
      <bottom style="thin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2"/>
      </left>
      <right style="thin">
        <color indexed="62"/>
      </right>
      <top style="thin">
        <color indexed="62"/>
      </top>
      <bottom style="thin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2"/>
      </left>
      <right style="thin">
        <color indexed="62"/>
      </right>
      <top style="thin">
        <color indexed="62"/>
      </top>
      <bottom style="thin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2"/>
      </left>
      <right style="thin">
        <color indexed="62"/>
      </right>
      <top style="thin">
        <color indexed="62"/>
      </top>
      <bottom style="thin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2"/>
      </left>
      <right style="thin">
        <color indexed="62"/>
      </right>
      <top style="thin">
        <color indexed="62"/>
      </top>
      <bottom style="thin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auto="1"/>
      </left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2"/>
      </left>
      <right style="thin">
        <color indexed="62"/>
      </right>
      <top style="thin">
        <color indexed="62"/>
      </top>
      <bottom style="thin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2"/>
      </left>
      <right style="thin">
        <color indexed="62"/>
      </right>
      <top style="thin">
        <color indexed="62"/>
      </top>
      <bottom style="thin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2"/>
      </left>
      <right style="thin">
        <color indexed="62"/>
      </right>
      <top style="thin">
        <color indexed="62"/>
      </top>
      <bottom style="thin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2"/>
      </left>
      <right style="thin">
        <color indexed="62"/>
      </right>
      <top style="thin">
        <color indexed="62"/>
      </top>
      <bottom style="thin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auto="1"/>
      </top>
      <bottom style="double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auto="1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</borders>
  <cellStyleXfs count="37408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2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2" fillId="0" borderId="0" applyFont="0" applyFill="0" applyBorder="0" applyAlignment="0" applyProtection="0"/>
    <xf numFmtId="38" fontId="5" fillId="0" borderId="0" applyNumberFormat="0" applyFont="0" applyFill="0" applyBorder="0">
      <alignment horizontal="left" indent="4"/>
      <protection locked="0"/>
    </xf>
    <xf numFmtId="0" fontId="6" fillId="0" borderId="0" applyNumberFormat="0" applyFont="0" applyFill="0" applyBorder="0" applyAlignment="0" applyProtection="0">
      <alignment horizontal="left"/>
    </xf>
    <xf numFmtId="15" fontId="6" fillId="0" borderId="0" applyFont="0" applyFill="0" applyBorder="0" applyAlignment="0" applyProtection="0"/>
    <xf numFmtId="4" fontId="6" fillId="0" borderId="0" applyFont="0" applyFill="0" applyBorder="0" applyAlignment="0" applyProtection="0"/>
    <xf numFmtId="0" fontId="7" fillId="0" borderId="2">
      <alignment horizontal="center"/>
    </xf>
    <xf numFmtId="3" fontId="6" fillId="0" borderId="0" applyFont="0" applyFill="0" applyBorder="0" applyAlignment="0" applyProtection="0"/>
    <xf numFmtId="0" fontId="6" fillId="3" borderId="0" applyNumberFormat="0" applyFont="0" applyBorder="0" applyAlignment="0" applyProtection="0"/>
    <xf numFmtId="166" fontId="4" fillId="4" borderId="0" applyFont="0" applyFill="0" applyBorder="0" applyAlignment="0" applyProtection="0">
      <alignment wrapText="1"/>
    </xf>
    <xf numFmtId="0" fontId="13" fillId="0" borderId="0"/>
    <xf numFmtId="0" fontId="8" fillId="7" borderId="0" applyNumberFormat="0" applyBorder="0" applyAlignment="0" applyProtection="0"/>
    <xf numFmtId="0" fontId="8" fillId="8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2" borderId="0" applyNumberFormat="0" applyBorder="0" applyAlignment="0" applyProtection="0"/>
    <xf numFmtId="0" fontId="8" fillId="11" borderId="0" applyNumberFormat="0" applyBorder="0" applyAlignment="0" applyProtection="0"/>
    <xf numFmtId="0" fontId="8" fillId="7" borderId="0" applyNumberFormat="0" applyBorder="0" applyAlignment="0" applyProtection="0"/>
    <xf numFmtId="0" fontId="8" fillId="10" borderId="0" applyNumberFormat="0" applyBorder="0" applyAlignment="0" applyProtection="0"/>
    <xf numFmtId="0" fontId="8" fillId="13" borderId="0" applyNumberFormat="0" applyBorder="0" applyAlignment="0" applyProtection="0"/>
    <xf numFmtId="0" fontId="14" fillId="11" borderId="0" applyNumberFormat="0" applyBorder="0" applyAlignment="0" applyProtection="0"/>
    <xf numFmtId="0" fontId="14" fillId="15" borderId="0" applyNumberFormat="0" applyBorder="0" applyAlignment="0" applyProtection="0"/>
    <xf numFmtId="0" fontId="14" fillId="16" borderId="0" applyNumberFormat="0" applyBorder="0" applyAlignment="0" applyProtection="0"/>
    <xf numFmtId="0" fontId="14" fillId="9" borderId="0" applyNumberFormat="0" applyBorder="0" applyAlignment="0" applyProtection="0"/>
    <xf numFmtId="0" fontId="14" fillId="17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2" borderId="0" applyNumberFormat="0" applyBorder="0" applyAlignment="0" applyProtection="0"/>
    <xf numFmtId="0" fontId="14" fillId="11" borderId="0" applyNumberFormat="0" applyBorder="0" applyAlignment="0" applyProtection="0"/>
    <xf numFmtId="0" fontId="14" fillId="15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18" borderId="0" applyNumberFormat="0" applyBorder="0" applyAlignment="0" applyProtection="0"/>
    <xf numFmtId="0" fontId="14" fillId="15" borderId="0" applyNumberFormat="0" applyBorder="0" applyAlignment="0" applyProtection="0"/>
    <xf numFmtId="0" fontId="14" fillId="16" borderId="0" applyNumberFormat="0" applyBorder="0" applyAlignment="0" applyProtection="0"/>
    <xf numFmtId="0" fontId="14" fillId="19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0" borderId="0" applyNumberFormat="0" applyBorder="0" applyAlignment="0" applyProtection="0"/>
    <xf numFmtId="0" fontId="14" fillId="16" borderId="0" applyNumberFormat="0" applyBorder="0" applyAlignment="0" applyProtection="0"/>
    <xf numFmtId="0" fontId="14" fillId="21" borderId="0" applyNumberFormat="0" applyBorder="0" applyAlignment="0" applyProtection="0"/>
    <xf numFmtId="0" fontId="14" fillId="15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41" fontId="2" fillId="0" borderId="0"/>
    <xf numFmtId="41" fontId="2" fillId="0" borderId="0"/>
    <xf numFmtId="41" fontId="2" fillId="0" borderId="0"/>
    <xf numFmtId="41" fontId="2" fillId="0" borderId="0"/>
    <xf numFmtId="0" fontId="15" fillId="23" borderId="0" applyNumberFormat="0" applyBorder="0" applyAlignment="0" applyProtection="0"/>
    <xf numFmtId="0" fontId="15" fillId="14" borderId="0" applyNumberFormat="0" applyBorder="0" applyAlignment="0" applyProtection="0"/>
    <xf numFmtId="3" fontId="2" fillId="0" borderId="0"/>
    <xf numFmtId="3" fontId="2" fillId="0" borderId="0"/>
    <xf numFmtId="3" fontId="2" fillId="0" borderId="0"/>
    <xf numFmtId="3" fontId="2" fillId="0" borderId="0"/>
    <xf numFmtId="0" fontId="16" fillId="24" borderId="3" applyNumberFormat="0" applyAlignment="0" applyProtection="0"/>
    <xf numFmtId="0" fontId="32" fillId="24" borderId="3" applyNumberFormat="0" applyAlignment="0" applyProtection="0"/>
    <xf numFmtId="0" fontId="17" fillId="25" borderId="4" applyNumberFormat="0" applyAlignment="0" applyProtection="0"/>
    <xf numFmtId="0" fontId="17" fillId="26" borderId="5" applyNumberFormat="0" applyAlignment="0" applyProtection="0"/>
    <xf numFmtId="0" fontId="2" fillId="27" borderId="0">
      <alignment horizontal="center"/>
    </xf>
    <xf numFmtId="43" fontId="1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" fontId="18" fillId="0" borderId="0"/>
    <xf numFmtId="0" fontId="33" fillId="0" borderId="0"/>
    <xf numFmtId="0" fontId="33" fillId="0" borderId="0"/>
    <xf numFmtId="0" fontId="34" fillId="28" borderId="1" applyAlignment="0">
      <alignment horizontal="right"/>
      <protection locked="0"/>
    </xf>
    <xf numFmtId="44" fontId="1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35" fillId="29" borderId="0">
      <alignment horizontal="right"/>
      <protection locked="0"/>
    </xf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2" fontId="35" fillId="29" borderId="0">
      <alignment horizontal="right"/>
      <protection locked="0"/>
    </xf>
    <xf numFmtId="0" fontId="21" fillId="11" borderId="0" applyNumberFormat="0" applyBorder="0" applyAlignment="0" applyProtection="0"/>
    <xf numFmtId="0" fontId="21" fillId="30" borderId="0" applyNumberFormat="0" applyBorder="0" applyAlignment="0" applyProtection="0"/>
    <xf numFmtId="0" fontId="22" fillId="0" borderId="6" applyNumberFormat="0" applyFill="0" applyAlignment="0" applyProtection="0"/>
    <xf numFmtId="0" fontId="36" fillId="0" borderId="7" applyNumberFormat="0" applyFill="0" applyAlignment="0" applyProtection="0"/>
    <xf numFmtId="0" fontId="23" fillId="0" borderId="8" applyNumberFormat="0" applyFill="0" applyAlignment="0" applyProtection="0"/>
    <xf numFmtId="0" fontId="37" fillId="0" borderId="9" applyNumberFormat="0" applyFill="0" applyAlignment="0" applyProtection="0"/>
    <xf numFmtId="0" fontId="24" fillId="0" borderId="10" applyNumberFormat="0" applyFill="0" applyAlignment="0" applyProtection="0"/>
    <xf numFmtId="0" fontId="38" fillId="0" borderId="11" applyNumberFormat="0" applyFill="0" applyAlignment="0" applyProtection="0"/>
    <xf numFmtId="0" fontId="24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>
      <alignment vertical="top"/>
      <protection locked="0"/>
    </xf>
    <xf numFmtId="0" fontId="40" fillId="0" borderId="0" applyNumberFormat="0" applyFill="0" applyBorder="0" applyAlignment="0" applyProtection="0">
      <alignment vertical="top"/>
      <protection locked="0"/>
    </xf>
    <xf numFmtId="0" fontId="25" fillId="13" borderId="3" applyNumberFormat="0" applyAlignment="0" applyProtection="0"/>
    <xf numFmtId="0" fontId="41" fillId="13" borderId="3" applyNumberFormat="0" applyAlignment="0" applyProtection="0"/>
    <xf numFmtId="3" fontId="10" fillId="31" borderId="0">
      <protection locked="0"/>
    </xf>
    <xf numFmtId="4" fontId="10" fillId="31" borderId="0">
      <protection locked="0"/>
    </xf>
    <xf numFmtId="0" fontId="26" fillId="0" borderId="12" applyNumberFormat="0" applyFill="0" applyAlignment="0" applyProtection="0"/>
    <xf numFmtId="0" fontId="42" fillId="0" borderId="13" applyNumberFormat="0" applyFill="0" applyAlignment="0" applyProtection="0"/>
    <xf numFmtId="0" fontId="27" fillId="13" borderId="0" applyNumberFormat="0" applyBorder="0" applyAlignment="0" applyProtection="0"/>
    <xf numFmtId="0" fontId="43" fillId="13" borderId="0" applyNumberFormat="0" applyBorder="0" applyAlignment="0" applyProtection="0"/>
    <xf numFmtId="43" fontId="2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2" fillId="0" borderId="0"/>
    <xf numFmtId="0" fontId="28" fillId="10" borderId="14" applyNumberFormat="0" applyFont="0" applyAlignment="0" applyProtection="0"/>
    <xf numFmtId="0" fontId="18" fillId="10" borderId="14" applyNumberFormat="0" applyFont="0" applyAlignment="0" applyProtection="0"/>
    <xf numFmtId="171" fontId="44" fillId="0" borderId="0" applyNumberFormat="0"/>
    <xf numFmtId="0" fontId="29" fillId="24" borderId="15" applyNumberFormat="0" applyAlignment="0" applyProtection="0"/>
    <xf numFmtId="0" fontId="24" fillId="24" borderId="16" applyNumberFormat="0" applyAlignment="0" applyProtection="0"/>
    <xf numFmtId="9" fontId="13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0">
      <alignment vertical="top"/>
    </xf>
    <xf numFmtId="0" fontId="18" fillId="0" borderId="0">
      <alignment vertical="top"/>
    </xf>
    <xf numFmtId="0" fontId="18" fillId="0" borderId="0" applyNumberFormat="0" applyBorder="0" applyAlignment="0"/>
    <xf numFmtId="0" fontId="30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31" fillId="0" borderId="17" applyNumberFormat="0" applyFill="0" applyAlignment="0" applyProtection="0"/>
    <xf numFmtId="0" fontId="31" fillId="0" borderId="18" applyNumberFormat="0" applyFill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1" fillId="0" borderId="0" applyFont="0" applyFill="0" applyBorder="0" applyAlignment="0" applyProtection="0"/>
    <xf numFmtId="0" fontId="1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4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47" fillId="0" borderId="0" applyNumberFormat="0" applyFill="0" applyBorder="0" applyAlignment="0" applyProtection="0">
      <alignment vertical="top"/>
      <protection locked="0"/>
    </xf>
    <xf numFmtId="0" fontId="2" fillId="0" borderId="0"/>
    <xf numFmtId="0" fontId="2" fillId="0" borderId="0"/>
    <xf numFmtId="0" fontId="2" fillId="0" borderId="0"/>
    <xf numFmtId="0" fontId="2" fillId="0" borderId="0"/>
    <xf numFmtId="0" fontId="8" fillId="12" borderId="0" applyNumberFormat="0" applyBorder="0" applyAlignment="0" applyProtection="0"/>
    <xf numFmtId="0" fontId="8" fillId="32" borderId="0" applyNumberFormat="0" applyBorder="0" applyAlignment="0" applyProtection="0"/>
    <xf numFmtId="0" fontId="8" fillId="12" borderId="0" applyNumberFormat="0" applyBorder="0" applyAlignment="0" applyProtection="0"/>
    <xf numFmtId="0" fontId="8" fillId="23" borderId="0" applyNumberFormat="0" applyBorder="0" applyAlignment="0" applyProtection="0"/>
    <xf numFmtId="0" fontId="8" fillId="7" borderId="0" applyNumberFormat="0" applyBorder="0" applyAlignment="0" applyProtection="0"/>
    <xf numFmtId="0" fontId="8" fillId="23" borderId="0" applyNumberFormat="0" applyBorder="0" applyAlignment="0" applyProtection="0"/>
    <xf numFmtId="0" fontId="8" fillId="17" borderId="0" applyNumberFormat="0" applyBorder="0" applyAlignment="0" applyProtection="0"/>
    <xf numFmtId="0" fontId="14" fillId="21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35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36" borderId="0" applyNumberFormat="0" applyBorder="0" applyAlignment="0" applyProtection="0"/>
    <xf numFmtId="0" fontId="14" fillId="37" borderId="0" applyNumberFormat="0" applyBorder="0" applyAlignment="0" applyProtection="0"/>
    <xf numFmtId="0" fontId="14" fillId="16" borderId="0" applyNumberFormat="0" applyBorder="0" applyAlignment="0" applyProtection="0"/>
    <xf numFmtId="0" fontId="48" fillId="24" borderId="3" applyNumberFormat="0" applyAlignment="0" applyProtection="0"/>
    <xf numFmtId="0" fontId="48" fillId="12" borderId="3" applyNumberFormat="0" applyAlignment="0" applyProtection="0"/>
    <xf numFmtId="43" fontId="8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8" fillId="0" borderId="0" applyFont="0" applyFill="0" applyBorder="0" applyAlignment="0" applyProtection="0"/>
    <xf numFmtId="14" fontId="2" fillId="0" borderId="0"/>
    <xf numFmtId="1" fontId="2" fillId="0" borderId="0">
      <alignment horizontal="center"/>
    </xf>
    <xf numFmtId="0" fontId="22" fillId="0" borderId="24" applyNumberFormat="0" applyFill="0" applyAlignment="0" applyProtection="0"/>
    <xf numFmtId="0" fontId="50" fillId="0" borderId="25" applyNumberFormat="0" applyFill="0" applyAlignment="0" applyProtection="0"/>
    <xf numFmtId="0" fontId="23" fillId="0" borderId="9" applyNumberFormat="0" applyFill="0" applyAlignment="0" applyProtection="0"/>
    <xf numFmtId="0" fontId="51" fillId="0" borderId="9" applyNumberFormat="0" applyFill="0" applyAlignment="0" applyProtection="0"/>
    <xf numFmtId="0" fontId="24" fillId="0" borderId="26" applyNumberFormat="0" applyFill="0" applyAlignment="0" applyProtection="0"/>
    <xf numFmtId="0" fontId="52" fillId="0" borderId="27" applyNumberFormat="0" applyFill="0" applyAlignment="0" applyProtection="0"/>
    <xf numFmtId="0" fontId="53" fillId="0" borderId="28" applyNumberFormat="0" applyFill="0" applyAlignment="0" applyProtection="0"/>
    <xf numFmtId="0" fontId="54" fillId="13" borderId="0" applyNumberFormat="0" applyBorder="0" applyAlignment="0" applyProtection="0"/>
    <xf numFmtId="0" fontId="8" fillId="0" borderId="0"/>
    <xf numFmtId="0" fontId="1" fillId="0" borderId="0"/>
    <xf numFmtId="0" fontId="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10" borderId="14" applyNumberFormat="0" applyFont="0" applyAlignment="0" applyProtection="0"/>
    <xf numFmtId="0" fontId="49" fillId="10" borderId="14" applyNumberFormat="0" applyFont="0" applyAlignment="0" applyProtection="0"/>
    <xf numFmtId="9" fontId="49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37" fontId="56" fillId="0" borderId="0"/>
    <xf numFmtId="0" fontId="31" fillId="0" borderId="29" applyNumberFormat="0" applyFill="0" applyAlignment="0" applyProtection="0"/>
    <xf numFmtId="0" fontId="31" fillId="0" borderId="30" applyNumberFormat="0" applyFill="0" applyAlignment="0" applyProtection="0"/>
    <xf numFmtId="0" fontId="2" fillId="0" borderId="0"/>
    <xf numFmtId="43" fontId="8" fillId="0" borderId="0" applyFont="0" applyFill="0" applyBorder="0" applyAlignment="0" applyProtection="0"/>
    <xf numFmtId="0" fontId="8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8" borderId="0" applyNumberFormat="0" applyBorder="0" applyAlignment="0" applyProtection="0"/>
    <xf numFmtId="0" fontId="8" fillId="7" borderId="0" applyNumberFormat="0" applyBorder="0" applyAlignment="0" applyProtection="0"/>
    <xf numFmtId="0" fontId="8" fillId="8" borderId="0" applyNumberFormat="0" applyBorder="0" applyAlignment="0" applyProtection="0"/>
    <xf numFmtId="0" fontId="8" fillId="32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1" fillId="47" borderId="0" applyNumberFormat="0" applyBorder="0" applyAlignment="0" applyProtection="0"/>
    <xf numFmtId="0" fontId="8" fillId="7" borderId="0" applyNumberFormat="0" applyBorder="0" applyAlignment="0" applyProtection="0"/>
    <xf numFmtId="0" fontId="1" fillId="47" borderId="0" applyNumberFormat="0" applyBorder="0" applyAlignment="0" applyProtection="0"/>
    <xf numFmtId="0" fontId="8" fillId="32" borderId="0" applyNumberFormat="0" applyBorder="0" applyAlignment="0" applyProtection="0"/>
    <xf numFmtId="0" fontId="8" fillId="8" borderId="0" applyNumberFormat="0" applyBorder="0" applyAlignment="0" applyProtection="0"/>
    <xf numFmtId="0" fontId="8" fillId="9" borderId="0" applyNumberFormat="0" applyBorder="0" applyAlignment="0" applyProtection="0"/>
    <xf numFmtId="0" fontId="8" fillId="14" borderId="0" applyNumberFormat="0" applyBorder="0" applyAlignment="0" applyProtection="0"/>
    <xf numFmtId="0" fontId="8" fillId="9" borderId="0" applyNumberFormat="0" applyBorder="0" applyAlignment="0" applyProtection="0"/>
    <xf numFmtId="0" fontId="8" fillId="14" borderId="0" applyNumberFormat="0" applyBorder="0" applyAlignment="0" applyProtection="0"/>
    <xf numFmtId="0" fontId="1" fillId="51" borderId="0" applyNumberFormat="0" applyBorder="0" applyAlignment="0" applyProtection="0"/>
    <xf numFmtId="0" fontId="1" fillId="8" borderId="0" applyNumberFormat="0" applyBorder="0" applyAlignment="0" applyProtection="0"/>
    <xf numFmtId="0" fontId="1" fillId="51" borderId="0" applyNumberFormat="0" applyBorder="0" applyAlignment="0" applyProtection="0"/>
    <xf numFmtId="0" fontId="8" fillId="14" borderId="0" applyNumberFormat="0" applyBorder="0" applyAlignment="0" applyProtection="0"/>
    <xf numFmtId="0" fontId="1" fillId="10" borderId="0" applyNumberFormat="0" applyBorder="0" applyAlignment="0" applyProtection="0"/>
    <xf numFmtId="0" fontId="8" fillId="30" borderId="0" applyNumberFormat="0" applyBorder="0" applyAlignment="0" applyProtection="0"/>
    <xf numFmtId="0" fontId="8" fillId="10" borderId="0" applyNumberFormat="0" applyBorder="0" applyAlignment="0" applyProtection="0"/>
    <xf numFmtId="0" fontId="8" fillId="30" borderId="0" applyNumberFormat="0" applyBorder="0" applyAlignment="0" applyProtection="0"/>
    <xf numFmtId="0" fontId="1" fillId="55" borderId="0" applyNumberFormat="0" applyBorder="0" applyAlignment="0" applyProtection="0"/>
    <xf numFmtId="0" fontId="1" fillId="10" borderId="0" applyNumberFormat="0" applyBorder="0" applyAlignment="0" applyProtection="0"/>
    <xf numFmtId="0" fontId="1" fillId="55" borderId="0" applyNumberFormat="0" applyBorder="0" applyAlignment="0" applyProtection="0"/>
    <xf numFmtId="0" fontId="8" fillId="30" borderId="0" applyNumberFormat="0" applyBorder="0" applyAlignment="0" applyProtection="0"/>
    <xf numFmtId="0" fontId="8" fillId="12" borderId="0" applyNumberFormat="0" applyBorder="0" applyAlignment="0" applyProtection="0"/>
    <xf numFmtId="0" fontId="8" fillId="8" borderId="0" applyNumberFormat="0" applyBorder="0" applyAlignment="0" applyProtection="0"/>
    <xf numFmtId="0" fontId="8" fillId="23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1" fillId="59" borderId="0" applyNumberFormat="0" applyBorder="0" applyAlignment="0" applyProtection="0"/>
    <xf numFmtId="0" fontId="8" fillId="8" borderId="0" applyNumberFormat="0" applyBorder="0" applyAlignment="0" applyProtection="0"/>
    <xf numFmtId="0" fontId="1" fillId="59" borderId="0" applyNumberFormat="0" applyBorder="0" applyAlignment="0" applyProtection="0"/>
    <xf numFmtId="0" fontId="8" fillId="2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8" fillId="11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8" fillId="8" borderId="0" applyNumberFormat="0" applyBorder="0" applyAlignment="0" applyProtection="0"/>
    <xf numFmtId="0" fontId="8" fillId="10" borderId="0" applyNumberFormat="0" applyBorder="0" applyAlignment="0" applyProtection="0"/>
    <xf numFmtId="0" fontId="8" fillId="8" borderId="0" applyNumberFormat="0" applyBorder="0" applyAlignment="0" applyProtection="0"/>
    <xf numFmtId="0" fontId="8" fillId="10" borderId="0" applyNumberFormat="0" applyBorder="0" applyAlignment="0" applyProtection="0"/>
    <xf numFmtId="0" fontId="8" fillId="8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8" fillId="12" borderId="0" applyNumberFormat="0" applyBorder="0" applyAlignment="0" applyProtection="0"/>
    <xf numFmtId="0" fontId="8" fillId="11" borderId="0" applyNumberFormat="0" applyBorder="0" applyAlignment="0" applyProtection="0"/>
    <xf numFmtId="0" fontId="8" fillId="7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8" fillId="7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8" fillId="9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8" fillId="10" borderId="0" applyNumberFormat="0" applyBorder="0" applyAlignment="0" applyProtection="0"/>
    <xf numFmtId="0" fontId="8" fillId="13" borderId="0" applyNumberFormat="0" applyBorder="0" applyAlignment="0" applyProtection="0"/>
    <xf numFmtId="0" fontId="8" fillId="34" borderId="0" applyNumberFormat="0" applyBorder="0" applyAlignment="0" applyProtection="0"/>
    <xf numFmtId="0" fontId="8" fillId="13" borderId="0" applyNumberFormat="0" applyBorder="0" applyAlignment="0" applyProtection="0"/>
    <xf numFmtId="0" fontId="8" fillId="34" borderId="0" applyNumberFormat="0" applyBorder="0" applyAlignment="0" applyProtection="0"/>
    <xf numFmtId="0" fontId="1" fillId="56" borderId="0" applyNumberFormat="0" applyBorder="0" applyAlignment="0" applyProtection="0"/>
    <xf numFmtId="0" fontId="1" fillId="10" borderId="0" applyNumberFormat="0" applyBorder="0" applyAlignment="0" applyProtection="0"/>
    <xf numFmtId="0" fontId="1" fillId="56" borderId="0" applyNumberFormat="0" applyBorder="0" applyAlignment="0" applyProtection="0"/>
    <xf numFmtId="0" fontId="8" fillId="34" borderId="0" applyNumberFormat="0" applyBorder="0" applyAlignment="0" applyProtection="0"/>
    <xf numFmtId="0" fontId="8" fillId="12" borderId="0" applyNumberFormat="0" applyBorder="0" applyAlignment="0" applyProtection="0"/>
    <xf numFmtId="0" fontId="8" fillId="14" borderId="0" applyNumberFormat="0" applyBorder="0" applyAlignment="0" applyProtection="0"/>
    <xf numFmtId="0" fontId="8" fillId="23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8" fillId="23" borderId="0" applyNumberFormat="0" applyBorder="0" applyAlignment="0" applyProtection="0"/>
    <xf numFmtId="0" fontId="8" fillId="7" borderId="0" applyNumberFormat="0" applyBorder="0" applyAlignment="0" applyProtection="0"/>
    <xf numFmtId="0" fontId="8" fillId="11" borderId="0" applyNumberFormat="0" applyBorder="0" applyAlignment="0" applyProtection="0"/>
    <xf numFmtId="0" fontId="8" fillId="7" borderId="0" applyNumberFormat="0" applyBorder="0" applyAlignment="0" applyProtection="0"/>
    <xf numFmtId="0" fontId="8" fillId="11" borderId="0" applyNumberFormat="0" applyBorder="0" applyAlignment="0" applyProtection="0"/>
    <xf numFmtId="0" fontId="8" fillId="7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0" borderId="0" applyNumberFormat="0" applyBorder="0" applyAlignment="0" applyProtection="0"/>
    <xf numFmtId="0" fontId="8" fillId="17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8" fillId="17" borderId="0" applyNumberFormat="0" applyBorder="0" applyAlignment="0" applyProtection="0"/>
    <xf numFmtId="0" fontId="14" fillId="21" borderId="0" applyNumberFormat="0" applyBorder="0" applyAlignment="0" applyProtection="0"/>
    <xf numFmtId="0" fontId="14" fillId="15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70" fillId="49" borderId="0" applyNumberFormat="0" applyBorder="0" applyAlignment="0" applyProtection="0"/>
    <xf numFmtId="0" fontId="14" fillId="9" borderId="0" applyNumberFormat="0" applyBorder="0" applyAlignment="0" applyProtection="0"/>
    <xf numFmtId="0" fontId="14" fillId="16" borderId="0" applyNumberFormat="0" applyBorder="0" applyAlignment="0" applyProtection="0"/>
    <xf numFmtId="0" fontId="14" fillId="9" borderId="0" applyNumberFormat="0" applyBorder="0" applyAlignment="0" applyProtection="0"/>
    <xf numFmtId="0" fontId="14" fillId="16" borderId="0" applyNumberFormat="0" applyBorder="0" applyAlignment="0" applyProtection="0"/>
    <xf numFmtId="0" fontId="70" fillId="53" borderId="0" applyNumberFormat="0" applyBorder="0" applyAlignment="0" applyProtection="0"/>
    <xf numFmtId="0" fontId="14" fillId="13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70" fillId="57" borderId="0" applyNumberFormat="0" applyBorder="0" applyAlignment="0" applyProtection="0"/>
    <xf numFmtId="0" fontId="14" fillId="17" borderId="0" applyNumberFormat="0" applyBorder="0" applyAlignment="0" applyProtection="0"/>
    <xf numFmtId="0" fontId="14" fillId="12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70" fillId="61" borderId="0" applyNumberFormat="0" applyBorder="0" applyAlignment="0" applyProtection="0"/>
    <xf numFmtId="0" fontId="14" fillId="14" borderId="0" applyNumberFormat="0" applyBorder="0" applyAlignment="0" applyProtection="0"/>
    <xf numFmtId="0" fontId="14" fillId="21" borderId="0" applyNumberFormat="0" applyBorder="0" applyAlignment="0" applyProtection="0"/>
    <xf numFmtId="0" fontId="14" fillId="15" borderId="0" applyNumberFormat="0" applyBorder="0" applyAlignment="0" applyProtection="0"/>
    <xf numFmtId="0" fontId="14" fillId="11" borderId="0" applyNumberFormat="0" applyBorder="0" applyAlignment="0" applyProtection="0"/>
    <xf numFmtId="0" fontId="14" fillId="21" borderId="0" applyNumberFormat="0" applyBorder="0" applyAlignment="0" applyProtection="0"/>
    <xf numFmtId="0" fontId="14" fillId="11" borderId="0" applyNumberFormat="0" applyBorder="0" applyAlignment="0" applyProtection="0"/>
    <xf numFmtId="0" fontId="70" fillId="65" borderId="0" applyNumberFormat="0" applyBorder="0" applyAlignment="0" applyProtection="0"/>
    <xf numFmtId="0" fontId="14" fillId="8" borderId="0" applyNumberFormat="0" applyBorder="0" applyAlignment="0" applyProtection="0"/>
    <xf numFmtId="0" fontId="14" fillId="9" borderId="0" applyNumberFormat="0" applyBorder="0" applyAlignment="0" applyProtection="0"/>
    <xf numFmtId="0" fontId="14" fillId="22" borderId="0" applyNumberFormat="0" applyBorder="0" applyAlignment="0" applyProtection="0"/>
    <xf numFmtId="0" fontId="14" fillId="9" borderId="0" applyNumberFormat="0" applyBorder="0" applyAlignment="0" applyProtection="0"/>
    <xf numFmtId="0" fontId="70" fillId="69" borderId="0" applyNumberFormat="0" applyBorder="0" applyAlignment="0" applyProtection="0"/>
    <xf numFmtId="0" fontId="14" fillId="21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70" fillId="46" borderId="0" applyNumberFormat="0" applyBorder="0" applyAlignment="0" applyProtection="0"/>
    <xf numFmtId="0" fontId="14" fillId="19" borderId="0" applyNumberFormat="0" applyBorder="0" applyAlignment="0" applyProtection="0"/>
    <xf numFmtId="0" fontId="14" fillId="16" borderId="0" applyNumberFormat="0" applyBorder="0" applyAlignment="0" applyProtection="0"/>
    <xf numFmtId="0" fontId="14" fillId="19" borderId="0" applyNumberFormat="0" applyBorder="0" applyAlignment="0" applyProtection="0"/>
    <xf numFmtId="0" fontId="14" fillId="16" borderId="0" applyNumberFormat="0" applyBorder="0" applyAlignment="0" applyProtection="0"/>
    <xf numFmtId="0" fontId="70" fillId="50" borderId="0" applyNumberFormat="0" applyBorder="0" applyAlignment="0" applyProtection="0"/>
    <xf numFmtId="0" fontId="14" fillId="18" borderId="0" applyNumberFormat="0" applyBorder="0" applyAlignment="0" applyProtection="0"/>
    <xf numFmtId="0" fontId="14" fillId="17" borderId="0" applyNumberFormat="0" applyBorder="0" applyAlignment="0" applyProtection="0"/>
    <xf numFmtId="0" fontId="14" fillId="37" borderId="0" applyNumberFormat="0" applyBorder="0" applyAlignment="0" applyProtection="0"/>
    <xf numFmtId="0" fontId="14" fillId="17" borderId="0" applyNumberFormat="0" applyBorder="0" applyAlignment="0" applyProtection="0"/>
    <xf numFmtId="0" fontId="70" fillId="54" borderId="0" applyNumberFormat="0" applyBorder="0" applyAlignment="0" applyProtection="0"/>
    <xf numFmtId="0" fontId="14" fillId="16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35" borderId="0" applyNumberFormat="0" applyBorder="0" applyAlignment="0" applyProtection="0"/>
    <xf numFmtId="0" fontId="14" fillId="20" borderId="0" applyNumberFormat="0" applyBorder="0" applyAlignment="0" applyProtection="0"/>
    <xf numFmtId="0" fontId="70" fillId="58" borderId="0" applyNumberFormat="0" applyBorder="0" applyAlignment="0" applyProtection="0"/>
    <xf numFmtId="0" fontId="70" fillId="62" borderId="0" applyNumberFormat="0" applyBorder="0" applyAlignment="0" applyProtection="0"/>
    <xf numFmtId="0" fontId="14" fillId="15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15" borderId="0" applyNumberFormat="0" applyBorder="0" applyAlignment="0" applyProtection="0"/>
    <xf numFmtId="0" fontId="70" fillId="62" borderId="0" applyNumberFormat="0" applyBorder="0" applyAlignment="0" applyProtection="0"/>
    <xf numFmtId="0" fontId="14" fillId="22" borderId="0" applyNumberFormat="0" applyBorder="0" applyAlignment="0" applyProtection="0"/>
    <xf numFmtId="0" fontId="14" fillId="19" borderId="0" applyNumberFormat="0" applyBorder="0" applyAlignment="0" applyProtection="0"/>
    <xf numFmtId="0" fontId="14" fillId="16" borderId="0" applyNumberFormat="0" applyBorder="0" applyAlignment="0" applyProtection="0"/>
    <xf numFmtId="0" fontId="14" fillId="19" borderId="0" applyNumberFormat="0" applyBorder="0" applyAlignment="0" applyProtection="0"/>
    <xf numFmtId="0" fontId="70" fillId="66" borderId="0" applyNumberFormat="0" applyBorder="0" applyAlignment="0" applyProtection="0"/>
    <xf numFmtId="41" fontId="2" fillId="0" borderId="0"/>
    <xf numFmtId="41" fontId="2" fillId="0" borderId="0"/>
    <xf numFmtId="41" fontId="2" fillId="0" borderId="0"/>
    <xf numFmtId="49" fontId="71" fillId="0" borderId="0" applyFill="0" applyBorder="0" applyAlignment="0" applyProtection="0"/>
    <xf numFmtId="0" fontId="72" fillId="0" borderId="35" applyBorder="0">
      <alignment horizontal="center" vertical="center" wrapText="1"/>
    </xf>
    <xf numFmtId="0" fontId="72" fillId="0" borderId="35" applyBorder="0">
      <alignment horizontal="center" vertical="center" wrapText="1"/>
    </xf>
    <xf numFmtId="0" fontId="72" fillId="0" borderId="35" applyBorder="0">
      <alignment horizontal="center" vertical="center" wrapText="1"/>
    </xf>
    <xf numFmtId="0" fontId="72" fillId="0" borderId="35" applyBorder="0">
      <alignment horizontal="center" vertical="center" wrapText="1"/>
    </xf>
    <xf numFmtId="0" fontId="72" fillId="0" borderId="35" applyBorder="0">
      <alignment horizontal="center" vertical="center" wrapText="1"/>
    </xf>
    <xf numFmtId="0" fontId="72" fillId="0" borderId="35" applyBorder="0">
      <alignment horizontal="center" vertical="center" wrapText="1"/>
    </xf>
    <xf numFmtId="0" fontId="72" fillId="0" borderId="35" applyBorder="0">
      <alignment horizontal="center" vertical="center" wrapText="1"/>
    </xf>
    <xf numFmtId="0" fontId="72" fillId="0" borderId="35" applyBorder="0">
      <alignment horizontal="center" vertical="center" wrapText="1"/>
    </xf>
    <xf numFmtId="0" fontId="72" fillId="0" borderId="35" applyBorder="0">
      <alignment horizontal="center" vertical="center" wrapText="1"/>
    </xf>
    <xf numFmtId="0" fontId="72" fillId="0" borderId="35" applyBorder="0">
      <alignment horizontal="center" vertical="center" wrapText="1"/>
    </xf>
    <xf numFmtId="0" fontId="72" fillId="0" borderId="35" applyBorder="0">
      <alignment horizontal="center" vertical="center" wrapText="1"/>
    </xf>
    <xf numFmtId="0" fontId="72" fillId="0" borderId="35" applyBorder="0">
      <alignment horizontal="center" vertical="center" wrapText="1"/>
    </xf>
    <xf numFmtId="0" fontId="72" fillId="0" borderId="35" applyBorder="0">
      <alignment horizontal="center" vertical="center" wrapText="1"/>
    </xf>
    <xf numFmtId="0" fontId="72" fillId="0" borderId="35" applyBorder="0">
      <alignment horizontal="center" vertical="center" wrapText="1"/>
    </xf>
    <xf numFmtId="0" fontId="72" fillId="0" borderId="35" applyBorder="0">
      <alignment horizontal="center" vertical="center" wrapText="1"/>
    </xf>
    <xf numFmtId="0" fontId="72" fillId="0" borderId="35" applyBorder="0">
      <alignment horizontal="center" vertical="center" wrapText="1"/>
    </xf>
    <xf numFmtId="0" fontId="72" fillId="0" borderId="35" applyBorder="0">
      <alignment horizontal="center" vertical="center" wrapText="1"/>
    </xf>
    <xf numFmtId="0" fontId="72" fillId="0" borderId="35" applyBorder="0">
      <alignment horizontal="center" vertical="center" wrapText="1"/>
    </xf>
    <xf numFmtId="0" fontId="72" fillId="0" borderId="35" applyBorder="0">
      <alignment horizontal="center" vertical="center" wrapText="1"/>
    </xf>
    <xf numFmtId="0" fontId="72" fillId="0" borderId="35" applyBorder="0">
      <alignment horizontal="center" vertical="center" wrapText="1"/>
    </xf>
    <xf numFmtId="0" fontId="72" fillId="0" borderId="35" applyBorder="0">
      <alignment horizontal="center" vertical="center" wrapText="1"/>
    </xf>
    <xf numFmtId="0" fontId="72" fillId="0" borderId="35" applyBorder="0">
      <alignment horizontal="center" vertical="center" wrapText="1"/>
    </xf>
    <xf numFmtId="0" fontId="72" fillId="0" borderId="35" applyBorder="0">
      <alignment horizontal="center" vertical="center" wrapText="1"/>
    </xf>
    <xf numFmtId="0" fontId="72" fillId="0" borderId="35" applyBorder="0">
      <alignment horizontal="center" vertical="center" wrapText="1"/>
    </xf>
    <xf numFmtId="0" fontId="72" fillId="0" borderId="35" applyBorder="0">
      <alignment horizontal="center" vertical="center" wrapText="1"/>
    </xf>
    <xf numFmtId="0" fontId="72" fillId="0" borderId="35" applyBorder="0">
      <alignment horizontal="center" vertical="center" wrapText="1"/>
    </xf>
    <xf numFmtId="0" fontId="72" fillId="0" borderId="35" applyBorder="0">
      <alignment horizontal="center" vertical="center" wrapText="1"/>
    </xf>
    <xf numFmtId="0" fontId="72" fillId="0" borderId="35" applyBorder="0">
      <alignment horizontal="center" vertical="center" wrapText="1"/>
    </xf>
    <xf numFmtId="0" fontId="72" fillId="0" borderId="35" applyBorder="0">
      <alignment horizontal="center" vertical="center" wrapText="1"/>
    </xf>
    <xf numFmtId="0" fontId="72" fillId="0" borderId="35" applyBorder="0">
      <alignment horizontal="center" vertical="center" wrapText="1"/>
    </xf>
    <xf numFmtId="0" fontId="72" fillId="0" borderId="35" applyBorder="0">
      <alignment horizontal="center" vertical="center" wrapText="1"/>
    </xf>
    <xf numFmtId="0" fontId="72" fillId="0" borderId="35" applyBorder="0">
      <alignment horizontal="center" vertical="center" wrapText="1"/>
    </xf>
    <xf numFmtId="0" fontId="72" fillId="0" borderId="35" applyBorder="0">
      <alignment horizontal="center" vertical="center" wrapText="1"/>
    </xf>
    <xf numFmtId="0" fontId="72" fillId="0" borderId="35" applyBorder="0">
      <alignment horizontal="center" vertical="center" wrapText="1"/>
    </xf>
    <xf numFmtId="0" fontId="72" fillId="0" borderId="35" applyBorder="0">
      <alignment horizontal="center" vertical="center" wrapText="1"/>
    </xf>
    <xf numFmtId="0" fontId="15" fillId="14" borderId="0" applyNumberFormat="0" applyBorder="0" applyAlignment="0" applyProtection="0"/>
    <xf numFmtId="0" fontId="15" fillId="23" borderId="0" applyNumberFormat="0" applyBorder="0" applyAlignment="0" applyProtection="0"/>
    <xf numFmtId="0" fontId="15" fillId="14" borderId="0" applyNumberFormat="0" applyBorder="0" applyAlignment="0" applyProtection="0"/>
    <xf numFmtId="0" fontId="15" fillId="23" borderId="0" applyNumberFormat="0" applyBorder="0" applyAlignment="0" applyProtection="0"/>
    <xf numFmtId="0" fontId="62" fillId="40" borderId="0" applyNumberFormat="0" applyBorder="0" applyAlignment="0" applyProtection="0"/>
    <xf numFmtId="0" fontId="48" fillId="24" borderId="3" applyNumberFormat="0" applyAlignment="0" applyProtection="0"/>
    <xf numFmtId="0" fontId="48" fillId="24" borderId="3" applyNumberFormat="0" applyAlignment="0" applyProtection="0"/>
    <xf numFmtId="0" fontId="48" fillId="24" borderId="3" applyNumberFormat="0" applyAlignment="0" applyProtection="0"/>
    <xf numFmtId="0" fontId="48" fillId="24" borderId="3" applyNumberFormat="0" applyAlignment="0" applyProtection="0"/>
    <xf numFmtId="0" fontId="48" fillId="24" borderId="3" applyNumberFormat="0" applyAlignment="0" applyProtection="0"/>
    <xf numFmtId="0" fontId="48" fillId="24" borderId="3" applyNumberFormat="0" applyAlignment="0" applyProtection="0"/>
    <xf numFmtId="0" fontId="48" fillId="24" borderId="3" applyNumberFormat="0" applyAlignment="0" applyProtection="0"/>
    <xf numFmtId="0" fontId="48" fillId="24" borderId="3" applyNumberFormat="0" applyAlignment="0" applyProtection="0"/>
    <xf numFmtId="0" fontId="48" fillId="24" borderId="3" applyNumberFormat="0" applyAlignment="0" applyProtection="0"/>
    <xf numFmtId="0" fontId="48" fillId="24" borderId="3" applyNumberFormat="0" applyAlignment="0" applyProtection="0"/>
    <xf numFmtId="0" fontId="48" fillId="24" borderId="3" applyNumberFormat="0" applyAlignment="0" applyProtection="0"/>
    <xf numFmtId="0" fontId="48" fillId="24" borderId="3" applyNumberFormat="0" applyAlignment="0" applyProtection="0"/>
    <xf numFmtId="0" fontId="48" fillId="24" borderId="3" applyNumberFormat="0" applyAlignment="0" applyProtection="0"/>
    <xf numFmtId="0" fontId="48" fillId="24" borderId="3" applyNumberFormat="0" applyAlignment="0" applyProtection="0"/>
    <xf numFmtId="0" fontId="48" fillId="24" borderId="3" applyNumberFormat="0" applyAlignment="0" applyProtection="0"/>
    <xf numFmtId="0" fontId="48" fillId="24" borderId="3" applyNumberFormat="0" applyAlignment="0" applyProtection="0"/>
    <xf numFmtId="0" fontId="48" fillId="24" borderId="3" applyNumberFormat="0" applyAlignment="0" applyProtection="0"/>
    <xf numFmtId="0" fontId="48" fillId="24" borderId="3" applyNumberFormat="0" applyAlignment="0" applyProtection="0"/>
    <xf numFmtId="0" fontId="48" fillId="24" borderId="3" applyNumberFormat="0" applyAlignment="0" applyProtection="0"/>
    <xf numFmtId="0" fontId="48" fillId="24" borderId="3" applyNumberFormat="0" applyAlignment="0" applyProtection="0"/>
    <xf numFmtId="0" fontId="48" fillId="24" borderId="3" applyNumberFormat="0" applyAlignment="0" applyProtection="0"/>
    <xf numFmtId="0" fontId="48" fillId="24" borderId="3" applyNumberFormat="0" applyAlignment="0" applyProtection="0"/>
    <xf numFmtId="0" fontId="48" fillId="24" borderId="3" applyNumberFormat="0" applyAlignment="0" applyProtection="0"/>
    <xf numFmtId="0" fontId="48" fillId="24" borderId="3" applyNumberFormat="0" applyAlignment="0" applyProtection="0"/>
    <xf numFmtId="0" fontId="48" fillId="24" borderId="3" applyNumberFormat="0" applyAlignment="0" applyProtection="0"/>
    <xf numFmtId="0" fontId="48" fillId="24" borderId="3" applyNumberFormat="0" applyAlignment="0" applyProtection="0"/>
    <xf numFmtId="0" fontId="48" fillId="24" borderId="3" applyNumberFormat="0" applyAlignment="0" applyProtection="0"/>
    <xf numFmtId="0" fontId="48" fillId="24" borderId="3" applyNumberFormat="0" applyAlignment="0" applyProtection="0"/>
    <xf numFmtId="0" fontId="48" fillId="24" borderId="3" applyNumberFormat="0" applyAlignment="0" applyProtection="0"/>
    <xf numFmtId="0" fontId="48" fillId="24" borderId="3" applyNumberFormat="0" applyAlignment="0" applyProtection="0"/>
    <xf numFmtId="0" fontId="48" fillId="24" borderId="3" applyNumberFormat="0" applyAlignment="0" applyProtection="0"/>
    <xf numFmtId="0" fontId="48" fillId="24" borderId="3" applyNumberFormat="0" applyAlignment="0" applyProtection="0"/>
    <xf numFmtId="0" fontId="48" fillId="24" borderId="3" applyNumberFormat="0" applyAlignment="0" applyProtection="0"/>
    <xf numFmtId="0" fontId="48" fillId="24" borderId="3" applyNumberFormat="0" applyAlignment="0" applyProtection="0"/>
    <xf numFmtId="0" fontId="48" fillId="24" borderId="3" applyNumberFormat="0" applyAlignment="0" applyProtection="0"/>
    <xf numFmtId="0" fontId="48" fillId="24" borderId="3" applyNumberFormat="0" applyAlignment="0" applyProtection="0"/>
    <xf numFmtId="0" fontId="48" fillId="24" borderId="3" applyNumberFormat="0" applyAlignment="0" applyProtection="0"/>
    <xf numFmtId="0" fontId="48" fillId="24" borderId="3" applyNumberFormat="0" applyAlignment="0" applyProtection="0"/>
    <xf numFmtId="0" fontId="48" fillId="24" borderId="3" applyNumberFormat="0" applyAlignment="0" applyProtection="0"/>
    <xf numFmtId="0" fontId="48" fillId="24" borderId="3" applyNumberFormat="0" applyAlignment="0" applyProtection="0"/>
    <xf numFmtId="0" fontId="48" fillId="24" borderId="3" applyNumberFormat="0" applyAlignment="0" applyProtection="0"/>
    <xf numFmtId="0" fontId="48" fillId="24" borderId="3" applyNumberFormat="0" applyAlignment="0" applyProtection="0"/>
    <xf numFmtId="0" fontId="48" fillId="24" borderId="3" applyNumberFormat="0" applyAlignment="0" applyProtection="0"/>
    <xf numFmtId="0" fontId="48" fillId="24" borderId="3" applyNumberFormat="0" applyAlignment="0" applyProtection="0"/>
    <xf numFmtId="0" fontId="48" fillId="24" borderId="3" applyNumberFormat="0" applyAlignment="0" applyProtection="0"/>
    <xf numFmtId="0" fontId="48" fillId="24" borderId="3" applyNumberFormat="0" applyAlignment="0" applyProtection="0"/>
    <xf numFmtId="0" fontId="48" fillId="24" borderId="3" applyNumberFormat="0" applyAlignment="0" applyProtection="0"/>
    <xf numFmtId="0" fontId="48" fillId="24" borderId="3" applyNumberFormat="0" applyAlignment="0" applyProtection="0"/>
    <xf numFmtId="0" fontId="48" fillId="24" borderId="3" applyNumberFormat="0" applyAlignment="0" applyProtection="0"/>
    <xf numFmtId="0" fontId="48" fillId="24" borderId="3" applyNumberFormat="0" applyAlignment="0" applyProtection="0"/>
    <xf numFmtId="0" fontId="48" fillId="24" borderId="3" applyNumberFormat="0" applyAlignment="0" applyProtection="0"/>
    <xf numFmtId="0" fontId="48" fillId="24" borderId="3" applyNumberFormat="0" applyAlignment="0" applyProtection="0"/>
    <xf numFmtId="0" fontId="48" fillId="24" borderId="3" applyNumberFormat="0" applyAlignment="0" applyProtection="0"/>
    <xf numFmtId="0" fontId="48" fillId="24" borderId="3" applyNumberFormat="0" applyAlignment="0" applyProtection="0"/>
    <xf numFmtId="0" fontId="48" fillId="24" borderId="3" applyNumberFormat="0" applyAlignment="0" applyProtection="0"/>
    <xf numFmtId="0" fontId="48" fillId="24" borderId="3" applyNumberFormat="0" applyAlignment="0" applyProtection="0"/>
    <xf numFmtId="0" fontId="48" fillId="24" borderId="3" applyNumberFormat="0" applyAlignment="0" applyProtection="0"/>
    <xf numFmtId="0" fontId="48" fillId="24" borderId="3" applyNumberFormat="0" applyAlignment="0" applyProtection="0"/>
    <xf numFmtId="0" fontId="48" fillId="24" borderId="3" applyNumberFormat="0" applyAlignment="0" applyProtection="0"/>
    <xf numFmtId="0" fontId="48" fillId="24" borderId="3" applyNumberFormat="0" applyAlignment="0" applyProtection="0"/>
    <xf numFmtId="0" fontId="48" fillId="24" borderId="3" applyNumberFormat="0" applyAlignment="0" applyProtection="0"/>
    <xf numFmtId="0" fontId="48" fillId="24" borderId="3" applyNumberFormat="0" applyAlignment="0" applyProtection="0"/>
    <xf numFmtId="0" fontId="48" fillId="24" borderId="3" applyNumberFormat="0" applyAlignment="0" applyProtection="0"/>
    <xf numFmtId="0" fontId="48" fillId="24" borderId="3" applyNumberFormat="0" applyAlignment="0" applyProtection="0"/>
    <xf numFmtId="0" fontId="48" fillId="24" borderId="3" applyNumberFormat="0" applyAlignment="0" applyProtection="0"/>
    <xf numFmtId="0" fontId="48" fillId="24" borderId="3" applyNumberFormat="0" applyAlignment="0" applyProtection="0"/>
    <xf numFmtId="0" fontId="48" fillId="24" borderId="3" applyNumberFormat="0" applyAlignment="0" applyProtection="0"/>
    <xf numFmtId="0" fontId="48" fillId="24" borderId="3" applyNumberFormat="0" applyAlignment="0" applyProtection="0"/>
    <xf numFmtId="0" fontId="48" fillId="24" borderId="3" applyNumberFormat="0" applyAlignment="0" applyProtection="0"/>
    <xf numFmtId="0" fontId="48" fillId="24" borderId="3" applyNumberFormat="0" applyAlignment="0" applyProtection="0"/>
    <xf numFmtId="0" fontId="48" fillId="24" borderId="3" applyNumberFormat="0" applyAlignment="0" applyProtection="0"/>
    <xf numFmtId="0" fontId="48" fillId="24" borderId="3" applyNumberFormat="0" applyAlignment="0" applyProtection="0"/>
    <xf numFmtId="0" fontId="48" fillId="24" borderId="3" applyNumberFormat="0" applyAlignment="0" applyProtection="0"/>
    <xf numFmtId="0" fontId="48" fillId="24" borderId="3" applyNumberFormat="0" applyAlignment="0" applyProtection="0"/>
    <xf numFmtId="0" fontId="48" fillId="24" borderId="3" applyNumberFormat="0" applyAlignment="0" applyProtection="0"/>
    <xf numFmtId="0" fontId="48" fillId="24" borderId="3" applyNumberFormat="0" applyAlignment="0" applyProtection="0"/>
    <xf numFmtId="0" fontId="48" fillId="24" borderId="3" applyNumberFormat="0" applyAlignment="0" applyProtection="0"/>
    <xf numFmtId="0" fontId="48" fillId="24" borderId="3" applyNumberFormat="0" applyAlignment="0" applyProtection="0"/>
    <xf numFmtId="0" fontId="48" fillId="24" borderId="3" applyNumberFormat="0" applyAlignment="0" applyProtection="0"/>
    <xf numFmtId="0" fontId="48" fillId="24" borderId="3" applyNumberFormat="0" applyAlignment="0" applyProtection="0"/>
    <xf numFmtId="0" fontId="48" fillId="24" borderId="3" applyNumberFormat="0" applyAlignment="0" applyProtection="0"/>
    <xf numFmtId="0" fontId="48" fillId="24" borderId="3" applyNumberFormat="0" applyAlignment="0" applyProtection="0"/>
    <xf numFmtId="0" fontId="48" fillId="24" borderId="3" applyNumberFormat="0" applyAlignment="0" applyProtection="0"/>
    <xf numFmtId="0" fontId="48" fillId="24" borderId="3" applyNumberFormat="0" applyAlignment="0" applyProtection="0"/>
    <xf numFmtId="0" fontId="48" fillId="24" borderId="3" applyNumberFormat="0" applyAlignment="0" applyProtection="0"/>
    <xf numFmtId="0" fontId="48" fillId="24" borderId="3" applyNumberFormat="0" applyAlignment="0" applyProtection="0"/>
    <xf numFmtId="0" fontId="48" fillId="24" borderId="3" applyNumberFormat="0" applyAlignment="0" applyProtection="0"/>
    <xf numFmtId="0" fontId="48" fillId="24" borderId="3" applyNumberFormat="0" applyAlignment="0" applyProtection="0"/>
    <xf numFmtId="0" fontId="48" fillId="24" borderId="3" applyNumberFormat="0" applyAlignment="0" applyProtection="0"/>
    <xf numFmtId="0" fontId="48" fillId="24" borderId="3" applyNumberFormat="0" applyAlignment="0" applyProtection="0"/>
    <xf numFmtId="0" fontId="32" fillId="24" borderId="3" applyNumberFormat="0" applyAlignment="0" applyProtection="0"/>
    <xf numFmtId="0" fontId="32" fillId="24" borderId="3" applyNumberFormat="0" applyAlignment="0" applyProtection="0"/>
    <xf numFmtId="0" fontId="32" fillId="24" borderId="3" applyNumberFormat="0" applyAlignment="0" applyProtection="0"/>
    <xf numFmtId="0" fontId="32" fillId="24" borderId="3" applyNumberFormat="0" applyAlignment="0" applyProtection="0"/>
    <xf numFmtId="0" fontId="32" fillId="24" borderId="3" applyNumberFormat="0" applyAlignment="0" applyProtection="0"/>
    <xf numFmtId="0" fontId="32" fillId="24" borderId="3" applyNumberFormat="0" applyAlignment="0" applyProtection="0"/>
    <xf numFmtId="0" fontId="32" fillId="24" borderId="3" applyNumberFormat="0" applyAlignment="0" applyProtection="0"/>
    <xf numFmtId="0" fontId="32" fillId="24" borderId="3" applyNumberFormat="0" applyAlignment="0" applyProtection="0"/>
    <xf numFmtId="0" fontId="32" fillId="24" borderId="3" applyNumberFormat="0" applyAlignment="0" applyProtection="0"/>
    <xf numFmtId="0" fontId="32" fillId="24" borderId="3" applyNumberFormat="0" applyAlignment="0" applyProtection="0"/>
    <xf numFmtId="0" fontId="32" fillId="24" borderId="3" applyNumberFormat="0" applyAlignment="0" applyProtection="0"/>
    <xf numFmtId="0" fontId="32" fillId="24" borderId="3" applyNumberFormat="0" applyAlignment="0" applyProtection="0"/>
    <xf numFmtId="0" fontId="32" fillId="24" borderId="3" applyNumberFormat="0" applyAlignment="0" applyProtection="0"/>
    <xf numFmtId="0" fontId="32" fillId="24" borderId="3" applyNumberFormat="0" applyAlignment="0" applyProtection="0"/>
    <xf numFmtId="0" fontId="32" fillId="24" borderId="3" applyNumberFormat="0" applyAlignment="0" applyProtection="0"/>
    <xf numFmtId="0" fontId="32" fillId="24" borderId="3" applyNumberFormat="0" applyAlignment="0" applyProtection="0"/>
    <xf numFmtId="0" fontId="32" fillId="24" borderId="3" applyNumberFormat="0" applyAlignment="0" applyProtection="0"/>
    <xf numFmtId="0" fontId="32" fillId="24" borderId="3" applyNumberFormat="0" applyAlignment="0" applyProtection="0"/>
    <xf numFmtId="0" fontId="32" fillId="24" borderId="3" applyNumberFormat="0" applyAlignment="0" applyProtection="0"/>
    <xf numFmtId="0" fontId="32" fillId="24" borderId="3" applyNumberFormat="0" applyAlignment="0" applyProtection="0"/>
    <xf numFmtId="0" fontId="32" fillId="24" borderId="3" applyNumberFormat="0" applyAlignment="0" applyProtection="0"/>
    <xf numFmtId="0" fontId="32" fillId="24" borderId="3" applyNumberFormat="0" applyAlignment="0" applyProtection="0"/>
    <xf numFmtId="0" fontId="32" fillId="24" borderId="3" applyNumberFormat="0" applyAlignment="0" applyProtection="0"/>
    <xf numFmtId="0" fontId="32" fillId="24" borderId="3" applyNumberFormat="0" applyAlignment="0" applyProtection="0"/>
    <xf numFmtId="0" fontId="32" fillId="24" borderId="3" applyNumberFormat="0" applyAlignment="0" applyProtection="0"/>
    <xf numFmtId="0" fontId="32" fillId="24" borderId="3" applyNumberFormat="0" applyAlignment="0" applyProtection="0"/>
    <xf numFmtId="0" fontId="32" fillId="24" borderId="3" applyNumberFormat="0" applyAlignment="0" applyProtection="0"/>
    <xf numFmtId="0" fontId="32" fillId="24" borderId="3" applyNumberFormat="0" applyAlignment="0" applyProtection="0"/>
    <xf numFmtId="0" fontId="32" fillId="24" borderId="3" applyNumberFormat="0" applyAlignment="0" applyProtection="0"/>
    <xf numFmtId="0" fontId="32" fillId="24" borderId="3" applyNumberFormat="0" applyAlignment="0" applyProtection="0"/>
    <xf numFmtId="0" fontId="32" fillId="24" borderId="3" applyNumberFormat="0" applyAlignment="0" applyProtection="0"/>
    <xf numFmtId="0" fontId="32" fillId="24" borderId="3" applyNumberFormat="0" applyAlignment="0" applyProtection="0"/>
    <xf numFmtId="0" fontId="32" fillId="24" borderId="3" applyNumberFormat="0" applyAlignment="0" applyProtection="0"/>
    <xf numFmtId="0" fontId="32" fillId="24" borderId="3" applyNumberFormat="0" applyAlignment="0" applyProtection="0"/>
    <xf numFmtId="0" fontId="32" fillId="24" borderId="3" applyNumberFormat="0" applyAlignment="0" applyProtection="0"/>
    <xf numFmtId="0" fontId="32" fillId="24" borderId="3" applyNumberFormat="0" applyAlignment="0" applyProtection="0"/>
    <xf numFmtId="0" fontId="32" fillId="24" borderId="3" applyNumberFormat="0" applyAlignment="0" applyProtection="0"/>
    <xf numFmtId="0" fontId="32" fillId="24" borderId="3" applyNumberFormat="0" applyAlignment="0" applyProtection="0"/>
    <xf numFmtId="0" fontId="32" fillId="24" borderId="3" applyNumberFormat="0" applyAlignment="0" applyProtection="0"/>
    <xf numFmtId="0" fontId="32" fillId="24" borderId="3" applyNumberFormat="0" applyAlignment="0" applyProtection="0"/>
    <xf numFmtId="0" fontId="32" fillId="24" borderId="3" applyNumberFormat="0" applyAlignment="0" applyProtection="0"/>
    <xf numFmtId="0" fontId="32" fillId="24" borderId="3" applyNumberFormat="0" applyAlignment="0" applyProtection="0"/>
    <xf numFmtId="0" fontId="32" fillId="24" borderId="3" applyNumberFormat="0" applyAlignment="0" applyProtection="0"/>
    <xf numFmtId="0" fontId="32" fillId="24" borderId="3" applyNumberFormat="0" applyAlignment="0" applyProtection="0"/>
    <xf numFmtId="0" fontId="32" fillId="24" borderId="3" applyNumberFormat="0" applyAlignment="0" applyProtection="0"/>
    <xf numFmtId="0" fontId="32" fillId="24" borderId="3" applyNumberFormat="0" applyAlignment="0" applyProtection="0"/>
    <xf numFmtId="0" fontId="32" fillId="24" borderId="3" applyNumberFormat="0" applyAlignment="0" applyProtection="0"/>
    <xf numFmtId="0" fontId="32" fillId="24" borderId="3" applyNumberFormat="0" applyAlignment="0" applyProtection="0"/>
    <xf numFmtId="0" fontId="32" fillId="24" borderId="3" applyNumberFormat="0" applyAlignment="0" applyProtection="0"/>
    <xf numFmtId="0" fontId="32" fillId="24" borderId="3" applyNumberFormat="0" applyAlignment="0" applyProtection="0"/>
    <xf numFmtId="0" fontId="32" fillId="24" borderId="3" applyNumberFormat="0" applyAlignment="0" applyProtection="0"/>
    <xf numFmtId="0" fontId="32" fillId="24" borderId="3" applyNumberFormat="0" applyAlignment="0" applyProtection="0"/>
    <xf numFmtId="0" fontId="32" fillId="24" borderId="3" applyNumberFormat="0" applyAlignment="0" applyProtection="0"/>
    <xf numFmtId="0" fontId="32" fillId="24" borderId="3" applyNumberFormat="0" applyAlignment="0" applyProtection="0"/>
    <xf numFmtId="0" fontId="32" fillId="24" borderId="3" applyNumberFormat="0" applyAlignment="0" applyProtection="0"/>
    <xf numFmtId="0" fontId="32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48" fillId="24" borderId="3" applyNumberFormat="0" applyAlignment="0" applyProtection="0"/>
    <xf numFmtId="0" fontId="48" fillId="24" borderId="3" applyNumberFormat="0" applyAlignment="0" applyProtection="0"/>
    <xf numFmtId="0" fontId="48" fillId="24" borderId="3" applyNumberFormat="0" applyAlignment="0" applyProtection="0"/>
    <xf numFmtId="0" fontId="48" fillId="24" borderId="3" applyNumberFormat="0" applyAlignment="0" applyProtection="0"/>
    <xf numFmtId="0" fontId="48" fillId="24" borderId="3" applyNumberFormat="0" applyAlignment="0" applyProtection="0"/>
    <xf numFmtId="0" fontId="48" fillId="24" borderId="3" applyNumberFormat="0" applyAlignment="0" applyProtection="0"/>
    <xf numFmtId="0" fontId="48" fillId="24" borderId="3" applyNumberFormat="0" applyAlignment="0" applyProtection="0"/>
    <xf numFmtId="0" fontId="48" fillId="24" borderId="3" applyNumberFormat="0" applyAlignment="0" applyProtection="0"/>
    <xf numFmtId="0" fontId="48" fillId="24" borderId="3" applyNumberFormat="0" applyAlignment="0" applyProtection="0"/>
    <xf numFmtId="0" fontId="48" fillId="24" borderId="3" applyNumberFormat="0" applyAlignment="0" applyProtection="0"/>
    <xf numFmtId="0" fontId="48" fillId="24" borderId="3" applyNumberFormat="0" applyAlignment="0" applyProtection="0"/>
    <xf numFmtId="0" fontId="48" fillId="24" borderId="3" applyNumberFormat="0" applyAlignment="0" applyProtection="0"/>
    <xf numFmtId="0" fontId="48" fillId="24" borderId="3" applyNumberFormat="0" applyAlignment="0" applyProtection="0"/>
    <xf numFmtId="0" fontId="48" fillId="24" borderId="3" applyNumberFormat="0" applyAlignment="0" applyProtection="0"/>
    <xf numFmtId="0" fontId="48" fillId="24" borderId="3" applyNumberFormat="0" applyAlignment="0" applyProtection="0"/>
    <xf numFmtId="0" fontId="48" fillId="24" borderId="3" applyNumberFormat="0" applyAlignment="0" applyProtection="0"/>
    <xf numFmtId="0" fontId="48" fillId="24" borderId="3" applyNumberFormat="0" applyAlignment="0" applyProtection="0"/>
    <xf numFmtId="0" fontId="48" fillId="24" borderId="3" applyNumberFormat="0" applyAlignment="0" applyProtection="0"/>
    <xf numFmtId="0" fontId="48" fillId="24" borderId="3" applyNumberFormat="0" applyAlignment="0" applyProtection="0"/>
    <xf numFmtId="0" fontId="48" fillId="24" borderId="3" applyNumberFormat="0" applyAlignment="0" applyProtection="0"/>
    <xf numFmtId="0" fontId="48" fillId="24" borderId="3" applyNumberFormat="0" applyAlignment="0" applyProtection="0"/>
    <xf numFmtId="0" fontId="48" fillId="24" borderId="3" applyNumberFormat="0" applyAlignment="0" applyProtection="0"/>
    <xf numFmtId="0" fontId="48" fillId="24" borderId="3" applyNumberFormat="0" applyAlignment="0" applyProtection="0"/>
    <xf numFmtId="0" fontId="48" fillId="24" borderId="3" applyNumberFormat="0" applyAlignment="0" applyProtection="0"/>
    <xf numFmtId="0" fontId="48" fillId="24" borderId="3" applyNumberFormat="0" applyAlignment="0" applyProtection="0"/>
    <xf numFmtId="0" fontId="48" fillId="24" borderId="3" applyNumberFormat="0" applyAlignment="0" applyProtection="0"/>
    <xf numFmtId="0" fontId="48" fillId="24" borderId="3" applyNumberFormat="0" applyAlignment="0" applyProtection="0"/>
    <xf numFmtId="0" fontId="48" fillId="24" borderId="3" applyNumberFormat="0" applyAlignment="0" applyProtection="0"/>
    <xf numFmtId="0" fontId="48" fillId="24" borderId="3" applyNumberFormat="0" applyAlignment="0" applyProtection="0"/>
    <xf numFmtId="0" fontId="48" fillId="24" borderId="3" applyNumberFormat="0" applyAlignment="0" applyProtection="0"/>
    <xf numFmtId="0" fontId="48" fillId="24" borderId="3" applyNumberFormat="0" applyAlignment="0" applyProtection="0"/>
    <xf numFmtId="0" fontId="48" fillId="24" borderId="3" applyNumberFormat="0" applyAlignment="0" applyProtection="0"/>
    <xf numFmtId="0" fontId="48" fillId="24" borderId="3" applyNumberFormat="0" applyAlignment="0" applyProtection="0"/>
    <xf numFmtId="0" fontId="48" fillId="24" borderId="3" applyNumberFormat="0" applyAlignment="0" applyProtection="0"/>
    <xf numFmtId="0" fontId="48" fillId="24" borderId="3" applyNumberFormat="0" applyAlignment="0" applyProtection="0"/>
    <xf numFmtId="0" fontId="48" fillId="24" borderId="3" applyNumberFormat="0" applyAlignment="0" applyProtection="0"/>
    <xf numFmtId="0" fontId="48" fillId="24" borderId="3" applyNumberFormat="0" applyAlignment="0" applyProtection="0"/>
    <xf numFmtId="0" fontId="48" fillId="24" borderId="3" applyNumberFormat="0" applyAlignment="0" applyProtection="0"/>
    <xf numFmtId="0" fontId="48" fillId="24" borderId="3" applyNumberFormat="0" applyAlignment="0" applyProtection="0"/>
    <xf numFmtId="0" fontId="48" fillId="24" borderId="3" applyNumberFormat="0" applyAlignment="0" applyProtection="0"/>
    <xf numFmtId="0" fontId="48" fillId="24" borderId="3" applyNumberFormat="0" applyAlignment="0" applyProtection="0"/>
    <xf numFmtId="0" fontId="48" fillId="24" borderId="3" applyNumberFormat="0" applyAlignment="0" applyProtection="0"/>
    <xf numFmtId="0" fontId="48" fillId="24" borderId="3" applyNumberFormat="0" applyAlignment="0" applyProtection="0"/>
    <xf numFmtId="0" fontId="48" fillId="24" borderId="3" applyNumberFormat="0" applyAlignment="0" applyProtection="0"/>
    <xf numFmtId="0" fontId="48" fillId="24" borderId="3" applyNumberFormat="0" applyAlignment="0" applyProtection="0"/>
    <xf numFmtId="0" fontId="48" fillId="24" borderId="3" applyNumberFormat="0" applyAlignment="0" applyProtection="0"/>
    <xf numFmtId="0" fontId="48" fillId="24" borderId="3" applyNumberFormat="0" applyAlignment="0" applyProtection="0"/>
    <xf numFmtId="0" fontId="48" fillId="24" borderId="3" applyNumberFormat="0" applyAlignment="0" applyProtection="0"/>
    <xf numFmtId="0" fontId="48" fillId="24" borderId="3" applyNumberFormat="0" applyAlignment="0" applyProtection="0"/>
    <xf numFmtId="0" fontId="48" fillId="24" borderId="3" applyNumberFormat="0" applyAlignment="0" applyProtection="0"/>
    <xf numFmtId="0" fontId="48" fillId="24" borderId="3" applyNumberFormat="0" applyAlignment="0" applyProtection="0"/>
    <xf numFmtId="0" fontId="48" fillId="24" borderId="3" applyNumberFormat="0" applyAlignment="0" applyProtection="0"/>
    <xf numFmtId="0" fontId="48" fillId="24" borderId="3" applyNumberFormat="0" applyAlignment="0" applyProtection="0"/>
    <xf numFmtId="0" fontId="48" fillId="24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16" fillId="24" borderId="3" applyNumberFormat="0" applyAlignment="0" applyProtection="0"/>
    <xf numFmtId="0" fontId="66" fillId="43" borderId="39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7" fillId="26" borderId="5" applyNumberFormat="0" applyAlignment="0" applyProtection="0"/>
    <xf numFmtId="0" fontId="17" fillId="26" borderId="5" applyNumberFormat="0" applyAlignment="0" applyProtection="0"/>
    <xf numFmtId="0" fontId="17" fillId="25" borderId="4" applyNumberFormat="0" applyAlignment="0" applyProtection="0"/>
    <xf numFmtId="0" fontId="17" fillId="26" borderId="5" applyNumberFormat="0" applyAlignment="0" applyProtection="0"/>
    <xf numFmtId="0" fontId="68" fillId="44" borderId="42" applyNumberFormat="0" applyAlignment="0" applyProtection="0"/>
    <xf numFmtId="0" fontId="73" fillId="71" borderId="0" applyNumberFormat="0" applyBorder="0" applyAlignment="0" applyProtection="0">
      <alignment horizontal="center"/>
      <protection hidden="1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18" fillId="0" borderId="0" applyFont="0" applyFill="0" applyBorder="0" applyAlignment="0" applyProtection="0">
      <alignment vertical="top"/>
    </xf>
    <xf numFmtId="43" fontId="18" fillId="0" borderId="0" applyFont="0" applyFill="0" applyBorder="0" applyAlignment="0" applyProtection="0">
      <alignment vertical="top"/>
    </xf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1" fontId="19" fillId="72" borderId="0">
      <alignment horizontal="left"/>
    </xf>
    <xf numFmtId="43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2" fontId="2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3" fontId="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5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>
      <alignment vertical="top"/>
    </xf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" fillId="0" borderId="0" applyFont="0" applyFill="0" applyBorder="0" applyAlignment="0" applyProtection="0">
      <alignment wrapText="1"/>
    </xf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73" fontId="6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45"/>
    <xf numFmtId="0" fontId="28" fillId="0" borderId="45"/>
    <xf numFmtId="0" fontId="28" fillId="0" borderId="45"/>
    <xf numFmtId="0" fontId="28" fillId="0" borderId="45"/>
    <xf numFmtId="0" fontId="28" fillId="0" borderId="45"/>
    <xf numFmtId="0" fontId="28" fillId="0" borderId="45"/>
    <xf numFmtId="0" fontId="28" fillId="0" borderId="45"/>
    <xf numFmtId="0" fontId="28" fillId="0" borderId="45"/>
    <xf numFmtId="0" fontId="28" fillId="0" borderId="45"/>
    <xf numFmtId="0" fontId="28" fillId="0" borderId="45"/>
    <xf numFmtId="0" fontId="28" fillId="0" borderId="45"/>
    <xf numFmtId="0" fontId="28" fillId="0" borderId="45"/>
    <xf numFmtId="0" fontId="28" fillId="0" borderId="45"/>
    <xf numFmtId="0" fontId="28" fillId="0" borderId="45"/>
    <xf numFmtId="0" fontId="28" fillId="0" borderId="45"/>
    <xf numFmtId="0" fontId="28" fillId="0" borderId="45"/>
    <xf numFmtId="0" fontId="28" fillId="0" borderId="45"/>
    <xf numFmtId="0" fontId="28" fillId="0" borderId="45"/>
    <xf numFmtId="0" fontId="28" fillId="0" borderId="45"/>
    <xf numFmtId="0" fontId="28" fillId="0" borderId="45"/>
    <xf numFmtId="0" fontId="28" fillId="0" borderId="45"/>
    <xf numFmtId="0" fontId="28" fillId="0" borderId="45"/>
    <xf numFmtId="0" fontId="28" fillId="0" borderId="45"/>
    <xf numFmtId="0" fontId="28" fillId="0" borderId="45"/>
    <xf numFmtId="0" fontId="28" fillId="0" borderId="45"/>
    <xf numFmtId="0" fontId="28" fillId="0" borderId="45"/>
    <xf numFmtId="0" fontId="28" fillId="0" borderId="45"/>
    <xf numFmtId="0" fontId="28" fillId="0" borderId="45"/>
    <xf numFmtId="0" fontId="28" fillId="0" borderId="45"/>
    <xf numFmtId="0" fontId="28" fillId="0" borderId="45"/>
    <xf numFmtId="0" fontId="28" fillId="0" borderId="45"/>
    <xf numFmtId="0" fontId="28" fillId="0" borderId="45"/>
    <xf numFmtId="0" fontId="28" fillId="0" borderId="45"/>
    <xf numFmtId="0" fontId="28" fillId="0" borderId="45"/>
    <xf numFmtId="0" fontId="28" fillId="0" borderId="45"/>
    <xf numFmtId="0" fontId="28" fillId="0" borderId="45"/>
    <xf numFmtId="0" fontId="28" fillId="0" borderId="45"/>
    <xf numFmtId="0" fontId="28" fillId="0" borderId="45"/>
    <xf numFmtId="0" fontId="28" fillId="0" borderId="45"/>
    <xf numFmtId="0" fontId="28" fillId="0" borderId="45"/>
    <xf numFmtId="0" fontId="28" fillId="0" borderId="45"/>
    <xf numFmtId="0" fontId="28" fillId="0" borderId="45"/>
    <xf numFmtId="0" fontId="28" fillId="0" borderId="45"/>
    <xf numFmtId="0" fontId="28" fillId="0" borderId="45"/>
    <xf numFmtId="0" fontId="28" fillId="0" borderId="45"/>
    <xf numFmtId="0" fontId="28" fillId="0" borderId="45"/>
    <xf numFmtId="0" fontId="28" fillId="0" borderId="45"/>
    <xf numFmtId="0" fontId="28" fillId="0" borderId="45"/>
    <xf numFmtId="0" fontId="28" fillId="0" borderId="45"/>
    <xf numFmtId="0" fontId="28" fillId="0" borderId="45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0" fontId="69" fillId="0" borderId="0" applyNumberFormat="0" applyFill="0" applyBorder="0" applyAlignment="0" applyProtection="0"/>
    <xf numFmtId="0" fontId="2" fillId="0" borderId="0"/>
    <xf numFmtId="0" fontId="21" fillId="11" borderId="0" applyNumberFormat="0" applyBorder="0" applyAlignment="0" applyProtection="0"/>
    <xf numFmtId="0" fontId="21" fillId="30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61" fillId="39" borderId="0" applyNumberFormat="0" applyBorder="0" applyAlignment="0" applyProtection="0"/>
    <xf numFmtId="0" fontId="21" fillId="30" borderId="0" applyNumberFormat="0" applyBorder="0" applyAlignment="0" applyProtection="0"/>
    <xf numFmtId="0" fontId="21" fillId="11" borderId="0" applyNumberFormat="0" applyBorder="0" applyAlignment="0" applyProtection="0"/>
    <xf numFmtId="0" fontId="61" fillId="39" borderId="0" applyNumberFormat="0" applyBorder="0" applyAlignment="0" applyProtection="0"/>
    <xf numFmtId="0" fontId="61" fillId="39" borderId="0" applyNumberFormat="0" applyBorder="0" applyAlignment="0" applyProtection="0"/>
    <xf numFmtId="0" fontId="61" fillId="39" borderId="0" applyNumberFormat="0" applyBorder="0" applyAlignment="0" applyProtection="0"/>
    <xf numFmtId="0" fontId="22" fillId="0" borderId="24" applyNumberFormat="0" applyFill="0" applyAlignment="0" applyProtection="0"/>
    <xf numFmtId="0" fontId="36" fillId="0" borderId="7" applyNumberFormat="0" applyFill="0" applyAlignment="0" applyProtection="0"/>
    <xf numFmtId="0" fontId="22" fillId="0" borderId="6" applyNumberFormat="0" applyFill="0" applyAlignment="0" applyProtection="0"/>
    <xf numFmtId="0" fontId="22" fillId="0" borderId="6" applyNumberFormat="0" applyFill="0" applyAlignment="0" applyProtection="0"/>
    <xf numFmtId="0" fontId="22" fillId="0" borderId="6" applyNumberFormat="0" applyFill="0" applyAlignment="0" applyProtection="0"/>
    <xf numFmtId="0" fontId="58" fillId="0" borderId="36" applyNumberFormat="0" applyFill="0" applyAlignment="0" applyProtection="0"/>
    <xf numFmtId="0" fontId="37" fillId="0" borderId="9" applyNumberFormat="0" applyFill="0" applyAlignment="0" applyProtection="0"/>
    <xf numFmtId="0" fontId="23" fillId="0" borderId="8" applyNumberFormat="0" applyFill="0" applyAlignment="0" applyProtection="0"/>
    <xf numFmtId="0" fontId="23" fillId="0" borderId="8" applyNumberFormat="0" applyFill="0" applyAlignment="0" applyProtection="0"/>
    <xf numFmtId="0" fontId="23" fillId="0" borderId="8" applyNumberFormat="0" applyFill="0" applyAlignment="0" applyProtection="0"/>
    <xf numFmtId="0" fontId="59" fillId="0" borderId="37" applyNumberFormat="0" applyFill="0" applyAlignment="0" applyProtection="0"/>
    <xf numFmtId="0" fontId="24" fillId="0" borderId="26" applyNumberFormat="0" applyFill="0" applyAlignment="0" applyProtection="0"/>
    <xf numFmtId="0" fontId="38" fillId="0" borderId="11" applyNumberFormat="0" applyFill="0" applyAlignment="0" applyProtection="0"/>
    <xf numFmtId="0" fontId="24" fillId="0" borderId="10" applyNumberFormat="0" applyFill="0" applyAlignment="0" applyProtection="0"/>
    <xf numFmtId="0" fontId="24" fillId="0" borderId="10" applyNumberFormat="0" applyFill="0" applyAlignment="0" applyProtection="0"/>
    <xf numFmtId="0" fontId="24" fillId="0" borderId="10" applyNumberFormat="0" applyFill="0" applyAlignment="0" applyProtection="0"/>
    <xf numFmtId="0" fontId="60" fillId="0" borderId="38" applyNumberFormat="0" applyFill="0" applyAlignment="0" applyProtection="0"/>
    <xf numFmtId="0" fontId="38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78" fillId="0" borderId="0" applyNumberFormat="0" applyFill="0" applyBorder="0" applyAlignment="0" applyProtection="0">
      <alignment vertical="top"/>
      <protection locked="0"/>
    </xf>
    <xf numFmtId="0" fontId="79" fillId="0" borderId="0" applyNumberFormat="0" applyFill="0" applyBorder="0" applyAlignment="0" applyProtection="0">
      <alignment vertical="top"/>
      <protection locked="0"/>
    </xf>
    <xf numFmtId="0" fontId="39" fillId="0" borderId="0" applyNumberFormat="0" applyFill="0" applyBorder="0" applyAlignment="0" applyProtection="0">
      <alignment vertical="top"/>
      <protection locked="0"/>
    </xf>
    <xf numFmtId="0" fontId="80" fillId="0" borderId="0" applyNumberFormat="0" applyFill="0" applyBorder="0" applyAlignment="0" applyProtection="0">
      <alignment vertical="top"/>
      <protection locked="0"/>
    </xf>
    <xf numFmtId="0" fontId="78" fillId="0" borderId="0" applyNumberFormat="0" applyFill="0" applyBorder="0" applyAlignment="0" applyProtection="0">
      <alignment vertical="top"/>
      <protection locked="0"/>
    </xf>
    <xf numFmtId="0" fontId="39" fillId="0" borderId="0" applyNumberFormat="0" applyFill="0" applyBorder="0" applyAlignment="0" applyProtection="0">
      <alignment vertical="top"/>
      <protection locked="0"/>
    </xf>
    <xf numFmtId="0" fontId="80" fillId="0" borderId="0" applyNumberFormat="0" applyFill="0" applyBorder="0" applyAlignment="0" applyProtection="0">
      <alignment vertical="top"/>
      <protection locked="0"/>
    </xf>
    <xf numFmtId="0" fontId="80" fillId="0" borderId="0" applyNumberFormat="0" applyFill="0" applyBorder="0" applyAlignment="0" applyProtection="0">
      <alignment vertical="top"/>
      <protection locked="0"/>
    </xf>
    <xf numFmtId="0" fontId="79" fillId="0" borderId="0" applyNumberFormat="0" applyFill="0" applyBorder="0" applyAlignment="0" applyProtection="0">
      <alignment vertical="top"/>
      <protection locked="0"/>
    </xf>
    <xf numFmtId="0" fontId="40" fillId="0" borderId="0" applyNumberFormat="0" applyFill="0" applyBorder="0" applyAlignment="0" applyProtection="0">
      <alignment vertical="top"/>
      <protection locked="0"/>
    </xf>
    <xf numFmtId="0" fontId="81" fillId="0" borderId="0" applyNumberFormat="0" applyFill="0" applyBorder="0" applyAlignment="0" applyProtection="0">
      <alignment vertical="top"/>
      <protection locked="0"/>
    </xf>
    <xf numFmtId="0" fontId="82" fillId="0" borderId="0" applyNumberFormat="0" applyFill="0" applyBorder="0" applyAlignment="0" applyProtection="0">
      <alignment vertical="top"/>
      <protection locked="0"/>
    </xf>
    <xf numFmtId="0" fontId="82" fillId="0" borderId="0" applyNumberFormat="0" applyFill="0" applyBorder="0" applyAlignment="0" applyProtection="0">
      <alignment vertical="top"/>
      <protection locked="0"/>
    </xf>
    <xf numFmtId="0" fontId="83" fillId="0" borderId="0" applyNumberFormat="0" applyFill="0" applyBorder="0" applyAlignment="0" applyProtection="0">
      <alignment vertical="top"/>
      <protection locked="0"/>
    </xf>
    <xf numFmtId="0" fontId="41" fillId="13" borderId="3" applyNumberFormat="0" applyAlignment="0" applyProtection="0"/>
    <xf numFmtId="0" fontId="41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41" fillId="13" borderId="3" applyNumberFormat="0" applyAlignment="0" applyProtection="0"/>
    <xf numFmtId="0" fontId="41" fillId="13" borderId="3" applyNumberFormat="0" applyAlignment="0" applyProtection="0"/>
    <xf numFmtId="0" fontId="41" fillId="13" borderId="3" applyNumberFormat="0" applyAlignment="0" applyProtection="0"/>
    <xf numFmtId="0" fontId="41" fillId="13" borderId="3" applyNumberFormat="0" applyAlignment="0" applyProtection="0"/>
    <xf numFmtId="0" fontId="41" fillId="13" borderId="3" applyNumberFormat="0" applyAlignment="0" applyProtection="0"/>
    <xf numFmtId="0" fontId="41" fillId="13" borderId="3" applyNumberFormat="0" applyAlignment="0" applyProtection="0"/>
    <xf numFmtId="0" fontId="41" fillId="13" borderId="3" applyNumberFormat="0" applyAlignment="0" applyProtection="0"/>
    <xf numFmtId="0" fontId="41" fillId="13" borderId="3" applyNumberFormat="0" applyAlignment="0" applyProtection="0"/>
    <xf numFmtId="0" fontId="41" fillId="13" borderId="3" applyNumberFormat="0" applyAlignment="0" applyProtection="0"/>
    <xf numFmtId="0" fontId="41" fillId="13" borderId="3" applyNumberFormat="0" applyAlignment="0" applyProtection="0"/>
    <xf numFmtId="0" fontId="41" fillId="13" borderId="3" applyNumberFormat="0" applyAlignment="0" applyProtection="0"/>
    <xf numFmtId="0" fontId="41" fillId="13" borderId="3" applyNumberFormat="0" applyAlignment="0" applyProtection="0"/>
    <xf numFmtId="0" fontId="41" fillId="13" borderId="3" applyNumberFormat="0" applyAlignment="0" applyProtection="0"/>
    <xf numFmtId="0" fontId="41" fillId="13" borderId="3" applyNumberFormat="0" applyAlignment="0" applyProtection="0"/>
    <xf numFmtId="0" fontId="41" fillId="13" borderId="3" applyNumberFormat="0" applyAlignment="0" applyProtection="0"/>
    <xf numFmtId="0" fontId="41" fillId="13" borderId="3" applyNumberFormat="0" applyAlignment="0" applyProtection="0"/>
    <xf numFmtId="0" fontId="41" fillId="13" borderId="3" applyNumberFormat="0" applyAlignment="0" applyProtection="0"/>
    <xf numFmtId="0" fontId="41" fillId="13" borderId="3" applyNumberFormat="0" applyAlignment="0" applyProtection="0"/>
    <xf numFmtId="0" fontId="41" fillId="13" borderId="3" applyNumberFormat="0" applyAlignment="0" applyProtection="0"/>
    <xf numFmtId="0" fontId="41" fillId="13" borderId="3" applyNumberFormat="0" applyAlignment="0" applyProtection="0"/>
    <xf numFmtId="0" fontId="41" fillId="13" borderId="3" applyNumberFormat="0" applyAlignment="0" applyProtection="0"/>
    <xf numFmtId="0" fontId="41" fillId="13" borderId="3" applyNumberFormat="0" applyAlignment="0" applyProtection="0"/>
    <xf numFmtId="0" fontId="41" fillId="13" borderId="3" applyNumberFormat="0" applyAlignment="0" applyProtection="0"/>
    <xf numFmtId="0" fontId="41" fillId="13" borderId="3" applyNumberFormat="0" applyAlignment="0" applyProtection="0"/>
    <xf numFmtId="0" fontId="41" fillId="13" borderId="3" applyNumberFormat="0" applyAlignment="0" applyProtection="0"/>
    <xf numFmtId="0" fontId="41" fillId="13" borderId="3" applyNumberFormat="0" applyAlignment="0" applyProtection="0"/>
    <xf numFmtId="0" fontId="41" fillId="13" borderId="3" applyNumberFormat="0" applyAlignment="0" applyProtection="0"/>
    <xf numFmtId="0" fontId="41" fillId="13" borderId="3" applyNumberFormat="0" applyAlignment="0" applyProtection="0"/>
    <xf numFmtId="0" fontId="41" fillId="13" borderId="3" applyNumberFormat="0" applyAlignment="0" applyProtection="0"/>
    <xf numFmtId="0" fontId="41" fillId="13" borderId="3" applyNumberFormat="0" applyAlignment="0" applyProtection="0"/>
    <xf numFmtId="0" fontId="41" fillId="13" borderId="3" applyNumberFormat="0" applyAlignment="0" applyProtection="0"/>
    <xf numFmtId="0" fontId="41" fillId="13" borderId="3" applyNumberFormat="0" applyAlignment="0" applyProtection="0"/>
    <xf numFmtId="0" fontId="41" fillId="13" borderId="3" applyNumberFormat="0" applyAlignment="0" applyProtection="0"/>
    <xf numFmtId="0" fontId="41" fillId="13" borderId="3" applyNumberFormat="0" applyAlignment="0" applyProtection="0"/>
    <xf numFmtId="0" fontId="41" fillId="13" borderId="3" applyNumberFormat="0" applyAlignment="0" applyProtection="0"/>
    <xf numFmtId="0" fontId="41" fillId="13" borderId="3" applyNumberFormat="0" applyAlignment="0" applyProtection="0"/>
    <xf numFmtId="0" fontId="41" fillId="13" borderId="3" applyNumberFormat="0" applyAlignment="0" applyProtection="0"/>
    <xf numFmtId="0" fontId="41" fillId="13" borderId="3" applyNumberFormat="0" applyAlignment="0" applyProtection="0"/>
    <xf numFmtId="0" fontId="41" fillId="13" borderId="3" applyNumberFormat="0" applyAlignment="0" applyProtection="0"/>
    <xf numFmtId="0" fontId="41" fillId="13" borderId="3" applyNumberFormat="0" applyAlignment="0" applyProtection="0"/>
    <xf numFmtId="0" fontId="41" fillId="13" borderId="3" applyNumberFormat="0" applyAlignment="0" applyProtection="0"/>
    <xf numFmtId="0" fontId="41" fillId="13" borderId="3" applyNumberFormat="0" applyAlignment="0" applyProtection="0"/>
    <xf numFmtId="0" fontId="41" fillId="13" borderId="3" applyNumberFormat="0" applyAlignment="0" applyProtection="0"/>
    <xf numFmtId="0" fontId="41" fillId="13" borderId="3" applyNumberFormat="0" applyAlignment="0" applyProtection="0"/>
    <xf numFmtId="0" fontId="41" fillId="13" borderId="3" applyNumberFormat="0" applyAlignment="0" applyProtection="0"/>
    <xf numFmtId="0" fontId="41" fillId="13" borderId="3" applyNumberFormat="0" applyAlignment="0" applyProtection="0"/>
    <xf numFmtId="0" fontId="41" fillId="13" borderId="3" applyNumberFormat="0" applyAlignment="0" applyProtection="0"/>
    <xf numFmtId="0" fontId="41" fillId="13" borderId="3" applyNumberFormat="0" applyAlignment="0" applyProtection="0"/>
    <xf numFmtId="0" fontId="41" fillId="13" borderId="3" applyNumberFormat="0" applyAlignment="0" applyProtection="0"/>
    <xf numFmtId="0" fontId="41" fillId="13" borderId="3" applyNumberFormat="0" applyAlignment="0" applyProtection="0"/>
    <xf numFmtId="0" fontId="41" fillId="13" borderId="3" applyNumberFormat="0" applyAlignment="0" applyProtection="0"/>
    <xf numFmtId="0" fontId="41" fillId="13" borderId="3" applyNumberFormat="0" applyAlignment="0" applyProtection="0"/>
    <xf numFmtId="0" fontId="41" fillId="13" borderId="3" applyNumberFormat="0" applyAlignment="0" applyProtection="0"/>
    <xf numFmtId="0" fontId="41" fillId="13" borderId="3" applyNumberFormat="0" applyAlignment="0" applyProtection="0"/>
    <xf numFmtId="0" fontId="41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41" fillId="13" borderId="3" applyNumberFormat="0" applyAlignment="0" applyProtection="0"/>
    <xf numFmtId="0" fontId="41" fillId="13" borderId="3" applyNumberFormat="0" applyAlignment="0" applyProtection="0"/>
    <xf numFmtId="0" fontId="41" fillId="13" borderId="3" applyNumberFormat="0" applyAlignment="0" applyProtection="0"/>
    <xf numFmtId="0" fontId="41" fillId="13" borderId="3" applyNumberFormat="0" applyAlignment="0" applyProtection="0"/>
    <xf numFmtId="0" fontId="41" fillId="13" borderId="3" applyNumberFormat="0" applyAlignment="0" applyProtection="0"/>
    <xf numFmtId="0" fontId="41" fillId="13" borderId="3" applyNumberFormat="0" applyAlignment="0" applyProtection="0"/>
    <xf numFmtId="0" fontId="41" fillId="13" borderId="3" applyNumberFormat="0" applyAlignment="0" applyProtection="0"/>
    <xf numFmtId="0" fontId="41" fillId="13" borderId="3" applyNumberFormat="0" applyAlignment="0" applyProtection="0"/>
    <xf numFmtId="0" fontId="41" fillId="13" borderId="3" applyNumberFormat="0" applyAlignment="0" applyProtection="0"/>
    <xf numFmtId="0" fontId="41" fillId="13" borderId="3" applyNumberFormat="0" applyAlignment="0" applyProtection="0"/>
    <xf numFmtId="0" fontId="41" fillId="13" borderId="3" applyNumberFormat="0" applyAlignment="0" applyProtection="0"/>
    <xf numFmtId="0" fontId="41" fillId="13" borderId="3" applyNumberFormat="0" applyAlignment="0" applyProtection="0"/>
    <xf numFmtId="0" fontId="41" fillId="13" borderId="3" applyNumberFormat="0" applyAlignment="0" applyProtection="0"/>
    <xf numFmtId="0" fontId="41" fillId="13" borderId="3" applyNumberFormat="0" applyAlignment="0" applyProtection="0"/>
    <xf numFmtId="0" fontId="41" fillId="13" borderId="3" applyNumberFormat="0" applyAlignment="0" applyProtection="0"/>
    <xf numFmtId="0" fontId="41" fillId="13" borderId="3" applyNumberFormat="0" applyAlignment="0" applyProtection="0"/>
    <xf numFmtId="0" fontId="41" fillId="13" borderId="3" applyNumberFormat="0" applyAlignment="0" applyProtection="0"/>
    <xf numFmtId="0" fontId="41" fillId="13" borderId="3" applyNumberFormat="0" applyAlignment="0" applyProtection="0"/>
    <xf numFmtId="0" fontId="41" fillId="13" borderId="3" applyNumberFormat="0" applyAlignment="0" applyProtection="0"/>
    <xf numFmtId="0" fontId="41" fillId="13" borderId="3" applyNumberFormat="0" applyAlignment="0" applyProtection="0"/>
    <xf numFmtId="0" fontId="41" fillId="13" borderId="3" applyNumberFormat="0" applyAlignment="0" applyProtection="0"/>
    <xf numFmtId="0" fontId="41" fillId="13" borderId="3" applyNumberFormat="0" applyAlignment="0" applyProtection="0"/>
    <xf numFmtId="0" fontId="41" fillId="13" borderId="3" applyNumberFormat="0" applyAlignment="0" applyProtection="0"/>
    <xf numFmtId="0" fontId="41" fillId="13" borderId="3" applyNumberFormat="0" applyAlignment="0" applyProtection="0"/>
    <xf numFmtId="0" fontId="41" fillId="13" borderId="3" applyNumberFormat="0" applyAlignment="0" applyProtection="0"/>
    <xf numFmtId="0" fontId="41" fillId="13" borderId="3" applyNumberFormat="0" applyAlignment="0" applyProtection="0"/>
    <xf numFmtId="0" fontId="41" fillId="13" borderId="3" applyNumberFormat="0" applyAlignment="0" applyProtection="0"/>
    <xf numFmtId="0" fontId="41" fillId="13" borderId="3" applyNumberFormat="0" applyAlignment="0" applyProtection="0"/>
    <xf numFmtId="0" fontId="41" fillId="13" borderId="3" applyNumberFormat="0" applyAlignment="0" applyProtection="0"/>
    <xf numFmtId="0" fontId="41" fillId="13" borderId="3" applyNumberFormat="0" applyAlignment="0" applyProtection="0"/>
    <xf numFmtId="0" fontId="41" fillId="13" borderId="3" applyNumberFormat="0" applyAlignment="0" applyProtection="0"/>
    <xf numFmtId="0" fontId="41" fillId="13" borderId="3" applyNumberFormat="0" applyAlignment="0" applyProtection="0"/>
    <xf numFmtId="0" fontId="41" fillId="13" borderId="3" applyNumberFormat="0" applyAlignment="0" applyProtection="0"/>
    <xf numFmtId="0" fontId="41" fillId="13" borderId="3" applyNumberFormat="0" applyAlignment="0" applyProtection="0"/>
    <xf numFmtId="0" fontId="41" fillId="13" borderId="3" applyNumberFormat="0" applyAlignment="0" applyProtection="0"/>
    <xf numFmtId="0" fontId="41" fillId="13" borderId="3" applyNumberFormat="0" applyAlignment="0" applyProtection="0"/>
    <xf numFmtId="0" fontId="41" fillId="13" borderId="3" applyNumberFormat="0" applyAlignment="0" applyProtection="0"/>
    <xf numFmtId="0" fontId="41" fillId="13" borderId="3" applyNumberFormat="0" applyAlignment="0" applyProtection="0"/>
    <xf numFmtId="0" fontId="41" fillId="13" borderId="3" applyNumberFormat="0" applyAlignment="0" applyProtection="0"/>
    <xf numFmtId="0" fontId="41" fillId="13" borderId="3" applyNumberFormat="0" applyAlignment="0" applyProtection="0"/>
    <xf numFmtId="0" fontId="41" fillId="13" borderId="3" applyNumberFormat="0" applyAlignment="0" applyProtection="0"/>
    <xf numFmtId="0" fontId="41" fillId="13" borderId="3" applyNumberFormat="0" applyAlignment="0" applyProtection="0"/>
    <xf numFmtId="0" fontId="41" fillId="13" borderId="3" applyNumberFormat="0" applyAlignment="0" applyProtection="0"/>
    <xf numFmtId="0" fontId="41" fillId="13" borderId="3" applyNumberFormat="0" applyAlignment="0" applyProtection="0"/>
    <xf numFmtId="0" fontId="41" fillId="13" borderId="3" applyNumberFormat="0" applyAlignment="0" applyProtection="0"/>
    <xf numFmtId="0" fontId="41" fillId="13" borderId="3" applyNumberFormat="0" applyAlignment="0" applyProtection="0"/>
    <xf numFmtId="0" fontId="41" fillId="13" borderId="3" applyNumberFormat="0" applyAlignment="0" applyProtection="0"/>
    <xf numFmtId="0" fontId="41" fillId="13" borderId="3" applyNumberFormat="0" applyAlignment="0" applyProtection="0"/>
    <xf numFmtId="0" fontId="41" fillId="13" borderId="3" applyNumberFormat="0" applyAlignment="0" applyProtection="0"/>
    <xf numFmtId="0" fontId="41" fillId="13" borderId="3" applyNumberFormat="0" applyAlignment="0" applyProtection="0"/>
    <xf numFmtId="0" fontId="41" fillId="13" borderId="3" applyNumberFormat="0" applyAlignment="0" applyProtection="0"/>
    <xf numFmtId="0" fontId="41" fillId="13" borderId="3" applyNumberFormat="0" applyAlignment="0" applyProtection="0"/>
    <xf numFmtId="0" fontId="41" fillId="13" borderId="3" applyNumberFormat="0" applyAlignment="0" applyProtection="0"/>
    <xf numFmtId="0" fontId="41" fillId="13" borderId="3" applyNumberFormat="0" applyAlignment="0" applyProtection="0"/>
    <xf numFmtId="0" fontId="41" fillId="13" borderId="3" applyNumberFormat="0" applyAlignment="0" applyProtection="0"/>
    <xf numFmtId="0" fontId="25" fillId="8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8" borderId="3" applyNumberFormat="0" applyAlignment="0" applyProtection="0"/>
    <xf numFmtId="0" fontId="25" fillId="8" borderId="3" applyNumberFormat="0" applyAlignment="0" applyProtection="0"/>
    <xf numFmtId="0" fontId="25" fillId="8" borderId="3" applyNumberFormat="0" applyAlignment="0" applyProtection="0"/>
    <xf numFmtId="0" fontId="25" fillId="8" borderId="3" applyNumberFormat="0" applyAlignment="0" applyProtection="0"/>
    <xf numFmtId="0" fontId="25" fillId="8" borderId="3" applyNumberFormat="0" applyAlignment="0" applyProtection="0"/>
    <xf numFmtId="0" fontId="25" fillId="8" borderId="3" applyNumberFormat="0" applyAlignment="0" applyProtection="0"/>
    <xf numFmtId="0" fontId="25" fillId="8" borderId="3" applyNumberFormat="0" applyAlignment="0" applyProtection="0"/>
    <xf numFmtId="0" fontId="25" fillId="8" borderId="3" applyNumberFormat="0" applyAlignment="0" applyProtection="0"/>
    <xf numFmtId="0" fontId="25" fillId="8" borderId="3" applyNumberFormat="0" applyAlignment="0" applyProtection="0"/>
    <xf numFmtId="0" fontId="25" fillId="8" borderId="3" applyNumberFormat="0" applyAlignment="0" applyProtection="0"/>
    <xf numFmtId="0" fontId="25" fillId="8" borderId="3" applyNumberFormat="0" applyAlignment="0" applyProtection="0"/>
    <xf numFmtId="0" fontId="25" fillId="8" borderId="3" applyNumberFormat="0" applyAlignment="0" applyProtection="0"/>
    <xf numFmtId="0" fontId="25" fillId="8" borderId="3" applyNumberFormat="0" applyAlignment="0" applyProtection="0"/>
    <xf numFmtId="0" fontId="25" fillId="8" borderId="3" applyNumberFormat="0" applyAlignment="0" applyProtection="0"/>
    <xf numFmtId="0" fontId="25" fillId="8" borderId="3" applyNumberFormat="0" applyAlignment="0" applyProtection="0"/>
    <xf numFmtId="0" fontId="25" fillId="8" borderId="3" applyNumberFormat="0" applyAlignment="0" applyProtection="0"/>
    <xf numFmtId="0" fontId="25" fillId="8" borderId="3" applyNumberFormat="0" applyAlignment="0" applyProtection="0"/>
    <xf numFmtId="0" fontId="25" fillId="8" borderId="3" applyNumberFormat="0" applyAlignment="0" applyProtection="0"/>
    <xf numFmtId="0" fontId="25" fillId="8" borderId="3" applyNumberFormat="0" applyAlignment="0" applyProtection="0"/>
    <xf numFmtId="0" fontId="25" fillId="8" borderId="3" applyNumberFormat="0" applyAlignment="0" applyProtection="0"/>
    <xf numFmtId="0" fontId="25" fillId="8" borderId="3" applyNumberFormat="0" applyAlignment="0" applyProtection="0"/>
    <xf numFmtId="0" fontId="25" fillId="8" borderId="3" applyNumberFormat="0" applyAlignment="0" applyProtection="0"/>
    <xf numFmtId="0" fontId="25" fillId="8" borderId="3" applyNumberFormat="0" applyAlignment="0" applyProtection="0"/>
    <xf numFmtId="0" fontId="25" fillId="8" borderId="3" applyNumberFormat="0" applyAlignment="0" applyProtection="0"/>
    <xf numFmtId="0" fontId="25" fillId="8" borderId="3" applyNumberFormat="0" applyAlignment="0" applyProtection="0"/>
    <xf numFmtId="0" fontId="25" fillId="8" borderId="3" applyNumberFormat="0" applyAlignment="0" applyProtection="0"/>
    <xf numFmtId="0" fontId="25" fillId="8" borderId="3" applyNumberFormat="0" applyAlignment="0" applyProtection="0"/>
    <xf numFmtId="0" fontId="25" fillId="8" borderId="3" applyNumberFormat="0" applyAlignment="0" applyProtection="0"/>
    <xf numFmtId="0" fontId="25" fillId="8" borderId="3" applyNumberFormat="0" applyAlignment="0" applyProtection="0"/>
    <xf numFmtId="0" fontId="25" fillId="8" borderId="3" applyNumberFormat="0" applyAlignment="0" applyProtection="0"/>
    <xf numFmtId="0" fontId="25" fillId="8" borderId="3" applyNumberFormat="0" applyAlignment="0" applyProtection="0"/>
    <xf numFmtId="0" fontId="25" fillId="8" borderId="3" applyNumberFormat="0" applyAlignment="0" applyProtection="0"/>
    <xf numFmtId="0" fontId="25" fillId="8" borderId="3" applyNumberFormat="0" applyAlignment="0" applyProtection="0"/>
    <xf numFmtId="0" fontId="25" fillId="8" borderId="3" applyNumberFormat="0" applyAlignment="0" applyProtection="0"/>
    <xf numFmtId="0" fontId="25" fillId="8" borderId="3" applyNumberFormat="0" applyAlignment="0" applyProtection="0"/>
    <xf numFmtId="0" fontId="25" fillId="8" borderId="3" applyNumberFormat="0" applyAlignment="0" applyProtection="0"/>
    <xf numFmtId="0" fontId="25" fillId="8" borderId="3" applyNumberFormat="0" applyAlignment="0" applyProtection="0"/>
    <xf numFmtId="0" fontId="25" fillId="8" borderId="3" applyNumberFormat="0" applyAlignment="0" applyProtection="0"/>
    <xf numFmtId="0" fontId="25" fillId="8" borderId="3" applyNumberFormat="0" applyAlignment="0" applyProtection="0"/>
    <xf numFmtId="0" fontId="25" fillId="8" borderId="3" applyNumberFormat="0" applyAlignment="0" applyProtection="0"/>
    <xf numFmtId="0" fontId="25" fillId="8" borderId="3" applyNumberFormat="0" applyAlignment="0" applyProtection="0"/>
    <xf numFmtId="0" fontId="25" fillId="8" borderId="3" applyNumberFormat="0" applyAlignment="0" applyProtection="0"/>
    <xf numFmtId="0" fontId="25" fillId="8" borderId="3" applyNumberFormat="0" applyAlignment="0" applyProtection="0"/>
    <xf numFmtId="0" fontId="25" fillId="8" borderId="3" applyNumberFormat="0" applyAlignment="0" applyProtection="0"/>
    <xf numFmtId="0" fontId="25" fillId="8" borderId="3" applyNumberFormat="0" applyAlignment="0" applyProtection="0"/>
    <xf numFmtId="0" fontId="25" fillId="8" borderId="3" applyNumberFormat="0" applyAlignment="0" applyProtection="0"/>
    <xf numFmtId="0" fontId="25" fillId="8" borderId="3" applyNumberFormat="0" applyAlignment="0" applyProtection="0"/>
    <xf numFmtId="0" fontId="25" fillId="8" borderId="3" applyNumberFormat="0" applyAlignment="0" applyProtection="0"/>
    <xf numFmtId="0" fontId="25" fillId="8" borderId="3" applyNumberFormat="0" applyAlignment="0" applyProtection="0"/>
    <xf numFmtId="0" fontId="25" fillId="8" borderId="3" applyNumberFormat="0" applyAlignment="0" applyProtection="0"/>
    <xf numFmtId="0" fontId="25" fillId="8" borderId="3" applyNumberFormat="0" applyAlignment="0" applyProtection="0"/>
    <xf numFmtId="0" fontId="25" fillId="8" borderId="3" applyNumberFormat="0" applyAlignment="0" applyProtection="0"/>
    <xf numFmtId="0" fontId="25" fillId="8" borderId="3" applyNumberFormat="0" applyAlignment="0" applyProtection="0"/>
    <xf numFmtId="0" fontId="25" fillId="8" borderId="3" applyNumberFormat="0" applyAlignment="0" applyProtection="0"/>
    <xf numFmtId="0" fontId="25" fillId="8" borderId="3" applyNumberFormat="0" applyAlignment="0" applyProtection="0"/>
    <xf numFmtId="0" fontId="25" fillId="8" borderId="3" applyNumberFormat="0" applyAlignment="0" applyProtection="0"/>
    <xf numFmtId="0" fontId="25" fillId="8" borderId="3" applyNumberFormat="0" applyAlignment="0" applyProtection="0"/>
    <xf numFmtId="0" fontId="25" fillId="8" borderId="3" applyNumberFormat="0" applyAlignment="0" applyProtection="0"/>
    <xf numFmtId="0" fontId="25" fillId="8" borderId="3" applyNumberFormat="0" applyAlignment="0" applyProtection="0"/>
    <xf numFmtId="0" fontId="25" fillId="8" borderId="3" applyNumberFormat="0" applyAlignment="0" applyProtection="0"/>
    <xf numFmtId="0" fontId="25" fillId="8" borderId="3" applyNumberFormat="0" applyAlignment="0" applyProtection="0"/>
    <xf numFmtId="0" fontId="25" fillId="8" borderId="3" applyNumberFormat="0" applyAlignment="0" applyProtection="0"/>
    <xf numFmtId="0" fontId="25" fillId="8" borderId="3" applyNumberFormat="0" applyAlignment="0" applyProtection="0"/>
    <xf numFmtId="0" fontId="25" fillId="8" borderId="3" applyNumberFormat="0" applyAlignment="0" applyProtection="0"/>
    <xf numFmtId="0" fontId="25" fillId="8" borderId="3" applyNumberFormat="0" applyAlignment="0" applyProtection="0"/>
    <xf numFmtId="0" fontId="25" fillId="8" borderId="3" applyNumberFormat="0" applyAlignment="0" applyProtection="0"/>
    <xf numFmtId="0" fontId="25" fillId="8" borderId="3" applyNumberFormat="0" applyAlignment="0" applyProtection="0"/>
    <xf numFmtId="0" fontId="25" fillId="8" borderId="3" applyNumberFormat="0" applyAlignment="0" applyProtection="0"/>
    <xf numFmtId="0" fontId="25" fillId="8" borderId="3" applyNumberFormat="0" applyAlignment="0" applyProtection="0"/>
    <xf numFmtId="0" fontId="25" fillId="8" borderId="3" applyNumberFormat="0" applyAlignment="0" applyProtection="0"/>
    <xf numFmtId="0" fontId="25" fillId="8" borderId="3" applyNumberFormat="0" applyAlignment="0" applyProtection="0"/>
    <xf numFmtId="0" fontId="25" fillId="8" borderId="3" applyNumberFormat="0" applyAlignment="0" applyProtection="0"/>
    <xf numFmtId="0" fontId="25" fillId="8" borderId="3" applyNumberFormat="0" applyAlignment="0" applyProtection="0"/>
    <xf numFmtId="0" fontId="25" fillId="8" borderId="3" applyNumberFormat="0" applyAlignment="0" applyProtection="0"/>
    <xf numFmtId="0" fontId="25" fillId="8" borderId="3" applyNumberFormat="0" applyAlignment="0" applyProtection="0"/>
    <xf numFmtId="0" fontId="25" fillId="8" borderId="3" applyNumberFormat="0" applyAlignment="0" applyProtection="0"/>
    <xf numFmtId="0" fontId="25" fillId="8" borderId="3" applyNumberFormat="0" applyAlignment="0" applyProtection="0"/>
    <xf numFmtId="0" fontId="25" fillId="8" borderId="3" applyNumberFormat="0" applyAlignment="0" applyProtection="0"/>
    <xf numFmtId="0" fontId="25" fillId="8" borderId="3" applyNumberFormat="0" applyAlignment="0" applyProtection="0"/>
    <xf numFmtId="0" fontId="25" fillId="8" borderId="3" applyNumberFormat="0" applyAlignment="0" applyProtection="0"/>
    <xf numFmtId="0" fontId="25" fillId="8" borderId="3" applyNumberFormat="0" applyAlignment="0" applyProtection="0"/>
    <xf numFmtId="0" fontId="25" fillId="8" borderId="3" applyNumberFormat="0" applyAlignment="0" applyProtection="0"/>
    <xf numFmtId="0" fontId="25" fillId="8" borderId="3" applyNumberFormat="0" applyAlignment="0" applyProtection="0"/>
    <xf numFmtId="0" fontId="25" fillId="8" borderId="3" applyNumberFormat="0" applyAlignment="0" applyProtection="0"/>
    <xf numFmtId="0" fontId="25" fillId="8" borderId="3" applyNumberFormat="0" applyAlignment="0" applyProtection="0"/>
    <xf numFmtId="0" fontId="25" fillId="8" borderId="3" applyNumberFormat="0" applyAlignment="0" applyProtection="0"/>
    <xf numFmtId="0" fontId="25" fillId="8" borderId="3" applyNumberFormat="0" applyAlignment="0" applyProtection="0"/>
    <xf numFmtId="0" fontId="25" fillId="8" borderId="3" applyNumberFormat="0" applyAlignment="0" applyProtection="0"/>
    <xf numFmtId="0" fontId="64" fillId="42" borderId="39" applyNumberFormat="0" applyAlignment="0" applyProtection="0"/>
    <xf numFmtId="0" fontId="72" fillId="0" borderId="35" applyBorder="0">
      <alignment horizontal="center" vertical="center" wrapText="1"/>
    </xf>
    <xf numFmtId="0" fontId="84" fillId="73" borderId="45"/>
    <xf numFmtId="0" fontId="84" fillId="73" borderId="45"/>
    <xf numFmtId="0" fontId="84" fillId="73" borderId="45"/>
    <xf numFmtId="0" fontId="84" fillId="73" borderId="45"/>
    <xf numFmtId="0" fontId="84" fillId="73" borderId="45"/>
    <xf numFmtId="0" fontId="84" fillId="73" borderId="45"/>
    <xf numFmtId="0" fontId="84" fillId="73" borderId="45"/>
    <xf numFmtId="0" fontId="84" fillId="73" borderId="45"/>
    <xf numFmtId="0" fontId="84" fillId="73" borderId="45"/>
    <xf numFmtId="0" fontId="84" fillId="73" borderId="45"/>
    <xf numFmtId="0" fontId="84" fillId="73" borderId="45"/>
    <xf numFmtId="0" fontId="84" fillId="73" borderId="45"/>
    <xf numFmtId="0" fontId="84" fillId="73" borderId="45"/>
    <xf numFmtId="0" fontId="84" fillId="73" borderId="45"/>
    <xf numFmtId="0" fontId="84" fillId="73" borderId="45"/>
    <xf numFmtId="0" fontId="84" fillId="73" borderId="45"/>
    <xf numFmtId="0" fontId="84" fillId="73" borderId="45"/>
    <xf numFmtId="0" fontId="84" fillId="73" borderId="45"/>
    <xf numFmtId="0" fontId="84" fillId="73" borderId="45"/>
    <xf numFmtId="0" fontId="84" fillId="73" borderId="45"/>
    <xf numFmtId="0" fontId="84" fillId="73" borderId="45"/>
    <xf numFmtId="0" fontId="84" fillId="73" borderId="45"/>
    <xf numFmtId="0" fontId="84" fillId="73" borderId="45"/>
    <xf numFmtId="0" fontId="84" fillId="73" borderId="45"/>
    <xf numFmtId="0" fontId="84" fillId="73" borderId="45"/>
    <xf numFmtId="0" fontId="84" fillId="73" borderId="45"/>
    <xf numFmtId="0" fontId="84" fillId="73" borderId="45"/>
    <xf numFmtId="0" fontId="84" fillId="73" borderId="45"/>
    <xf numFmtId="0" fontId="84" fillId="73" borderId="45"/>
    <xf numFmtId="0" fontId="84" fillId="73" borderId="45"/>
    <xf numFmtId="0" fontId="84" fillId="73" borderId="45"/>
    <xf numFmtId="0" fontId="84" fillId="73" borderId="45"/>
    <xf numFmtId="0" fontId="84" fillId="73" borderId="45"/>
    <xf numFmtId="0" fontId="84" fillId="73" borderId="45"/>
    <xf numFmtId="0" fontId="84" fillId="73" borderId="45"/>
    <xf numFmtId="0" fontId="84" fillId="73" borderId="45"/>
    <xf numFmtId="0" fontId="84" fillId="73" borderId="45"/>
    <xf numFmtId="0" fontId="84" fillId="73" borderId="45"/>
    <xf numFmtId="0" fontId="84" fillId="73" borderId="45"/>
    <xf numFmtId="0" fontId="84" fillId="73" borderId="45"/>
    <xf numFmtId="0" fontId="84" fillId="73" borderId="45"/>
    <xf numFmtId="0" fontId="84" fillId="73" borderId="45"/>
    <xf numFmtId="0" fontId="84" fillId="73" borderId="45"/>
    <xf numFmtId="0" fontId="84" fillId="73" borderId="45"/>
    <xf numFmtId="0" fontId="84" fillId="73" borderId="45"/>
    <xf numFmtId="0" fontId="84" fillId="73" borderId="45"/>
    <xf numFmtId="0" fontId="84" fillId="73" borderId="45"/>
    <xf numFmtId="0" fontId="84" fillId="73" borderId="45"/>
    <xf numFmtId="0" fontId="84" fillId="73" borderId="45"/>
    <xf numFmtId="0" fontId="84" fillId="73" borderId="45"/>
    <xf numFmtId="0" fontId="72" fillId="0" borderId="35" applyBorder="0">
      <alignment horizontal="center" vertical="center" wrapText="1"/>
    </xf>
    <xf numFmtId="0" fontId="72" fillId="0" borderId="35" applyBorder="0">
      <alignment horizontal="center" vertical="center" wrapText="1"/>
    </xf>
    <xf numFmtId="0" fontId="72" fillId="0" borderId="35" applyBorder="0">
      <alignment horizontal="center" vertical="center" wrapText="1"/>
    </xf>
    <xf numFmtId="0" fontId="72" fillId="0" borderId="35" applyBorder="0">
      <alignment horizontal="center" vertical="center" wrapText="1"/>
    </xf>
    <xf numFmtId="0" fontId="72" fillId="0" borderId="35" applyBorder="0">
      <alignment horizontal="center" vertical="center" wrapText="1"/>
    </xf>
    <xf numFmtId="0" fontId="72" fillId="0" borderId="35" applyBorder="0">
      <alignment horizontal="center" vertical="center" wrapText="1"/>
    </xf>
    <xf numFmtId="0" fontId="72" fillId="0" borderId="35" applyBorder="0">
      <alignment horizontal="center" vertical="center" wrapText="1"/>
    </xf>
    <xf numFmtId="0" fontId="72" fillId="0" borderId="35" applyBorder="0">
      <alignment horizontal="center" vertical="center" wrapText="1"/>
    </xf>
    <xf numFmtId="0" fontId="72" fillId="0" borderId="35" applyBorder="0">
      <alignment horizontal="center" vertical="center" wrapText="1"/>
    </xf>
    <xf numFmtId="0" fontId="72" fillId="0" borderId="35" applyBorder="0">
      <alignment horizontal="center" vertical="center" wrapText="1"/>
    </xf>
    <xf numFmtId="0" fontId="72" fillId="0" borderId="35" applyBorder="0">
      <alignment horizontal="center" vertical="center" wrapText="1"/>
    </xf>
    <xf numFmtId="0" fontId="72" fillId="0" borderId="35" applyBorder="0">
      <alignment horizontal="center" vertical="center" wrapText="1"/>
    </xf>
    <xf numFmtId="0" fontId="72" fillId="0" borderId="35" applyBorder="0">
      <alignment horizontal="center" vertical="center" wrapText="1"/>
    </xf>
    <xf numFmtId="0" fontId="72" fillId="0" borderId="35" applyBorder="0">
      <alignment horizontal="center" vertical="center" wrapText="1"/>
    </xf>
    <xf numFmtId="0" fontId="72" fillId="0" borderId="35" applyBorder="0">
      <alignment horizontal="center" vertical="center" wrapText="1"/>
    </xf>
    <xf numFmtId="0" fontId="72" fillId="0" borderId="35" applyBorder="0">
      <alignment horizontal="center" vertical="center" wrapText="1"/>
    </xf>
    <xf numFmtId="0" fontId="72" fillId="0" borderId="35" applyBorder="0">
      <alignment horizontal="center" vertical="center" wrapText="1"/>
    </xf>
    <xf numFmtId="0" fontId="72" fillId="0" borderId="35" applyBorder="0">
      <alignment horizontal="center" vertical="center" wrapText="1"/>
    </xf>
    <xf numFmtId="0" fontId="72" fillId="0" borderId="35" applyBorder="0">
      <alignment horizontal="center" vertical="center" wrapText="1"/>
    </xf>
    <xf numFmtId="0" fontId="72" fillId="0" borderId="35" applyBorder="0">
      <alignment horizontal="center" vertical="center" wrapText="1"/>
    </xf>
    <xf numFmtId="0" fontId="72" fillId="0" borderId="35" applyBorder="0">
      <alignment horizontal="center" vertical="center" wrapText="1"/>
    </xf>
    <xf numFmtId="0" fontId="72" fillId="0" borderId="35" applyBorder="0">
      <alignment horizontal="center" vertical="center" wrapText="1"/>
    </xf>
    <xf numFmtId="0" fontId="72" fillId="0" borderId="35" applyBorder="0">
      <alignment horizontal="center" vertical="center" wrapText="1"/>
    </xf>
    <xf numFmtId="0" fontId="72" fillId="0" borderId="35" applyBorder="0">
      <alignment horizontal="center" vertical="center" wrapText="1"/>
    </xf>
    <xf numFmtId="0" fontId="72" fillId="0" borderId="35" applyBorder="0">
      <alignment horizontal="center" vertical="center" wrapText="1"/>
    </xf>
    <xf numFmtId="0" fontId="72" fillId="0" borderId="35" applyBorder="0">
      <alignment horizontal="center" vertical="center" wrapText="1"/>
    </xf>
    <xf numFmtId="0" fontId="72" fillId="0" borderId="35" applyBorder="0">
      <alignment horizontal="center" vertical="center" wrapText="1"/>
    </xf>
    <xf numFmtId="0" fontId="72" fillId="0" borderId="35" applyBorder="0">
      <alignment horizontal="center" vertical="center" wrapText="1"/>
    </xf>
    <xf numFmtId="0" fontId="72" fillId="0" borderId="35" applyBorder="0">
      <alignment horizontal="center" vertical="center" wrapText="1"/>
    </xf>
    <xf numFmtId="0" fontId="72" fillId="0" borderId="35" applyBorder="0">
      <alignment horizontal="center" vertical="center" wrapText="1"/>
    </xf>
    <xf numFmtId="0" fontId="72" fillId="0" borderId="35" applyBorder="0">
      <alignment horizontal="center" vertical="center" wrapText="1"/>
    </xf>
    <xf numFmtId="0" fontId="72" fillId="0" borderId="35" applyBorder="0">
      <alignment horizontal="center" vertical="center" wrapText="1"/>
    </xf>
    <xf numFmtId="0" fontId="72" fillId="0" borderId="35" applyBorder="0">
      <alignment horizontal="center" vertical="center" wrapText="1"/>
    </xf>
    <xf numFmtId="0" fontId="72" fillId="0" borderId="35" applyBorder="0">
      <alignment horizontal="center" vertical="center" wrapText="1"/>
    </xf>
    <xf numFmtId="0" fontId="72" fillId="0" borderId="35" applyBorder="0">
      <alignment horizontal="center" vertical="center" wrapText="1"/>
    </xf>
    <xf numFmtId="0" fontId="72" fillId="0" borderId="35" applyBorder="0">
      <alignment horizontal="center" vertical="center" wrapText="1"/>
    </xf>
    <xf numFmtId="0" fontId="72" fillId="0" borderId="35" applyBorder="0">
      <alignment horizontal="center" vertical="center" wrapText="1"/>
    </xf>
    <xf numFmtId="0" fontId="72" fillId="0" borderId="35" applyBorder="0">
      <alignment horizontal="center" vertical="center" wrapText="1"/>
    </xf>
    <xf numFmtId="0" fontId="72" fillId="0" borderId="35" applyBorder="0">
      <alignment horizontal="center" vertical="center" wrapText="1"/>
    </xf>
    <xf numFmtId="0" fontId="72" fillId="0" borderId="35" applyBorder="0">
      <alignment horizontal="center" vertical="center" wrapText="1"/>
    </xf>
    <xf numFmtId="0" fontId="72" fillId="0" borderId="35" applyBorder="0">
      <alignment horizontal="center" vertical="center" wrapText="1"/>
    </xf>
    <xf numFmtId="0" fontId="72" fillId="0" borderId="35" applyBorder="0">
      <alignment horizontal="center" vertical="center" wrapText="1"/>
    </xf>
    <xf numFmtId="0" fontId="72" fillId="0" borderId="35" applyBorder="0">
      <alignment horizontal="center" vertical="center" wrapText="1"/>
    </xf>
    <xf numFmtId="0" fontId="72" fillId="0" borderId="35" applyBorder="0">
      <alignment horizontal="center" vertical="center" wrapText="1"/>
    </xf>
    <xf numFmtId="0" fontId="72" fillId="0" borderId="35" applyBorder="0">
      <alignment horizontal="center" vertical="center" wrapText="1"/>
    </xf>
    <xf numFmtId="0" fontId="72" fillId="0" borderId="35" applyBorder="0">
      <alignment horizontal="center" vertical="center" wrapText="1"/>
    </xf>
    <xf numFmtId="0" fontId="72" fillId="0" borderId="35" applyBorder="0">
      <alignment horizontal="center" vertical="center" wrapText="1"/>
    </xf>
    <xf numFmtId="0" fontId="72" fillId="0" borderId="35" applyBorder="0">
      <alignment horizontal="center" vertical="center" wrapText="1"/>
    </xf>
    <xf numFmtId="0" fontId="72" fillId="0" borderId="35" applyBorder="0">
      <alignment horizontal="center" vertical="center" wrapText="1"/>
    </xf>
    <xf numFmtId="0" fontId="72" fillId="0" borderId="35" applyBorder="0">
      <alignment horizontal="center" vertical="center" wrapText="1"/>
    </xf>
    <xf numFmtId="0" fontId="72" fillId="0" borderId="35" applyBorder="0">
      <alignment horizontal="center" vertical="center" wrapText="1"/>
    </xf>
    <xf numFmtId="0" fontId="72" fillId="0" borderId="35" applyBorder="0">
      <alignment horizontal="center" vertical="center" wrapText="1"/>
    </xf>
    <xf numFmtId="0" fontId="72" fillId="0" borderId="35" applyBorder="0">
      <alignment horizontal="center" vertical="center" wrapText="1"/>
    </xf>
    <xf numFmtId="0" fontId="72" fillId="0" borderId="35" applyBorder="0">
      <alignment horizontal="center" vertical="center" wrapText="1"/>
    </xf>
    <xf numFmtId="0" fontId="72" fillId="0" borderId="35" applyBorder="0">
      <alignment horizontal="center" vertical="center" wrapText="1"/>
    </xf>
    <xf numFmtId="0" fontId="72" fillId="0" borderId="35" applyBorder="0">
      <alignment horizontal="center" vertical="center" wrapText="1"/>
    </xf>
    <xf numFmtId="0" fontId="72" fillId="0" borderId="35" applyBorder="0">
      <alignment horizontal="center" vertical="center" wrapText="1"/>
    </xf>
    <xf numFmtId="0" fontId="72" fillId="0" borderId="35" applyBorder="0">
      <alignment horizontal="center" vertical="center" wrapText="1"/>
    </xf>
    <xf numFmtId="0" fontId="72" fillId="0" borderId="35" applyBorder="0">
      <alignment horizontal="center" vertical="center" wrapText="1"/>
    </xf>
    <xf numFmtId="0" fontId="72" fillId="0" borderId="35" applyBorder="0">
      <alignment horizontal="center" vertical="center" wrapText="1"/>
    </xf>
    <xf numFmtId="0" fontId="72" fillId="0" borderId="35" applyBorder="0">
      <alignment horizontal="center" vertical="center" wrapText="1"/>
    </xf>
    <xf numFmtId="0" fontId="72" fillId="0" borderId="35" applyBorder="0">
      <alignment horizontal="center" vertical="center" wrapText="1"/>
    </xf>
    <xf numFmtId="0" fontId="72" fillId="0" borderId="35" applyBorder="0">
      <alignment horizontal="center" vertical="center" wrapText="1"/>
    </xf>
    <xf numFmtId="0" fontId="72" fillId="0" borderId="35" applyBorder="0">
      <alignment horizontal="center" vertical="center" wrapText="1"/>
    </xf>
    <xf numFmtId="0" fontId="72" fillId="0" borderId="35" applyBorder="0">
      <alignment horizontal="center" vertical="center" wrapText="1"/>
    </xf>
    <xf numFmtId="0" fontId="72" fillId="0" borderId="35" applyBorder="0">
      <alignment horizontal="center" vertical="center" wrapText="1"/>
    </xf>
    <xf numFmtId="0" fontId="72" fillId="0" borderId="35" applyBorder="0">
      <alignment horizontal="center" vertical="center" wrapText="1"/>
    </xf>
    <xf numFmtId="0" fontId="42" fillId="0" borderId="13" applyNumberFormat="0" applyFill="0" applyAlignment="0" applyProtection="0"/>
    <xf numFmtId="0" fontId="26" fillId="0" borderId="12" applyNumberFormat="0" applyFill="0" applyAlignment="0" applyProtection="0"/>
    <xf numFmtId="0" fontId="53" fillId="0" borderId="28" applyNumberFormat="0" applyFill="0" applyAlignment="0" applyProtection="0"/>
    <xf numFmtId="0" fontId="26" fillId="0" borderId="12" applyNumberFormat="0" applyFill="0" applyAlignment="0" applyProtection="0"/>
    <xf numFmtId="0" fontId="67" fillId="0" borderId="41" applyNumberFormat="0" applyFill="0" applyAlignment="0" applyProtection="0"/>
    <xf numFmtId="0" fontId="54" fillId="13" borderId="0" applyNumberFormat="0" applyBorder="0" applyAlignment="0" applyProtection="0"/>
    <xf numFmtId="0" fontId="43" fillId="13" borderId="0" applyNumberFormat="0" applyBorder="0" applyAlignment="0" applyProtection="0"/>
    <xf numFmtId="0" fontId="27" fillId="13" borderId="0" applyNumberFormat="0" applyBorder="0" applyAlignment="0" applyProtection="0"/>
    <xf numFmtId="0" fontId="54" fillId="13" borderId="0" applyNumberFormat="0" applyBorder="0" applyAlignment="0" applyProtection="0"/>
    <xf numFmtId="0" fontId="27" fillId="13" borderId="0" applyNumberFormat="0" applyBorder="0" applyAlignment="0" applyProtection="0"/>
    <xf numFmtId="0" fontId="63" fillId="41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>
      <alignment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>
      <alignment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8" fillId="0" borderId="0">
      <alignment vertical="top"/>
    </xf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75" fillId="0" borderId="0"/>
    <xf numFmtId="0" fontId="1" fillId="0" borderId="0"/>
    <xf numFmtId="0" fontId="75" fillId="0" borderId="0"/>
    <xf numFmtId="0" fontId="1" fillId="0" borderId="0"/>
    <xf numFmtId="0" fontId="1" fillId="0" borderId="0"/>
    <xf numFmtId="0" fontId="2" fillId="0" borderId="0"/>
    <xf numFmtId="0" fontId="8" fillId="0" borderId="0"/>
    <xf numFmtId="0" fontId="8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8" fillId="0" borderId="0"/>
    <xf numFmtId="0" fontId="2" fillId="0" borderId="0"/>
    <xf numFmtId="0" fontId="1" fillId="0" borderId="0"/>
    <xf numFmtId="0" fontId="8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5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8" fillId="0" borderId="0"/>
    <xf numFmtId="0" fontId="28" fillId="0" borderId="0"/>
    <xf numFmtId="0" fontId="2" fillId="0" borderId="0"/>
    <xf numFmtId="0" fontId="1" fillId="0" borderId="0"/>
    <xf numFmtId="0" fontId="28" fillId="0" borderId="0"/>
    <xf numFmtId="0" fontId="2" fillId="0" borderId="0"/>
    <xf numFmtId="0" fontId="2" fillId="0" borderId="0"/>
    <xf numFmtId="0" fontId="85" fillId="0" borderId="0"/>
    <xf numFmtId="0" fontId="28" fillId="0" borderId="0"/>
    <xf numFmtId="0" fontId="1" fillId="0" borderId="0"/>
    <xf numFmtId="0" fontId="1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0" fontId="2" fillId="0" borderId="0"/>
    <xf numFmtId="0" fontId="28" fillId="0" borderId="0"/>
    <xf numFmtId="0" fontId="8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8" fillId="0" borderId="0"/>
    <xf numFmtId="0" fontId="8" fillId="0" borderId="0"/>
    <xf numFmtId="0" fontId="2" fillId="0" borderId="0"/>
    <xf numFmtId="0" fontId="1" fillId="0" borderId="0"/>
    <xf numFmtId="0" fontId="28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8" fillId="0" borderId="0"/>
    <xf numFmtId="0" fontId="2" fillId="0" borderId="0"/>
    <xf numFmtId="0" fontId="1" fillId="0" borderId="0"/>
    <xf numFmtId="0" fontId="28" fillId="0" borderId="0"/>
    <xf numFmtId="0" fontId="28" fillId="0" borderId="0"/>
    <xf numFmtId="0" fontId="2" fillId="0" borderId="0"/>
    <xf numFmtId="0" fontId="18" fillId="0" borderId="0">
      <alignment vertical="top"/>
    </xf>
    <xf numFmtId="0" fontId="28" fillId="0" borderId="0"/>
    <xf numFmtId="0" fontId="86" fillId="0" borderId="0"/>
    <xf numFmtId="0" fontId="1" fillId="0" borderId="0"/>
    <xf numFmtId="0" fontId="28" fillId="0" borderId="0"/>
    <xf numFmtId="0" fontId="2" fillId="0" borderId="0"/>
    <xf numFmtId="0" fontId="8" fillId="0" borderId="0"/>
    <xf numFmtId="0" fontId="8" fillId="0" borderId="0"/>
    <xf numFmtId="0" fontId="87" fillId="24" borderId="0"/>
    <xf numFmtId="0" fontId="87" fillId="24" borderId="0"/>
    <xf numFmtId="0" fontId="2" fillId="0" borderId="0"/>
    <xf numFmtId="0" fontId="1" fillId="0" borderId="0"/>
    <xf numFmtId="0" fontId="87" fillId="24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2" fillId="0" borderId="0"/>
    <xf numFmtId="0" fontId="28" fillId="0" borderId="0"/>
    <xf numFmtId="0" fontId="28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8" fillId="0" borderId="0"/>
    <xf numFmtId="0" fontId="2" fillId="0" borderId="0"/>
    <xf numFmtId="0" fontId="2" fillId="0" borderId="0"/>
    <xf numFmtId="0" fontId="1" fillId="0" borderId="0"/>
    <xf numFmtId="40" fontId="77" fillId="0" borderId="0"/>
    <xf numFmtId="0" fontId="28" fillId="0" borderId="0"/>
    <xf numFmtId="0" fontId="2" fillId="0" borderId="0"/>
    <xf numFmtId="40" fontId="77" fillId="0" borderId="0"/>
    <xf numFmtId="0" fontId="1" fillId="0" borderId="0"/>
    <xf numFmtId="0" fontId="28" fillId="0" borderId="0"/>
    <xf numFmtId="0" fontId="2" fillId="0" borderId="0"/>
    <xf numFmtId="175" fontId="28" fillId="0" borderId="0"/>
    <xf numFmtId="0" fontId="2" fillId="0" borderId="0"/>
    <xf numFmtId="175" fontId="28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" fillId="0" borderId="0"/>
    <xf numFmtId="0" fontId="1" fillId="0" borderId="0"/>
    <xf numFmtId="0" fontId="28" fillId="0" borderId="0"/>
    <xf numFmtId="0" fontId="28" fillId="0" borderId="0"/>
    <xf numFmtId="175" fontId="28" fillId="0" borderId="0"/>
    <xf numFmtId="0" fontId="28" fillId="0" borderId="0"/>
    <xf numFmtId="0" fontId="1" fillId="0" borderId="0"/>
    <xf numFmtId="0" fontId="8" fillId="0" borderId="0"/>
    <xf numFmtId="0" fontId="8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8" fillId="0" borderId="0"/>
    <xf numFmtId="0" fontId="8" fillId="0" borderId="0"/>
    <xf numFmtId="0" fontId="2" fillId="0" borderId="0">
      <alignment vertical="top"/>
    </xf>
    <xf numFmtId="0" fontId="1" fillId="0" borderId="0"/>
    <xf numFmtId="0" fontId="28" fillId="0" borderId="0"/>
    <xf numFmtId="0" fontId="2" fillId="0" borderId="0"/>
    <xf numFmtId="0" fontId="8" fillId="0" borderId="0"/>
    <xf numFmtId="0" fontId="8" fillId="0" borderId="0"/>
    <xf numFmtId="175" fontId="28" fillId="0" borderId="0"/>
    <xf numFmtId="175" fontId="28" fillId="0" borderId="0"/>
    <xf numFmtId="0" fontId="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2" fillId="0" borderId="0">
      <alignment wrapText="1"/>
    </xf>
    <xf numFmtId="0" fontId="28" fillId="0" borderId="0"/>
    <xf numFmtId="0" fontId="2" fillId="0" borderId="0"/>
    <xf numFmtId="0" fontId="2" fillId="0" borderId="0">
      <alignment wrapText="1"/>
    </xf>
    <xf numFmtId="0" fontId="28" fillId="0" borderId="0"/>
    <xf numFmtId="0" fontId="18" fillId="0" borderId="0">
      <alignment vertical="top"/>
    </xf>
    <xf numFmtId="0" fontId="28" fillId="0" borderId="0"/>
    <xf numFmtId="0" fontId="8" fillId="0" borderId="0"/>
    <xf numFmtId="0" fontId="8" fillId="0" borderId="0"/>
    <xf numFmtId="0" fontId="1" fillId="0" borderId="0"/>
    <xf numFmtId="0" fontId="2" fillId="0" borderId="0"/>
    <xf numFmtId="0" fontId="28" fillId="0" borderId="0"/>
    <xf numFmtId="0" fontId="2" fillId="0" borderId="0"/>
    <xf numFmtId="0" fontId="28" fillId="0" borderId="0"/>
    <xf numFmtId="0" fontId="28" fillId="0" borderId="0"/>
    <xf numFmtId="0" fontId="8" fillId="0" borderId="0"/>
    <xf numFmtId="0" fontId="8" fillId="0" borderId="0"/>
    <xf numFmtId="0" fontId="1" fillId="0" borderId="0"/>
    <xf numFmtId="0" fontId="28" fillId="0" borderId="0"/>
    <xf numFmtId="0" fontId="2" fillId="0" borderId="0"/>
    <xf numFmtId="0" fontId="28" fillId="0" borderId="0"/>
    <xf numFmtId="0" fontId="28" fillId="0" borderId="0"/>
    <xf numFmtId="0" fontId="8" fillId="0" borderId="0"/>
    <xf numFmtId="0" fontId="2" fillId="0" borderId="0"/>
    <xf numFmtId="0" fontId="1" fillId="0" borderId="0"/>
    <xf numFmtId="0" fontId="2" fillId="0" borderId="0">
      <alignment wrapText="1"/>
    </xf>
    <xf numFmtId="0" fontId="2" fillId="0" borderId="0">
      <alignment wrapText="1"/>
    </xf>
    <xf numFmtId="0" fontId="2" fillId="0" borderId="0"/>
    <xf numFmtId="0" fontId="28" fillId="0" borderId="0"/>
    <xf numFmtId="0" fontId="28" fillId="0" borderId="0"/>
    <xf numFmtId="0" fontId="2" fillId="0" borderId="0"/>
    <xf numFmtId="0" fontId="1" fillId="0" borderId="0"/>
    <xf numFmtId="0" fontId="18" fillId="0" borderId="0">
      <alignment vertical="top"/>
    </xf>
    <xf numFmtId="0" fontId="2" fillId="0" borderId="0"/>
    <xf numFmtId="0" fontId="28" fillId="0" borderId="0"/>
    <xf numFmtId="0" fontId="28" fillId="0" borderId="0"/>
    <xf numFmtId="0" fontId="18" fillId="0" borderId="0">
      <alignment vertical="top"/>
    </xf>
    <xf numFmtId="0" fontId="1" fillId="0" borderId="0"/>
    <xf numFmtId="0" fontId="28" fillId="0" borderId="0"/>
    <xf numFmtId="0" fontId="28" fillId="0" borderId="0"/>
    <xf numFmtId="0" fontId="2" fillId="0" borderId="0"/>
    <xf numFmtId="0" fontId="2" fillId="0" borderId="0"/>
    <xf numFmtId="0" fontId="2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6" fillId="0" borderId="0"/>
    <xf numFmtId="0" fontId="1" fillId="0" borderId="0"/>
    <xf numFmtId="0" fontId="6" fillId="0" borderId="0"/>
    <xf numFmtId="0" fontId="2" fillId="0" borderId="0"/>
    <xf numFmtId="0" fontId="6" fillId="0" borderId="0"/>
    <xf numFmtId="0" fontId="28" fillId="0" borderId="0"/>
    <xf numFmtId="0" fontId="18" fillId="0" borderId="0">
      <alignment vertical="top"/>
    </xf>
    <xf numFmtId="0" fontId="2" fillId="0" borderId="0"/>
    <xf numFmtId="0" fontId="1" fillId="0" borderId="0"/>
    <xf numFmtId="0" fontId="2" fillId="0" borderId="0"/>
    <xf numFmtId="0" fontId="2" fillId="0" borderId="0"/>
    <xf numFmtId="0" fontId="28" fillId="0" borderId="0"/>
    <xf numFmtId="0" fontId="1" fillId="0" borderId="0"/>
    <xf numFmtId="0" fontId="1" fillId="0" borderId="0"/>
    <xf numFmtId="0" fontId="2" fillId="0" borderId="0"/>
    <xf numFmtId="0" fontId="28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28" fillId="0" borderId="0"/>
    <xf numFmtId="0" fontId="8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8" fillId="0" borderId="0"/>
    <xf numFmtId="0" fontId="8" fillId="0" borderId="0"/>
    <xf numFmtId="0" fontId="1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8" fillId="0" borderId="0"/>
    <xf numFmtId="175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" fillId="0" borderId="0">
      <alignment vertical="top"/>
    </xf>
    <xf numFmtId="0" fontId="1" fillId="0" borderId="0"/>
    <xf numFmtId="0" fontId="2" fillId="0" borderId="0"/>
    <xf numFmtId="0" fontId="28" fillId="0" borderId="0"/>
    <xf numFmtId="0" fontId="2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8" fillId="0" borderId="0"/>
    <xf numFmtId="0" fontId="2" fillId="0" borderId="0"/>
    <xf numFmtId="0" fontId="28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8" fillId="0" borderId="0"/>
    <xf numFmtId="0" fontId="2" fillId="0" borderId="0"/>
    <xf numFmtId="0" fontId="1" fillId="0" borderId="0"/>
    <xf numFmtId="0" fontId="2" fillId="0" borderId="0"/>
    <xf numFmtId="0" fontId="28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8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8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8" fillId="0" borderId="0"/>
    <xf numFmtId="0" fontId="2" fillId="0" borderId="0"/>
    <xf numFmtId="0" fontId="28" fillId="0" borderId="0"/>
    <xf numFmtId="0" fontId="2" fillId="0" borderId="0"/>
    <xf numFmtId="0" fontId="8" fillId="0" borderId="0"/>
    <xf numFmtId="0" fontId="2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9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  <xf numFmtId="0" fontId="1" fillId="0" borderId="0"/>
    <xf numFmtId="0" fontId="1" fillId="0" borderId="0"/>
    <xf numFmtId="0" fontId="2" fillId="0" borderId="0"/>
    <xf numFmtId="0" fontId="1" fillId="0" borderId="0"/>
    <xf numFmtId="0" fontId="28" fillId="0" borderId="0"/>
    <xf numFmtId="0" fontId="8" fillId="0" borderId="0"/>
    <xf numFmtId="0" fontId="1" fillId="0" borderId="0"/>
    <xf numFmtId="0" fontId="2" fillId="0" borderId="0"/>
    <xf numFmtId="0" fontId="28" fillId="0" borderId="0"/>
    <xf numFmtId="0" fontId="8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8" fillId="0" borderId="0"/>
    <xf numFmtId="0" fontId="2" fillId="0" borderId="0"/>
    <xf numFmtId="0" fontId="2" fillId="0" borderId="0"/>
    <xf numFmtId="0" fontId="1" fillId="0" borderId="0"/>
    <xf numFmtId="0" fontId="75" fillId="0" borderId="0"/>
    <xf numFmtId="0" fontId="1" fillId="0" borderId="0"/>
    <xf numFmtId="0" fontId="2" fillId="0" borderId="0"/>
    <xf numFmtId="0" fontId="28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8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28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8" fillId="10" borderId="14" applyNumberFormat="0" applyFont="0" applyAlignment="0" applyProtection="0"/>
    <xf numFmtId="0" fontId="8" fillId="10" borderId="14" applyNumberFormat="0" applyFont="0" applyAlignment="0" applyProtection="0"/>
    <xf numFmtId="0" fontId="8" fillId="10" borderId="14" applyNumberFormat="0" applyFont="0" applyAlignment="0" applyProtection="0"/>
    <xf numFmtId="0" fontId="8" fillId="10" borderId="14" applyNumberFormat="0" applyFont="0" applyAlignment="0" applyProtection="0"/>
    <xf numFmtId="0" fontId="8" fillId="10" borderId="14" applyNumberFormat="0" applyFont="0" applyAlignment="0" applyProtection="0"/>
    <xf numFmtId="0" fontId="8" fillId="10" borderId="14" applyNumberFormat="0" applyFont="0" applyAlignment="0" applyProtection="0"/>
    <xf numFmtId="0" fontId="8" fillId="10" borderId="14" applyNumberFormat="0" applyFont="0" applyAlignment="0" applyProtection="0"/>
    <xf numFmtId="0" fontId="8" fillId="10" borderId="14" applyNumberFormat="0" applyFont="0" applyAlignment="0" applyProtection="0"/>
    <xf numFmtId="0" fontId="8" fillId="10" borderId="14" applyNumberFormat="0" applyFont="0" applyAlignment="0" applyProtection="0"/>
    <xf numFmtId="0" fontId="8" fillId="10" borderId="14" applyNumberFormat="0" applyFont="0" applyAlignment="0" applyProtection="0"/>
    <xf numFmtId="0" fontId="8" fillId="10" borderId="14" applyNumberFormat="0" applyFont="0" applyAlignment="0" applyProtection="0"/>
    <xf numFmtId="0" fontId="8" fillId="10" borderId="14" applyNumberFormat="0" applyFont="0" applyAlignment="0" applyProtection="0"/>
    <xf numFmtId="0" fontId="18" fillId="10" borderId="14" applyNumberFormat="0" applyFont="0" applyAlignment="0" applyProtection="0"/>
    <xf numFmtId="0" fontId="18" fillId="10" borderId="14" applyNumberFormat="0" applyFont="0" applyAlignment="0" applyProtection="0"/>
    <xf numFmtId="0" fontId="18" fillId="10" borderId="14" applyNumberFormat="0" applyFont="0" applyAlignment="0" applyProtection="0"/>
    <xf numFmtId="0" fontId="18" fillId="10" borderId="14" applyNumberFormat="0" applyFont="0" applyAlignment="0" applyProtection="0"/>
    <xf numFmtId="0" fontId="18" fillId="10" borderId="14" applyNumberFormat="0" applyFont="0" applyAlignment="0" applyProtection="0"/>
    <xf numFmtId="0" fontId="18" fillId="10" borderId="14" applyNumberFormat="0" applyFont="0" applyAlignment="0" applyProtection="0"/>
    <xf numFmtId="0" fontId="18" fillId="10" borderId="14" applyNumberFormat="0" applyFont="0" applyAlignment="0" applyProtection="0"/>
    <xf numFmtId="0" fontId="28" fillId="10" borderId="14" applyNumberFormat="0" applyFont="0" applyAlignment="0" applyProtection="0"/>
    <xf numFmtId="0" fontId="28" fillId="10" borderId="14" applyNumberFormat="0" applyFont="0" applyAlignment="0" applyProtection="0"/>
    <xf numFmtId="0" fontId="28" fillId="10" borderId="14" applyNumberFormat="0" applyFont="0" applyAlignment="0" applyProtection="0"/>
    <xf numFmtId="0" fontId="28" fillId="10" borderId="14" applyNumberFormat="0" applyFont="0" applyAlignment="0" applyProtection="0"/>
    <xf numFmtId="0" fontId="28" fillId="10" borderId="14" applyNumberFormat="0" applyFont="0" applyAlignment="0" applyProtection="0"/>
    <xf numFmtId="0" fontId="28" fillId="10" borderId="14" applyNumberFormat="0" applyFont="0" applyAlignment="0" applyProtection="0"/>
    <xf numFmtId="0" fontId="28" fillId="10" borderId="14" applyNumberFormat="0" applyFont="0" applyAlignment="0" applyProtection="0"/>
    <xf numFmtId="0" fontId="8" fillId="10" borderId="14" applyNumberFormat="0" applyFont="0" applyAlignment="0" applyProtection="0"/>
    <xf numFmtId="0" fontId="8" fillId="10" borderId="14" applyNumberFormat="0" applyFont="0" applyAlignment="0" applyProtection="0"/>
    <xf numFmtId="0" fontId="8" fillId="10" borderId="14" applyNumberFormat="0" applyFont="0" applyAlignment="0" applyProtection="0"/>
    <xf numFmtId="0" fontId="8" fillId="10" borderId="14" applyNumberFormat="0" applyFont="0" applyAlignment="0" applyProtection="0"/>
    <xf numFmtId="0" fontId="8" fillId="10" borderId="14" applyNumberFormat="0" applyFont="0" applyAlignment="0" applyProtection="0"/>
    <xf numFmtId="0" fontId="8" fillId="10" borderId="14" applyNumberFormat="0" applyFont="0" applyAlignment="0" applyProtection="0"/>
    <xf numFmtId="0" fontId="28" fillId="0" borderId="0"/>
    <xf numFmtId="0" fontId="8" fillId="10" borderId="14" applyNumberFormat="0" applyFont="0" applyAlignment="0" applyProtection="0"/>
    <xf numFmtId="0" fontId="49" fillId="10" borderId="14" applyNumberFormat="0" applyFont="0" applyAlignment="0" applyProtection="0"/>
    <xf numFmtId="0" fontId="49" fillId="10" borderId="14" applyNumberFormat="0" applyFont="0" applyAlignment="0" applyProtection="0"/>
    <xf numFmtId="0" fontId="49" fillId="10" borderId="14" applyNumberFormat="0" applyFont="0" applyAlignment="0" applyProtection="0"/>
    <xf numFmtId="0" fontId="49" fillId="10" borderId="14" applyNumberFormat="0" applyFont="0" applyAlignment="0" applyProtection="0"/>
    <xf numFmtId="0" fontId="49" fillId="10" borderId="14" applyNumberFormat="0" applyFont="0" applyAlignment="0" applyProtection="0"/>
    <xf numFmtId="0" fontId="49" fillId="10" borderId="14" applyNumberFormat="0" applyFont="0" applyAlignment="0" applyProtection="0"/>
    <xf numFmtId="0" fontId="49" fillId="10" borderId="14" applyNumberFormat="0" applyFont="0" applyAlignment="0" applyProtection="0"/>
    <xf numFmtId="0" fontId="49" fillId="10" borderId="14" applyNumberFormat="0" applyFont="0" applyAlignment="0" applyProtection="0"/>
    <xf numFmtId="0" fontId="49" fillId="10" borderId="14" applyNumberFormat="0" applyFont="0" applyAlignment="0" applyProtection="0"/>
    <xf numFmtId="0" fontId="49" fillId="10" borderId="14" applyNumberFormat="0" applyFont="0" applyAlignment="0" applyProtection="0"/>
    <xf numFmtId="0" fontId="49" fillId="10" borderId="14" applyNumberFormat="0" applyFont="0" applyAlignment="0" applyProtection="0"/>
    <xf numFmtId="0" fontId="49" fillId="10" borderId="14" applyNumberFormat="0" applyFont="0" applyAlignment="0" applyProtection="0"/>
    <xf numFmtId="0" fontId="28" fillId="10" borderId="14" applyNumberFormat="0" applyFont="0" applyAlignment="0" applyProtection="0"/>
    <xf numFmtId="0" fontId="28" fillId="10" borderId="14" applyNumberFormat="0" applyFont="0" applyAlignment="0" applyProtection="0"/>
    <xf numFmtId="0" fontId="28" fillId="10" borderId="14" applyNumberFormat="0" applyFont="0" applyAlignment="0" applyProtection="0"/>
    <xf numFmtId="0" fontId="28" fillId="10" borderId="14" applyNumberFormat="0" applyFont="0" applyAlignment="0" applyProtection="0"/>
    <xf numFmtId="0" fontId="28" fillId="10" borderId="14" applyNumberFormat="0" applyFont="0" applyAlignment="0" applyProtection="0"/>
    <xf numFmtId="0" fontId="28" fillId="10" borderId="14" applyNumberFormat="0" applyFont="0" applyAlignment="0" applyProtection="0"/>
    <xf numFmtId="0" fontId="28" fillId="10" borderId="14" applyNumberFormat="0" applyFont="0" applyAlignment="0" applyProtection="0"/>
    <xf numFmtId="0" fontId="8" fillId="10" borderId="14" applyNumberFormat="0" applyFont="0" applyAlignment="0" applyProtection="0"/>
    <xf numFmtId="0" fontId="8" fillId="10" borderId="14" applyNumberFormat="0" applyFont="0" applyAlignment="0" applyProtection="0"/>
    <xf numFmtId="0" fontId="8" fillId="10" borderId="14" applyNumberFormat="0" applyFont="0" applyAlignment="0" applyProtection="0"/>
    <xf numFmtId="0" fontId="8" fillId="10" borderId="14" applyNumberFormat="0" applyFont="0" applyAlignment="0" applyProtection="0"/>
    <xf numFmtId="0" fontId="8" fillId="10" borderId="14" applyNumberFormat="0" applyFont="0" applyAlignment="0" applyProtection="0"/>
    <xf numFmtId="0" fontId="8" fillId="10" borderId="14" applyNumberFormat="0" applyFont="0" applyAlignment="0" applyProtection="0"/>
    <xf numFmtId="0" fontId="8" fillId="10" borderId="14" applyNumberFormat="0" applyFont="0" applyAlignment="0" applyProtection="0"/>
    <xf numFmtId="0" fontId="49" fillId="10" borderId="14" applyNumberFormat="0" applyFont="0" applyAlignment="0" applyProtection="0"/>
    <xf numFmtId="0" fontId="49" fillId="10" borderId="14" applyNumberFormat="0" applyFont="0" applyAlignment="0" applyProtection="0"/>
    <xf numFmtId="0" fontId="49" fillId="10" borderId="14" applyNumberFormat="0" applyFont="0" applyAlignment="0" applyProtection="0"/>
    <xf numFmtId="0" fontId="49" fillId="10" borderId="14" applyNumberFormat="0" applyFont="0" applyAlignment="0" applyProtection="0"/>
    <xf numFmtId="0" fontId="49" fillId="10" borderId="14" applyNumberFormat="0" applyFont="0" applyAlignment="0" applyProtection="0"/>
    <xf numFmtId="0" fontId="49" fillId="10" borderId="14" applyNumberFormat="0" applyFont="0" applyAlignment="0" applyProtection="0"/>
    <xf numFmtId="0" fontId="49" fillId="10" borderId="14" applyNumberFormat="0" applyFont="0" applyAlignment="0" applyProtection="0"/>
    <xf numFmtId="0" fontId="28" fillId="10" borderId="14" applyNumberFormat="0" applyFont="0" applyAlignment="0" applyProtection="0"/>
    <xf numFmtId="0" fontId="1" fillId="45" borderId="43" applyNumberFormat="0" applyFont="0" applyAlignment="0" applyProtection="0"/>
    <xf numFmtId="0" fontId="28" fillId="10" borderId="14" applyNumberFormat="0" applyFont="0" applyAlignment="0" applyProtection="0"/>
    <xf numFmtId="0" fontId="28" fillId="10" borderId="14" applyNumberFormat="0" applyFont="0" applyAlignment="0" applyProtection="0"/>
    <xf numFmtId="0" fontId="28" fillId="10" borderId="14" applyNumberFormat="0" applyFont="0" applyAlignment="0" applyProtection="0"/>
    <xf numFmtId="0" fontId="28" fillId="10" borderId="14" applyNumberFormat="0" applyFont="0" applyAlignment="0" applyProtection="0"/>
    <xf numFmtId="0" fontId="28" fillId="10" borderId="14" applyNumberFormat="0" applyFont="0" applyAlignment="0" applyProtection="0"/>
    <xf numFmtId="0" fontId="28" fillId="10" borderId="14" applyNumberFormat="0" applyFont="0" applyAlignment="0" applyProtection="0"/>
    <xf numFmtId="0" fontId="28" fillId="0" borderId="0"/>
    <xf numFmtId="0" fontId="1" fillId="45" borderId="43" applyNumberFormat="0" applyFont="0" applyAlignment="0" applyProtection="0"/>
    <xf numFmtId="0" fontId="8" fillId="45" borderId="46" applyNumberFormat="0" applyFont="0" applyAlignment="0" applyProtection="0"/>
    <xf numFmtId="0" fontId="8" fillId="45" borderId="46" applyNumberFormat="0" applyFont="0" applyAlignment="0" applyProtection="0"/>
    <xf numFmtId="0" fontId="8" fillId="45" borderId="46" applyNumberFormat="0" applyFont="0" applyAlignment="0" applyProtection="0"/>
    <xf numFmtId="0" fontId="8" fillId="45" borderId="46" applyNumberFormat="0" applyFont="0" applyAlignment="0" applyProtection="0"/>
    <xf numFmtId="0" fontId="8" fillId="45" borderId="46" applyNumberFormat="0" applyFont="0" applyAlignment="0" applyProtection="0"/>
    <xf numFmtId="0" fontId="28" fillId="0" borderId="0"/>
    <xf numFmtId="0" fontId="28" fillId="0" borderId="0"/>
    <xf numFmtId="0" fontId="24" fillId="24" borderId="16" applyNumberFormat="0" applyAlignment="0" applyProtection="0"/>
    <xf numFmtId="0" fontId="29" fillId="24" borderId="15" applyNumberFormat="0" applyAlignment="0" applyProtection="0"/>
    <xf numFmtId="0" fontId="29" fillId="24" borderId="15" applyNumberFormat="0" applyAlignment="0" applyProtection="0"/>
    <xf numFmtId="0" fontId="29" fillId="24" borderId="15" applyNumberFormat="0" applyAlignment="0" applyProtection="0"/>
    <xf numFmtId="0" fontId="29" fillId="24" borderId="15" applyNumberFormat="0" applyAlignment="0" applyProtection="0"/>
    <xf numFmtId="0" fontId="29" fillId="24" borderId="15" applyNumberFormat="0" applyAlignment="0" applyProtection="0"/>
    <xf numFmtId="0" fontId="29" fillId="24" borderId="15" applyNumberFormat="0" applyAlignment="0" applyProtection="0"/>
    <xf numFmtId="0" fontId="29" fillId="24" borderId="15" applyNumberFormat="0" applyAlignment="0" applyProtection="0"/>
    <xf numFmtId="0" fontId="24" fillId="24" borderId="16" applyNumberFormat="0" applyAlignment="0" applyProtection="0"/>
    <xf numFmtId="0" fontId="24" fillId="24" borderId="16" applyNumberFormat="0" applyAlignment="0" applyProtection="0"/>
    <xf numFmtId="0" fontId="24" fillId="24" borderId="16" applyNumberFormat="0" applyAlignment="0" applyProtection="0"/>
    <xf numFmtId="0" fontId="24" fillId="24" borderId="16" applyNumberFormat="0" applyAlignment="0" applyProtection="0"/>
    <xf numFmtId="0" fontId="24" fillId="24" borderId="16" applyNumberFormat="0" applyAlignment="0" applyProtection="0"/>
    <xf numFmtId="0" fontId="24" fillId="24" borderId="16" applyNumberFormat="0" applyAlignment="0" applyProtection="0"/>
    <xf numFmtId="0" fontId="29" fillId="24" borderId="15" applyNumberFormat="0" applyAlignment="0" applyProtection="0"/>
    <xf numFmtId="0" fontId="29" fillId="24" borderId="15" applyNumberFormat="0" applyAlignment="0" applyProtection="0"/>
    <xf numFmtId="0" fontId="29" fillId="24" borderId="15" applyNumberFormat="0" applyAlignment="0" applyProtection="0"/>
    <xf numFmtId="0" fontId="29" fillId="24" borderId="15" applyNumberFormat="0" applyAlignment="0" applyProtection="0"/>
    <xf numFmtId="0" fontId="29" fillId="24" borderId="15" applyNumberFormat="0" applyAlignment="0" applyProtection="0"/>
    <xf numFmtId="0" fontId="29" fillId="24" borderId="15" applyNumberFormat="0" applyAlignment="0" applyProtection="0"/>
    <xf numFmtId="0" fontId="29" fillId="24" borderId="15" applyNumberFormat="0" applyAlignment="0" applyProtection="0"/>
    <xf numFmtId="0" fontId="24" fillId="24" borderId="16" applyNumberFormat="0" applyAlignment="0" applyProtection="0"/>
    <xf numFmtId="0" fontId="24" fillId="24" borderId="16" applyNumberFormat="0" applyAlignment="0" applyProtection="0"/>
    <xf numFmtId="0" fontId="24" fillId="24" borderId="16" applyNumberFormat="0" applyAlignment="0" applyProtection="0"/>
    <xf numFmtId="0" fontId="24" fillId="24" borderId="16" applyNumberFormat="0" applyAlignment="0" applyProtection="0"/>
    <xf numFmtId="0" fontId="24" fillId="24" borderId="16" applyNumberFormat="0" applyAlignment="0" applyProtection="0"/>
    <xf numFmtId="0" fontId="24" fillId="24" borderId="16" applyNumberFormat="0" applyAlignment="0" applyProtection="0"/>
    <xf numFmtId="0" fontId="24" fillId="24" borderId="16" applyNumberFormat="0" applyAlignment="0" applyProtection="0"/>
    <xf numFmtId="0" fontId="29" fillId="12" borderId="15" applyNumberFormat="0" applyAlignment="0" applyProtection="0"/>
    <xf numFmtId="0" fontId="29" fillId="24" borderId="15" applyNumberFormat="0" applyAlignment="0" applyProtection="0"/>
    <xf numFmtId="0" fontId="29" fillId="24" borderId="15" applyNumberFormat="0" applyAlignment="0" applyProtection="0"/>
    <xf numFmtId="0" fontId="29" fillId="24" borderId="15" applyNumberFormat="0" applyAlignment="0" applyProtection="0"/>
    <xf numFmtId="0" fontId="29" fillId="24" borderId="15" applyNumberFormat="0" applyAlignment="0" applyProtection="0"/>
    <xf numFmtId="0" fontId="29" fillId="24" borderId="15" applyNumberFormat="0" applyAlignment="0" applyProtection="0"/>
    <xf numFmtId="0" fontId="29" fillId="24" borderId="15" applyNumberFormat="0" applyAlignment="0" applyProtection="0"/>
    <xf numFmtId="0" fontId="29" fillId="24" borderId="15" applyNumberFormat="0" applyAlignment="0" applyProtection="0"/>
    <xf numFmtId="0" fontId="29" fillId="12" borderId="15" applyNumberFormat="0" applyAlignment="0" applyProtection="0"/>
    <xf numFmtId="0" fontId="29" fillId="12" borderId="15" applyNumberFormat="0" applyAlignment="0" applyProtection="0"/>
    <xf numFmtId="0" fontId="29" fillId="12" borderId="15" applyNumberFormat="0" applyAlignment="0" applyProtection="0"/>
    <xf numFmtId="0" fontId="29" fillId="12" borderId="15" applyNumberFormat="0" applyAlignment="0" applyProtection="0"/>
    <xf numFmtId="0" fontId="29" fillId="12" borderId="15" applyNumberFormat="0" applyAlignment="0" applyProtection="0"/>
    <xf numFmtId="0" fontId="29" fillId="12" borderId="15" applyNumberFormat="0" applyAlignment="0" applyProtection="0"/>
    <xf numFmtId="0" fontId="29" fillId="12" borderId="15" applyNumberFormat="0" applyAlignment="0" applyProtection="0"/>
    <xf numFmtId="0" fontId="29" fillId="12" borderId="15" applyNumberFormat="0" applyAlignment="0" applyProtection="0"/>
    <xf numFmtId="0" fontId="29" fillId="12" borderId="15" applyNumberFormat="0" applyAlignment="0" applyProtection="0"/>
    <xf numFmtId="0" fontId="29" fillId="12" borderId="15" applyNumberFormat="0" applyAlignment="0" applyProtection="0"/>
    <xf numFmtId="0" fontId="29" fillId="12" borderId="15" applyNumberFormat="0" applyAlignment="0" applyProtection="0"/>
    <xf numFmtId="0" fontId="29" fillId="12" borderId="15" applyNumberFormat="0" applyAlignment="0" applyProtection="0"/>
    <xf numFmtId="0" fontId="65" fillId="43" borderId="40" applyNumberFormat="0" applyAlignment="0" applyProtection="0"/>
    <xf numFmtId="0" fontId="28" fillId="0" borderId="0"/>
    <xf numFmtId="9" fontId="28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8" fillId="0" borderId="0"/>
    <xf numFmtId="9" fontId="2" fillId="0" borderId="0" applyFont="0" applyFill="0" applyBorder="0" applyAlignment="0" applyProtection="0">
      <alignment wrapText="1"/>
    </xf>
    <xf numFmtId="0" fontId="28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8" fillId="0" borderId="0" applyFont="0" applyFill="0" applyBorder="0" applyAlignment="0" applyProtection="0">
      <alignment vertical="top"/>
    </xf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8" fillId="0" borderId="0"/>
    <xf numFmtId="9" fontId="28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8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8" fillId="0" borderId="0"/>
    <xf numFmtId="9" fontId="8" fillId="0" borderId="0" applyFont="0" applyFill="0" applyBorder="0" applyAlignment="0" applyProtection="0"/>
    <xf numFmtId="9" fontId="49" fillId="0" borderId="0" applyFont="0" applyFill="0" applyBorder="0" applyAlignment="0" applyProtection="0"/>
    <xf numFmtId="10" fontId="19" fillId="72" borderId="0"/>
    <xf numFmtId="10" fontId="19" fillId="72" borderId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8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8" fillId="0" borderId="0"/>
    <xf numFmtId="9" fontId="8" fillId="0" borderId="0" applyFont="0" applyFill="0" applyBorder="0" applyAlignment="0" applyProtection="0"/>
    <xf numFmtId="9" fontId="74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28" fillId="0" borderId="0"/>
    <xf numFmtId="9" fontId="74" fillId="0" borderId="0" applyFont="0" applyFill="0" applyBorder="0" applyAlignment="0" applyProtection="0"/>
    <xf numFmtId="0" fontId="28" fillId="0" borderId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>
      <alignment wrapText="1"/>
    </xf>
    <xf numFmtId="9" fontId="2" fillId="0" borderId="0" applyFont="0" applyFill="0" applyBorder="0" applyAlignment="0" applyProtection="0"/>
    <xf numFmtId="0" fontId="28" fillId="0" borderId="0"/>
    <xf numFmtId="0" fontId="28" fillId="0" borderId="0"/>
    <xf numFmtId="176" fontId="19" fillId="0" borderId="0">
      <alignment horizontal="center"/>
    </xf>
    <xf numFmtId="0" fontId="28" fillId="0" borderId="0"/>
    <xf numFmtId="0" fontId="28" fillId="0" borderId="0"/>
    <xf numFmtId="0" fontId="7" fillId="0" borderId="2">
      <alignment horizontal="center"/>
    </xf>
    <xf numFmtId="0" fontId="7" fillId="0" borderId="2">
      <alignment horizontal="center"/>
    </xf>
    <xf numFmtId="0" fontId="28" fillId="0" borderId="0"/>
    <xf numFmtId="0" fontId="28" fillId="0" borderId="0"/>
    <xf numFmtId="0" fontId="28" fillId="0" borderId="0"/>
    <xf numFmtId="0" fontId="18" fillId="0" borderId="0">
      <alignment vertical="top"/>
    </xf>
    <xf numFmtId="0" fontId="28" fillId="0" borderId="0"/>
    <xf numFmtId="0" fontId="18" fillId="0" borderId="0">
      <alignment vertical="top"/>
    </xf>
    <xf numFmtId="0" fontId="28" fillId="0" borderId="0"/>
    <xf numFmtId="0" fontId="18" fillId="0" borderId="0">
      <alignment vertical="top"/>
    </xf>
    <xf numFmtId="0" fontId="18" fillId="0" borderId="0" applyNumberFormat="0" applyBorder="0" applyAlignment="0"/>
    <xf numFmtId="0" fontId="28" fillId="0" borderId="0"/>
    <xf numFmtId="0" fontId="28" fillId="0" borderId="45"/>
    <xf numFmtId="0" fontId="28" fillId="0" borderId="45"/>
    <xf numFmtId="0" fontId="28" fillId="0" borderId="45"/>
    <xf numFmtId="0" fontId="28" fillId="0" borderId="45"/>
    <xf numFmtId="0" fontId="28" fillId="0" borderId="45"/>
    <xf numFmtId="0" fontId="28" fillId="0" borderId="45"/>
    <xf numFmtId="0" fontId="28" fillId="0" borderId="45"/>
    <xf numFmtId="0" fontId="28" fillId="0" borderId="45"/>
    <xf numFmtId="0" fontId="28" fillId="0" borderId="45"/>
    <xf numFmtId="0" fontId="28" fillId="0" borderId="45"/>
    <xf numFmtId="177" fontId="90" fillId="72" borderId="0" applyFill="0" applyBorder="0" applyProtection="0">
      <alignment horizontal="center"/>
      <protection hidden="1"/>
    </xf>
    <xf numFmtId="0" fontId="91" fillId="74" borderId="0"/>
    <xf numFmtId="0" fontId="92" fillId="74" borderId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45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93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29" applyNumberFormat="0" applyFill="0" applyAlignment="0" applyProtection="0"/>
    <xf numFmtId="0" fontId="31" fillId="0" borderId="29" applyNumberFormat="0" applyFill="0" applyAlignment="0" applyProtection="0"/>
    <xf numFmtId="0" fontId="31" fillId="0" borderId="29" applyNumberFormat="0" applyFill="0" applyAlignment="0" applyProtection="0"/>
    <xf numFmtId="0" fontId="31" fillId="0" borderId="29" applyNumberFormat="0" applyFill="0" applyAlignment="0" applyProtection="0"/>
    <xf numFmtId="0" fontId="31" fillId="0" borderId="29" applyNumberFormat="0" applyFill="0" applyAlignment="0" applyProtection="0"/>
    <xf numFmtId="0" fontId="31" fillId="0" borderId="29" applyNumberFormat="0" applyFill="0" applyAlignment="0" applyProtection="0"/>
    <xf numFmtId="0" fontId="31" fillId="0" borderId="29" applyNumberFormat="0" applyFill="0" applyAlignment="0" applyProtection="0"/>
    <xf numFmtId="0" fontId="31" fillId="0" borderId="29" applyNumberFormat="0" applyFill="0" applyAlignment="0" applyProtection="0"/>
    <xf numFmtId="0" fontId="31" fillId="0" borderId="29" applyNumberFormat="0" applyFill="0" applyAlignment="0" applyProtection="0"/>
    <xf numFmtId="0" fontId="31" fillId="0" borderId="29" applyNumberFormat="0" applyFill="0" applyAlignment="0" applyProtection="0"/>
    <xf numFmtId="0" fontId="31" fillId="0" borderId="29" applyNumberFormat="0" applyFill="0" applyAlignment="0" applyProtection="0"/>
    <xf numFmtId="0" fontId="31" fillId="0" borderId="29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7" applyNumberFormat="0" applyFill="0" applyAlignment="0" applyProtection="0"/>
    <xf numFmtId="0" fontId="31" fillId="0" borderId="17" applyNumberFormat="0" applyFill="0" applyAlignment="0" applyProtection="0"/>
    <xf numFmtId="0" fontId="31" fillId="0" borderId="17" applyNumberFormat="0" applyFill="0" applyAlignment="0" applyProtection="0"/>
    <xf numFmtId="0" fontId="31" fillId="0" borderId="17" applyNumberFormat="0" applyFill="0" applyAlignment="0" applyProtection="0"/>
    <xf numFmtId="0" fontId="31" fillId="0" borderId="17" applyNumberFormat="0" applyFill="0" applyAlignment="0" applyProtection="0"/>
    <xf numFmtId="0" fontId="31" fillId="0" borderId="17" applyNumberFormat="0" applyFill="0" applyAlignment="0" applyProtection="0"/>
    <xf numFmtId="0" fontId="31" fillId="0" borderId="17" applyNumberFormat="0" applyFill="0" applyAlignment="0" applyProtection="0"/>
    <xf numFmtId="0" fontId="31" fillId="0" borderId="17" applyNumberFormat="0" applyFill="0" applyAlignment="0" applyProtection="0"/>
    <xf numFmtId="0" fontId="31" fillId="0" borderId="17" applyNumberFormat="0" applyFill="0" applyAlignment="0" applyProtection="0"/>
    <xf numFmtId="0" fontId="31" fillId="0" borderId="17" applyNumberFormat="0" applyFill="0" applyAlignment="0" applyProtection="0"/>
    <xf numFmtId="0" fontId="31" fillId="0" borderId="29" applyNumberFormat="0" applyFill="0" applyAlignment="0" applyProtection="0"/>
    <xf numFmtId="0" fontId="31" fillId="0" borderId="29" applyNumberFormat="0" applyFill="0" applyAlignment="0" applyProtection="0"/>
    <xf numFmtId="0" fontId="31" fillId="0" borderId="29" applyNumberFormat="0" applyFill="0" applyAlignment="0" applyProtection="0"/>
    <xf numFmtId="0" fontId="31" fillId="0" borderId="29" applyNumberFormat="0" applyFill="0" applyAlignment="0" applyProtection="0"/>
    <xf numFmtId="0" fontId="31" fillId="0" borderId="29" applyNumberFormat="0" applyFill="0" applyAlignment="0" applyProtection="0"/>
    <xf numFmtId="0" fontId="31" fillId="0" borderId="29" applyNumberFormat="0" applyFill="0" applyAlignment="0" applyProtection="0"/>
    <xf numFmtId="0" fontId="28" fillId="0" borderId="0"/>
    <xf numFmtId="0" fontId="31" fillId="0" borderId="29" applyNumberFormat="0" applyFill="0" applyAlignment="0" applyProtection="0"/>
    <xf numFmtId="0" fontId="31" fillId="0" borderId="30" applyNumberFormat="0" applyFill="0" applyAlignment="0" applyProtection="0"/>
    <xf numFmtId="0" fontId="31" fillId="0" borderId="30" applyNumberFormat="0" applyFill="0" applyAlignment="0" applyProtection="0"/>
    <xf numFmtId="0" fontId="31" fillId="0" borderId="30" applyNumberFormat="0" applyFill="0" applyAlignment="0" applyProtection="0"/>
    <xf numFmtId="0" fontId="31" fillId="0" borderId="30" applyNumberFormat="0" applyFill="0" applyAlignment="0" applyProtection="0"/>
    <xf numFmtId="0" fontId="31" fillId="0" borderId="30" applyNumberFormat="0" applyFill="0" applyAlignment="0" applyProtection="0"/>
    <xf numFmtId="0" fontId="31" fillId="0" borderId="30" applyNumberFormat="0" applyFill="0" applyAlignment="0" applyProtection="0"/>
    <xf numFmtId="0" fontId="31" fillId="0" borderId="30" applyNumberFormat="0" applyFill="0" applyAlignment="0" applyProtection="0"/>
    <xf numFmtId="0" fontId="31" fillId="0" borderId="30" applyNumberFormat="0" applyFill="0" applyAlignment="0" applyProtection="0"/>
    <xf numFmtId="0" fontId="31" fillId="0" borderId="30" applyNumberFormat="0" applyFill="0" applyAlignment="0" applyProtection="0"/>
    <xf numFmtId="0" fontId="31" fillId="0" borderId="30" applyNumberFormat="0" applyFill="0" applyAlignment="0" applyProtection="0"/>
    <xf numFmtId="0" fontId="31" fillId="0" borderId="30" applyNumberFormat="0" applyFill="0" applyAlignment="0" applyProtection="0"/>
    <xf numFmtId="0" fontId="31" fillId="0" borderId="30" applyNumberFormat="0" applyFill="0" applyAlignment="0" applyProtection="0"/>
    <xf numFmtId="0" fontId="31" fillId="0" borderId="17" applyNumberFormat="0" applyFill="0" applyAlignment="0" applyProtection="0"/>
    <xf numFmtId="0" fontId="31" fillId="0" borderId="17" applyNumberFormat="0" applyFill="0" applyAlignment="0" applyProtection="0"/>
    <xf numFmtId="0" fontId="31" fillId="0" borderId="17" applyNumberFormat="0" applyFill="0" applyAlignment="0" applyProtection="0"/>
    <xf numFmtId="0" fontId="31" fillId="0" borderId="17" applyNumberFormat="0" applyFill="0" applyAlignment="0" applyProtection="0"/>
    <xf numFmtId="0" fontId="31" fillId="0" borderId="17" applyNumberFormat="0" applyFill="0" applyAlignment="0" applyProtection="0"/>
    <xf numFmtId="0" fontId="31" fillId="0" borderId="17" applyNumberFormat="0" applyFill="0" applyAlignment="0" applyProtection="0"/>
    <xf numFmtId="0" fontId="31" fillId="0" borderId="17" applyNumberFormat="0" applyFill="0" applyAlignment="0" applyProtection="0"/>
    <xf numFmtId="0" fontId="31" fillId="0" borderId="17" applyNumberFormat="0" applyFill="0" applyAlignment="0" applyProtection="0"/>
    <xf numFmtId="0" fontId="31" fillId="0" borderId="17" applyNumberFormat="0" applyFill="0" applyAlignment="0" applyProtection="0"/>
    <xf numFmtId="0" fontId="31" fillId="0" borderId="17" applyNumberFormat="0" applyFill="0" applyAlignment="0" applyProtection="0"/>
    <xf numFmtId="0" fontId="31" fillId="0" borderId="30" applyNumberFormat="0" applyFill="0" applyAlignment="0" applyProtection="0"/>
    <xf numFmtId="0" fontId="31" fillId="0" borderId="30" applyNumberFormat="0" applyFill="0" applyAlignment="0" applyProtection="0"/>
    <xf numFmtId="0" fontId="31" fillId="0" borderId="30" applyNumberFormat="0" applyFill="0" applyAlignment="0" applyProtection="0"/>
    <xf numFmtId="0" fontId="31" fillId="0" borderId="30" applyNumberFormat="0" applyFill="0" applyAlignment="0" applyProtection="0"/>
    <xf numFmtId="0" fontId="31" fillId="0" borderId="30" applyNumberFormat="0" applyFill="0" applyAlignment="0" applyProtection="0"/>
    <xf numFmtId="0" fontId="31" fillId="0" borderId="30" applyNumberFormat="0" applyFill="0" applyAlignment="0" applyProtection="0"/>
    <xf numFmtId="0" fontId="31" fillId="0" borderId="30" applyNumberFormat="0" applyFill="0" applyAlignment="0" applyProtection="0"/>
    <xf numFmtId="0" fontId="31" fillId="0" borderId="30" applyNumberFormat="0" applyFill="0" applyAlignment="0" applyProtection="0"/>
    <xf numFmtId="0" fontId="31" fillId="0" borderId="30" applyNumberFormat="0" applyFill="0" applyAlignment="0" applyProtection="0"/>
    <xf numFmtId="0" fontId="31" fillId="0" borderId="30" applyNumberFormat="0" applyFill="0" applyAlignment="0" applyProtection="0"/>
    <xf numFmtId="0" fontId="31" fillId="0" borderId="30" applyNumberFormat="0" applyFill="0" applyAlignment="0" applyProtection="0"/>
    <xf numFmtId="0" fontId="31" fillId="0" borderId="30" applyNumberFormat="0" applyFill="0" applyAlignment="0" applyProtection="0"/>
    <xf numFmtId="0" fontId="31" fillId="0" borderId="17" applyNumberFormat="0" applyFill="0" applyAlignment="0" applyProtection="0"/>
    <xf numFmtId="0" fontId="3" fillId="0" borderId="44" applyNumberFormat="0" applyFill="0" applyAlignment="0" applyProtection="0"/>
    <xf numFmtId="0" fontId="31" fillId="0" borderId="17" applyNumberFormat="0" applyFill="0" applyAlignment="0" applyProtection="0"/>
    <xf numFmtId="0" fontId="31" fillId="0" borderId="17" applyNumberFormat="0" applyFill="0" applyAlignment="0" applyProtection="0"/>
    <xf numFmtId="0" fontId="31" fillId="0" borderId="17" applyNumberFormat="0" applyFill="0" applyAlignment="0" applyProtection="0"/>
    <xf numFmtId="0" fontId="31" fillId="0" borderId="17" applyNumberFormat="0" applyFill="0" applyAlignment="0" applyProtection="0"/>
    <xf numFmtId="0" fontId="31" fillId="0" borderId="17" applyNumberFormat="0" applyFill="0" applyAlignment="0" applyProtection="0"/>
    <xf numFmtId="0" fontId="31" fillId="0" borderId="17" applyNumberFormat="0" applyFill="0" applyAlignment="0" applyProtection="0"/>
    <xf numFmtId="0" fontId="31" fillId="0" borderId="17" applyNumberFormat="0" applyFill="0" applyAlignment="0" applyProtection="0"/>
    <xf numFmtId="0" fontId="31" fillId="0" borderId="17" applyNumberFormat="0" applyFill="0" applyAlignment="0" applyProtection="0"/>
    <xf numFmtId="0" fontId="31" fillId="0" borderId="17" applyNumberFormat="0" applyFill="0" applyAlignment="0" applyProtection="0"/>
    <xf numFmtId="0" fontId="28" fillId="0" borderId="0"/>
    <xf numFmtId="0" fontId="84" fillId="0" borderId="47"/>
    <xf numFmtId="0" fontId="84" fillId="0" borderId="47"/>
    <xf numFmtId="0" fontId="84" fillId="0" borderId="45"/>
    <xf numFmtId="0" fontId="84" fillId="0" borderId="45"/>
    <xf numFmtId="0" fontId="84" fillId="0" borderId="45"/>
    <xf numFmtId="0" fontId="84" fillId="0" borderId="45"/>
    <xf numFmtId="0" fontId="84" fillId="0" borderId="45"/>
    <xf numFmtId="0" fontId="84" fillId="0" borderId="45"/>
    <xf numFmtId="0" fontId="84" fillId="0" borderId="45"/>
    <xf numFmtId="0" fontId="84" fillId="0" borderId="45"/>
    <xf numFmtId="0" fontId="84" fillId="0" borderId="45"/>
    <xf numFmtId="0" fontId="84" fillId="0" borderId="45"/>
    <xf numFmtId="0" fontId="94" fillId="0" borderId="0">
      <alignment horizontal="center"/>
    </xf>
    <xf numFmtId="0" fontId="9" fillId="0" borderId="0" applyNumberFormat="0" applyFill="0" applyBorder="0" applyAlignment="0" applyProtection="0"/>
    <xf numFmtId="0" fontId="28" fillId="0" borderId="0"/>
    <xf numFmtId="0" fontId="57" fillId="0" borderId="0" applyNumberFormat="0" applyFill="0" applyBorder="0" applyAlignment="0" applyProtection="0"/>
    <xf numFmtId="0" fontId="58" fillId="0" borderId="36" applyNumberFormat="0" applyFill="0" applyAlignment="0" applyProtection="0"/>
    <xf numFmtId="0" fontId="59" fillId="0" borderId="37" applyNumberFormat="0" applyFill="0" applyAlignment="0" applyProtection="0"/>
    <xf numFmtId="0" fontId="60" fillId="0" borderId="38" applyNumberFormat="0" applyFill="0" applyAlignment="0" applyProtection="0"/>
    <xf numFmtId="0" fontId="60" fillId="0" borderId="0" applyNumberFormat="0" applyFill="0" applyBorder="0" applyAlignment="0" applyProtection="0"/>
    <xf numFmtId="0" fontId="61" fillId="39" borderId="0" applyNumberFormat="0" applyBorder="0" applyAlignment="0" applyProtection="0"/>
    <xf numFmtId="0" fontId="62" fillId="40" borderId="0" applyNumberFormat="0" applyBorder="0" applyAlignment="0" applyProtection="0"/>
    <xf numFmtId="0" fontId="63" fillId="41" borderId="0" applyNumberFormat="0" applyBorder="0" applyAlignment="0" applyProtection="0"/>
    <xf numFmtId="0" fontId="64" fillId="42" borderId="39" applyNumberFormat="0" applyAlignment="0" applyProtection="0"/>
    <xf numFmtId="0" fontId="65" fillId="43" borderId="40" applyNumberFormat="0" applyAlignment="0" applyProtection="0"/>
    <xf numFmtId="0" fontId="66" fillId="43" borderId="39" applyNumberFormat="0" applyAlignment="0" applyProtection="0"/>
    <xf numFmtId="0" fontId="67" fillId="0" borderId="41" applyNumberFormat="0" applyFill="0" applyAlignment="0" applyProtection="0"/>
    <xf numFmtId="0" fontId="68" fillId="44" borderId="42" applyNumberFormat="0" applyAlignment="0" applyProtection="0"/>
    <xf numFmtId="0" fontId="9" fillId="0" borderId="0" applyNumberFormat="0" applyFill="0" applyBorder="0" applyAlignment="0" applyProtection="0"/>
    <xf numFmtId="0" fontId="1" fillId="45" borderId="43" applyNumberFormat="0" applyFont="0" applyAlignment="0" applyProtection="0"/>
    <xf numFmtId="0" fontId="69" fillId="0" borderId="0" applyNumberFormat="0" applyFill="0" applyBorder="0" applyAlignment="0" applyProtection="0"/>
    <xf numFmtId="0" fontId="3" fillId="0" borderId="44" applyNumberFormat="0" applyFill="0" applyAlignment="0" applyProtection="0"/>
    <xf numFmtId="0" fontId="70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70" fillId="49" borderId="0" applyNumberFormat="0" applyBorder="0" applyAlignment="0" applyProtection="0"/>
    <xf numFmtId="0" fontId="70" fillId="50" borderId="0" applyNumberFormat="0" applyBorder="0" applyAlignment="0" applyProtection="0"/>
    <xf numFmtId="0" fontId="1" fillId="51" borderId="0" applyNumberFormat="0" applyBorder="0" applyAlignment="0" applyProtection="0"/>
    <xf numFmtId="0" fontId="1" fillId="52" borderId="0" applyNumberFormat="0" applyBorder="0" applyAlignment="0" applyProtection="0"/>
    <xf numFmtId="0" fontId="70" fillId="53" borderId="0" applyNumberFormat="0" applyBorder="0" applyAlignment="0" applyProtection="0"/>
    <xf numFmtId="0" fontId="70" fillId="54" borderId="0" applyNumberFormat="0" applyBorder="0" applyAlignment="0" applyProtection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70" fillId="57" borderId="0" applyNumberFormat="0" applyBorder="0" applyAlignment="0" applyProtection="0"/>
    <xf numFmtId="0" fontId="70" fillId="58" borderId="0" applyNumberFormat="0" applyBorder="0" applyAlignment="0" applyProtection="0"/>
    <xf numFmtId="0" fontId="1" fillId="59" borderId="0" applyNumberFormat="0" applyBorder="0" applyAlignment="0" applyProtection="0"/>
    <xf numFmtId="0" fontId="1" fillId="60" borderId="0" applyNumberFormat="0" applyBorder="0" applyAlignment="0" applyProtection="0"/>
    <xf numFmtId="0" fontId="70" fillId="61" borderId="0" applyNumberFormat="0" applyBorder="0" applyAlignment="0" applyProtection="0"/>
    <xf numFmtId="0" fontId="70" fillId="62" borderId="0" applyNumberFormat="0" applyBorder="0" applyAlignment="0" applyProtection="0"/>
    <xf numFmtId="0" fontId="1" fillId="63" borderId="0" applyNumberFormat="0" applyBorder="0" applyAlignment="0" applyProtection="0"/>
    <xf numFmtId="0" fontId="1" fillId="64" borderId="0" applyNumberFormat="0" applyBorder="0" applyAlignment="0" applyProtection="0"/>
    <xf numFmtId="0" fontId="70" fillId="65" borderId="0" applyNumberFormat="0" applyBorder="0" applyAlignment="0" applyProtection="0"/>
    <xf numFmtId="0" fontId="70" fillId="66" borderId="0" applyNumberFormat="0" applyBorder="0" applyAlignment="0" applyProtection="0"/>
    <xf numFmtId="0" fontId="1" fillId="67" borderId="0" applyNumberFormat="0" applyBorder="0" applyAlignment="0" applyProtection="0"/>
    <xf numFmtId="0" fontId="1" fillId="68" borderId="0" applyNumberFormat="0" applyBorder="0" applyAlignment="0" applyProtection="0"/>
    <xf numFmtId="0" fontId="70" fillId="69" borderId="0" applyNumberFormat="0" applyBorder="0" applyAlignment="0" applyProtection="0"/>
    <xf numFmtId="0" fontId="24" fillId="24" borderId="129" applyNumberFormat="0" applyAlignment="0" applyProtection="0"/>
    <xf numFmtId="0" fontId="48" fillId="24" borderId="95" applyNumberFormat="0" applyAlignment="0" applyProtection="0"/>
    <xf numFmtId="0" fontId="72" fillId="0" borderId="72" applyBorder="0">
      <alignment horizontal="center" vertical="center" wrapText="1"/>
    </xf>
    <xf numFmtId="0" fontId="29" fillId="24" borderId="101" applyNumberFormat="0" applyAlignment="0" applyProtection="0"/>
    <xf numFmtId="0" fontId="31" fillId="0" borderId="123" applyNumberFormat="0" applyFill="0" applyAlignment="0" applyProtection="0"/>
    <xf numFmtId="0" fontId="28" fillId="10" borderId="119" applyNumberFormat="0" applyFont="0" applyAlignment="0" applyProtection="0"/>
    <xf numFmtId="0" fontId="48" fillId="12" borderId="143" applyNumberFormat="0" applyAlignment="0" applyProtection="0"/>
    <xf numFmtId="0" fontId="31" fillId="0" borderId="116" applyNumberFormat="0" applyFill="0" applyAlignment="0" applyProtection="0"/>
    <xf numFmtId="0" fontId="8" fillId="45" borderId="125" applyNumberFormat="0" applyFont="0" applyAlignment="0" applyProtection="0"/>
    <xf numFmtId="0" fontId="48" fillId="24" borderId="127" applyNumberFormat="0" applyAlignment="0" applyProtection="0"/>
    <xf numFmtId="0" fontId="25" fillId="8" borderId="118" applyNumberFormat="0" applyAlignment="0" applyProtection="0"/>
    <xf numFmtId="0" fontId="31" fillId="0" borderId="200" applyNumberFormat="0" applyFill="0" applyAlignment="0" applyProtection="0"/>
    <xf numFmtId="0" fontId="28" fillId="10" borderId="103" applyNumberFormat="0" applyFont="0" applyAlignment="0" applyProtection="0"/>
    <xf numFmtId="0" fontId="25" fillId="8" borderId="102" applyNumberFormat="0" applyAlignment="0" applyProtection="0"/>
    <xf numFmtId="0" fontId="28" fillId="10" borderId="161" applyNumberFormat="0" applyFont="0" applyAlignment="0" applyProtection="0"/>
    <xf numFmtId="0" fontId="24" fillId="24" borderId="169" applyNumberFormat="0" applyAlignment="0" applyProtection="0"/>
    <xf numFmtId="0" fontId="16" fillId="24" borderId="67" applyNumberFormat="0" applyAlignment="0" applyProtection="0"/>
    <xf numFmtId="0" fontId="31" fillId="0" borderId="185" applyNumberFormat="0" applyFill="0" applyAlignment="0" applyProtection="0"/>
    <xf numFmtId="0" fontId="48" fillId="24" borderId="75" applyNumberFormat="0" applyAlignment="0" applyProtection="0"/>
    <xf numFmtId="0" fontId="31" fillId="0" borderId="163" applyNumberFormat="0" applyFill="0" applyAlignment="0" applyProtection="0"/>
    <xf numFmtId="0" fontId="31" fillId="0" borderId="166" applyNumberFormat="0" applyFill="0" applyAlignment="0" applyProtection="0"/>
    <xf numFmtId="0" fontId="72" fillId="0" borderId="198" applyBorder="0">
      <alignment horizontal="center" vertical="center" wrapText="1"/>
    </xf>
    <xf numFmtId="0" fontId="28" fillId="0" borderId="149"/>
    <xf numFmtId="0" fontId="16" fillId="24" borderId="176" applyNumberFormat="0" applyAlignment="0" applyProtection="0"/>
    <xf numFmtId="0" fontId="25" fillId="13" borderId="118" applyNumberFormat="0" applyAlignment="0" applyProtection="0"/>
    <xf numFmtId="0" fontId="84" fillId="0" borderId="88"/>
    <xf numFmtId="0" fontId="31" fillId="0" borderId="171" applyNumberFormat="0" applyFill="0" applyAlignment="0" applyProtection="0"/>
    <xf numFmtId="0" fontId="49" fillId="10" borderId="119" applyNumberFormat="0" applyFont="0" applyAlignment="0" applyProtection="0"/>
    <xf numFmtId="0" fontId="31" fillId="0" borderId="55" applyNumberFormat="0" applyFill="0" applyAlignment="0" applyProtection="0"/>
    <xf numFmtId="0" fontId="8" fillId="10" borderId="144" applyNumberFormat="0" applyFont="0" applyAlignment="0" applyProtection="0"/>
    <xf numFmtId="0" fontId="8" fillId="10" borderId="195" applyNumberFormat="0" applyFont="0" applyAlignment="0" applyProtection="0"/>
    <xf numFmtId="0" fontId="48" fillId="12" borderId="143" applyNumberFormat="0" applyAlignment="0" applyProtection="0"/>
    <xf numFmtId="0" fontId="29" fillId="24" borderId="146" applyNumberFormat="0" applyAlignment="0" applyProtection="0"/>
    <xf numFmtId="0" fontId="31" fillId="0" borderId="148" applyNumberFormat="0" applyFill="0" applyAlignment="0" applyProtection="0"/>
    <xf numFmtId="0" fontId="24" fillId="24" borderId="145" applyNumberFormat="0" applyAlignment="0" applyProtection="0"/>
    <xf numFmtId="0" fontId="28" fillId="0" borderId="174"/>
    <xf numFmtId="0" fontId="48" fillId="24" borderId="167" applyNumberFormat="0" applyAlignment="0" applyProtection="0"/>
    <xf numFmtId="0" fontId="16" fillId="24" borderId="118" applyNumberFormat="0" applyAlignment="0" applyProtection="0"/>
    <xf numFmtId="0" fontId="31" fillId="0" borderId="142" applyNumberFormat="0" applyFill="0" applyAlignment="0" applyProtection="0"/>
    <xf numFmtId="0" fontId="29" fillId="24" borderId="117" applyNumberFormat="0" applyAlignment="0" applyProtection="0"/>
    <xf numFmtId="0" fontId="31" fillId="0" borderId="151" applyNumberFormat="0" applyFill="0" applyAlignment="0" applyProtection="0"/>
    <xf numFmtId="0" fontId="41" fillId="13" borderId="111" applyNumberFormat="0" applyAlignment="0" applyProtection="0"/>
    <xf numFmtId="0" fontId="16" fillId="24" borderId="67" applyNumberFormat="0" applyAlignment="0" applyProtection="0"/>
    <xf numFmtId="0" fontId="31" fillId="0" borderId="107" applyNumberFormat="0" applyFill="0" applyAlignment="0" applyProtection="0"/>
    <xf numFmtId="0" fontId="32" fillId="24" borderId="160" applyNumberFormat="0" applyAlignment="0" applyProtection="0"/>
    <xf numFmtId="0" fontId="72" fillId="0" borderId="198" applyBorder="0">
      <alignment horizontal="center" vertical="center" wrapText="1"/>
    </xf>
    <xf numFmtId="0" fontId="31" fillId="0" borderId="199" applyNumberFormat="0" applyFill="0" applyAlignment="0" applyProtection="0"/>
    <xf numFmtId="0" fontId="31" fillId="0" borderId="100" applyNumberFormat="0" applyFill="0" applyAlignment="0" applyProtection="0"/>
    <xf numFmtId="0" fontId="29" fillId="12" borderId="101" applyNumberFormat="0" applyAlignment="0" applyProtection="0"/>
    <xf numFmtId="0" fontId="31" fillId="0" borderId="108" applyNumberFormat="0" applyFill="0" applyAlignment="0" applyProtection="0"/>
    <xf numFmtId="0" fontId="29" fillId="12" borderId="101" applyNumberFormat="0" applyAlignment="0" applyProtection="0"/>
    <xf numFmtId="0" fontId="24" fillId="24" borderId="169" applyNumberFormat="0" applyAlignment="0" applyProtection="0"/>
    <xf numFmtId="0" fontId="31" fillId="0" borderId="79" applyNumberFormat="0" applyFill="0" applyAlignment="0" applyProtection="0"/>
    <xf numFmtId="0" fontId="49" fillId="10" borderId="85" applyNumberFormat="0" applyFont="0" applyAlignment="0" applyProtection="0"/>
    <xf numFmtId="0" fontId="84" fillId="0" borderId="53"/>
    <xf numFmtId="0" fontId="25" fillId="13" borderId="187" applyNumberFormat="0" applyAlignment="0" applyProtection="0"/>
    <xf numFmtId="0" fontId="31" fillId="0" borderId="116" applyNumberFormat="0" applyFill="0" applyAlignment="0" applyProtection="0"/>
    <xf numFmtId="0" fontId="8" fillId="10" borderId="195" applyNumberFormat="0" applyFont="0" applyAlignment="0" applyProtection="0"/>
    <xf numFmtId="0" fontId="31" fillId="0" borderId="200" applyNumberFormat="0" applyFill="0" applyAlignment="0" applyProtection="0"/>
    <xf numFmtId="0" fontId="72" fillId="0" borderId="72" applyBorder="0">
      <alignment horizontal="center" vertical="center" wrapText="1"/>
    </xf>
    <xf numFmtId="0" fontId="48" fillId="24" borderId="60" applyNumberFormat="0" applyAlignment="0" applyProtection="0"/>
    <xf numFmtId="0" fontId="18" fillId="10" borderId="177" applyNumberFormat="0" applyFont="0" applyAlignment="0" applyProtection="0"/>
    <xf numFmtId="0" fontId="29" fillId="12" borderId="117" applyNumberFormat="0" applyAlignment="0" applyProtection="0"/>
    <xf numFmtId="0" fontId="18" fillId="10" borderId="195" applyNumberFormat="0" applyFont="0" applyAlignment="0" applyProtection="0"/>
    <xf numFmtId="0" fontId="48" fillId="24" borderId="118" applyNumberFormat="0" applyAlignment="0" applyProtection="0"/>
    <xf numFmtId="0" fontId="84" fillId="0" borderId="191"/>
    <xf numFmtId="0" fontId="29" fillId="24" borderId="146" applyNumberFormat="0" applyAlignment="0" applyProtection="0"/>
    <xf numFmtId="0" fontId="16" fillId="24" borderId="194" applyNumberFormat="0" applyAlignment="0" applyProtection="0"/>
    <xf numFmtId="0" fontId="25" fillId="13" borderId="194" applyNumberFormat="0" applyAlignment="0" applyProtection="0"/>
    <xf numFmtId="0" fontId="31" fillId="0" borderId="93" applyNumberFormat="0" applyFill="0" applyAlignment="0" applyProtection="0"/>
    <xf numFmtId="0" fontId="24" fillId="24" borderId="86" applyNumberFormat="0" applyAlignment="0" applyProtection="0"/>
    <xf numFmtId="0" fontId="31" fillId="0" borderId="108" applyNumberFormat="0" applyFill="0" applyAlignment="0" applyProtection="0"/>
    <xf numFmtId="0" fontId="31" fillId="0" borderId="197" applyNumberFormat="0" applyFill="0" applyAlignment="0" applyProtection="0"/>
    <xf numFmtId="0" fontId="16" fillId="24" borderId="102" applyNumberFormat="0" applyAlignment="0" applyProtection="0"/>
    <xf numFmtId="0" fontId="48" fillId="12" borderId="102" applyNumberFormat="0" applyAlignment="0" applyProtection="0"/>
    <xf numFmtId="0" fontId="48" fillId="12" borderId="118" applyNumberFormat="0" applyAlignment="0" applyProtection="0"/>
    <xf numFmtId="0" fontId="16" fillId="24" borderId="102" applyNumberFormat="0" applyAlignment="0" applyProtection="0"/>
    <xf numFmtId="0" fontId="16" fillId="24" borderId="118" applyNumberFormat="0" applyAlignment="0" applyProtection="0"/>
    <xf numFmtId="0" fontId="49" fillId="10" borderId="112" applyNumberFormat="0" applyFont="0" applyAlignment="0" applyProtection="0"/>
    <xf numFmtId="0" fontId="31" fillId="0" borderId="132" applyNumberFormat="0" applyFill="0" applyAlignment="0" applyProtection="0"/>
    <xf numFmtId="0" fontId="49" fillId="10" borderId="119" applyNumberFormat="0" applyFont="0" applyAlignment="0" applyProtection="0"/>
    <xf numFmtId="0" fontId="28" fillId="10" borderId="103" applyNumberFormat="0" applyFont="0" applyAlignment="0" applyProtection="0"/>
    <xf numFmtId="0" fontId="31" fillId="0" borderId="108" applyNumberFormat="0" applyFill="0" applyAlignment="0" applyProtection="0"/>
    <xf numFmtId="0" fontId="72" fillId="0" borderId="141" applyBorder="0">
      <alignment horizontal="center" vertical="center" wrapText="1"/>
    </xf>
    <xf numFmtId="0" fontId="16" fillId="24" borderId="67" applyNumberFormat="0" applyAlignment="0" applyProtection="0"/>
    <xf numFmtId="0" fontId="31" fillId="0" borderId="108" applyNumberFormat="0" applyFill="0" applyAlignment="0" applyProtection="0"/>
    <xf numFmtId="0" fontId="31" fillId="0" borderId="171" applyNumberFormat="0" applyFill="0" applyAlignment="0" applyProtection="0"/>
    <xf numFmtId="0" fontId="8" fillId="45" borderId="125" applyNumberFormat="0" applyFont="0" applyAlignment="0" applyProtection="0"/>
    <xf numFmtId="0" fontId="29" fillId="24" borderId="193" applyNumberFormat="0" applyAlignment="0" applyProtection="0"/>
    <xf numFmtId="0" fontId="28" fillId="10" borderId="112" applyNumberFormat="0" applyFont="0" applyAlignment="0" applyProtection="0"/>
    <xf numFmtId="0" fontId="31" fillId="0" borderId="116" applyNumberFormat="0" applyFill="0" applyAlignment="0" applyProtection="0"/>
    <xf numFmtId="0" fontId="49" fillId="10" borderId="103" applyNumberFormat="0" applyFont="0" applyAlignment="0" applyProtection="0"/>
    <xf numFmtId="0" fontId="48" fillId="24" borderId="102" applyNumberFormat="0" applyAlignment="0" applyProtection="0"/>
    <xf numFmtId="0" fontId="8" fillId="10" borderId="103" applyNumberFormat="0" applyFont="0" applyAlignment="0" applyProtection="0"/>
    <xf numFmtId="0" fontId="31" fillId="0" borderId="108" applyNumberFormat="0" applyFill="0" applyAlignment="0" applyProtection="0"/>
    <xf numFmtId="0" fontId="25" fillId="13" borderId="194" applyNumberFormat="0" applyAlignment="0" applyProtection="0"/>
    <xf numFmtId="0" fontId="8" fillId="45" borderId="83" applyNumberFormat="0" applyFont="0" applyAlignment="0" applyProtection="0"/>
    <xf numFmtId="0" fontId="24" fillId="24" borderId="120" applyNumberFormat="0" applyAlignment="0" applyProtection="0"/>
    <xf numFmtId="0" fontId="41" fillId="13" borderId="75" applyNumberFormat="0" applyAlignment="0" applyProtection="0"/>
    <xf numFmtId="0" fontId="25" fillId="13" borderId="75" applyNumberFormat="0" applyAlignment="0" applyProtection="0"/>
    <xf numFmtId="0" fontId="32" fillId="24" borderId="75" applyNumberFormat="0" applyAlignment="0" applyProtection="0"/>
    <xf numFmtId="0" fontId="32" fillId="24" borderId="84" applyNumberFormat="0" applyAlignment="0" applyProtection="0"/>
    <xf numFmtId="0" fontId="48" fillId="24" borderId="84" applyNumberFormat="0" applyAlignment="0" applyProtection="0"/>
    <xf numFmtId="0" fontId="48" fillId="24" borderId="102" applyNumberFormat="0" applyAlignment="0" applyProtection="0"/>
    <xf numFmtId="0" fontId="84" fillId="0" borderId="124"/>
    <xf numFmtId="0" fontId="28" fillId="10" borderId="119" applyNumberFormat="0" applyFont="0" applyAlignment="0" applyProtection="0"/>
    <xf numFmtId="0" fontId="28" fillId="0" borderId="174"/>
    <xf numFmtId="0" fontId="8" fillId="10" borderId="195" applyNumberFormat="0" applyFont="0" applyAlignment="0" applyProtection="0"/>
    <xf numFmtId="0" fontId="31" fillId="0" borderId="142" applyNumberFormat="0" applyFill="0" applyAlignment="0" applyProtection="0"/>
    <xf numFmtId="0" fontId="16" fillId="24" borderId="143" applyNumberFormat="0" applyAlignment="0" applyProtection="0"/>
    <xf numFmtId="0" fontId="31" fillId="0" borderId="200" applyNumberFormat="0" applyFill="0" applyAlignment="0" applyProtection="0"/>
    <xf numFmtId="0" fontId="8" fillId="10" borderId="177" applyNumberFormat="0" applyFont="0" applyAlignment="0" applyProtection="0"/>
    <xf numFmtId="0" fontId="31" fillId="0" borderId="148" applyNumberFormat="0" applyFill="0" applyAlignment="0" applyProtection="0"/>
    <xf numFmtId="0" fontId="8" fillId="10" borderId="144" applyNumberFormat="0" applyFont="0" applyAlignment="0" applyProtection="0"/>
    <xf numFmtId="0" fontId="31" fillId="0" borderId="142" applyNumberFormat="0" applyFill="0" applyAlignment="0" applyProtection="0"/>
    <xf numFmtId="0" fontId="31" fillId="0" borderId="184" applyNumberFormat="0" applyFill="0" applyAlignment="0" applyProtection="0"/>
    <xf numFmtId="0" fontId="48" fillId="24" borderId="118" applyNumberFormat="0" applyAlignment="0" applyProtection="0"/>
    <xf numFmtId="0" fontId="8" fillId="10" borderId="119" applyNumberFormat="0" applyFont="0" applyAlignment="0" applyProtection="0"/>
    <xf numFmtId="0" fontId="18" fillId="10" borderId="135" applyNumberFormat="0" applyFont="0" applyAlignment="0" applyProtection="0"/>
    <xf numFmtId="0" fontId="41" fillId="13" borderId="102" applyNumberFormat="0" applyAlignment="0" applyProtection="0"/>
    <xf numFmtId="0" fontId="29" fillId="24" borderId="101" applyNumberFormat="0" applyAlignment="0" applyProtection="0"/>
    <xf numFmtId="0" fontId="48" fillId="12" borderId="102" applyNumberFormat="0" applyAlignment="0" applyProtection="0"/>
    <xf numFmtId="0" fontId="32" fillId="24" borderId="111" applyNumberFormat="0" applyAlignment="0" applyProtection="0"/>
    <xf numFmtId="0" fontId="84" fillId="73" borderId="124"/>
    <xf numFmtId="0" fontId="16" fillId="24" borderId="118" applyNumberFormat="0" applyAlignment="0" applyProtection="0"/>
    <xf numFmtId="0" fontId="31" fillId="0" borderId="108" applyNumberFormat="0" applyFill="0" applyAlignment="0" applyProtection="0"/>
    <xf numFmtId="0" fontId="24" fillId="24" borderId="104" applyNumberFormat="0" applyAlignment="0" applyProtection="0"/>
    <xf numFmtId="0" fontId="8" fillId="10" borderId="103" applyNumberFormat="0" applyFont="0" applyAlignment="0" applyProtection="0"/>
    <xf numFmtId="0" fontId="16" fillId="24" borderId="194" applyNumberFormat="0" applyAlignment="0" applyProtection="0"/>
    <xf numFmtId="0" fontId="49" fillId="10" borderId="195" applyNumberFormat="0" applyFont="0" applyAlignment="0" applyProtection="0"/>
    <xf numFmtId="0" fontId="48" fillId="12" borderId="143" applyNumberFormat="0" applyAlignment="0" applyProtection="0"/>
    <xf numFmtId="0" fontId="32" fillId="24" borderId="67" applyNumberFormat="0" applyAlignment="0" applyProtection="0"/>
    <xf numFmtId="0" fontId="49" fillId="10" borderId="103" applyNumberFormat="0" applyFont="0" applyAlignment="0" applyProtection="0"/>
    <xf numFmtId="0" fontId="25" fillId="13" borderId="102" applyNumberFormat="0" applyAlignment="0" applyProtection="0"/>
    <xf numFmtId="0" fontId="48" fillId="24" borderId="111" applyNumberFormat="0" applyAlignment="0" applyProtection="0"/>
    <xf numFmtId="0" fontId="28" fillId="10" borderId="168" applyNumberFormat="0" applyFont="0" applyAlignment="0" applyProtection="0"/>
    <xf numFmtId="0" fontId="31" fillId="0" borderId="184" applyNumberFormat="0" applyFill="0" applyAlignment="0" applyProtection="0"/>
    <xf numFmtId="0" fontId="31" fillId="0" borderId="148" applyNumberFormat="0" applyFill="0" applyAlignment="0" applyProtection="0"/>
    <xf numFmtId="0" fontId="28" fillId="10" borderId="195" applyNumberFormat="0" applyFont="0" applyAlignment="0" applyProtection="0"/>
    <xf numFmtId="0" fontId="8" fillId="10" borderId="144" applyNumberFormat="0" applyFont="0" applyAlignment="0" applyProtection="0"/>
    <xf numFmtId="0" fontId="41" fillId="13" borderId="143" applyNumberFormat="0" applyAlignment="0" applyProtection="0"/>
    <xf numFmtId="0" fontId="41" fillId="13" borderId="167" applyNumberFormat="0" applyAlignment="0" applyProtection="0"/>
    <xf numFmtId="0" fontId="31" fillId="0" borderId="200" applyNumberFormat="0" applyFill="0" applyAlignment="0" applyProtection="0"/>
    <xf numFmtId="0" fontId="31" fillId="0" borderId="192" applyNumberFormat="0" applyFill="0" applyAlignment="0" applyProtection="0"/>
    <xf numFmtId="0" fontId="31" fillId="0" borderId="116" applyNumberFormat="0" applyFill="0" applyAlignment="0" applyProtection="0"/>
    <xf numFmtId="0" fontId="8" fillId="10" borderId="103" applyNumberFormat="0" applyFont="0" applyAlignment="0" applyProtection="0"/>
    <xf numFmtId="0" fontId="29" fillId="12" borderId="101" applyNumberFormat="0" applyAlignment="0" applyProtection="0"/>
    <xf numFmtId="0" fontId="28" fillId="0" borderId="99"/>
    <xf numFmtId="0" fontId="31" fillId="0" borderId="200" applyNumberFormat="0" applyFill="0" applyAlignment="0" applyProtection="0"/>
    <xf numFmtId="0" fontId="25" fillId="8" borderId="143" applyNumberFormat="0" applyAlignment="0" applyProtection="0"/>
    <xf numFmtId="0" fontId="29" fillId="24" borderId="78" applyNumberFormat="0" applyAlignment="0" applyProtection="0"/>
    <xf numFmtId="0" fontId="28" fillId="0" borderId="82"/>
    <xf numFmtId="0" fontId="84" fillId="73" borderId="82"/>
    <xf numFmtId="0" fontId="24" fillId="24" borderId="77" applyNumberFormat="0" applyAlignment="0" applyProtection="0"/>
    <xf numFmtId="0" fontId="8" fillId="45" borderId="83" applyNumberFormat="0" applyFont="0" applyAlignment="0" applyProtection="0"/>
    <xf numFmtId="0" fontId="84" fillId="0" borderId="82"/>
    <xf numFmtId="0" fontId="25" fillId="8" borderId="75" applyNumberFormat="0" applyAlignment="0" applyProtection="0"/>
    <xf numFmtId="0" fontId="72" fillId="0" borderId="72" applyBorder="0">
      <alignment horizontal="center" vertical="center" wrapText="1"/>
    </xf>
    <xf numFmtId="0" fontId="31" fillId="0" borderId="80" applyNumberFormat="0" applyFill="0" applyAlignment="0" applyProtection="0"/>
    <xf numFmtId="0" fontId="72" fillId="0" borderId="72" applyBorder="0">
      <alignment horizontal="center" vertical="center" wrapText="1"/>
    </xf>
    <xf numFmtId="0" fontId="31" fillId="0" borderId="74" applyNumberFormat="0" applyFill="0" applyAlignment="0" applyProtection="0"/>
    <xf numFmtId="0" fontId="29" fillId="24" borderId="78" applyNumberFormat="0" applyAlignment="0" applyProtection="0"/>
    <xf numFmtId="0" fontId="18" fillId="10" borderId="76" applyNumberFormat="0" applyFont="0" applyAlignment="0" applyProtection="0"/>
    <xf numFmtId="0" fontId="41" fillId="13" borderId="75" applyNumberFormat="0" applyAlignment="0" applyProtection="0"/>
    <xf numFmtId="0" fontId="72" fillId="0" borderId="81" applyBorder="0">
      <alignment horizontal="center" vertical="center" wrapText="1"/>
    </xf>
    <xf numFmtId="0" fontId="31" fillId="0" borderId="80" applyNumberFormat="0" applyFill="0" applyAlignment="0" applyProtection="0"/>
    <xf numFmtId="0" fontId="8" fillId="10" borderId="76" applyNumberFormat="0" applyFont="0" applyAlignment="0" applyProtection="0"/>
    <xf numFmtId="0" fontId="25" fillId="8" borderId="75" applyNumberFormat="0" applyAlignment="0" applyProtection="0"/>
    <xf numFmtId="0" fontId="48" fillId="12" borderId="75" applyNumberFormat="0" applyAlignment="0" applyProtection="0"/>
    <xf numFmtId="0" fontId="48" fillId="12" borderId="75" applyNumberFormat="0" applyAlignment="0" applyProtection="0"/>
    <xf numFmtId="0" fontId="31" fillId="0" borderId="80" applyNumberFormat="0" applyFill="0" applyAlignment="0" applyProtection="0"/>
    <xf numFmtId="0" fontId="28" fillId="10" borderId="76" applyNumberFormat="0" applyFont="0" applyAlignment="0" applyProtection="0"/>
    <xf numFmtId="0" fontId="8" fillId="10" borderId="177" applyNumberFormat="0" applyFont="0" applyAlignment="0" applyProtection="0"/>
    <xf numFmtId="0" fontId="28" fillId="10" borderId="85" applyNumberFormat="0" applyFont="0" applyAlignment="0" applyProtection="0"/>
    <xf numFmtId="0" fontId="84" fillId="0" borderId="99"/>
    <xf numFmtId="0" fontId="31" fillId="0" borderId="116" applyNumberFormat="0" applyFill="0" applyAlignment="0" applyProtection="0"/>
    <xf numFmtId="0" fontId="41" fillId="13" borderId="167" applyNumberFormat="0" applyAlignment="0" applyProtection="0"/>
    <xf numFmtId="0" fontId="25" fillId="8" borderId="167" applyNumberFormat="0" applyAlignment="0" applyProtection="0"/>
    <xf numFmtId="0" fontId="31" fillId="0" borderId="148" applyNumberFormat="0" applyFill="0" applyAlignment="0" applyProtection="0"/>
    <xf numFmtId="0" fontId="25" fillId="13" borderId="153" applyNumberFormat="0" applyAlignment="0" applyProtection="0"/>
    <xf numFmtId="0" fontId="28" fillId="10" borderId="144" applyNumberFormat="0" applyFont="0" applyAlignment="0" applyProtection="0"/>
    <xf numFmtId="0" fontId="18" fillId="10" borderId="161" applyNumberFormat="0" applyFont="0" applyAlignment="0" applyProtection="0"/>
    <xf numFmtId="0" fontId="29" fillId="12" borderId="146" applyNumberFormat="0" applyAlignment="0" applyProtection="0"/>
    <xf numFmtId="0" fontId="84" fillId="0" borderId="99"/>
    <xf numFmtId="0" fontId="48" fillId="12" borderId="102" applyNumberFormat="0" applyAlignment="0" applyProtection="0"/>
    <xf numFmtId="0" fontId="29" fillId="24" borderId="101" applyNumberFormat="0" applyAlignment="0" applyProtection="0"/>
    <xf numFmtId="0" fontId="31" fillId="0" borderId="151" applyNumberFormat="0" applyFill="0" applyAlignment="0" applyProtection="0"/>
    <xf numFmtId="0" fontId="72" fillId="0" borderId="173" applyBorder="0">
      <alignment horizontal="center" vertical="center" wrapText="1"/>
    </xf>
    <xf numFmtId="0" fontId="31" fillId="0" borderId="172" applyNumberFormat="0" applyFill="0" applyAlignment="0" applyProtection="0"/>
    <xf numFmtId="0" fontId="49" fillId="10" borderId="195" applyNumberFormat="0" applyFont="0" applyAlignment="0" applyProtection="0"/>
    <xf numFmtId="0" fontId="29" fillId="24" borderId="193" applyNumberFormat="0" applyAlignment="0" applyProtection="0"/>
    <xf numFmtId="0" fontId="31" fillId="0" borderId="142" applyNumberFormat="0" applyFill="0" applyAlignment="0" applyProtection="0"/>
    <xf numFmtId="0" fontId="18" fillId="10" borderId="144" applyNumberFormat="0" applyFont="0" applyAlignment="0" applyProtection="0"/>
    <xf numFmtId="0" fontId="31" fillId="0" borderId="123" applyNumberFormat="0" applyFill="0" applyAlignment="0" applyProtection="0"/>
    <xf numFmtId="0" fontId="31" fillId="0" borderId="123" applyNumberFormat="0" applyFill="0" applyAlignment="0" applyProtection="0"/>
    <xf numFmtId="0" fontId="31" fillId="0" borderId="121" applyNumberFormat="0" applyFill="0" applyAlignment="0" applyProtection="0"/>
    <xf numFmtId="0" fontId="32" fillId="24" borderId="203" applyNumberFormat="0" applyAlignment="0" applyProtection="0"/>
    <xf numFmtId="0" fontId="72" fillId="0" borderId="173" applyBorder="0">
      <alignment horizontal="center" vertical="center" wrapText="1"/>
    </xf>
    <xf numFmtId="0" fontId="16" fillId="24" borderId="160" applyNumberFormat="0" applyAlignment="0" applyProtection="0"/>
    <xf numFmtId="0" fontId="49" fillId="10" borderId="119" applyNumberFormat="0" applyFont="0" applyAlignment="0" applyProtection="0"/>
    <xf numFmtId="0" fontId="25" fillId="13" borderId="118" applyNumberFormat="0" applyAlignment="0" applyProtection="0"/>
    <xf numFmtId="0" fontId="8" fillId="10" borderId="119" applyNumberFormat="0" applyFont="0" applyAlignment="0" applyProtection="0"/>
    <xf numFmtId="0" fontId="48" fillId="12" borderId="167" applyNumberFormat="0" applyAlignment="0" applyProtection="0"/>
    <xf numFmtId="0" fontId="28" fillId="0" borderId="180"/>
    <xf numFmtId="0" fontId="48" fillId="12" borderId="194" applyNumberFormat="0" applyAlignment="0" applyProtection="0"/>
    <xf numFmtId="0" fontId="48" fillId="12" borderId="118" applyNumberFormat="0" applyAlignment="0" applyProtection="0"/>
    <xf numFmtId="0" fontId="29" fillId="24" borderId="117" applyNumberFormat="0" applyAlignment="0" applyProtection="0"/>
    <xf numFmtId="0" fontId="28" fillId="10" borderId="144" applyNumberFormat="0" applyFont="0" applyAlignment="0" applyProtection="0"/>
    <xf numFmtId="0" fontId="8" fillId="10" borderId="177" applyNumberFormat="0" applyFont="0" applyAlignment="0" applyProtection="0"/>
    <xf numFmtId="0" fontId="28" fillId="10" borderId="85" applyNumberFormat="0" applyFont="0" applyAlignment="0" applyProtection="0"/>
    <xf numFmtId="0" fontId="8" fillId="10" borderId="168" applyNumberFormat="0" applyFont="0" applyAlignment="0" applyProtection="0"/>
    <xf numFmtId="0" fontId="84" fillId="0" borderId="88"/>
    <xf numFmtId="0" fontId="18" fillId="10" borderId="96" applyNumberFormat="0" applyFont="0" applyAlignment="0" applyProtection="0"/>
    <xf numFmtId="0" fontId="31" fillId="0" borderId="200" applyNumberFormat="0" applyFill="0" applyAlignment="0" applyProtection="0"/>
    <xf numFmtId="0" fontId="28" fillId="0" borderId="53"/>
    <xf numFmtId="0" fontId="28" fillId="0" borderId="53"/>
    <xf numFmtId="0" fontId="8" fillId="45" borderId="59" applyNumberFormat="0" applyFont="0" applyAlignment="0" applyProtection="0"/>
    <xf numFmtId="0" fontId="49" fillId="10" borderId="50" applyNumberFormat="0" applyFont="0" applyAlignment="0" applyProtection="0"/>
    <xf numFmtId="0" fontId="29" fillId="24" borderId="56" applyNumberFormat="0" applyAlignment="0" applyProtection="0"/>
    <xf numFmtId="0" fontId="29" fillId="24" borderId="56" applyNumberFormat="0" applyAlignment="0" applyProtection="0"/>
    <xf numFmtId="0" fontId="31" fillId="0" borderId="55" applyNumberFormat="0" applyFill="0" applyAlignment="0" applyProtection="0"/>
    <xf numFmtId="0" fontId="8" fillId="10" borderId="50" applyNumberFormat="0" applyFont="0" applyAlignment="0" applyProtection="0"/>
    <xf numFmtId="0" fontId="8" fillId="10" borderId="50" applyNumberFormat="0" applyFont="0" applyAlignment="0" applyProtection="0"/>
    <xf numFmtId="0" fontId="25" fillId="13" borderId="118" applyNumberFormat="0" applyAlignment="0" applyProtection="0"/>
    <xf numFmtId="0" fontId="31" fillId="0" borderId="52" applyNumberFormat="0" applyFill="0" applyAlignment="0" applyProtection="0"/>
    <xf numFmtId="0" fontId="31" fillId="0" borderId="52" applyNumberFormat="0" applyFill="0" applyAlignment="0" applyProtection="0"/>
    <xf numFmtId="0" fontId="84" fillId="0" borderId="88"/>
    <xf numFmtId="0" fontId="28" fillId="10" borderId="195" applyNumberFormat="0" applyFont="0" applyAlignment="0" applyProtection="0"/>
    <xf numFmtId="0" fontId="28" fillId="10" borderId="195" applyNumberFormat="0" applyFont="0" applyAlignment="0" applyProtection="0"/>
    <xf numFmtId="0" fontId="18" fillId="10" borderId="144" applyNumberFormat="0" applyFont="0" applyAlignment="0" applyProtection="0"/>
    <xf numFmtId="0" fontId="31" fillId="0" borderId="200" applyNumberFormat="0" applyFill="0" applyAlignment="0" applyProtection="0"/>
    <xf numFmtId="0" fontId="16" fillId="24" borderId="95" applyNumberFormat="0" applyAlignment="0" applyProtection="0"/>
    <xf numFmtId="0" fontId="72" fillId="0" borderId="89" applyBorder="0">
      <alignment horizontal="center" vertical="center" wrapText="1"/>
    </xf>
    <xf numFmtId="0" fontId="49" fillId="10" borderId="144" applyNumberFormat="0" applyFont="0" applyAlignment="0" applyProtection="0"/>
    <xf numFmtId="0" fontId="31" fillId="0" borderId="148" applyNumberFormat="0" applyFill="0" applyAlignment="0" applyProtection="0"/>
    <xf numFmtId="0" fontId="31" fillId="0" borderId="166" applyNumberFormat="0" applyFill="0" applyAlignment="0" applyProtection="0"/>
    <xf numFmtId="0" fontId="84" fillId="0" borderId="180"/>
    <xf numFmtId="0" fontId="31" fillId="0" borderId="90" applyNumberFormat="0" applyFill="0" applyAlignment="0" applyProtection="0"/>
    <xf numFmtId="0" fontId="31" fillId="0" borderId="90" applyNumberFormat="0" applyFill="0" applyAlignment="0" applyProtection="0"/>
    <xf numFmtId="0" fontId="29" fillId="24" borderId="91" applyNumberFormat="0" applyAlignment="0" applyProtection="0"/>
    <xf numFmtId="0" fontId="72" fillId="0" borderId="109" applyBorder="0">
      <alignment horizontal="center" vertical="center" wrapText="1"/>
    </xf>
    <xf numFmtId="0" fontId="16" fillId="24" borderId="194" applyNumberFormat="0" applyAlignment="0" applyProtection="0"/>
    <xf numFmtId="0" fontId="29" fillId="12" borderId="193" applyNumberFormat="0" applyAlignment="0" applyProtection="0"/>
    <xf numFmtId="0" fontId="48" fillId="24" borderId="75" applyNumberFormat="0" applyAlignment="0" applyProtection="0"/>
    <xf numFmtId="0" fontId="28" fillId="10" borderId="103" applyNumberFormat="0" applyFont="0" applyAlignment="0" applyProtection="0"/>
    <xf numFmtId="0" fontId="31" fillId="0" borderId="172" applyNumberFormat="0" applyFill="0" applyAlignment="0" applyProtection="0"/>
    <xf numFmtId="0" fontId="49" fillId="10" borderId="128" applyNumberFormat="0" applyFont="0" applyAlignment="0" applyProtection="0"/>
    <xf numFmtId="0" fontId="16" fillId="24" borderId="143" applyNumberFormat="0" applyAlignment="0" applyProtection="0"/>
    <xf numFmtId="0" fontId="48" fillId="12" borderId="167" applyNumberFormat="0" applyAlignment="0" applyProtection="0"/>
    <xf numFmtId="0" fontId="31" fillId="0" borderId="185" applyNumberFormat="0" applyFill="0" applyAlignment="0" applyProtection="0"/>
    <xf numFmtId="0" fontId="28" fillId="10" borderId="144" applyNumberFormat="0" applyFont="0" applyAlignment="0" applyProtection="0"/>
    <xf numFmtId="0" fontId="41" fillId="13" borderId="194" applyNumberFormat="0" applyAlignment="0" applyProtection="0"/>
    <xf numFmtId="0" fontId="24" fillId="24" borderId="162" applyNumberFormat="0" applyAlignment="0" applyProtection="0"/>
    <xf numFmtId="0" fontId="24" fillId="24" borderId="113" applyNumberFormat="0" applyAlignment="0" applyProtection="0"/>
    <xf numFmtId="0" fontId="29" fillId="24" borderId="193" applyNumberFormat="0" applyAlignment="0" applyProtection="0"/>
    <xf numFmtId="0" fontId="28" fillId="10" borderId="144" applyNumberFormat="0" applyFont="0" applyAlignment="0" applyProtection="0"/>
    <xf numFmtId="0" fontId="72" fillId="0" borderId="48" applyBorder="0">
      <alignment horizontal="center" vertical="center" wrapText="1"/>
    </xf>
    <xf numFmtId="0" fontId="72" fillId="0" borderId="48" applyBorder="0">
      <alignment horizontal="center" vertical="center" wrapText="1"/>
    </xf>
    <xf numFmtId="0" fontId="24" fillId="24" borderId="178" applyNumberFormat="0" applyAlignment="0" applyProtection="0"/>
    <xf numFmtId="0" fontId="84" fillId="0" borderId="149"/>
    <xf numFmtId="0" fontId="41" fillId="13" borderId="194" applyNumberFormat="0" applyAlignment="0" applyProtection="0"/>
    <xf numFmtId="0" fontId="31" fillId="0" borderId="171" applyNumberFormat="0" applyFill="0" applyAlignment="0" applyProtection="0"/>
    <xf numFmtId="0" fontId="29" fillId="24" borderId="91" applyNumberFormat="0" applyAlignment="0" applyProtection="0"/>
    <xf numFmtId="0" fontId="28" fillId="10" borderId="85" applyNumberFormat="0" applyFont="0" applyAlignment="0" applyProtection="0"/>
    <xf numFmtId="0" fontId="31" fillId="0" borderId="121" applyNumberFormat="0" applyFill="0" applyAlignment="0" applyProtection="0"/>
    <xf numFmtId="0" fontId="25" fillId="13" borderId="67" applyNumberFormat="0" applyAlignment="0" applyProtection="0"/>
    <xf numFmtId="0" fontId="24" fillId="24" borderId="145" applyNumberFormat="0" applyAlignment="0" applyProtection="0"/>
    <xf numFmtId="0" fontId="25" fillId="13" borderId="102" applyNumberFormat="0" applyAlignment="0" applyProtection="0"/>
    <xf numFmtId="0" fontId="31" fillId="0" borderId="185" applyNumberFormat="0" applyFill="0" applyAlignment="0" applyProtection="0"/>
    <xf numFmtId="0" fontId="16" fillId="24" borderId="118" applyNumberFormat="0" applyAlignment="0" applyProtection="0"/>
    <xf numFmtId="0" fontId="31" fillId="0" borderId="192" applyNumberFormat="0" applyFill="0" applyAlignment="0" applyProtection="0"/>
    <xf numFmtId="0" fontId="72" fillId="0" borderId="109" applyBorder="0">
      <alignment horizontal="center" vertical="center" wrapText="1"/>
    </xf>
    <xf numFmtId="0" fontId="24" fillId="24" borderId="145" applyNumberFormat="0" applyAlignment="0" applyProtection="0"/>
    <xf numFmtId="0" fontId="48" fillId="24" borderId="102" applyNumberFormat="0" applyAlignment="0" applyProtection="0"/>
    <xf numFmtId="0" fontId="29" fillId="12" borderId="101" applyNumberFormat="0" applyAlignment="0" applyProtection="0"/>
    <xf numFmtId="0" fontId="31" fillId="0" borderId="179" applyNumberFormat="0" applyFill="0" applyAlignment="0" applyProtection="0"/>
    <xf numFmtId="0" fontId="31" fillId="0" borderId="147" applyNumberFormat="0" applyFill="0" applyAlignment="0" applyProtection="0"/>
    <xf numFmtId="0" fontId="28" fillId="10" borderId="168" applyNumberFormat="0" applyFont="0" applyAlignment="0" applyProtection="0"/>
    <xf numFmtId="0" fontId="25" fillId="8" borderId="102" applyNumberFormat="0" applyAlignment="0" applyProtection="0"/>
    <xf numFmtId="0" fontId="29" fillId="24" borderId="133" applyNumberFormat="0" applyAlignment="0" applyProtection="0"/>
    <xf numFmtId="0" fontId="16" fillId="24" borderId="167" applyNumberFormat="0" applyAlignment="0" applyProtection="0"/>
    <xf numFmtId="0" fontId="31" fillId="0" borderId="108" applyNumberFormat="0" applyFill="0" applyAlignment="0" applyProtection="0"/>
    <xf numFmtId="0" fontId="29" fillId="24" borderId="170" applyNumberFormat="0" applyAlignment="0" applyProtection="0"/>
    <xf numFmtId="0" fontId="41" fillId="13" borderId="118" applyNumberFormat="0" applyAlignment="0" applyProtection="0"/>
    <xf numFmtId="0" fontId="8" fillId="10" borderId="177" applyNumberFormat="0" applyFont="0" applyAlignment="0" applyProtection="0"/>
    <xf numFmtId="0" fontId="28" fillId="10" borderId="177" applyNumberFormat="0" applyFont="0" applyAlignment="0" applyProtection="0"/>
    <xf numFmtId="0" fontId="8" fillId="10" borderId="195" applyNumberFormat="0" applyFont="0" applyAlignment="0" applyProtection="0"/>
    <xf numFmtId="0" fontId="48" fillId="12" borderId="118" applyNumberFormat="0" applyAlignment="0" applyProtection="0"/>
    <xf numFmtId="0" fontId="41" fillId="13" borderId="102" applyNumberFormat="0" applyAlignment="0" applyProtection="0"/>
    <xf numFmtId="0" fontId="31" fillId="0" borderId="185" applyNumberFormat="0" applyFill="0" applyAlignment="0" applyProtection="0"/>
    <xf numFmtId="0" fontId="8" fillId="10" borderId="85" applyNumberFormat="0" applyFont="0" applyAlignment="0" applyProtection="0"/>
    <xf numFmtId="0" fontId="31" fillId="0" borderId="142" applyNumberFormat="0" applyFill="0" applyAlignment="0" applyProtection="0"/>
    <xf numFmtId="0" fontId="24" fillId="24" borderId="77" applyNumberFormat="0" applyAlignment="0" applyProtection="0"/>
    <xf numFmtId="0" fontId="31" fillId="0" borderId="105" applyNumberFormat="0" applyFill="0" applyAlignment="0" applyProtection="0"/>
    <xf numFmtId="0" fontId="41" fillId="13" borderId="111" applyNumberFormat="0" applyAlignment="0" applyProtection="0"/>
    <xf numFmtId="0" fontId="28" fillId="10" borderId="85" applyNumberFormat="0" applyFont="0" applyAlignment="0" applyProtection="0"/>
    <xf numFmtId="0" fontId="28" fillId="0" borderId="99"/>
    <xf numFmtId="0" fontId="31" fillId="0" borderId="192" applyNumberFormat="0" applyFill="0" applyAlignment="0" applyProtection="0"/>
    <xf numFmtId="0" fontId="28" fillId="0" borderId="191"/>
    <xf numFmtId="0" fontId="18" fillId="10" borderId="168" applyNumberFormat="0" applyFont="0" applyAlignment="0" applyProtection="0"/>
    <xf numFmtId="0" fontId="72" fillId="0" borderId="164" applyBorder="0">
      <alignment horizontal="center" vertical="center" wrapText="1"/>
    </xf>
    <xf numFmtId="0" fontId="16" fillId="24" borderId="167" applyNumberFormat="0" applyAlignment="0" applyProtection="0"/>
    <xf numFmtId="0" fontId="31" fillId="0" borderId="166" applyNumberFormat="0" applyFill="0" applyAlignment="0" applyProtection="0"/>
    <xf numFmtId="0" fontId="48" fillId="12" borderId="194" applyNumberFormat="0" applyAlignment="0" applyProtection="0"/>
    <xf numFmtId="0" fontId="29" fillId="24" borderId="193" applyNumberFormat="0" applyAlignment="0" applyProtection="0"/>
    <xf numFmtId="0" fontId="49" fillId="10" borderId="76" applyNumberFormat="0" applyFont="0" applyAlignment="0" applyProtection="0"/>
    <xf numFmtId="0" fontId="29" fillId="24" borderId="117" applyNumberFormat="0" applyAlignment="0" applyProtection="0"/>
    <xf numFmtId="0" fontId="25" fillId="8" borderId="194" applyNumberFormat="0" applyAlignment="0" applyProtection="0"/>
    <xf numFmtId="0" fontId="84" fillId="73" borderId="124"/>
    <xf numFmtId="0" fontId="28" fillId="0" borderId="82"/>
    <xf numFmtId="0" fontId="24" fillId="24" borderId="120" applyNumberFormat="0" applyAlignment="0" applyProtection="0"/>
    <xf numFmtId="0" fontId="31" fillId="0" borderId="79" applyNumberFormat="0" applyFill="0" applyAlignment="0" applyProtection="0"/>
    <xf numFmtId="0" fontId="28" fillId="0" borderId="149"/>
    <xf numFmtId="0" fontId="84" fillId="0" borderId="82"/>
    <xf numFmtId="0" fontId="84" fillId="0" borderId="82"/>
    <xf numFmtId="0" fontId="48" fillId="12" borderId="75" applyNumberFormat="0" applyAlignment="0" applyProtection="0"/>
    <xf numFmtId="0" fontId="29" fillId="12" borderId="78" applyNumberFormat="0" applyAlignment="0" applyProtection="0"/>
    <xf numFmtId="0" fontId="31" fillId="0" borderId="80" applyNumberFormat="0" applyFill="0" applyAlignment="0" applyProtection="0"/>
    <xf numFmtId="0" fontId="31" fillId="0" borderId="166" applyNumberFormat="0" applyFill="0" applyAlignment="0" applyProtection="0"/>
    <xf numFmtId="0" fontId="16" fillId="24" borderId="143" applyNumberFormat="0" applyAlignment="0" applyProtection="0"/>
    <xf numFmtId="0" fontId="72" fillId="0" borderId="81" applyBorder="0">
      <alignment horizontal="center" vertical="center" wrapText="1"/>
    </xf>
    <xf numFmtId="0" fontId="29" fillId="24" borderId="78" applyNumberFormat="0" applyAlignment="0" applyProtection="0"/>
    <xf numFmtId="0" fontId="29" fillId="24" borderId="78" applyNumberFormat="0" applyAlignment="0" applyProtection="0"/>
    <xf numFmtId="0" fontId="31" fillId="0" borderId="74" applyNumberFormat="0" applyFill="0" applyAlignment="0" applyProtection="0"/>
    <xf numFmtId="0" fontId="31" fillId="0" borderId="74" applyNumberFormat="0" applyFill="0" applyAlignment="0" applyProtection="0"/>
    <xf numFmtId="0" fontId="48" fillId="24" borderId="75" applyNumberFormat="0" applyAlignment="0" applyProtection="0"/>
    <xf numFmtId="0" fontId="48" fillId="12" borderId="75" applyNumberFormat="0" applyAlignment="0" applyProtection="0"/>
    <xf numFmtId="0" fontId="48" fillId="12" borderId="75" applyNumberFormat="0" applyAlignment="0" applyProtection="0"/>
    <xf numFmtId="0" fontId="25" fillId="8" borderId="75" applyNumberFormat="0" applyAlignment="0" applyProtection="0"/>
    <xf numFmtId="0" fontId="8" fillId="10" borderId="76" applyNumberFormat="0" applyFont="0" applyAlignment="0" applyProtection="0"/>
    <xf numFmtId="0" fontId="8" fillId="10" borderId="76" applyNumberFormat="0" applyFont="0" applyAlignment="0" applyProtection="0"/>
    <xf numFmtId="0" fontId="24" fillId="24" borderId="77" applyNumberFormat="0" applyAlignment="0" applyProtection="0"/>
    <xf numFmtId="0" fontId="31" fillId="0" borderId="79" applyNumberFormat="0" applyFill="0" applyAlignment="0" applyProtection="0"/>
    <xf numFmtId="0" fontId="31" fillId="0" borderId="79" applyNumberFormat="0" applyFill="0" applyAlignment="0" applyProtection="0"/>
    <xf numFmtId="0" fontId="31" fillId="0" borderId="80" applyNumberFormat="0" applyFill="0" applyAlignment="0" applyProtection="0"/>
    <xf numFmtId="0" fontId="32" fillId="24" borderId="75" applyNumberFormat="0" applyAlignment="0" applyProtection="0"/>
    <xf numFmtId="0" fontId="16" fillId="24" borderId="75" applyNumberFormat="0" applyAlignment="0" applyProtection="0"/>
    <xf numFmtId="0" fontId="41" fillId="13" borderId="75" applyNumberFormat="0" applyAlignment="0" applyProtection="0"/>
    <xf numFmtId="0" fontId="25" fillId="13" borderId="75" applyNumberFormat="0" applyAlignment="0" applyProtection="0"/>
    <xf numFmtId="0" fontId="25" fillId="13" borderId="75" applyNumberFormat="0" applyAlignment="0" applyProtection="0"/>
    <xf numFmtId="0" fontId="18" fillId="10" borderId="76" applyNumberFormat="0" applyFont="0" applyAlignment="0" applyProtection="0"/>
    <xf numFmtId="0" fontId="28" fillId="10" borderId="76" applyNumberFormat="0" applyFont="0" applyAlignment="0" applyProtection="0"/>
    <xf numFmtId="0" fontId="8" fillId="10" borderId="76" applyNumberFormat="0" applyFont="0" applyAlignment="0" applyProtection="0"/>
    <xf numFmtId="0" fontId="24" fillId="24" borderId="77" applyNumberFormat="0" applyAlignment="0" applyProtection="0"/>
    <xf numFmtId="0" fontId="29" fillId="24" borderId="78" applyNumberFormat="0" applyAlignment="0" applyProtection="0"/>
    <xf numFmtId="0" fontId="29" fillId="24" borderId="78" applyNumberFormat="0" applyAlignment="0" applyProtection="0"/>
    <xf numFmtId="0" fontId="31" fillId="0" borderId="73" applyNumberFormat="0" applyFill="0" applyAlignment="0" applyProtection="0"/>
    <xf numFmtId="0" fontId="31" fillId="0" borderId="74" applyNumberFormat="0" applyFill="0" applyAlignment="0" applyProtection="0"/>
    <xf numFmtId="0" fontId="48" fillId="24" borderId="75" applyNumberFormat="0" applyAlignment="0" applyProtection="0"/>
    <xf numFmtId="0" fontId="28" fillId="0" borderId="82"/>
    <xf numFmtId="0" fontId="8" fillId="10" borderId="76" applyNumberFormat="0" applyFont="0" applyAlignment="0" applyProtection="0"/>
    <xf numFmtId="0" fontId="49" fillId="10" borderId="76" applyNumberFormat="0" applyFont="0" applyAlignment="0" applyProtection="0"/>
    <xf numFmtId="0" fontId="8" fillId="45" borderId="83" applyNumberFormat="0" applyFont="0" applyAlignment="0" applyProtection="0"/>
    <xf numFmtId="0" fontId="48" fillId="12" borderId="75" applyNumberFormat="0" applyAlignment="0" applyProtection="0"/>
    <xf numFmtId="0" fontId="29" fillId="12" borderId="78" applyNumberFormat="0" applyAlignment="0" applyProtection="0"/>
    <xf numFmtId="0" fontId="31" fillId="0" borderId="80" applyNumberFormat="0" applyFill="0" applyAlignment="0" applyProtection="0"/>
    <xf numFmtId="0" fontId="16" fillId="24" borderId="75" applyNumberFormat="0" applyAlignment="0" applyProtection="0"/>
    <xf numFmtId="0" fontId="31" fillId="0" borderId="73" applyNumberFormat="0" applyFill="0" applyAlignment="0" applyProtection="0"/>
    <xf numFmtId="0" fontId="31" fillId="0" borderId="74" applyNumberFormat="0" applyFill="0" applyAlignment="0" applyProtection="0"/>
    <xf numFmtId="0" fontId="31" fillId="0" borderId="74" applyNumberFormat="0" applyFill="0" applyAlignment="0" applyProtection="0"/>
    <xf numFmtId="0" fontId="72" fillId="0" borderId="81" applyBorder="0">
      <alignment horizontal="center" vertical="center" wrapText="1"/>
    </xf>
    <xf numFmtId="0" fontId="31" fillId="0" borderId="74" applyNumberFormat="0" applyFill="0" applyAlignment="0" applyProtection="0"/>
    <xf numFmtId="0" fontId="31" fillId="0" borderId="73" applyNumberFormat="0" applyFill="0" applyAlignment="0" applyProtection="0"/>
    <xf numFmtId="0" fontId="31" fillId="0" borderId="74" applyNumberFormat="0" applyFill="0" applyAlignment="0" applyProtection="0"/>
    <xf numFmtId="0" fontId="41" fillId="13" borderId="75" applyNumberFormat="0" applyAlignment="0" applyProtection="0"/>
    <xf numFmtId="0" fontId="25" fillId="8" borderId="75" applyNumberFormat="0" applyAlignment="0" applyProtection="0"/>
    <xf numFmtId="0" fontId="8" fillId="10" borderId="76" applyNumberFormat="0" applyFont="0" applyAlignment="0" applyProtection="0"/>
    <xf numFmtId="0" fontId="49" fillId="10" borderId="76" applyNumberFormat="0" applyFont="0" applyAlignment="0" applyProtection="0"/>
    <xf numFmtId="0" fontId="31" fillId="0" borderId="79" applyNumberFormat="0" applyFill="0" applyAlignment="0" applyProtection="0"/>
    <xf numFmtId="0" fontId="31" fillId="0" borderId="79" applyNumberFormat="0" applyFill="0" applyAlignment="0" applyProtection="0"/>
    <xf numFmtId="0" fontId="72" fillId="0" borderId="72" applyBorder="0">
      <alignment horizontal="center" vertical="center" wrapText="1"/>
    </xf>
    <xf numFmtId="0" fontId="49" fillId="10" borderId="76" applyNumberFormat="0" applyFont="0" applyAlignment="0" applyProtection="0"/>
    <xf numFmtId="0" fontId="48" fillId="24" borderId="75" applyNumberFormat="0" applyAlignment="0" applyProtection="0"/>
    <xf numFmtId="0" fontId="8" fillId="10" borderId="76" applyNumberFormat="0" applyFont="0" applyAlignment="0" applyProtection="0"/>
    <xf numFmtId="0" fontId="25" fillId="13" borderId="75" applyNumberFormat="0" applyAlignment="0" applyProtection="0"/>
    <xf numFmtId="0" fontId="31" fillId="0" borderId="73" applyNumberFormat="0" applyFill="0" applyAlignment="0" applyProtection="0"/>
    <xf numFmtId="0" fontId="31" fillId="0" borderId="80" applyNumberFormat="0" applyFill="0" applyAlignment="0" applyProtection="0"/>
    <xf numFmtId="0" fontId="8" fillId="10" borderId="76" applyNumberFormat="0" applyFont="0" applyAlignment="0" applyProtection="0"/>
    <xf numFmtId="0" fontId="49" fillId="10" borderId="76" applyNumberFormat="0" applyFont="0" applyAlignment="0" applyProtection="0"/>
    <xf numFmtId="0" fontId="24" fillId="24" borderId="77" applyNumberFormat="0" applyAlignment="0" applyProtection="0"/>
    <xf numFmtId="0" fontId="31" fillId="0" borderId="79" applyNumberFormat="0" applyFill="0" applyAlignment="0" applyProtection="0"/>
    <xf numFmtId="0" fontId="32" fillId="24" borderId="75" applyNumberFormat="0" applyAlignment="0" applyProtection="0"/>
    <xf numFmtId="0" fontId="16" fillId="24" borderId="75" applyNumberFormat="0" applyAlignment="0" applyProtection="0"/>
    <xf numFmtId="0" fontId="25" fillId="13" borderId="75" applyNumberFormat="0" applyAlignment="0" applyProtection="0"/>
    <xf numFmtId="0" fontId="28" fillId="10" borderId="76" applyNumberFormat="0" applyFont="0" applyAlignment="0" applyProtection="0"/>
    <xf numFmtId="0" fontId="29" fillId="24" borderId="78" applyNumberFormat="0" applyAlignment="0" applyProtection="0"/>
    <xf numFmtId="0" fontId="29" fillId="24" borderId="78" applyNumberFormat="0" applyAlignment="0" applyProtection="0"/>
    <xf numFmtId="0" fontId="16" fillId="24" borderId="75" applyNumberFormat="0" applyAlignment="0" applyProtection="0"/>
    <xf numFmtId="0" fontId="25" fillId="13" borderId="75" applyNumberFormat="0" applyAlignment="0" applyProtection="0"/>
    <xf numFmtId="0" fontId="25" fillId="13" borderId="75" applyNumberFormat="0" applyAlignment="0" applyProtection="0"/>
    <xf numFmtId="0" fontId="18" fillId="10" borderId="76" applyNumberFormat="0" applyFont="0" applyAlignment="0" applyProtection="0"/>
    <xf numFmtId="0" fontId="24" fillId="24" borderId="77" applyNumberFormat="0" applyAlignment="0" applyProtection="0"/>
    <xf numFmtId="0" fontId="48" fillId="12" borderId="194" applyNumberFormat="0" applyAlignment="0" applyProtection="0"/>
    <xf numFmtId="0" fontId="31" fillId="0" borderId="166" applyNumberFormat="0" applyFill="0" applyAlignment="0" applyProtection="0"/>
    <xf numFmtId="0" fontId="25" fillId="13" borderId="134" applyNumberFormat="0" applyAlignment="0" applyProtection="0"/>
    <xf numFmtId="0" fontId="28" fillId="0" borderId="149"/>
    <xf numFmtId="0" fontId="28" fillId="10" borderId="119" applyNumberFormat="0" applyFont="0" applyAlignment="0" applyProtection="0"/>
    <xf numFmtId="0" fontId="48" fillId="12" borderId="118" applyNumberFormat="0" applyAlignment="0" applyProtection="0"/>
    <xf numFmtId="0" fontId="24" fillId="24" borderId="169" applyNumberFormat="0" applyAlignment="0" applyProtection="0"/>
    <xf numFmtId="0" fontId="48" fillId="24" borderId="102" applyNumberFormat="0" applyAlignment="0" applyProtection="0"/>
    <xf numFmtId="0" fontId="25" fillId="13" borderId="118" applyNumberFormat="0" applyAlignment="0" applyProtection="0"/>
    <xf numFmtId="0" fontId="31" fillId="0" borderId="172" applyNumberFormat="0" applyFill="0" applyAlignment="0" applyProtection="0"/>
    <xf numFmtId="0" fontId="49" fillId="10" borderId="177" applyNumberFormat="0" applyFont="0" applyAlignment="0" applyProtection="0"/>
    <xf numFmtId="0" fontId="48" fillId="12" borderId="118" applyNumberFormat="0" applyAlignment="0" applyProtection="0"/>
    <xf numFmtId="0" fontId="32" fillId="24" borderId="194" applyNumberFormat="0" applyAlignment="0" applyProtection="0"/>
    <xf numFmtId="0" fontId="16" fillId="24" borderId="143" applyNumberFormat="0" applyAlignment="0" applyProtection="0"/>
    <xf numFmtId="0" fontId="28" fillId="10" borderId="168" applyNumberFormat="0" applyFont="0" applyAlignment="0" applyProtection="0"/>
    <xf numFmtId="0" fontId="49" fillId="10" borderId="177" applyNumberFormat="0" applyFont="0" applyAlignment="0" applyProtection="0"/>
    <xf numFmtId="0" fontId="48" fillId="24" borderId="102" applyNumberFormat="0" applyAlignment="0" applyProtection="0"/>
    <xf numFmtId="0" fontId="31" fillId="0" borderId="105" applyNumberFormat="0" applyFill="0" applyAlignment="0" applyProtection="0"/>
    <xf numFmtId="0" fontId="28" fillId="10" borderId="188" applyNumberFormat="0" applyFont="0" applyAlignment="0" applyProtection="0"/>
    <xf numFmtId="0" fontId="24" fillId="24" borderId="145" applyNumberFormat="0" applyAlignment="0" applyProtection="0"/>
    <xf numFmtId="0" fontId="16" fillId="24" borderId="194" applyNumberFormat="0" applyAlignment="0" applyProtection="0"/>
    <xf numFmtId="0" fontId="84" fillId="0" borderId="191"/>
    <xf numFmtId="0" fontId="8" fillId="10" borderId="177" applyNumberFormat="0" applyFont="0" applyAlignment="0" applyProtection="0"/>
    <xf numFmtId="0" fontId="48" fillId="12" borderId="143" applyNumberFormat="0" applyAlignment="0" applyProtection="0"/>
    <xf numFmtId="0" fontId="29" fillId="24" borderId="146" applyNumberFormat="0" applyAlignment="0" applyProtection="0"/>
    <xf numFmtId="0" fontId="32" fillId="24" borderId="194" applyNumberFormat="0" applyAlignment="0" applyProtection="0"/>
    <xf numFmtId="0" fontId="16" fillId="24" borderId="194" applyNumberFormat="0" applyAlignment="0" applyProtection="0"/>
    <xf numFmtId="0" fontId="25" fillId="8" borderId="102" applyNumberFormat="0" applyAlignment="0" applyProtection="0"/>
    <xf numFmtId="0" fontId="25" fillId="13" borderId="102" applyNumberFormat="0" applyAlignment="0" applyProtection="0"/>
    <xf numFmtId="0" fontId="29" fillId="24" borderId="101" applyNumberFormat="0" applyAlignment="0" applyProtection="0"/>
    <xf numFmtId="0" fontId="25" fillId="8" borderId="102" applyNumberFormat="0" applyAlignment="0" applyProtection="0"/>
    <xf numFmtId="0" fontId="24" fillId="24" borderId="104" applyNumberFormat="0" applyAlignment="0" applyProtection="0"/>
    <xf numFmtId="0" fontId="31" fillId="0" borderId="108" applyNumberFormat="0" applyFill="0" applyAlignment="0" applyProtection="0"/>
    <xf numFmtId="0" fontId="8" fillId="10" borderId="103" applyNumberFormat="0" applyFont="0" applyAlignment="0" applyProtection="0"/>
    <xf numFmtId="0" fontId="31" fillId="0" borderId="100" applyNumberFormat="0" applyFill="0" applyAlignment="0" applyProtection="0"/>
    <xf numFmtId="0" fontId="31" fillId="0" borderId="105" applyNumberFormat="0" applyFill="0" applyAlignment="0" applyProtection="0"/>
    <xf numFmtId="0" fontId="25" fillId="13" borderId="102" applyNumberFormat="0" applyAlignment="0" applyProtection="0"/>
    <xf numFmtId="0" fontId="31" fillId="0" borderId="100" applyNumberFormat="0" applyFill="0" applyAlignment="0" applyProtection="0"/>
    <xf numFmtId="0" fontId="25" fillId="13" borderId="102" applyNumberFormat="0" applyAlignment="0" applyProtection="0"/>
    <xf numFmtId="0" fontId="8" fillId="10" borderId="103" applyNumberFormat="0" applyFont="0" applyAlignment="0" applyProtection="0"/>
    <xf numFmtId="0" fontId="28" fillId="0" borderId="99"/>
    <xf numFmtId="0" fontId="41" fillId="13" borderId="194" applyNumberFormat="0" applyAlignment="0" applyProtection="0"/>
    <xf numFmtId="0" fontId="28" fillId="0" borderId="124"/>
    <xf numFmtId="0" fontId="25" fillId="8" borderId="118" applyNumberFormat="0" applyAlignment="0" applyProtection="0"/>
    <xf numFmtId="0" fontId="29" fillId="24" borderId="117" applyNumberFormat="0" applyAlignment="0" applyProtection="0"/>
    <xf numFmtId="0" fontId="31" fillId="0" borderId="148" applyNumberFormat="0" applyFill="0" applyAlignment="0" applyProtection="0"/>
    <xf numFmtId="0" fontId="84" fillId="73" borderId="124"/>
    <xf numFmtId="0" fontId="49" fillId="10" borderId="195" applyNumberFormat="0" applyFont="0" applyAlignment="0" applyProtection="0"/>
    <xf numFmtId="0" fontId="84" fillId="0" borderId="124"/>
    <xf numFmtId="0" fontId="8" fillId="45" borderId="94" applyNumberFormat="0" applyFont="0" applyAlignment="0" applyProtection="0"/>
    <xf numFmtId="0" fontId="31" fillId="0" borderId="166" applyNumberFormat="0" applyFill="0" applyAlignment="0" applyProtection="0"/>
    <xf numFmtId="0" fontId="16" fillId="24" borderId="118" applyNumberFormat="0" applyAlignment="0" applyProtection="0"/>
    <xf numFmtId="0" fontId="29" fillId="12" borderId="91" applyNumberFormat="0" applyAlignment="0" applyProtection="0"/>
    <xf numFmtId="0" fontId="48" fillId="12" borderId="118" applyNumberFormat="0" applyAlignment="0" applyProtection="0"/>
    <xf numFmtId="0" fontId="28" fillId="10" borderId="177" applyNumberFormat="0" applyFont="0" applyAlignment="0" applyProtection="0"/>
    <xf numFmtId="0" fontId="31" fillId="0" borderId="58" applyNumberFormat="0" applyFill="0" applyAlignment="0" applyProtection="0"/>
    <xf numFmtId="0" fontId="31" fillId="0" borderId="57" applyNumberFormat="0" applyFill="0" applyAlignment="0" applyProtection="0"/>
    <xf numFmtId="0" fontId="29" fillId="24" borderId="56" applyNumberFormat="0" applyAlignment="0" applyProtection="0"/>
    <xf numFmtId="0" fontId="24" fillId="24" borderId="51" applyNumberFormat="0" applyAlignment="0" applyProtection="0"/>
    <xf numFmtId="0" fontId="18" fillId="10" borderId="50" applyNumberFormat="0" applyFont="0" applyAlignment="0" applyProtection="0"/>
    <xf numFmtId="0" fontId="31" fillId="0" borderId="92" applyNumberFormat="0" applyFill="0" applyAlignment="0" applyProtection="0"/>
    <xf numFmtId="0" fontId="8" fillId="10" borderId="119" applyNumberFormat="0" applyFont="0" applyAlignment="0" applyProtection="0"/>
    <xf numFmtId="0" fontId="29" fillId="24" borderId="117" applyNumberFormat="0" applyAlignment="0" applyProtection="0"/>
    <xf numFmtId="0" fontId="31" fillId="0" borderId="55" applyNumberFormat="0" applyFill="0" applyAlignment="0" applyProtection="0"/>
    <xf numFmtId="0" fontId="31" fillId="0" borderId="55" applyNumberFormat="0" applyFill="0" applyAlignment="0" applyProtection="0"/>
    <xf numFmtId="0" fontId="31" fillId="0" borderId="52" applyNumberFormat="0" applyFill="0" applyAlignment="0" applyProtection="0"/>
    <xf numFmtId="0" fontId="31" fillId="0" borderId="52" applyNumberFormat="0" applyFill="0" applyAlignment="0" applyProtection="0"/>
    <xf numFmtId="0" fontId="29" fillId="12" borderId="56" applyNumberFormat="0" applyAlignment="0" applyProtection="0"/>
    <xf numFmtId="0" fontId="24" fillId="24" borderId="51" applyNumberFormat="0" applyAlignment="0" applyProtection="0"/>
    <xf numFmtId="0" fontId="49" fillId="10" borderId="50" applyNumberFormat="0" applyFont="0" applyAlignment="0" applyProtection="0"/>
    <xf numFmtId="0" fontId="49" fillId="10" borderId="50" applyNumberFormat="0" applyFont="0" applyAlignment="0" applyProtection="0"/>
    <xf numFmtId="0" fontId="8" fillId="10" borderId="50" applyNumberFormat="0" applyFont="0" applyAlignment="0" applyProtection="0"/>
    <xf numFmtId="0" fontId="8" fillId="10" borderId="50" applyNumberFormat="0" applyFont="0" applyAlignment="0" applyProtection="0"/>
    <xf numFmtId="0" fontId="49" fillId="10" borderId="103" applyNumberFormat="0" applyFont="0" applyAlignment="0" applyProtection="0"/>
    <xf numFmtId="0" fontId="72" fillId="0" borderId="198" applyBorder="0">
      <alignment horizontal="center" vertical="center" wrapText="1"/>
    </xf>
    <xf numFmtId="0" fontId="31" fillId="0" borderId="121" applyNumberFormat="0" applyFill="0" applyAlignment="0" applyProtection="0"/>
    <xf numFmtId="0" fontId="31" fillId="0" borderId="123" applyNumberFormat="0" applyFill="0" applyAlignment="0" applyProtection="0"/>
    <xf numFmtId="0" fontId="31" fillId="0" borderId="116" applyNumberFormat="0" applyFill="0" applyAlignment="0" applyProtection="0"/>
    <xf numFmtId="0" fontId="31" fillId="0" borderId="58" applyNumberFormat="0" applyFill="0" applyAlignment="0" applyProtection="0"/>
    <xf numFmtId="0" fontId="31" fillId="0" borderId="58" applyNumberFormat="0" applyFill="0" applyAlignment="0" applyProtection="0"/>
    <xf numFmtId="0" fontId="31" fillId="0" borderId="58" applyNumberFormat="0" applyFill="0" applyAlignment="0" applyProtection="0"/>
    <xf numFmtId="0" fontId="31" fillId="0" borderId="57" applyNumberFormat="0" applyFill="0" applyAlignment="0" applyProtection="0"/>
    <xf numFmtId="0" fontId="29" fillId="24" borderId="146" applyNumberFormat="0" applyAlignment="0" applyProtection="0"/>
    <xf numFmtId="0" fontId="28" fillId="10" borderId="144" applyNumberFormat="0" applyFont="0" applyAlignment="0" applyProtection="0"/>
    <xf numFmtId="0" fontId="28" fillId="0" borderId="149"/>
    <xf numFmtId="0" fontId="84" fillId="0" borderId="174"/>
    <xf numFmtId="0" fontId="32" fillId="24" borderId="143" applyNumberFormat="0" applyAlignment="0" applyProtection="0"/>
    <xf numFmtId="0" fontId="48" fillId="12" borderId="167" applyNumberFormat="0" applyAlignment="0" applyProtection="0"/>
    <xf numFmtId="0" fontId="48" fillId="12" borderId="143" applyNumberFormat="0" applyAlignment="0" applyProtection="0"/>
    <xf numFmtId="0" fontId="16" fillId="24" borderId="153" applyNumberFormat="0" applyAlignment="0" applyProtection="0"/>
    <xf numFmtId="0" fontId="31" fillId="0" borderId="100" applyNumberFormat="0" applyFill="0" applyAlignment="0" applyProtection="0"/>
    <xf numFmtId="0" fontId="48" fillId="12" borderId="194" applyNumberFormat="0" applyAlignment="0" applyProtection="0"/>
    <xf numFmtId="0" fontId="84" fillId="0" borderId="174"/>
    <xf numFmtId="0" fontId="84" fillId="0" borderId="99"/>
    <xf numFmtId="0" fontId="49" fillId="10" borderId="76" applyNumberFormat="0" applyFont="0" applyAlignment="0" applyProtection="0"/>
    <xf numFmtId="0" fontId="31" fillId="0" borderId="79" applyNumberFormat="0" applyFill="0" applyAlignment="0" applyProtection="0"/>
    <xf numFmtId="0" fontId="32" fillId="24" borderId="75" applyNumberFormat="0" applyAlignment="0" applyProtection="0"/>
    <xf numFmtId="0" fontId="24" fillId="24" borderId="77" applyNumberFormat="0" applyAlignment="0" applyProtection="0"/>
    <xf numFmtId="0" fontId="28" fillId="0" borderId="82"/>
    <xf numFmtId="0" fontId="31" fillId="0" borderId="165" applyNumberFormat="0" applyFill="0" applyAlignment="0" applyProtection="0"/>
    <xf numFmtId="0" fontId="31" fillId="0" borderId="179" applyNumberFormat="0" applyFill="0" applyAlignment="0" applyProtection="0"/>
    <xf numFmtId="0" fontId="31" fillId="0" borderId="200" applyNumberFormat="0" applyFill="0" applyAlignment="0" applyProtection="0"/>
    <xf numFmtId="0" fontId="8" fillId="10" borderId="168" applyNumberFormat="0" applyFont="0" applyAlignment="0" applyProtection="0"/>
    <xf numFmtId="0" fontId="31" fillId="0" borderId="166" applyNumberFormat="0" applyFill="0" applyAlignment="0" applyProtection="0"/>
    <xf numFmtId="0" fontId="16" fillId="24" borderId="118" applyNumberFormat="0" applyAlignment="0" applyProtection="0"/>
    <xf numFmtId="0" fontId="16" fillId="24" borderId="118" applyNumberFormat="0" applyAlignment="0" applyProtection="0"/>
    <xf numFmtId="0" fontId="31" fillId="0" borderId="105" applyNumberFormat="0" applyFill="0" applyAlignment="0" applyProtection="0"/>
    <xf numFmtId="0" fontId="16" fillId="24" borderId="102" applyNumberFormat="0" applyAlignment="0" applyProtection="0"/>
    <xf numFmtId="0" fontId="31" fillId="0" borderId="100" applyNumberFormat="0" applyFill="0" applyAlignment="0" applyProtection="0"/>
    <xf numFmtId="0" fontId="28" fillId="0" borderId="174"/>
    <xf numFmtId="0" fontId="31" fillId="0" borderId="166" applyNumberFormat="0" applyFill="0" applyAlignment="0" applyProtection="0"/>
    <xf numFmtId="0" fontId="25" fillId="13" borderId="203" applyNumberFormat="0" applyAlignment="0" applyProtection="0"/>
    <xf numFmtId="0" fontId="48" fillId="24" borderId="194" applyNumberFormat="0" applyAlignment="0" applyProtection="0"/>
    <xf numFmtId="0" fontId="29" fillId="24" borderId="193" applyNumberFormat="0" applyAlignment="0" applyProtection="0"/>
    <xf numFmtId="0" fontId="29" fillId="24" borderId="133" applyNumberFormat="0" applyAlignment="0" applyProtection="0"/>
    <xf numFmtId="0" fontId="48" fillId="24" borderId="75" applyNumberFormat="0" applyAlignment="0" applyProtection="0"/>
    <xf numFmtId="0" fontId="49" fillId="10" borderId="195" applyNumberFormat="0" applyFont="0" applyAlignment="0" applyProtection="0"/>
    <xf numFmtId="0" fontId="28" fillId="10" borderId="119" applyNumberFormat="0" applyFont="0" applyAlignment="0" applyProtection="0"/>
    <xf numFmtId="0" fontId="28" fillId="0" borderId="88"/>
    <xf numFmtId="0" fontId="72" fillId="0" borderId="48" applyBorder="0">
      <alignment horizontal="center" vertical="center" wrapText="1"/>
    </xf>
    <xf numFmtId="0" fontId="49" fillId="10" borderId="96" applyNumberFormat="0" applyFont="0" applyAlignment="0" applyProtection="0"/>
    <xf numFmtId="0" fontId="48" fillId="12" borderId="167" applyNumberFormat="0" applyAlignment="0" applyProtection="0"/>
    <xf numFmtId="0" fontId="29" fillId="24" borderId="193" applyNumberFormat="0" applyAlignment="0" applyProtection="0"/>
    <xf numFmtId="0" fontId="31" fillId="0" borderId="200" applyNumberFormat="0" applyFill="0" applyAlignment="0" applyProtection="0"/>
    <xf numFmtId="0" fontId="8" fillId="10" borderId="177" applyNumberFormat="0" applyFont="0" applyAlignment="0" applyProtection="0"/>
    <xf numFmtId="0" fontId="48" fillId="24" borderId="167" applyNumberFormat="0" applyAlignment="0" applyProtection="0"/>
    <xf numFmtId="0" fontId="16" fillId="24" borderId="118" applyNumberFormat="0" applyAlignment="0" applyProtection="0"/>
    <xf numFmtId="0" fontId="31" fillId="0" borderId="171" applyNumberFormat="0" applyFill="0" applyAlignment="0" applyProtection="0"/>
    <xf numFmtId="0" fontId="29" fillId="12" borderId="117" applyNumberFormat="0" applyAlignment="0" applyProtection="0"/>
    <xf numFmtId="0" fontId="25" fillId="13" borderId="167" applyNumberFormat="0" applyAlignment="0" applyProtection="0"/>
    <xf numFmtId="0" fontId="25" fillId="13" borderId="67" applyNumberFormat="0" applyAlignment="0" applyProtection="0"/>
    <xf numFmtId="0" fontId="28" fillId="10" borderId="154" applyNumberFormat="0" applyFont="0" applyAlignment="0" applyProtection="0"/>
    <xf numFmtId="0" fontId="72" fillId="0" borderId="48" applyBorder="0">
      <alignment horizontal="center" vertical="center" wrapText="1"/>
    </xf>
    <xf numFmtId="0" fontId="41" fillId="13" borderId="67" applyNumberFormat="0" applyAlignment="0" applyProtection="0"/>
    <xf numFmtId="0" fontId="49" fillId="10" borderId="85" applyNumberFormat="0" applyFont="0" applyAlignment="0" applyProtection="0"/>
    <xf numFmtId="0" fontId="8" fillId="10" borderId="85" applyNumberFormat="0" applyFont="0" applyAlignment="0" applyProtection="0"/>
    <xf numFmtId="0" fontId="84" fillId="0" borderId="174"/>
    <xf numFmtId="0" fontId="84" fillId="0" borderId="88"/>
    <xf numFmtId="0" fontId="72" fillId="0" borderId="126" applyBorder="0">
      <alignment horizontal="center" vertical="center" wrapText="1"/>
    </xf>
    <xf numFmtId="0" fontId="72" fillId="0" borderId="48" applyBorder="0">
      <alignment horizontal="center" vertical="center" wrapText="1"/>
    </xf>
    <xf numFmtId="0" fontId="28" fillId="0" borderId="124"/>
    <xf numFmtId="0" fontId="18" fillId="10" borderId="119" applyNumberFormat="0" applyFont="0" applyAlignment="0" applyProtection="0"/>
    <xf numFmtId="0" fontId="28" fillId="0" borderId="149"/>
    <xf numFmtId="0" fontId="25" fillId="13" borderId="153" applyNumberFormat="0" applyAlignment="0" applyProtection="0"/>
    <xf numFmtId="0" fontId="8" fillId="10" borderId="177" applyNumberFormat="0" applyFont="0" applyAlignment="0" applyProtection="0"/>
    <xf numFmtId="0" fontId="31" fillId="0" borderId="123" applyNumberFormat="0" applyFill="0" applyAlignment="0" applyProtection="0"/>
    <xf numFmtId="0" fontId="72" fillId="0" borderId="48" applyBorder="0">
      <alignment horizontal="center" vertical="center" wrapText="1"/>
    </xf>
    <xf numFmtId="0" fontId="72" fillId="0" borderId="48" applyBorder="0">
      <alignment horizontal="center" vertical="center" wrapText="1"/>
    </xf>
    <xf numFmtId="0" fontId="31" fillId="0" borderId="93" applyNumberFormat="0" applyFill="0" applyAlignment="0" applyProtection="0"/>
    <xf numFmtId="0" fontId="25" fillId="13" borderId="167" applyNumberFormat="0" applyAlignment="0" applyProtection="0"/>
    <xf numFmtId="0" fontId="31" fillId="0" borderId="93" applyNumberFormat="0" applyFill="0" applyAlignment="0" applyProtection="0"/>
    <xf numFmtId="0" fontId="24" fillId="24" borderId="86" applyNumberFormat="0" applyAlignment="0" applyProtection="0"/>
    <xf numFmtId="0" fontId="25" fillId="8" borderId="167" applyNumberFormat="0" applyAlignment="0" applyProtection="0"/>
    <xf numFmtId="0" fontId="16" fillId="24" borderId="118" applyNumberFormat="0" applyAlignment="0" applyProtection="0"/>
    <xf numFmtId="0" fontId="31" fillId="0" borderId="185" applyNumberFormat="0" applyFill="0" applyAlignment="0" applyProtection="0"/>
    <xf numFmtId="0" fontId="28" fillId="10" borderId="85" applyNumberFormat="0" applyFont="0" applyAlignment="0" applyProtection="0"/>
    <xf numFmtId="0" fontId="31" fillId="0" borderId="184" applyNumberFormat="0" applyFill="0" applyAlignment="0" applyProtection="0"/>
    <xf numFmtId="0" fontId="28" fillId="0" borderId="99"/>
    <xf numFmtId="0" fontId="32" fillId="24" borderId="102" applyNumberFormat="0" applyAlignment="0" applyProtection="0"/>
    <xf numFmtId="0" fontId="31" fillId="0" borderId="122" applyNumberFormat="0" applyFill="0" applyAlignment="0" applyProtection="0"/>
    <xf numFmtId="0" fontId="28" fillId="0" borderId="99"/>
    <xf numFmtId="0" fontId="31" fillId="0" borderId="74" applyNumberFormat="0" applyFill="0" applyAlignment="0" applyProtection="0"/>
    <xf numFmtId="0" fontId="28" fillId="10" borderId="76" applyNumberFormat="0" applyFont="0" applyAlignment="0" applyProtection="0"/>
    <xf numFmtId="0" fontId="28" fillId="10" borderId="177" applyNumberFormat="0" applyFont="0" applyAlignment="0" applyProtection="0"/>
    <xf numFmtId="0" fontId="31" fillId="0" borderId="166" applyNumberFormat="0" applyFill="0" applyAlignment="0" applyProtection="0"/>
    <xf numFmtId="0" fontId="32" fillId="24" borderId="49" applyNumberFormat="0" applyAlignment="0" applyProtection="0"/>
    <xf numFmtId="0" fontId="16" fillId="24" borderId="49" applyNumberFormat="0" applyAlignment="0" applyProtection="0"/>
    <xf numFmtId="0" fontId="48" fillId="24" borderId="49" applyNumberFormat="0" applyAlignment="0" applyProtection="0"/>
    <xf numFmtId="0" fontId="16" fillId="24" borderId="49" applyNumberFormat="0" applyAlignment="0" applyProtection="0"/>
    <xf numFmtId="0" fontId="16" fillId="24" borderId="49" applyNumberFormat="0" applyAlignment="0" applyProtection="0"/>
    <xf numFmtId="0" fontId="29" fillId="12" borderId="193" applyNumberFormat="0" applyAlignment="0" applyProtection="0"/>
    <xf numFmtId="0" fontId="24" fillId="24" borderId="196" applyNumberFormat="0" applyAlignment="0" applyProtection="0"/>
    <xf numFmtId="0" fontId="8" fillId="10" borderId="85" applyNumberFormat="0" applyFont="0" applyAlignment="0" applyProtection="0"/>
    <xf numFmtId="0" fontId="25" fillId="8" borderId="194" applyNumberFormat="0" applyAlignment="0" applyProtection="0"/>
    <xf numFmtId="0" fontId="25" fillId="13" borderId="49" applyNumberFormat="0" applyAlignment="0" applyProtection="0"/>
    <xf numFmtId="0" fontId="41" fillId="13" borderId="49" applyNumberFormat="0" applyAlignment="0" applyProtection="0"/>
    <xf numFmtId="0" fontId="25" fillId="13" borderId="49" applyNumberFormat="0" applyAlignment="0" applyProtection="0"/>
    <xf numFmtId="0" fontId="41" fillId="13" borderId="49" applyNumberFormat="0" applyAlignment="0" applyProtection="0"/>
    <xf numFmtId="0" fontId="25" fillId="13" borderId="49" applyNumberFormat="0" applyAlignment="0" applyProtection="0"/>
    <xf numFmtId="0" fontId="84" fillId="0" borderId="174"/>
    <xf numFmtId="0" fontId="41" fillId="13" borderId="153" applyNumberFormat="0" applyAlignment="0" applyProtection="0"/>
    <xf numFmtId="0" fontId="25" fillId="13" borderId="194" applyNumberFormat="0" applyAlignment="0" applyProtection="0"/>
    <xf numFmtId="0" fontId="29" fillId="24" borderId="117" applyNumberFormat="0" applyAlignment="0" applyProtection="0"/>
    <xf numFmtId="0" fontId="25" fillId="13" borderId="60" applyNumberFormat="0" applyAlignment="0" applyProtection="0"/>
    <xf numFmtId="0" fontId="29" fillId="12" borderId="56" applyNumberFormat="0" applyAlignment="0" applyProtection="0"/>
    <xf numFmtId="0" fontId="31" fillId="0" borderId="151" applyNumberFormat="0" applyFill="0" applyAlignment="0" applyProtection="0"/>
    <xf numFmtId="0" fontId="29" fillId="24" borderId="146" applyNumberFormat="0" applyAlignment="0" applyProtection="0"/>
    <xf numFmtId="0" fontId="8" fillId="45" borderId="150" applyNumberFormat="0" applyFont="0" applyAlignment="0" applyProtection="0"/>
    <xf numFmtId="0" fontId="18" fillId="10" borderId="50" applyNumberFormat="0" applyFont="0" applyAlignment="0" applyProtection="0"/>
    <xf numFmtId="0" fontId="28" fillId="10" borderId="50" applyNumberFormat="0" applyFont="0" applyAlignment="0" applyProtection="0"/>
    <xf numFmtId="0" fontId="8" fillId="10" borderId="50" applyNumberFormat="0" applyFont="0" applyAlignment="0" applyProtection="0"/>
    <xf numFmtId="0" fontId="28" fillId="10" borderId="50" applyNumberFormat="0" applyFont="0" applyAlignment="0" applyProtection="0"/>
    <xf numFmtId="0" fontId="8" fillId="10" borderId="50" applyNumberFormat="0" applyFont="0" applyAlignment="0" applyProtection="0"/>
    <xf numFmtId="0" fontId="49" fillId="10" borderId="50" applyNumberFormat="0" applyFont="0" applyAlignment="0" applyProtection="0"/>
    <xf numFmtId="0" fontId="28" fillId="10" borderId="50" applyNumberFormat="0" applyFont="0" applyAlignment="0" applyProtection="0"/>
    <xf numFmtId="0" fontId="24" fillId="24" borderId="51" applyNumberFormat="0" applyAlignment="0" applyProtection="0"/>
    <xf numFmtId="0" fontId="24" fillId="24" borderId="51" applyNumberFormat="0" applyAlignment="0" applyProtection="0"/>
    <xf numFmtId="0" fontId="31" fillId="0" borderId="52" applyNumberFormat="0" applyFill="0" applyAlignment="0" applyProtection="0"/>
    <xf numFmtId="0" fontId="31" fillId="0" borderId="192" applyNumberFormat="0" applyFill="0" applyAlignment="0" applyProtection="0"/>
    <xf numFmtId="0" fontId="29" fillId="12" borderId="117" applyNumberFormat="0" applyAlignment="0" applyProtection="0"/>
    <xf numFmtId="0" fontId="8" fillId="10" borderId="177" applyNumberFormat="0" applyFont="0" applyAlignment="0" applyProtection="0"/>
    <xf numFmtId="0" fontId="48" fillId="24" borderId="102" applyNumberFormat="0" applyAlignment="0" applyProtection="0"/>
    <xf numFmtId="0" fontId="24" fillId="24" borderId="69" applyNumberFormat="0" applyAlignment="0" applyProtection="0"/>
    <xf numFmtId="0" fontId="31" fillId="0" borderId="74" applyNumberFormat="0" applyFill="0" applyAlignment="0" applyProtection="0"/>
    <xf numFmtId="0" fontId="31" fillId="0" borderId="74" applyNumberFormat="0" applyFill="0" applyAlignment="0" applyProtection="0"/>
    <xf numFmtId="0" fontId="48" fillId="12" borderId="75" applyNumberFormat="0" applyAlignment="0" applyProtection="0"/>
    <xf numFmtId="0" fontId="8" fillId="10" borderId="76" applyNumberFormat="0" applyFont="0" applyAlignment="0" applyProtection="0"/>
    <xf numFmtId="0" fontId="29" fillId="12" borderId="78" applyNumberFormat="0" applyAlignment="0" applyProtection="0"/>
    <xf numFmtId="0" fontId="31" fillId="0" borderId="80" applyNumberFormat="0" applyFill="0" applyAlignment="0" applyProtection="0"/>
    <xf numFmtId="0" fontId="72" fillId="0" borderId="81" applyBorder="0">
      <alignment horizontal="center" vertical="center" wrapText="1"/>
    </xf>
    <xf numFmtId="0" fontId="41" fillId="13" borderId="75" applyNumberFormat="0" applyAlignment="0" applyProtection="0"/>
    <xf numFmtId="0" fontId="24" fillId="24" borderId="77" applyNumberFormat="0" applyAlignment="0" applyProtection="0"/>
    <xf numFmtId="0" fontId="29" fillId="24" borderId="78" applyNumberFormat="0" applyAlignment="0" applyProtection="0"/>
    <xf numFmtId="0" fontId="49" fillId="10" borderId="144" applyNumberFormat="0" applyFont="0" applyAlignment="0" applyProtection="0"/>
    <xf numFmtId="0" fontId="24" fillId="24" borderId="145" applyNumberFormat="0" applyAlignment="0" applyProtection="0"/>
    <xf numFmtId="0" fontId="49" fillId="10" borderId="144" applyNumberFormat="0" applyFont="0" applyAlignment="0" applyProtection="0"/>
    <xf numFmtId="0" fontId="41" fillId="13" borderId="167" applyNumberFormat="0" applyAlignment="0" applyProtection="0"/>
    <xf numFmtId="0" fontId="8" fillId="10" borderId="168" applyNumberFormat="0" applyFont="0" applyAlignment="0" applyProtection="0"/>
    <xf numFmtId="0" fontId="18" fillId="10" borderId="168" applyNumberFormat="0" applyFont="0" applyAlignment="0" applyProtection="0"/>
    <xf numFmtId="0" fontId="16" fillId="24" borderId="102" applyNumberFormat="0" applyAlignment="0" applyProtection="0"/>
    <xf numFmtId="0" fontId="28" fillId="0" borderId="82"/>
    <xf numFmtId="0" fontId="24" fillId="24" borderId="104" applyNumberFormat="0" applyAlignment="0" applyProtection="0"/>
    <xf numFmtId="0" fontId="48" fillId="12" borderId="102" applyNumberFormat="0" applyAlignment="0" applyProtection="0"/>
    <xf numFmtId="0" fontId="25" fillId="8" borderId="102" applyNumberFormat="0" applyAlignment="0" applyProtection="0"/>
    <xf numFmtId="0" fontId="24" fillId="24" borderId="104" applyNumberFormat="0" applyAlignment="0" applyProtection="0"/>
    <xf numFmtId="0" fontId="31" fillId="0" borderId="108" applyNumberFormat="0" applyFill="0" applyAlignment="0" applyProtection="0"/>
    <xf numFmtId="0" fontId="48" fillId="24" borderId="102" applyNumberFormat="0" applyAlignment="0" applyProtection="0"/>
    <xf numFmtId="0" fontId="28" fillId="10" borderId="103" applyNumberFormat="0" applyFont="0" applyAlignment="0" applyProtection="0"/>
    <xf numFmtId="0" fontId="31" fillId="0" borderId="107" applyNumberFormat="0" applyFill="0" applyAlignment="0" applyProtection="0"/>
    <xf numFmtId="0" fontId="29" fillId="12" borderId="101" applyNumberFormat="0" applyAlignment="0" applyProtection="0"/>
    <xf numFmtId="0" fontId="8" fillId="45" borderId="110" applyNumberFormat="0" applyFont="0" applyAlignment="0" applyProtection="0"/>
    <xf numFmtId="0" fontId="29" fillId="12" borderId="101" applyNumberFormat="0" applyAlignment="0" applyProtection="0"/>
    <xf numFmtId="0" fontId="16" fillId="24" borderId="111" applyNumberFormat="0" applyAlignment="0" applyProtection="0"/>
    <xf numFmtId="0" fontId="29" fillId="12" borderId="146" applyNumberFormat="0" applyAlignment="0" applyProtection="0"/>
    <xf numFmtId="0" fontId="25" fillId="13" borderId="111" applyNumberFormat="0" applyAlignment="0" applyProtection="0"/>
    <xf numFmtId="0" fontId="8" fillId="10" borderId="144" applyNumberFormat="0" applyFont="0" applyAlignment="0" applyProtection="0"/>
    <xf numFmtId="0" fontId="16" fillId="24" borderId="167" applyNumberFormat="0" applyAlignment="0" applyProtection="0"/>
    <xf numFmtId="0" fontId="8" fillId="45" borderId="175" applyNumberFormat="0" applyFont="0" applyAlignment="0" applyProtection="0"/>
    <xf numFmtId="0" fontId="49" fillId="10" borderId="144" applyNumberFormat="0" applyFont="0" applyAlignment="0" applyProtection="0"/>
    <xf numFmtId="0" fontId="31" fillId="0" borderId="163" applyNumberFormat="0" applyFill="0" applyAlignment="0" applyProtection="0"/>
    <xf numFmtId="0" fontId="31" fillId="0" borderId="192" applyNumberFormat="0" applyFill="0" applyAlignment="0" applyProtection="0"/>
    <xf numFmtId="0" fontId="8" fillId="10" borderId="168" applyNumberFormat="0" applyFont="0" applyAlignment="0" applyProtection="0"/>
    <xf numFmtId="0" fontId="29" fillId="12" borderId="193" applyNumberFormat="0" applyAlignment="0" applyProtection="0"/>
    <xf numFmtId="0" fontId="28" fillId="0" borderId="82"/>
    <xf numFmtId="0" fontId="48" fillId="12" borderId="75" applyNumberFormat="0" applyAlignment="0" applyProtection="0"/>
    <xf numFmtId="0" fontId="25" fillId="8" borderId="75" applyNumberFormat="0" applyAlignment="0" applyProtection="0"/>
    <xf numFmtId="0" fontId="29" fillId="12" borderId="78" applyNumberFormat="0" applyAlignment="0" applyProtection="0"/>
    <xf numFmtId="0" fontId="29" fillId="24" borderId="78" applyNumberFormat="0" applyAlignment="0" applyProtection="0"/>
    <xf numFmtId="0" fontId="31" fillId="0" borderId="74" applyNumberFormat="0" applyFill="0" applyAlignment="0" applyProtection="0"/>
    <xf numFmtId="0" fontId="41" fillId="13" borderId="75" applyNumberFormat="0" applyAlignment="0" applyProtection="0"/>
    <xf numFmtId="0" fontId="49" fillId="10" borderId="76" applyNumberFormat="0" applyFont="0" applyAlignment="0" applyProtection="0"/>
    <xf numFmtId="0" fontId="29" fillId="12" borderId="78" applyNumberFormat="0" applyAlignment="0" applyProtection="0"/>
    <xf numFmtId="0" fontId="16" fillId="24" borderId="75" applyNumberFormat="0" applyAlignment="0" applyProtection="0"/>
    <xf numFmtId="0" fontId="16" fillId="24" borderId="75" applyNumberFormat="0" applyAlignment="0" applyProtection="0"/>
    <xf numFmtId="0" fontId="28" fillId="10" borderId="76" applyNumberFormat="0" applyFont="0" applyAlignment="0" applyProtection="0"/>
    <xf numFmtId="0" fontId="29" fillId="24" borderId="78" applyNumberFormat="0" applyAlignment="0" applyProtection="0"/>
    <xf numFmtId="0" fontId="31" fillId="0" borderId="74" applyNumberFormat="0" applyFill="0" applyAlignment="0" applyProtection="0"/>
    <xf numFmtId="0" fontId="84" fillId="73" borderId="82"/>
    <xf numFmtId="0" fontId="84" fillId="0" borderId="82"/>
    <xf numFmtId="0" fontId="31" fillId="0" borderId="80" applyNumberFormat="0" applyFill="0" applyAlignment="0" applyProtection="0"/>
    <xf numFmtId="0" fontId="31" fillId="0" borderId="74" applyNumberFormat="0" applyFill="0" applyAlignment="0" applyProtection="0"/>
    <xf numFmtId="0" fontId="84" fillId="73" borderId="82"/>
    <xf numFmtId="0" fontId="8" fillId="10" borderId="76" applyNumberFormat="0" applyFont="0" applyAlignment="0" applyProtection="0"/>
    <xf numFmtId="0" fontId="24" fillId="24" borderId="77" applyNumberFormat="0" applyAlignment="0" applyProtection="0"/>
    <xf numFmtId="0" fontId="8" fillId="10" borderId="76" applyNumberFormat="0" applyFont="0" applyAlignment="0" applyProtection="0"/>
    <xf numFmtId="0" fontId="16" fillId="24" borderId="75" applyNumberFormat="0" applyAlignment="0" applyProtection="0"/>
    <xf numFmtId="0" fontId="31" fillId="0" borderId="74" applyNumberFormat="0" applyFill="0" applyAlignment="0" applyProtection="0"/>
    <xf numFmtId="0" fontId="48" fillId="12" borderId="75" applyNumberFormat="0" applyAlignment="0" applyProtection="0"/>
    <xf numFmtId="0" fontId="8" fillId="10" borderId="76" applyNumberFormat="0" applyFont="0" applyAlignment="0" applyProtection="0"/>
    <xf numFmtId="0" fontId="29" fillId="12" borderId="78" applyNumberFormat="0" applyAlignment="0" applyProtection="0"/>
    <xf numFmtId="0" fontId="16" fillId="24" borderId="75" applyNumberFormat="0" applyAlignment="0" applyProtection="0"/>
    <xf numFmtId="0" fontId="41" fillId="13" borderId="75" applyNumberFormat="0" applyAlignment="0" applyProtection="0"/>
    <xf numFmtId="0" fontId="25" fillId="13" borderId="75" applyNumberFormat="0" applyAlignment="0" applyProtection="0"/>
    <xf numFmtId="0" fontId="28" fillId="10" borderId="76" applyNumberFormat="0" applyFont="0" applyAlignment="0" applyProtection="0"/>
    <xf numFmtId="0" fontId="72" fillId="0" borderId="81" applyBorder="0">
      <alignment horizontal="center" vertical="center" wrapText="1"/>
    </xf>
    <xf numFmtId="0" fontId="25" fillId="13" borderId="75" applyNumberFormat="0" applyAlignment="0" applyProtection="0"/>
    <xf numFmtId="0" fontId="28" fillId="10" borderId="76" applyNumberFormat="0" applyFont="0" applyAlignment="0" applyProtection="0"/>
    <xf numFmtId="0" fontId="29" fillId="24" borderId="78" applyNumberFormat="0" applyAlignment="0" applyProtection="0"/>
    <xf numFmtId="0" fontId="28" fillId="0" borderId="82"/>
    <xf numFmtId="0" fontId="31" fillId="0" borderId="74" applyNumberFormat="0" applyFill="0" applyAlignment="0" applyProtection="0"/>
    <xf numFmtId="0" fontId="31" fillId="0" borderId="74" applyNumberFormat="0" applyFill="0" applyAlignment="0" applyProtection="0"/>
    <xf numFmtId="0" fontId="31" fillId="0" borderId="80" applyNumberFormat="0" applyFill="0" applyAlignment="0" applyProtection="0"/>
    <xf numFmtId="0" fontId="41" fillId="13" borderId="75" applyNumberFormat="0" applyAlignment="0" applyProtection="0"/>
    <xf numFmtId="0" fontId="48" fillId="12" borderId="75" applyNumberFormat="0" applyAlignment="0" applyProtection="0"/>
    <xf numFmtId="0" fontId="48" fillId="12" borderId="75" applyNumberFormat="0" applyAlignment="0" applyProtection="0"/>
    <xf numFmtId="0" fontId="29" fillId="12" borderId="78" applyNumberFormat="0" applyAlignment="0" applyProtection="0"/>
    <xf numFmtId="0" fontId="25" fillId="13" borderId="75" applyNumberFormat="0" applyAlignment="0" applyProtection="0"/>
    <xf numFmtId="0" fontId="8" fillId="10" borderId="76" applyNumberFormat="0" applyFont="0" applyAlignment="0" applyProtection="0"/>
    <xf numFmtId="0" fontId="84" fillId="0" borderId="82"/>
    <xf numFmtId="0" fontId="25" fillId="8" borderId="75" applyNumberFormat="0" applyAlignment="0" applyProtection="0"/>
    <xf numFmtId="0" fontId="31" fillId="0" borderId="80" applyNumberFormat="0" applyFill="0" applyAlignment="0" applyProtection="0"/>
    <xf numFmtId="0" fontId="28" fillId="0" borderId="82"/>
    <xf numFmtId="0" fontId="48" fillId="12" borderId="75" applyNumberFormat="0" applyAlignment="0" applyProtection="0"/>
    <xf numFmtId="0" fontId="31" fillId="0" borderId="80" applyNumberFormat="0" applyFill="0" applyAlignment="0" applyProtection="0"/>
    <xf numFmtId="0" fontId="28" fillId="10" borderId="154" applyNumberFormat="0" applyFont="0" applyAlignment="0" applyProtection="0"/>
    <xf numFmtId="0" fontId="48" fillId="24" borderId="102" applyNumberFormat="0" applyAlignment="0" applyProtection="0"/>
    <xf numFmtId="0" fontId="41" fillId="13" borderId="84" applyNumberFormat="0" applyAlignment="0" applyProtection="0"/>
    <xf numFmtId="0" fontId="31" fillId="0" borderId="163" applyNumberFormat="0" applyFill="0" applyAlignment="0" applyProtection="0"/>
    <xf numFmtId="0" fontId="8" fillId="10" borderId="85" applyNumberFormat="0" applyFont="0" applyAlignment="0" applyProtection="0"/>
    <xf numFmtId="0" fontId="49" fillId="10" borderId="85" applyNumberFormat="0" applyFont="0" applyAlignment="0" applyProtection="0"/>
    <xf numFmtId="0" fontId="24" fillId="24" borderId="196" applyNumberFormat="0" applyAlignment="0" applyProtection="0"/>
    <xf numFmtId="0" fontId="8" fillId="10" borderId="177" applyNumberFormat="0" applyFont="0" applyAlignment="0" applyProtection="0"/>
    <xf numFmtId="0" fontId="29" fillId="12" borderId="146" applyNumberFormat="0" applyAlignment="0" applyProtection="0"/>
    <xf numFmtId="0" fontId="25" fillId="13" borderId="194" applyNumberFormat="0" applyAlignment="0" applyProtection="0"/>
    <xf numFmtId="0" fontId="29" fillId="12" borderId="193" applyNumberFormat="0" applyAlignment="0" applyProtection="0"/>
    <xf numFmtId="0" fontId="48" fillId="12" borderId="102" applyNumberFormat="0" applyAlignment="0" applyProtection="0"/>
    <xf numFmtId="0" fontId="28" fillId="10" borderId="103" applyNumberFormat="0" applyFont="0" applyAlignment="0" applyProtection="0"/>
    <xf numFmtId="0" fontId="28" fillId="10" borderId="103" applyNumberFormat="0" applyFont="0" applyAlignment="0" applyProtection="0"/>
    <xf numFmtId="0" fontId="25" fillId="13" borderId="102" applyNumberFormat="0" applyAlignment="0" applyProtection="0"/>
    <xf numFmtId="0" fontId="29" fillId="24" borderId="101" applyNumberFormat="0" applyAlignment="0" applyProtection="0"/>
    <xf numFmtId="0" fontId="72" fillId="0" borderId="106" applyBorder="0">
      <alignment horizontal="center" vertical="center" wrapText="1"/>
    </xf>
    <xf numFmtId="0" fontId="84" fillId="0" borderId="99"/>
    <xf numFmtId="0" fontId="25" fillId="13" borderId="167" applyNumberFormat="0" applyAlignment="0" applyProtection="0"/>
    <xf numFmtId="0" fontId="31" fillId="0" borderId="166" applyNumberFormat="0" applyFill="0" applyAlignment="0" applyProtection="0"/>
    <xf numFmtId="0" fontId="28" fillId="10" borderId="177" applyNumberFormat="0" applyFont="0" applyAlignment="0" applyProtection="0"/>
    <xf numFmtId="0" fontId="41" fillId="13" borderId="134" applyNumberFormat="0" applyAlignment="0" applyProtection="0"/>
    <xf numFmtId="0" fontId="72" fillId="0" borderId="152" applyBorder="0">
      <alignment horizontal="center" vertical="center" wrapText="1"/>
    </xf>
    <xf numFmtId="0" fontId="28" fillId="10" borderId="177" applyNumberFormat="0" applyFont="0" applyAlignment="0" applyProtection="0"/>
    <xf numFmtId="0" fontId="48" fillId="24" borderId="187" applyNumberFormat="0" applyAlignment="0" applyProtection="0"/>
    <xf numFmtId="0" fontId="31" fillId="0" borderId="158" applyNumberFormat="0" applyFill="0" applyAlignment="0" applyProtection="0"/>
    <xf numFmtId="0" fontId="48" fillId="12" borderId="194" applyNumberFormat="0" applyAlignment="0" applyProtection="0"/>
    <xf numFmtId="0" fontId="16" fillId="24" borderId="118" applyNumberFormat="0" applyAlignment="0" applyProtection="0"/>
    <xf numFmtId="0" fontId="48" fillId="24" borderId="118" applyNumberFormat="0" applyAlignment="0" applyProtection="0"/>
    <xf numFmtId="0" fontId="31" fillId="0" borderId="123" applyNumberFormat="0" applyFill="0" applyAlignment="0" applyProtection="0"/>
    <xf numFmtId="0" fontId="8" fillId="10" borderId="119" applyNumberFormat="0" applyFont="0" applyAlignment="0" applyProtection="0"/>
    <xf numFmtId="0" fontId="31" fillId="0" borderId="123" applyNumberFormat="0" applyFill="0" applyAlignment="0" applyProtection="0"/>
    <xf numFmtId="0" fontId="31" fillId="0" borderId="171" applyNumberFormat="0" applyFill="0" applyAlignment="0" applyProtection="0"/>
    <xf numFmtId="0" fontId="29" fillId="24" borderId="170" applyNumberFormat="0" applyAlignment="0" applyProtection="0"/>
    <xf numFmtId="0" fontId="49" fillId="10" borderId="195" applyNumberFormat="0" applyFont="0" applyAlignment="0" applyProtection="0"/>
    <xf numFmtId="0" fontId="31" fillId="0" borderId="166" applyNumberFormat="0" applyFill="0" applyAlignment="0" applyProtection="0"/>
    <xf numFmtId="0" fontId="16" fillId="24" borderId="118" applyNumberFormat="0" applyAlignment="0" applyProtection="0"/>
    <xf numFmtId="0" fontId="29" fillId="12" borderId="170" applyNumberFormat="0" applyAlignment="0" applyProtection="0"/>
    <xf numFmtId="0" fontId="29" fillId="24" borderId="146" applyNumberFormat="0" applyAlignment="0" applyProtection="0"/>
    <xf numFmtId="0" fontId="31" fillId="0" borderId="172" applyNumberFormat="0" applyFill="0" applyAlignment="0" applyProtection="0"/>
    <xf numFmtId="0" fontId="16" fillId="24" borderId="167" applyNumberFormat="0" applyAlignment="0" applyProtection="0"/>
    <xf numFmtId="0" fontId="31" fillId="0" borderId="142" applyNumberFormat="0" applyFill="0" applyAlignment="0" applyProtection="0"/>
    <xf numFmtId="0" fontId="31" fillId="0" borderId="151" applyNumberFormat="0" applyFill="0" applyAlignment="0" applyProtection="0"/>
    <xf numFmtId="0" fontId="25" fillId="8" borderId="194" applyNumberFormat="0" applyAlignment="0" applyProtection="0"/>
    <xf numFmtId="0" fontId="31" fillId="0" borderId="123" applyNumberFormat="0" applyFill="0" applyAlignment="0" applyProtection="0"/>
    <xf numFmtId="0" fontId="31" fillId="0" borderId="116" applyNumberFormat="0" applyFill="0" applyAlignment="0" applyProtection="0"/>
    <xf numFmtId="0" fontId="16" fillId="24" borderId="167" applyNumberFormat="0" applyAlignment="0" applyProtection="0"/>
    <xf numFmtId="0" fontId="28" fillId="10" borderId="195" applyNumberFormat="0" applyFont="0" applyAlignment="0" applyProtection="0"/>
    <xf numFmtId="0" fontId="28" fillId="10" borderId="135" applyNumberFormat="0" applyFont="0" applyAlignment="0" applyProtection="0"/>
    <xf numFmtId="0" fontId="8" fillId="45" borderId="186" applyNumberFormat="0" applyFont="0" applyAlignment="0" applyProtection="0"/>
    <xf numFmtId="0" fontId="16" fillId="24" borderId="143" applyNumberFormat="0" applyAlignment="0" applyProtection="0"/>
    <xf numFmtId="0" fontId="48" fillId="24" borderId="143" applyNumberFormat="0" applyAlignment="0" applyProtection="0"/>
    <xf numFmtId="0" fontId="28" fillId="10" borderId="144" applyNumberFormat="0" applyFont="0" applyAlignment="0" applyProtection="0"/>
    <xf numFmtId="0" fontId="18" fillId="10" borderId="154" applyNumberFormat="0" applyFont="0" applyAlignment="0" applyProtection="0"/>
    <xf numFmtId="0" fontId="18" fillId="10" borderId="195" applyNumberFormat="0" applyFont="0" applyAlignment="0" applyProtection="0"/>
    <xf numFmtId="0" fontId="8" fillId="10" borderId="144" applyNumberFormat="0" applyFont="0" applyAlignment="0" applyProtection="0"/>
    <xf numFmtId="0" fontId="8" fillId="10" borderId="195" applyNumberFormat="0" applyFont="0" applyAlignment="0" applyProtection="0"/>
    <xf numFmtId="0" fontId="49" fillId="10" borderId="103" applyNumberFormat="0" applyFont="0" applyAlignment="0" applyProtection="0"/>
    <xf numFmtId="0" fontId="48" fillId="12" borderId="102" applyNumberFormat="0" applyAlignment="0" applyProtection="0"/>
    <xf numFmtId="0" fontId="31" fillId="0" borderId="108" applyNumberFormat="0" applyFill="0" applyAlignment="0" applyProtection="0"/>
    <xf numFmtId="0" fontId="31" fillId="0" borderId="105" applyNumberFormat="0" applyFill="0" applyAlignment="0" applyProtection="0"/>
    <xf numFmtId="0" fontId="48" fillId="12" borderId="102" applyNumberFormat="0" applyAlignment="0" applyProtection="0"/>
    <xf numFmtId="0" fontId="25" fillId="13" borderId="102" applyNumberFormat="0" applyAlignment="0" applyProtection="0"/>
    <xf numFmtId="0" fontId="29" fillId="24" borderId="101" applyNumberFormat="0" applyAlignment="0" applyProtection="0"/>
    <xf numFmtId="0" fontId="18" fillId="10" borderId="103" applyNumberFormat="0" applyFont="0" applyAlignment="0" applyProtection="0"/>
    <xf numFmtId="0" fontId="48" fillId="12" borderId="102" applyNumberFormat="0" applyAlignment="0" applyProtection="0"/>
    <xf numFmtId="0" fontId="16" fillId="24" borderId="143" applyNumberFormat="0" applyAlignment="0" applyProtection="0"/>
    <xf numFmtId="0" fontId="31" fillId="0" borderId="148" applyNumberFormat="0" applyFill="0" applyAlignment="0" applyProtection="0"/>
    <xf numFmtId="0" fontId="31" fillId="0" borderId="166" applyNumberFormat="0" applyFill="0" applyAlignment="0" applyProtection="0"/>
    <xf numFmtId="0" fontId="16" fillId="24" borderId="167" applyNumberFormat="0" applyAlignment="0" applyProtection="0"/>
    <xf numFmtId="0" fontId="84" fillId="73" borderId="174"/>
    <xf numFmtId="0" fontId="49" fillId="10" borderId="195" applyNumberFormat="0" applyFont="0" applyAlignment="0" applyProtection="0"/>
    <xf numFmtId="0" fontId="31" fillId="0" borderId="158" applyNumberFormat="0" applyFill="0" applyAlignment="0" applyProtection="0"/>
    <xf numFmtId="0" fontId="48" fillId="12" borderId="167" applyNumberFormat="0" applyAlignment="0" applyProtection="0"/>
    <xf numFmtId="0" fontId="48" fillId="24" borderId="167" applyNumberFormat="0" applyAlignment="0" applyProtection="0"/>
    <xf numFmtId="0" fontId="31" fillId="0" borderId="142" applyNumberFormat="0" applyFill="0" applyAlignment="0" applyProtection="0"/>
    <xf numFmtId="0" fontId="41" fillId="13" borderId="143" applyNumberFormat="0" applyAlignment="0" applyProtection="0"/>
    <xf numFmtId="0" fontId="18" fillId="10" borderId="177" applyNumberFormat="0" applyFont="0" applyAlignment="0" applyProtection="0"/>
    <xf numFmtId="0" fontId="31" fillId="0" borderId="192" applyNumberFormat="0" applyFill="0" applyAlignment="0" applyProtection="0"/>
    <xf numFmtId="0" fontId="31" fillId="0" borderId="121" applyNumberFormat="0" applyFill="0" applyAlignment="0" applyProtection="0"/>
    <xf numFmtId="0" fontId="29" fillId="24" borderId="117" applyNumberFormat="0" applyAlignment="0" applyProtection="0"/>
    <xf numFmtId="0" fontId="31" fillId="0" borderId="121" applyNumberFormat="0" applyFill="0" applyAlignment="0" applyProtection="0"/>
    <xf numFmtId="0" fontId="84" fillId="0" borderId="124"/>
    <xf numFmtId="0" fontId="24" fillId="24" borderId="120" applyNumberFormat="0" applyAlignment="0" applyProtection="0"/>
    <xf numFmtId="0" fontId="31" fillId="0" borderId="121" applyNumberFormat="0" applyFill="0" applyAlignment="0" applyProtection="0"/>
    <xf numFmtId="0" fontId="8" fillId="10" borderId="119" applyNumberFormat="0" applyFont="0" applyAlignment="0" applyProtection="0"/>
    <xf numFmtId="0" fontId="29" fillId="12" borderId="170" applyNumberFormat="0" applyAlignment="0" applyProtection="0"/>
    <xf numFmtId="0" fontId="49" fillId="10" borderId="168" applyNumberFormat="0" applyFont="0" applyAlignment="0" applyProtection="0"/>
    <xf numFmtId="0" fontId="25" fillId="13" borderId="167" applyNumberFormat="0" applyAlignment="0" applyProtection="0"/>
    <xf numFmtId="0" fontId="28" fillId="10" borderId="195" applyNumberFormat="0" applyFont="0" applyAlignment="0" applyProtection="0"/>
    <xf numFmtId="0" fontId="31" fillId="0" borderId="184" applyNumberFormat="0" applyFill="0" applyAlignment="0" applyProtection="0"/>
    <xf numFmtId="0" fontId="25" fillId="13" borderId="194" applyNumberFormat="0" applyAlignment="0" applyProtection="0"/>
    <xf numFmtId="0" fontId="25" fillId="8" borderId="143" applyNumberFormat="0" applyAlignment="0" applyProtection="0"/>
    <xf numFmtId="0" fontId="25" fillId="8" borderId="143" applyNumberFormat="0" applyAlignment="0" applyProtection="0"/>
    <xf numFmtId="0" fontId="31" fillId="0" borderId="172" applyNumberFormat="0" applyFill="0" applyAlignment="0" applyProtection="0"/>
    <xf numFmtId="0" fontId="25" fillId="13" borderId="160" applyNumberFormat="0" applyAlignment="0" applyProtection="0"/>
    <xf numFmtId="0" fontId="84" fillId="0" borderId="149"/>
    <xf numFmtId="0" fontId="28" fillId="0" borderId="149"/>
    <xf numFmtId="0" fontId="72" fillId="0" borderId="201" applyBorder="0">
      <alignment horizontal="center" vertical="center" wrapText="1"/>
    </xf>
    <xf numFmtId="0" fontId="29" fillId="12" borderId="170" applyNumberFormat="0" applyAlignment="0" applyProtection="0"/>
    <xf numFmtId="0" fontId="8" fillId="10" borderId="168" applyNumberFormat="0" applyFont="0" applyAlignment="0" applyProtection="0"/>
    <xf numFmtId="0" fontId="28" fillId="10" borderId="177" applyNumberFormat="0" applyFont="0" applyAlignment="0" applyProtection="0"/>
    <xf numFmtId="0" fontId="16" fillId="24" borderId="118" applyNumberFormat="0" applyAlignment="0" applyProtection="0"/>
    <xf numFmtId="0" fontId="29" fillId="24" borderId="117" applyNumberFormat="0" applyAlignment="0" applyProtection="0"/>
    <xf numFmtId="0" fontId="49" fillId="10" borderId="119" applyNumberFormat="0" applyFont="0" applyAlignment="0" applyProtection="0"/>
    <xf numFmtId="0" fontId="16" fillId="24" borderId="194" applyNumberFormat="0" applyAlignment="0" applyProtection="0"/>
    <xf numFmtId="0" fontId="29" fillId="24" borderId="91" applyNumberFormat="0" applyAlignment="0" applyProtection="0"/>
    <xf numFmtId="0" fontId="8" fillId="45" borderId="94" applyNumberFormat="0" applyFont="0" applyAlignment="0" applyProtection="0"/>
    <xf numFmtId="0" fontId="29" fillId="24" borderId="170" applyNumberFormat="0" applyAlignment="0" applyProtection="0"/>
    <xf numFmtId="0" fontId="18" fillId="10" borderId="85" applyNumberFormat="0" applyFont="0" applyAlignment="0" applyProtection="0"/>
    <xf numFmtId="0" fontId="48" fillId="12" borderId="167" applyNumberFormat="0" applyAlignment="0" applyProtection="0"/>
    <xf numFmtId="0" fontId="31" fillId="0" borderId="87" applyNumberFormat="0" applyFill="0" applyAlignment="0" applyProtection="0"/>
    <xf numFmtId="0" fontId="31" fillId="0" borderId="90" applyNumberFormat="0" applyFill="0" applyAlignment="0" applyProtection="0"/>
    <xf numFmtId="0" fontId="8" fillId="10" borderId="85" applyNumberFormat="0" applyFont="0" applyAlignment="0" applyProtection="0"/>
    <xf numFmtId="0" fontId="49" fillId="10" borderId="85" applyNumberFormat="0" applyFont="0" applyAlignment="0" applyProtection="0"/>
    <xf numFmtId="0" fontId="32" fillId="24" borderId="118" applyNumberFormat="0" applyAlignment="0" applyProtection="0"/>
    <xf numFmtId="0" fontId="31" fillId="0" borderId="93" applyNumberFormat="0" applyFill="0" applyAlignment="0" applyProtection="0"/>
    <xf numFmtId="0" fontId="31" fillId="0" borderId="172" applyNumberFormat="0" applyFill="0" applyAlignment="0" applyProtection="0"/>
    <xf numFmtId="0" fontId="8" fillId="10" borderId="85" applyNumberFormat="0" applyFont="0" applyAlignment="0" applyProtection="0"/>
    <xf numFmtId="0" fontId="18" fillId="10" borderId="85" applyNumberFormat="0" applyFont="0" applyAlignment="0" applyProtection="0"/>
    <xf numFmtId="0" fontId="8" fillId="10" borderId="177" applyNumberFormat="0" applyFont="0" applyAlignment="0" applyProtection="0"/>
    <xf numFmtId="0" fontId="24" fillId="24" borderId="86" applyNumberFormat="0" applyAlignment="0" applyProtection="0"/>
    <xf numFmtId="0" fontId="31" fillId="0" borderId="93" applyNumberFormat="0" applyFill="0" applyAlignment="0" applyProtection="0"/>
    <xf numFmtId="0" fontId="29" fillId="12" borderId="91" applyNumberFormat="0" applyAlignment="0" applyProtection="0"/>
    <xf numFmtId="0" fontId="84" fillId="0" borderId="88"/>
    <xf numFmtId="0" fontId="28" fillId="10" borderId="177" applyNumberFormat="0" applyFont="0" applyAlignment="0" applyProtection="0"/>
    <xf numFmtId="0" fontId="49" fillId="10" borderId="119" applyNumberFormat="0" applyFont="0" applyAlignment="0" applyProtection="0"/>
    <xf numFmtId="0" fontId="29" fillId="12" borderId="117" applyNumberFormat="0" applyAlignment="0" applyProtection="0"/>
    <xf numFmtId="0" fontId="48" fillId="24" borderId="118" applyNumberFormat="0" applyAlignment="0" applyProtection="0"/>
    <xf numFmtId="0" fontId="48" fillId="24" borderId="118" applyNumberFormat="0" applyAlignment="0" applyProtection="0"/>
    <xf numFmtId="0" fontId="49" fillId="10" borderId="195" applyNumberFormat="0" applyFont="0" applyAlignment="0" applyProtection="0"/>
    <xf numFmtId="0" fontId="28" fillId="10" borderId="195" applyNumberFormat="0" applyFont="0" applyAlignment="0" applyProtection="0"/>
    <xf numFmtId="0" fontId="31" fillId="0" borderId="163" applyNumberFormat="0" applyFill="0" applyAlignment="0" applyProtection="0"/>
    <xf numFmtId="0" fontId="31" fillId="0" borderId="130" applyNumberFormat="0" applyFill="0" applyAlignment="0" applyProtection="0"/>
    <xf numFmtId="0" fontId="28" fillId="10" borderId="128" applyNumberFormat="0" applyFont="0" applyAlignment="0" applyProtection="0"/>
    <xf numFmtId="0" fontId="25" fillId="13" borderId="127" applyNumberFormat="0" applyAlignment="0" applyProtection="0"/>
    <xf numFmtId="0" fontId="16" fillId="24" borderId="167" applyNumberFormat="0" applyAlignment="0" applyProtection="0"/>
    <xf numFmtId="0" fontId="32" fillId="24" borderId="127" applyNumberFormat="0" applyAlignment="0" applyProtection="0"/>
    <xf numFmtId="0" fontId="31" fillId="0" borderId="200" applyNumberFormat="0" applyFill="0" applyAlignment="0" applyProtection="0"/>
    <xf numFmtId="0" fontId="48" fillId="12" borderId="118" applyNumberFormat="0" applyAlignment="0" applyProtection="0"/>
    <xf numFmtId="0" fontId="16" fillId="24" borderId="118" applyNumberFormat="0" applyAlignment="0" applyProtection="0"/>
    <xf numFmtId="0" fontId="31" fillId="0" borderId="121" applyNumberFormat="0" applyFill="0" applyAlignment="0" applyProtection="0"/>
    <xf numFmtId="0" fontId="41" fillId="13" borderId="118" applyNumberFormat="0" applyAlignment="0" applyProtection="0"/>
    <xf numFmtId="0" fontId="8" fillId="10" borderId="119" applyNumberFormat="0" applyFont="0" applyAlignment="0" applyProtection="0"/>
    <xf numFmtId="0" fontId="29" fillId="24" borderId="170" applyNumberFormat="0" applyAlignment="0" applyProtection="0"/>
    <xf numFmtId="0" fontId="48" fillId="24" borderId="118" applyNumberFormat="0" applyAlignment="0" applyProtection="0"/>
    <xf numFmtId="0" fontId="48" fillId="12" borderId="143" applyNumberFormat="0" applyAlignment="0" applyProtection="0"/>
    <xf numFmtId="0" fontId="29" fillId="24" borderId="193" applyNumberFormat="0" applyAlignment="0" applyProtection="0"/>
    <xf numFmtId="0" fontId="31" fillId="0" borderId="147" applyNumberFormat="0" applyFill="0" applyAlignment="0" applyProtection="0"/>
    <xf numFmtId="0" fontId="28" fillId="0" borderId="174"/>
    <xf numFmtId="0" fontId="16" fillId="24" borderId="127" applyNumberFormat="0" applyAlignment="0" applyProtection="0"/>
    <xf numFmtId="0" fontId="31" fillId="0" borderId="147" applyNumberFormat="0" applyFill="0" applyAlignment="0" applyProtection="0"/>
    <xf numFmtId="0" fontId="8" fillId="10" borderId="168" applyNumberFormat="0" applyFont="0" applyAlignment="0" applyProtection="0"/>
    <xf numFmtId="0" fontId="24" fillId="24" borderId="196" applyNumberFormat="0" applyAlignment="0" applyProtection="0"/>
    <xf numFmtId="0" fontId="31" fillId="0" borderId="200" applyNumberFormat="0" applyFill="0" applyAlignment="0" applyProtection="0"/>
    <xf numFmtId="0" fontId="29" fillId="24" borderId="193" applyNumberFormat="0" applyAlignment="0" applyProtection="0"/>
    <xf numFmtId="0" fontId="31" fillId="0" borderId="185" applyNumberFormat="0" applyFill="0" applyAlignment="0" applyProtection="0"/>
    <xf numFmtId="0" fontId="16" fillId="24" borderId="187" applyNumberFormat="0" applyAlignment="0" applyProtection="0"/>
    <xf numFmtId="0" fontId="84" fillId="0" borderId="149"/>
    <xf numFmtId="0" fontId="48" fillId="12" borderId="167" applyNumberFormat="0" applyAlignment="0" applyProtection="0"/>
    <xf numFmtId="0" fontId="28" fillId="0" borderId="174"/>
    <xf numFmtId="0" fontId="8" fillId="10" borderId="195" applyNumberFormat="0" applyFont="0" applyAlignment="0" applyProtection="0"/>
    <xf numFmtId="0" fontId="48" fillId="24" borderId="167" applyNumberFormat="0" applyAlignment="0" applyProtection="0"/>
    <xf numFmtId="0" fontId="72" fillId="0" borderId="173" applyBorder="0">
      <alignment horizontal="center" vertical="center" wrapText="1"/>
    </xf>
    <xf numFmtId="0" fontId="25" fillId="13" borderId="118" applyNumberFormat="0" applyAlignment="0" applyProtection="0"/>
    <xf numFmtId="0" fontId="31" fillId="0" borderId="200" applyNumberFormat="0" applyFill="0" applyAlignment="0" applyProtection="0"/>
    <xf numFmtId="0" fontId="28" fillId="0" borderId="191"/>
    <xf numFmtId="0" fontId="72" fillId="0" borderId="141" applyBorder="0">
      <alignment horizontal="center" vertical="center" wrapText="1"/>
    </xf>
    <xf numFmtId="0" fontId="84" fillId="0" borderId="191"/>
    <xf numFmtId="0" fontId="48" fillId="12" borderId="167" applyNumberFormat="0" applyAlignment="0" applyProtection="0"/>
    <xf numFmtId="0" fontId="8" fillId="10" borderId="168" applyNumberFormat="0" applyFont="0" applyAlignment="0" applyProtection="0"/>
    <xf numFmtId="0" fontId="31" fillId="0" borderId="166" applyNumberFormat="0" applyFill="0" applyAlignment="0" applyProtection="0"/>
    <xf numFmtId="0" fontId="49" fillId="10" borderId="195" applyNumberFormat="0" applyFont="0" applyAlignment="0" applyProtection="0"/>
    <xf numFmtId="0" fontId="29" fillId="24" borderId="117" applyNumberFormat="0" applyAlignment="0" applyProtection="0"/>
    <xf numFmtId="0" fontId="32" fillId="24" borderId="167" applyNumberFormat="0" applyAlignment="0" applyProtection="0"/>
    <xf numFmtId="0" fontId="24" fillId="24" borderId="136" applyNumberFormat="0" applyAlignment="0" applyProtection="0"/>
    <xf numFmtId="0" fontId="31" fillId="0" borderId="123" applyNumberFormat="0" applyFill="0" applyAlignment="0" applyProtection="0"/>
    <xf numFmtId="0" fontId="32" fillId="24" borderId="143" applyNumberFormat="0" applyAlignment="0" applyProtection="0"/>
    <xf numFmtId="0" fontId="24" fillId="24" borderId="189" applyNumberFormat="0" applyAlignment="0" applyProtection="0"/>
    <xf numFmtId="0" fontId="48" fillId="12" borderId="143" applyNumberFormat="0" applyAlignment="0" applyProtection="0"/>
    <xf numFmtId="0" fontId="48" fillId="24" borderId="194" applyNumberFormat="0" applyAlignment="0" applyProtection="0"/>
    <xf numFmtId="0" fontId="32" fillId="24" borderId="143" applyNumberFormat="0" applyAlignment="0" applyProtection="0"/>
    <xf numFmtId="0" fontId="8" fillId="45" borderId="150" applyNumberFormat="0" applyFont="0" applyAlignment="0" applyProtection="0"/>
    <xf numFmtId="0" fontId="31" fillId="0" borderId="151" applyNumberFormat="0" applyFill="0" applyAlignment="0" applyProtection="0"/>
    <xf numFmtId="0" fontId="29" fillId="24" borderId="193" applyNumberFormat="0" applyAlignment="0" applyProtection="0"/>
    <xf numFmtId="0" fontId="49" fillId="10" borderId="177" applyNumberFormat="0" applyFont="0" applyAlignment="0" applyProtection="0"/>
    <xf numFmtId="0" fontId="48" fillId="24" borderId="102" applyNumberFormat="0" applyAlignment="0" applyProtection="0"/>
    <xf numFmtId="0" fontId="31" fillId="0" borderId="108" applyNumberFormat="0" applyFill="0" applyAlignment="0" applyProtection="0"/>
    <xf numFmtId="0" fontId="49" fillId="10" borderId="103" applyNumberFormat="0" applyFont="0" applyAlignment="0" applyProtection="0"/>
    <xf numFmtId="0" fontId="41" fillId="13" borderId="102" applyNumberFormat="0" applyAlignment="0" applyProtection="0"/>
    <xf numFmtId="0" fontId="25" fillId="13" borderId="102" applyNumberFormat="0" applyAlignment="0" applyProtection="0"/>
    <xf numFmtId="0" fontId="72" fillId="0" borderId="106" applyBorder="0">
      <alignment horizontal="center" vertical="center" wrapText="1"/>
    </xf>
    <xf numFmtId="0" fontId="29" fillId="12" borderId="146" applyNumberFormat="0" applyAlignment="0" applyProtection="0"/>
    <xf numFmtId="0" fontId="32" fillId="24" borderId="143" applyNumberFormat="0" applyAlignment="0" applyProtection="0"/>
    <xf numFmtId="0" fontId="31" fillId="0" borderId="197" applyNumberFormat="0" applyFill="0" applyAlignment="0" applyProtection="0"/>
    <xf numFmtId="0" fontId="31" fillId="0" borderId="171" applyNumberFormat="0" applyFill="0" applyAlignment="0" applyProtection="0"/>
    <xf numFmtId="0" fontId="8" fillId="10" borderId="177" applyNumberFormat="0" applyFont="0" applyAlignment="0" applyProtection="0"/>
    <xf numFmtId="0" fontId="31" fillId="0" borderId="185" applyNumberFormat="0" applyFill="0" applyAlignment="0" applyProtection="0"/>
    <xf numFmtId="0" fontId="31" fillId="0" borderId="151" applyNumberFormat="0" applyFill="0" applyAlignment="0" applyProtection="0"/>
    <xf numFmtId="0" fontId="16" fillId="24" borderId="143" applyNumberFormat="0" applyAlignment="0" applyProtection="0"/>
    <xf numFmtId="0" fontId="31" fillId="0" borderId="166" applyNumberFormat="0" applyFill="0" applyAlignment="0" applyProtection="0"/>
    <xf numFmtId="0" fontId="72" fillId="0" borderId="126" applyBorder="0">
      <alignment horizontal="center" vertical="center" wrapText="1"/>
    </xf>
    <xf numFmtId="0" fontId="41" fillId="13" borderId="118" applyNumberFormat="0" applyAlignment="0" applyProtection="0"/>
    <xf numFmtId="0" fontId="16" fillId="24" borderId="118" applyNumberFormat="0" applyAlignment="0" applyProtection="0"/>
    <xf numFmtId="0" fontId="48" fillId="12" borderId="118" applyNumberFormat="0" applyAlignment="0" applyProtection="0"/>
    <xf numFmtId="0" fontId="72" fillId="0" borderId="201" applyBorder="0">
      <alignment horizontal="center" vertical="center" wrapText="1"/>
    </xf>
    <xf numFmtId="0" fontId="31" fillId="0" borderId="172" applyNumberFormat="0" applyFill="0" applyAlignment="0" applyProtection="0"/>
    <xf numFmtId="0" fontId="28" fillId="0" borderId="191"/>
    <xf numFmtId="0" fontId="48" fillId="24" borderId="203" applyNumberFormat="0" applyAlignment="0" applyProtection="0"/>
    <xf numFmtId="0" fontId="28" fillId="0" borderId="191"/>
    <xf numFmtId="0" fontId="84" fillId="0" borderId="180"/>
    <xf numFmtId="0" fontId="24" fillId="24" borderId="162" applyNumberFormat="0" applyAlignment="0" applyProtection="0"/>
    <xf numFmtId="0" fontId="28" fillId="0" borderId="149"/>
    <xf numFmtId="0" fontId="25" fillId="13" borderId="143" applyNumberFormat="0" applyAlignment="0" applyProtection="0"/>
    <xf numFmtId="0" fontId="72" fillId="0" borderId="141" applyBorder="0">
      <alignment horizontal="center" vertical="center" wrapText="1"/>
    </xf>
    <xf numFmtId="0" fontId="84" fillId="73" borderId="174"/>
    <xf numFmtId="0" fontId="31" fillId="0" borderId="192" applyNumberFormat="0" applyFill="0" applyAlignment="0" applyProtection="0"/>
    <xf numFmtId="0" fontId="31" fillId="0" borderId="158" applyNumberFormat="0" applyFill="0" applyAlignment="0" applyProtection="0"/>
    <xf numFmtId="0" fontId="31" fillId="0" borderId="197" applyNumberFormat="0" applyFill="0" applyAlignment="0" applyProtection="0"/>
    <xf numFmtId="0" fontId="84" fillId="0" borderId="191"/>
    <xf numFmtId="0" fontId="28" fillId="0" borderId="124"/>
    <xf numFmtId="0" fontId="32" fillId="24" borderId="118" applyNumberFormat="0" applyAlignment="0" applyProtection="0"/>
    <xf numFmtId="0" fontId="28" fillId="10" borderId="85" applyNumberFormat="0" applyFont="0" applyAlignment="0" applyProtection="0"/>
    <xf numFmtId="0" fontId="49" fillId="10" borderId="85" applyNumberFormat="0" applyFont="0" applyAlignment="0" applyProtection="0"/>
    <xf numFmtId="0" fontId="29" fillId="12" borderId="170" applyNumberFormat="0" applyAlignment="0" applyProtection="0"/>
    <xf numFmtId="0" fontId="31" fillId="0" borderId="90" applyNumberFormat="0" applyFill="0" applyAlignment="0" applyProtection="0"/>
    <xf numFmtId="0" fontId="31" fillId="0" borderId="93" applyNumberFormat="0" applyFill="0" applyAlignment="0" applyProtection="0"/>
    <xf numFmtId="0" fontId="31" fillId="0" borderId="171" applyNumberFormat="0" applyFill="0" applyAlignment="0" applyProtection="0"/>
    <xf numFmtId="0" fontId="29" fillId="12" borderId="91" applyNumberFormat="0" applyAlignment="0" applyProtection="0"/>
    <xf numFmtId="0" fontId="29" fillId="24" borderId="91" applyNumberFormat="0" applyAlignment="0" applyProtection="0"/>
    <xf numFmtId="0" fontId="31" fillId="0" borderId="123" applyNumberFormat="0" applyFill="0" applyAlignment="0" applyProtection="0"/>
    <xf numFmtId="0" fontId="28" fillId="0" borderId="180"/>
    <xf numFmtId="0" fontId="8" fillId="10" borderId="119" applyNumberFormat="0" applyFont="0" applyAlignment="0" applyProtection="0"/>
    <xf numFmtId="0" fontId="48" fillId="12" borderId="118" applyNumberFormat="0" applyAlignment="0" applyProtection="0"/>
    <xf numFmtId="0" fontId="28" fillId="10" borderId="177" applyNumberFormat="0" applyFont="0" applyAlignment="0" applyProtection="0"/>
    <xf numFmtId="0" fontId="84" fillId="0" borderId="174"/>
    <xf numFmtId="0" fontId="18" fillId="10" borderId="103" applyNumberFormat="0" applyFont="0" applyAlignment="0" applyProtection="0"/>
    <xf numFmtId="0" fontId="16" fillId="24" borderId="102" applyNumberFormat="0" applyAlignment="0" applyProtection="0"/>
    <xf numFmtId="0" fontId="31" fillId="0" borderId="107" applyNumberFormat="0" applyFill="0" applyAlignment="0" applyProtection="0"/>
    <xf numFmtId="0" fontId="41" fillId="13" borderId="118" applyNumberFormat="0" applyAlignment="0" applyProtection="0"/>
    <xf numFmtId="0" fontId="31" fillId="0" borderId="87" applyNumberFormat="0" applyFill="0" applyAlignment="0" applyProtection="0"/>
    <xf numFmtId="0" fontId="31" fillId="0" borderId="93" applyNumberFormat="0" applyFill="0" applyAlignment="0" applyProtection="0"/>
    <xf numFmtId="0" fontId="29" fillId="24" borderId="91" applyNumberFormat="0" applyAlignment="0" applyProtection="0"/>
    <xf numFmtId="0" fontId="18" fillId="10" borderId="85" applyNumberFormat="0" applyFont="0" applyAlignment="0" applyProtection="0"/>
    <xf numFmtId="0" fontId="8" fillId="10" borderId="144" applyNumberFormat="0" applyFont="0" applyAlignment="0" applyProtection="0"/>
    <xf numFmtId="0" fontId="49" fillId="10" borderId="119" applyNumberFormat="0" applyFont="0" applyAlignment="0" applyProtection="0"/>
    <xf numFmtId="0" fontId="48" fillId="12" borderId="118" applyNumberFormat="0" applyAlignment="0" applyProtection="0"/>
    <xf numFmtId="0" fontId="29" fillId="24" borderId="117" applyNumberFormat="0" applyAlignment="0" applyProtection="0"/>
    <xf numFmtId="0" fontId="29" fillId="24" borderId="117" applyNumberFormat="0" applyAlignment="0" applyProtection="0"/>
    <xf numFmtId="0" fontId="25" fillId="8" borderId="143" applyNumberFormat="0" applyAlignment="0" applyProtection="0"/>
    <xf numFmtId="0" fontId="29" fillId="24" borderId="101" applyNumberFormat="0" applyAlignment="0" applyProtection="0"/>
    <xf numFmtId="0" fontId="28" fillId="10" borderId="168" applyNumberFormat="0" applyFont="0" applyAlignment="0" applyProtection="0"/>
    <xf numFmtId="0" fontId="25" fillId="13" borderId="167" applyNumberFormat="0" applyAlignment="0" applyProtection="0"/>
    <xf numFmtId="0" fontId="31" fillId="0" borderId="192" applyNumberFormat="0" applyFill="0" applyAlignment="0" applyProtection="0"/>
    <xf numFmtId="0" fontId="25" fillId="13" borderId="102" applyNumberFormat="0" applyAlignment="0" applyProtection="0"/>
    <xf numFmtId="0" fontId="8" fillId="10" borderId="135" applyNumberFormat="0" applyFont="0" applyAlignment="0" applyProtection="0"/>
    <xf numFmtId="0" fontId="31" fillId="0" borderId="147" applyNumberFormat="0" applyFill="0" applyAlignment="0" applyProtection="0"/>
    <xf numFmtId="0" fontId="31" fillId="0" borderId="92" applyNumberFormat="0" applyFill="0" applyAlignment="0" applyProtection="0"/>
    <xf numFmtId="0" fontId="48" fillId="24" borderId="143" applyNumberFormat="0" applyAlignment="0" applyProtection="0"/>
    <xf numFmtId="0" fontId="29" fillId="24" borderId="101" applyNumberFormat="0" applyAlignment="0" applyProtection="0"/>
    <xf numFmtId="0" fontId="29" fillId="24" borderId="101" applyNumberFormat="0" applyAlignment="0" applyProtection="0"/>
    <xf numFmtId="0" fontId="16" fillId="24" borderId="143" applyNumberFormat="0" applyAlignment="0" applyProtection="0"/>
    <xf numFmtId="0" fontId="48" fillId="12" borderId="102" applyNumberFormat="0" applyAlignment="0" applyProtection="0"/>
    <xf numFmtId="0" fontId="72" fillId="0" borderId="89" applyBorder="0">
      <alignment horizontal="center" vertical="center" wrapText="1"/>
    </xf>
    <xf numFmtId="0" fontId="31" fillId="0" borderId="108" applyNumberFormat="0" applyFill="0" applyAlignment="0" applyProtection="0"/>
    <xf numFmtId="0" fontId="29" fillId="24" borderId="101" applyNumberFormat="0" applyAlignment="0" applyProtection="0"/>
    <xf numFmtId="0" fontId="48" fillId="12" borderId="134" applyNumberFormat="0" applyAlignment="0" applyProtection="0"/>
    <xf numFmtId="0" fontId="28" fillId="0" borderId="149"/>
    <xf numFmtId="0" fontId="48" fillId="24" borderId="194" applyNumberFormat="0" applyAlignment="0" applyProtection="0"/>
    <xf numFmtId="0" fontId="8" fillId="10" borderId="119" applyNumberFormat="0" applyFont="0" applyAlignment="0" applyProtection="0"/>
    <xf numFmtId="0" fontId="31" fillId="0" borderId="158" applyNumberFormat="0" applyFill="0" applyAlignment="0" applyProtection="0"/>
    <xf numFmtId="0" fontId="31" fillId="0" borderId="158" applyNumberFormat="0" applyFill="0" applyAlignment="0" applyProtection="0"/>
    <xf numFmtId="0" fontId="31" fillId="0" borderId="116" applyNumberFormat="0" applyFill="0" applyAlignment="0" applyProtection="0"/>
    <xf numFmtId="0" fontId="84" fillId="0" borderId="124"/>
    <xf numFmtId="0" fontId="25" fillId="13" borderId="127" applyNumberFormat="0" applyAlignment="0" applyProtection="0"/>
    <xf numFmtId="0" fontId="31" fillId="0" borderId="166" applyNumberFormat="0" applyFill="0" applyAlignment="0" applyProtection="0"/>
    <xf numFmtId="0" fontId="41" fillId="13" borderId="75" applyNumberFormat="0" applyAlignment="0" applyProtection="0"/>
    <xf numFmtId="0" fontId="8" fillId="10" borderId="76" applyNumberFormat="0" applyFont="0" applyAlignment="0" applyProtection="0"/>
    <xf numFmtId="0" fontId="31" fillId="0" borderId="79" applyNumberFormat="0" applyFill="0" applyAlignment="0" applyProtection="0"/>
    <xf numFmtId="0" fontId="31" fillId="0" borderId="80" applyNumberFormat="0" applyFill="0" applyAlignment="0" applyProtection="0"/>
    <xf numFmtId="0" fontId="32" fillId="24" borderId="75" applyNumberFormat="0" applyAlignment="0" applyProtection="0"/>
    <xf numFmtId="0" fontId="16" fillId="24" borderId="75" applyNumberFormat="0" applyAlignment="0" applyProtection="0"/>
    <xf numFmtId="0" fontId="25" fillId="13" borderId="75" applyNumberFormat="0" applyAlignment="0" applyProtection="0"/>
    <xf numFmtId="0" fontId="25" fillId="13" borderId="75" applyNumberFormat="0" applyAlignment="0" applyProtection="0"/>
    <xf numFmtId="0" fontId="29" fillId="24" borderId="78" applyNumberFormat="0" applyAlignment="0" applyProtection="0"/>
    <xf numFmtId="0" fontId="31" fillId="0" borderId="73" applyNumberFormat="0" applyFill="0" applyAlignment="0" applyProtection="0"/>
    <xf numFmtId="0" fontId="31" fillId="0" borderId="74" applyNumberFormat="0" applyFill="0" applyAlignment="0" applyProtection="0"/>
    <xf numFmtId="0" fontId="24" fillId="24" borderId="104" applyNumberFormat="0" applyAlignment="0" applyProtection="0"/>
    <xf numFmtId="0" fontId="41" fillId="13" borderId="102" applyNumberFormat="0" applyAlignment="0" applyProtection="0"/>
    <xf numFmtId="0" fontId="48" fillId="24" borderId="75" applyNumberFormat="0" applyAlignment="0" applyProtection="0"/>
    <xf numFmtId="0" fontId="31" fillId="0" borderId="147" applyNumberFormat="0" applyFill="0" applyAlignment="0" applyProtection="0"/>
    <xf numFmtId="0" fontId="8" fillId="45" borderId="175" applyNumberFormat="0" applyFont="0" applyAlignment="0" applyProtection="0"/>
    <xf numFmtId="0" fontId="16" fillId="24" borderId="167" applyNumberFormat="0" applyAlignment="0" applyProtection="0"/>
    <xf numFmtId="0" fontId="29" fillId="12" borderId="170" applyNumberFormat="0" applyAlignment="0" applyProtection="0"/>
    <xf numFmtId="0" fontId="29" fillId="24" borderId="193" applyNumberFormat="0" applyAlignment="0" applyProtection="0"/>
    <xf numFmtId="0" fontId="31" fillId="0" borderId="151" applyNumberFormat="0" applyFill="0" applyAlignment="0" applyProtection="0"/>
    <xf numFmtId="0" fontId="31" fillId="0" borderId="151" applyNumberFormat="0" applyFill="0" applyAlignment="0" applyProtection="0"/>
    <xf numFmtId="0" fontId="28" fillId="0" borderId="180"/>
    <xf numFmtId="0" fontId="29" fillId="12" borderId="193" applyNumberFormat="0" applyAlignment="0" applyProtection="0"/>
    <xf numFmtId="0" fontId="48" fillId="12" borderId="167" applyNumberFormat="0" applyAlignment="0" applyProtection="0"/>
    <xf numFmtId="0" fontId="32" fillId="24" borderId="102" applyNumberFormat="0" applyAlignment="0" applyProtection="0"/>
    <xf numFmtId="0" fontId="28" fillId="10" borderId="103" applyNumberFormat="0" applyFont="0" applyAlignment="0" applyProtection="0"/>
    <xf numFmtId="0" fontId="28" fillId="0" borderId="149"/>
    <xf numFmtId="0" fontId="24" fillId="24" borderId="196" applyNumberFormat="0" applyAlignment="0" applyProtection="0"/>
    <xf numFmtId="0" fontId="48" fillId="12" borderId="102" applyNumberFormat="0" applyAlignment="0" applyProtection="0"/>
    <xf numFmtId="0" fontId="31" fillId="0" borderId="107" applyNumberFormat="0" applyFill="0" applyAlignment="0" applyProtection="0"/>
    <xf numFmtId="0" fontId="72" fillId="0" borderId="106" applyBorder="0">
      <alignment horizontal="center" vertical="center" wrapText="1"/>
    </xf>
    <xf numFmtId="0" fontId="31" fillId="0" borderId="105" applyNumberFormat="0" applyFill="0" applyAlignment="0" applyProtection="0"/>
    <xf numFmtId="0" fontId="8" fillId="10" borderId="103" applyNumberFormat="0" applyFont="0" applyAlignment="0" applyProtection="0"/>
    <xf numFmtId="0" fontId="72" fillId="0" borderId="106" applyBorder="0">
      <alignment horizontal="center" vertical="center" wrapText="1"/>
    </xf>
    <xf numFmtId="0" fontId="31" fillId="0" borderId="100" applyNumberFormat="0" applyFill="0" applyAlignment="0" applyProtection="0"/>
    <xf numFmtId="0" fontId="48" fillId="12" borderId="102" applyNumberFormat="0" applyAlignment="0" applyProtection="0"/>
    <xf numFmtId="0" fontId="28" fillId="0" borderId="99"/>
    <xf numFmtId="0" fontId="31" fillId="0" borderId="100" applyNumberFormat="0" applyFill="0" applyAlignment="0" applyProtection="0"/>
    <xf numFmtId="0" fontId="16" fillId="24" borderId="102" applyNumberFormat="0" applyAlignment="0" applyProtection="0"/>
    <xf numFmtId="0" fontId="16" fillId="24" borderId="102" applyNumberFormat="0" applyAlignment="0" applyProtection="0"/>
    <xf numFmtId="0" fontId="49" fillId="10" borderId="103" applyNumberFormat="0" applyFont="0" applyAlignment="0" applyProtection="0"/>
    <xf numFmtId="0" fontId="8" fillId="45" borderId="110" applyNumberFormat="0" applyFont="0" applyAlignment="0" applyProtection="0"/>
    <xf numFmtId="0" fontId="48" fillId="12" borderId="102" applyNumberFormat="0" applyAlignment="0" applyProtection="0"/>
    <xf numFmtId="0" fontId="25" fillId="8" borderId="102" applyNumberFormat="0" applyAlignment="0" applyProtection="0"/>
    <xf numFmtId="0" fontId="31" fillId="0" borderId="100" applyNumberFormat="0" applyFill="0" applyAlignment="0" applyProtection="0"/>
    <xf numFmtId="0" fontId="28" fillId="0" borderId="180"/>
    <xf numFmtId="0" fontId="16" fillId="24" borderId="111" applyNumberFormat="0" applyAlignment="0" applyProtection="0"/>
    <xf numFmtId="0" fontId="16" fillId="24" borderId="111" applyNumberFormat="0" applyAlignment="0" applyProtection="0"/>
    <xf numFmtId="0" fontId="28" fillId="10" borderId="112" applyNumberFormat="0" applyFont="0" applyAlignment="0" applyProtection="0"/>
    <xf numFmtId="0" fontId="8" fillId="10" borderId="112" applyNumberFormat="0" applyFont="0" applyAlignment="0" applyProtection="0"/>
    <xf numFmtId="0" fontId="24" fillId="24" borderId="113" applyNumberFormat="0" applyAlignment="0" applyProtection="0"/>
    <xf numFmtId="0" fontId="31" fillId="0" borderId="114" applyNumberFormat="0" applyFill="0" applyAlignment="0" applyProtection="0"/>
    <xf numFmtId="0" fontId="25" fillId="8" borderId="194" applyNumberFormat="0" applyAlignment="0" applyProtection="0"/>
    <xf numFmtId="0" fontId="48" fillId="24" borderId="167" applyNumberFormat="0" applyAlignment="0" applyProtection="0"/>
    <xf numFmtId="0" fontId="8" fillId="45" borderId="175" applyNumberFormat="0" applyFont="0" applyAlignment="0" applyProtection="0"/>
    <xf numFmtId="0" fontId="72" fillId="0" borderId="152" applyBorder="0">
      <alignment horizontal="center" vertical="center" wrapText="1"/>
    </xf>
    <xf numFmtId="0" fontId="84" fillId="0" borderId="191"/>
    <xf numFmtId="0" fontId="31" fillId="0" borderId="163" applyNumberFormat="0" applyFill="0" applyAlignment="0" applyProtection="0"/>
    <xf numFmtId="0" fontId="49" fillId="10" borderId="168" applyNumberFormat="0" applyFont="0" applyAlignment="0" applyProtection="0"/>
    <xf numFmtId="0" fontId="29" fillId="24" borderId="101" applyNumberFormat="0" applyAlignment="0" applyProtection="0"/>
    <xf numFmtId="0" fontId="25" fillId="13" borderId="102" applyNumberFormat="0" applyAlignment="0" applyProtection="0"/>
    <xf numFmtId="0" fontId="31" fillId="0" borderId="105" applyNumberFormat="0" applyFill="0" applyAlignment="0" applyProtection="0"/>
    <xf numFmtId="0" fontId="31" fillId="0" borderId="108" applyNumberFormat="0" applyFill="0" applyAlignment="0" applyProtection="0"/>
    <xf numFmtId="0" fontId="29" fillId="12" borderId="101" applyNumberFormat="0" applyAlignment="0" applyProtection="0"/>
    <xf numFmtId="0" fontId="31" fillId="0" borderId="108" applyNumberFormat="0" applyFill="0" applyAlignment="0" applyProtection="0"/>
    <xf numFmtId="0" fontId="31" fillId="0" borderId="108" applyNumberFormat="0" applyFill="0" applyAlignment="0" applyProtection="0"/>
    <xf numFmtId="0" fontId="31" fillId="0" borderId="108" applyNumberFormat="0" applyFill="0" applyAlignment="0" applyProtection="0"/>
    <xf numFmtId="0" fontId="28" fillId="0" borderId="174"/>
    <xf numFmtId="0" fontId="84" fillId="0" borderId="191"/>
    <xf numFmtId="0" fontId="31" fillId="0" borderId="73" applyNumberFormat="0" applyFill="0" applyAlignment="0" applyProtection="0"/>
    <xf numFmtId="0" fontId="48" fillId="24" borderId="75" applyNumberFormat="0" applyAlignment="0" applyProtection="0"/>
    <xf numFmtId="0" fontId="41" fillId="13" borderId="75" applyNumberFormat="0" applyAlignment="0" applyProtection="0"/>
    <xf numFmtId="0" fontId="31" fillId="0" borderId="79" applyNumberFormat="0" applyFill="0" applyAlignment="0" applyProtection="0"/>
    <xf numFmtId="0" fontId="25" fillId="13" borderId="75" applyNumberFormat="0" applyAlignment="0" applyProtection="0"/>
    <xf numFmtId="0" fontId="8" fillId="10" borderId="76" applyNumberFormat="0" applyFont="0" applyAlignment="0" applyProtection="0"/>
    <xf numFmtId="0" fontId="28" fillId="10" borderId="76" applyNumberFormat="0" applyFont="0" applyAlignment="0" applyProtection="0"/>
    <xf numFmtId="0" fontId="48" fillId="24" borderId="75" applyNumberFormat="0" applyAlignment="0" applyProtection="0"/>
    <xf numFmtId="0" fontId="16" fillId="24" borderId="75" applyNumberFormat="0" applyAlignment="0" applyProtection="0"/>
    <xf numFmtId="0" fontId="31" fillId="0" borderId="73" applyNumberFormat="0" applyFill="0" applyAlignment="0" applyProtection="0"/>
    <xf numFmtId="0" fontId="28" fillId="10" borderId="76" applyNumberFormat="0" applyFont="0" applyAlignment="0" applyProtection="0"/>
    <xf numFmtId="0" fontId="31" fillId="0" borderId="79" applyNumberFormat="0" applyFill="0" applyAlignment="0" applyProtection="0"/>
    <xf numFmtId="0" fontId="49" fillId="10" borderId="76" applyNumberFormat="0" applyFont="0" applyAlignment="0" applyProtection="0"/>
    <xf numFmtId="0" fontId="8" fillId="45" borderId="83" applyNumberFormat="0" applyFont="0" applyAlignment="0" applyProtection="0"/>
    <xf numFmtId="0" fontId="84" fillId="0" borderId="82"/>
    <xf numFmtId="0" fontId="48" fillId="12" borderId="75" applyNumberFormat="0" applyAlignment="0" applyProtection="0"/>
    <xf numFmtId="0" fontId="29" fillId="12" borderId="78" applyNumberFormat="0" applyAlignment="0" applyProtection="0"/>
    <xf numFmtId="0" fontId="31" fillId="0" borderId="80" applyNumberFormat="0" applyFill="0" applyAlignment="0" applyProtection="0"/>
    <xf numFmtId="0" fontId="49" fillId="10" borderId="76" applyNumberFormat="0" applyFont="0" applyAlignment="0" applyProtection="0"/>
    <xf numFmtId="0" fontId="28" fillId="0" borderId="82"/>
    <xf numFmtId="0" fontId="31" fillId="0" borderId="79" applyNumberFormat="0" applyFill="0" applyAlignment="0" applyProtection="0"/>
    <xf numFmtId="0" fontId="84" fillId="0" borderId="82"/>
    <xf numFmtId="0" fontId="25" fillId="8" borderId="75" applyNumberFormat="0" applyAlignment="0" applyProtection="0"/>
    <xf numFmtId="0" fontId="29" fillId="12" borderId="78" applyNumberFormat="0" applyAlignment="0" applyProtection="0"/>
    <xf numFmtId="0" fontId="16" fillId="24" borderId="84" applyNumberFormat="0" applyAlignment="0" applyProtection="0"/>
    <xf numFmtId="0" fontId="16" fillId="24" borderId="84" applyNumberFormat="0" applyAlignment="0" applyProtection="0"/>
    <xf numFmtId="0" fontId="41" fillId="13" borderId="102" applyNumberFormat="0" applyAlignment="0" applyProtection="0"/>
    <xf numFmtId="0" fontId="25" fillId="13" borderId="84" applyNumberFormat="0" applyAlignment="0" applyProtection="0"/>
    <xf numFmtId="0" fontId="25" fillId="13" borderId="84" applyNumberFormat="0" applyAlignment="0" applyProtection="0"/>
    <xf numFmtId="0" fontId="41" fillId="13" borderId="84" applyNumberFormat="0" applyAlignment="0" applyProtection="0"/>
    <xf numFmtId="0" fontId="24" fillId="24" borderId="162" applyNumberFormat="0" applyAlignment="0" applyProtection="0"/>
    <xf numFmtId="0" fontId="31" fillId="0" borderId="165" applyNumberFormat="0" applyFill="0" applyAlignment="0" applyProtection="0"/>
    <xf numFmtId="0" fontId="31" fillId="0" borderId="132" applyNumberFormat="0" applyFill="0" applyAlignment="0" applyProtection="0"/>
    <xf numFmtId="0" fontId="28" fillId="10" borderId="85" applyNumberFormat="0" applyFont="0" applyAlignment="0" applyProtection="0"/>
    <xf numFmtId="0" fontId="24" fillId="24" borderId="86" applyNumberFormat="0" applyAlignment="0" applyProtection="0"/>
    <xf numFmtId="0" fontId="24" fillId="24" borderId="86" applyNumberFormat="0" applyAlignment="0" applyProtection="0"/>
    <xf numFmtId="0" fontId="25" fillId="13" borderId="194" applyNumberFormat="0" applyAlignment="0" applyProtection="0"/>
    <xf numFmtId="0" fontId="29" fillId="12" borderId="193" applyNumberFormat="0" applyAlignment="0" applyProtection="0"/>
    <xf numFmtId="0" fontId="31" fillId="0" borderId="140" applyNumberFormat="0" applyFill="0" applyAlignment="0" applyProtection="0"/>
    <xf numFmtId="0" fontId="29" fillId="12" borderId="146" applyNumberFormat="0" applyAlignment="0" applyProtection="0"/>
    <xf numFmtId="0" fontId="8" fillId="10" borderId="195" applyNumberFormat="0" applyFont="0" applyAlignment="0" applyProtection="0"/>
    <xf numFmtId="0" fontId="8" fillId="10" borderId="103" applyNumberFormat="0" applyFont="0" applyAlignment="0" applyProtection="0"/>
    <xf numFmtId="0" fontId="84" fillId="0" borderId="174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28" fillId="10" borderId="103" applyNumberFormat="0" applyFont="0" applyAlignment="0" applyProtection="0"/>
    <xf numFmtId="0" fontId="31" fillId="0" borderId="100" applyNumberFormat="0" applyFill="0" applyAlignment="0" applyProtection="0"/>
    <xf numFmtId="0" fontId="8" fillId="10" borderId="103" applyNumberFormat="0" applyFont="0" applyAlignment="0" applyProtection="0"/>
    <xf numFmtId="0" fontId="16" fillId="24" borderId="102" applyNumberFormat="0" applyAlignment="0" applyProtection="0"/>
    <xf numFmtId="0" fontId="48" fillId="12" borderId="102" applyNumberFormat="0" applyAlignment="0" applyProtection="0"/>
    <xf numFmtId="0" fontId="16" fillId="24" borderId="102" applyNumberFormat="0" applyAlignment="0" applyProtection="0"/>
    <xf numFmtId="0" fontId="72" fillId="0" borderId="109" applyBorder="0">
      <alignment horizontal="center" vertical="center" wrapText="1"/>
    </xf>
    <xf numFmtId="0" fontId="28" fillId="10" borderId="103" applyNumberFormat="0" applyFont="0" applyAlignment="0" applyProtection="0"/>
    <xf numFmtId="0" fontId="28" fillId="0" borderId="99"/>
    <xf numFmtId="0" fontId="31" fillId="0" borderId="108" applyNumberFormat="0" applyFill="0" applyAlignment="0" applyProtection="0"/>
    <xf numFmtId="0" fontId="48" fillId="12" borderId="102" applyNumberFormat="0" applyAlignment="0" applyProtection="0"/>
    <xf numFmtId="0" fontId="48" fillId="24" borderId="102" applyNumberFormat="0" applyAlignment="0" applyProtection="0"/>
    <xf numFmtId="0" fontId="84" fillId="0" borderId="99"/>
    <xf numFmtId="0" fontId="31" fillId="0" borderId="100" applyNumberFormat="0" applyFill="0" applyAlignment="0" applyProtection="0"/>
    <xf numFmtId="0" fontId="31" fillId="0" borderId="192" applyNumberFormat="0" applyFill="0" applyAlignment="0" applyProtection="0"/>
    <xf numFmtId="0" fontId="29" fillId="12" borderId="146" applyNumberFormat="0" applyAlignment="0" applyProtection="0"/>
    <xf numFmtId="0" fontId="48" fillId="12" borderId="194" applyNumberFormat="0" applyAlignment="0" applyProtection="0"/>
    <xf numFmtId="0" fontId="8" fillId="45" borderId="202" applyNumberFormat="0" applyFont="0" applyAlignment="0" applyProtection="0"/>
    <xf numFmtId="0" fontId="31" fillId="0" borderId="158" applyNumberFormat="0" applyFill="0" applyAlignment="0" applyProtection="0"/>
    <xf numFmtId="0" fontId="8" fillId="45" borderId="186" applyNumberFormat="0" applyFont="0" applyAlignment="0" applyProtection="0"/>
    <xf numFmtId="0" fontId="31" fillId="0" borderId="192" applyNumberFormat="0" applyFill="0" applyAlignment="0" applyProtection="0"/>
    <xf numFmtId="0" fontId="48" fillId="12" borderId="167" applyNumberFormat="0" applyAlignment="0" applyProtection="0"/>
    <xf numFmtId="0" fontId="41" fillId="13" borderId="194" applyNumberFormat="0" applyAlignment="0" applyProtection="0"/>
    <xf numFmtId="0" fontId="29" fillId="12" borderId="193" applyNumberFormat="0" applyAlignment="0" applyProtection="0"/>
    <xf numFmtId="0" fontId="31" fillId="0" borderId="184" applyNumberFormat="0" applyFill="0" applyAlignment="0" applyProtection="0"/>
    <xf numFmtId="0" fontId="8" fillId="10" borderId="144" applyNumberFormat="0" applyFont="0" applyAlignment="0" applyProtection="0"/>
    <xf numFmtId="0" fontId="31" fillId="0" borderId="158" applyNumberFormat="0" applyFill="0" applyAlignment="0" applyProtection="0"/>
    <xf numFmtId="0" fontId="84" fillId="0" borderId="191"/>
    <xf numFmtId="0" fontId="41" fillId="13" borderId="167" applyNumberFormat="0" applyAlignment="0" applyProtection="0"/>
    <xf numFmtId="0" fontId="24" fillId="24" borderId="162" applyNumberFormat="0" applyAlignment="0" applyProtection="0"/>
    <xf numFmtId="0" fontId="48" fillId="24" borderId="167" applyNumberFormat="0" applyAlignment="0" applyProtection="0"/>
    <xf numFmtId="0" fontId="28" fillId="0" borderId="124"/>
    <xf numFmtId="0" fontId="29" fillId="24" borderId="117" applyNumberFormat="0" applyAlignment="0" applyProtection="0"/>
    <xf numFmtId="0" fontId="31" fillId="0" borderId="123" applyNumberFormat="0" applyFill="0" applyAlignment="0" applyProtection="0"/>
    <xf numFmtId="0" fontId="8" fillId="10" borderId="119" applyNumberFormat="0" applyFont="0" applyAlignment="0" applyProtection="0"/>
    <xf numFmtId="0" fontId="31" fillId="0" borderId="123" applyNumberFormat="0" applyFill="0" applyAlignment="0" applyProtection="0"/>
    <xf numFmtId="0" fontId="31" fillId="0" borderId="116" applyNumberFormat="0" applyFill="0" applyAlignment="0" applyProtection="0"/>
    <xf numFmtId="0" fontId="28" fillId="0" borderId="124"/>
    <xf numFmtId="0" fontId="29" fillId="24" borderId="117" applyNumberFormat="0" applyAlignment="0" applyProtection="0"/>
    <xf numFmtId="0" fontId="41" fillId="13" borderId="118" applyNumberFormat="0" applyAlignment="0" applyProtection="0"/>
    <xf numFmtId="0" fontId="49" fillId="10" borderId="168" applyNumberFormat="0" applyFont="0" applyAlignment="0" applyProtection="0"/>
    <xf numFmtId="0" fontId="18" fillId="10" borderId="204" applyNumberFormat="0" applyFont="0" applyAlignment="0" applyProtection="0"/>
    <xf numFmtId="0" fontId="49" fillId="10" borderId="168" applyNumberFormat="0" applyFont="0" applyAlignment="0" applyProtection="0"/>
    <xf numFmtId="0" fontId="72" fillId="0" borderId="164" applyBorder="0">
      <alignment horizontal="center" vertical="center" wrapText="1"/>
    </xf>
    <xf numFmtId="0" fontId="31" fillId="0" borderId="200" applyNumberFormat="0" applyFill="0" applyAlignment="0" applyProtection="0"/>
    <xf numFmtId="0" fontId="8" fillId="10" borderId="177" applyNumberFormat="0" applyFont="0" applyAlignment="0" applyProtection="0"/>
    <xf numFmtId="0" fontId="16" fillId="24" borderId="143" applyNumberFormat="0" applyAlignment="0" applyProtection="0"/>
    <xf numFmtId="0" fontId="49" fillId="10" borderId="144" applyNumberFormat="0" applyFont="0" applyAlignment="0" applyProtection="0"/>
    <xf numFmtId="0" fontId="16" fillId="24" borderId="143" applyNumberFormat="0" applyAlignment="0" applyProtection="0"/>
    <xf numFmtId="0" fontId="25" fillId="13" borderId="167" applyNumberFormat="0" applyAlignment="0" applyProtection="0"/>
    <xf numFmtId="0" fontId="25" fillId="8" borderId="167" applyNumberFormat="0" applyAlignment="0" applyProtection="0"/>
    <xf numFmtId="0" fontId="31" fillId="0" borderId="179" applyNumberFormat="0" applyFill="0" applyAlignment="0" applyProtection="0"/>
    <xf numFmtId="0" fontId="16" fillId="24" borderId="187" applyNumberFormat="0" applyAlignment="0" applyProtection="0"/>
    <xf numFmtId="0" fontId="28" fillId="10" borderId="144" applyNumberFormat="0" applyFont="0" applyAlignment="0" applyProtection="0"/>
    <xf numFmtId="0" fontId="49" fillId="10" borderId="119" applyNumberFormat="0" applyFont="0" applyAlignment="0" applyProtection="0"/>
    <xf numFmtId="0" fontId="32" fillId="24" borderId="134" applyNumberFormat="0" applyAlignment="0" applyProtection="0"/>
    <xf numFmtId="0" fontId="49" fillId="10" borderId="128" applyNumberFormat="0" applyFont="0" applyAlignment="0" applyProtection="0"/>
    <xf numFmtId="0" fontId="28" fillId="10" borderId="135" applyNumberFormat="0" applyFont="0" applyAlignment="0" applyProtection="0"/>
    <xf numFmtId="0" fontId="25" fillId="8" borderId="143" applyNumberFormat="0" applyAlignment="0" applyProtection="0"/>
    <xf numFmtId="0" fontId="25" fillId="13" borderId="194" applyNumberFormat="0" applyAlignment="0" applyProtection="0"/>
    <xf numFmtId="0" fontId="25" fillId="13" borderId="102" applyNumberFormat="0" applyAlignment="0" applyProtection="0"/>
    <xf numFmtId="0" fontId="48" fillId="24" borderId="143" applyNumberFormat="0" applyAlignment="0" applyProtection="0"/>
    <xf numFmtId="0" fontId="41" fillId="13" borderId="143" applyNumberFormat="0" applyAlignment="0" applyProtection="0"/>
    <xf numFmtId="0" fontId="29" fillId="24" borderId="146" applyNumberFormat="0" applyAlignment="0" applyProtection="0"/>
    <xf numFmtId="0" fontId="31" fillId="0" borderId="142" applyNumberFormat="0" applyFill="0" applyAlignment="0" applyProtection="0"/>
    <xf numFmtId="0" fontId="48" fillId="24" borderId="143" applyNumberFormat="0" applyAlignment="0" applyProtection="0"/>
    <xf numFmtId="0" fontId="28" fillId="0" borderId="149"/>
    <xf numFmtId="0" fontId="31" fillId="0" borderId="151" applyNumberFormat="0" applyFill="0" applyAlignment="0" applyProtection="0"/>
    <xf numFmtId="0" fontId="8" fillId="10" borderId="154" applyNumberFormat="0" applyFont="0" applyAlignment="0" applyProtection="0"/>
    <xf numFmtId="0" fontId="31" fillId="0" borderId="156" applyNumberFormat="0" applyFill="0" applyAlignment="0" applyProtection="0"/>
    <xf numFmtId="0" fontId="25" fillId="8" borderId="194" applyNumberFormat="0" applyAlignment="0" applyProtection="0"/>
    <xf numFmtId="0" fontId="31" fillId="0" borderId="123" applyNumberFormat="0" applyFill="0" applyAlignment="0" applyProtection="0"/>
    <xf numFmtId="0" fontId="28" fillId="0" borderId="149"/>
    <xf numFmtId="0" fontId="31" fillId="0" borderId="148" applyNumberFormat="0" applyFill="0" applyAlignment="0" applyProtection="0"/>
    <xf numFmtId="0" fontId="49" fillId="10" borderId="144" applyNumberFormat="0" applyFont="0" applyAlignment="0" applyProtection="0"/>
    <xf numFmtId="0" fontId="31" fillId="0" borderId="200" applyNumberFormat="0" applyFill="0" applyAlignment="0" applyProtection="0"/>
    <xf numFmtId="0" fontId="49" fillId="10" borderId="195" applyNumberFormat="0" applyFont="0" applyAlignment="0" applyProtection="0"/>
    <xf numFmtId="0" fontId="28" fillId="0" borderId="99"/>
    <xf numFmtId="0" fontId="31" fillId="0" borderId="108" applyNumberFormat="0" applyFill="0" applyAlignment="0" applyProtection="0"/>
    <xf numFmtId="0" fontId="8" fillId="10" borderId="103" applyNumberFormat="0" applyFont="0" applyAlignment="0" applyProtection="0"/>
    <xf numFmtId="0" fontId="8" fillId="10" borderId="103" applyNumberFormat="0" applyFont="0" applyAlignment="0" applyProtection="0"/>
    <xf numFmtId="0" fontId="29" fillId="12" borderId="101" applyNumberFormat="0" applyAlignment="0" applyProtection="0"/>
    <xf numFmtId="0" fontId="31" fillId="0" borderId="100" applyNumberFormat="0" applyFill="0" applyAlignment="0" applyProtection="0"/>
    <xf numFmtId="0" fontId="31" fillId="0" borderId="108" applyNumberFormat="0" applyFill="0" applyAlignment="0" applyProtection="0"/>
    <xf numFmtId="0" fontId="25" fillId="8" borderId="102" applyNumberFormat="0" applyAlignment="0" applyProtection="0"/>
    <xf numFmtId="0" fontId="8" fillId="10" borderId="103" applyNumberFormat="0" applyFont="0" applyAlignment="0" applyProtection="0"/>
    <xf numFmtId="0" fontId="48" fillId="24" borderId="102" applyNumberFormat="0" applyAlignment="0" applyProtection="0"/>
    <xf numFmtId="0" fontId="25" fillId="13" borderId="102" applyNumberFormat="0" applyAlignment="0" applyProtection="0"/>
    <xf numFmtId="0" fontId="8" fillId="10" borderId="103" applyNumberFormat="0" applyFont="0" applyAlignment="0" applyProtection="0"/>
    <xf numFmtId="0" fontId="16" fillId="24" borderId="102" applyNumberFormat="0" applyAlignment="0" applyProtection="0"/>
    <xf numFmtId="0" fontId="25" fillId="13" borderId="102" applyNumberFormat="0" applyAlignment="0" applyProtection="0"/>
    <xf numFmtId="0" fontId="28" fillId="10" borderId="103" applyNumberFormat="0" applyFont="0" applyAlignment="0" applyProtection="0"/>
    <xf numFmtId="0" fontId="25" fillId="13" borderId="102" applyNumberFormat="0" applyAlignment="0" applyProtection="0"/>
    <xf numFmtId="0" fontId="29" fillId="24" borderId="101" applyNumberFormat="0" applyAlignment="0" applyProtection="0"/>
    <xf numFmtId="0" fontId="84" fillId="0" borderId="99"/>
    <xf numFmtId="0" fontId="31" fillId="0" borderId="100" applyNumberFormat="0" applyFill="0" applyAlignment="0" applyProtection="0"/>
    <xf numFmtId="0" fontId="31" fillId="0" borderId="142" applyNumberFormat="0" applyFill="0" applyAlignment="0" applyProtection="0"/>
    <xf numFmtId="0" fontId="25" fillId="13" borderId="143" applyNumberFormat="0" applyAlignment="0" applyProtection="0"/>
    <xf numFmtId="0" fontId="28" fillId="0" borderId="149"/>
    <xf numFmtId="0" fontId="31" fillId="0" borderId="151" applyNumberFormat="0" applyFill="0" applyAlignment="0" applyProtection="0"/>
    <xf numFmtId="0" fontId="31" fillId="0" borderId="185" applyNumberFormat="0" applyFill="0" applyAlignment="0" applyProtection="0"/>
    <xf numFmtId="0" fontId="31" fillId="0" borderId="200" applyNumberFormat="0" applyFill="0" applyAlignment="0" applyProtection="0"/>
    <xf numFmtId="0" fontId="8" fillId="10" borderId="195" applyNumberFormat="0" applyFont="0" applyAlignment="0" applyProtection="0"/>
    <xf numFmtId="0" fontId="49" fillId="10" borderId="168" applyNumberFormat="0" applyFont="0" applyAlignment="0" applyProtection="0"/>
    <xf numFmtId="0" fontId="31" fillId="0" borderId="171" applyNumberFormat="0" applyFill="0" applyAlignment="0" applyProtection="0"/>
    <xf numFmtId="0" fontId="31" fillId="0" borderId="123" applyNumberFormat="0" applyFill="0" applyAlignment="0" applyProtection="0"/>
    <xf numFmtId="0" fontId="31" fillId="0" borderId="116" applyNumberFormat="0" applyFill="0" applyAlignment="0" applyProtection="0"/>
    <xf numFmtId="0" fontId="41" fillId="13" borderId="118" applyNumberFormat="0" applyAlignment="0" applyProtection="0"/>
    <xf numFmtId="0" fontId="72" fillId="0" borderId="126" applyBorder="0">
      <alignment horizontal="center" vertical="center" wrapText="1"/>
    </xf>
    <xf numFmtId="0" fontId="48" fillId="24" borderId="118" applyNumberFormat="0" applyAlignment="0" applyProtection="0"/>
    <xf numFmtId="0" fontId="48" fillId="24" borderId="118" applyNumberFormat="0" applyAlignment="0" applyProtection="0"/>
    <xf numFmtId="0" fontId="29" fillId="24" borderId="170" applyNumberFormat="0" applyAlignment="0" applyProtection="0"/>
    <xf numFmtId="0" fontId="28" fillId="0" borderId="174"/>
    <xf numFmtId="0" fontId="25" fillId="13" borderId="143" applyNumberFormat="0" applyAlignment="0" applyProtection="0"/>
    <xf numFmtId="0" fontId="28" fillId="10" borderId="195" applyNumberFormat="0" applyFont="0" applyAlignment="0" applyProtection="0"/>
    <xf numFmtId="0" fontId="8" fillId="10" borderId="168" applyNumberFormat="0" applyFont="0" applyAlignment="0" applyProtection="0"/>
    <xf numFmtId="0" fontId="28" fillId="0" borderId="124"/>
    <xf numFmtId="0" fontId="28" fillId="10" borderId="177" applyNumberFormat="0" applyFont="0" applyAlignment="0" applyProtection="0"/>
    <xf numFmtId="0" fontId="31" fillId="0" borderId="158" applyNumberFormat="0" applyFill="0" applyAlignment="0" applyProtection="0"/>
    <xf numFmtId="0" fontId="28" fillId="0" borderId="174"/>
    <xf numFmtId="0" fontId="31" fillId="0" borderId="166" applyNumberFormat="0" applyFill="0" applyAlignment="0" applyProtection="0"/>
    <xf numFmtId="0" fontId="32" fillId="24" borderId="118" applyNumberFormat="0" applyAlignment="0" applyProtection="0"/>
    <xf numFmtId="0" fontId="31" fillId="0" borderId="172" applyNumberFormat="0" applyFill="0" applyAlignment="0" applyProtection="0"/>
    <xf numFmtId="0" fontId="28" fillId="0" borderId="191"/>
    <xf numFmtId="0" fontId="48" fillId="12" borderId="143" applyNumberFormat="0" applyAlignment="0" applyProtection="0"/>
    <xf numFmtId="0" fontId="28" fillId="10" borderId="144" applyNumberFormat="0" applyFont="0" applyAlignment="0" applyProtection="0"/>
    <xf numFmtId="0" fontId="48" fillId="24" borderId="143" applyNumberFormat="0" applyAlignment="0" applyProtection="0"/>
    <xf numFmtId="0" fontId="8" fillId="10" borderId="168" applyNumberFormat="0" applyFont="0" applyAlignment="0" applyProtection="0"/>
    <xf numFmtId="0" fontId="31" fillId="0" borderId="166" applyNumberFormat="0" applyFill="0" applyAlignment="0" applyProtection="0"/>
    <xf numFmtId="0" fontId="48" fillId="12" borderId="194" applyNumberFormat="0" applyAlignment="0" applyProtection="0"/>
    <xf numFmtId="0" fontId="28" fillId="0" borderId="180"/>
    <xf numFmtId="0" fontId="41" fillId="13" borderId="167" applyNumberFormat="0" applyAlignment="0" applyProtection="0"/>
    <xf numFmtId="0" fontId="84" fillId="73" borderId="149"/>
    <xf numFmtId="0" fontId="49" fillId="10" borderId="177" applyNumberFormat="0" applyFont="0" applyAlignment="0" applyProtection="0"/>
    <xf numFmtId="0" fontId="31" fillId="0" borderId="147" applyNumberFormat="0" applyFill="0" applyAlignment="0" applyProtection="0"/>
    <xf numFmtId="0" fontId="8" fillId="10" borderId="144" applyNumberFormat="0" applyFont="0" applyAlignment="0" applyProtection="0"/>
    <xf numFmtId="0" fontId="31" fillId="0" borderId="148" applyNumberFormat="0" applyFill="0" applyAlignment="0" applyProtection="0"/>
    <xf numFmtId="0" fontId="31" fillId="0" borderId="151" applyNumberFormat="0" applyFill="0" applyAlignment="0" applyProtection="0"/>
    <xf numFmtId="0" fontId="28" fillId="10" borderId="144" applyNumberFormat="0" applyFont="0" applyAlignment="0" applyProtection="0"/>
    <xf numFmtId="0" fontId="25" fillId="13" borderId="143" applyNumberFormat="0" applyAlignment="0" applyProtection="0"/>
    <xf numFmtId="0" fontId="8" fillId="10" borderId="195" applyNumberFormat="0" applyFont="0" applyAlignment="0" applyProtection="0"/>
    <xf numFmtId="0" fontId="28" fillId="10" borderId="195" applyNumberFormat="0" applyFont="0" applyAlignment="0" applyProtection="0"/>
    <xf numFmtId="0" fontId="18" fillId="10" borderId="168" applyNumberFormat="0" applyFont="0" applyAlignment="0" applyProtection="0"/>
    <xf numFmtId="0" fontId="31" fillId="0" borderId="172" applyNumberFormat="0" applyFill="0" applyAlignment="0" applyProtection="0"/>
    <xf numFmtId="0" fontId="31" fillId="0" borderId="192" applyNumberFormat="0" applyFill="0" applyAlignment="0" applyProtection="0"/>
    <xf numFmtId="0" fontId="8" fillId="10" borderId="195" applyNumberFormat="0" applyFont="0" applyAlignment="0" applyProtection="0"/>
    <xf numFmtId="0" fontId="28" fillId="10" borderId="168" applyNumberFormat="0" applyFont="0" applyAlignment="0" applyProtection="0"/>
    <xf numFmtId="0" fontId="31" fillId="0" borderId="121" applyNumberFormat="0" applyFill="0" applyAlignment="0" applyProtection="0"/>
    <xf numFmtId="0" fontId="31" fillId="0" borderId="122" applyNumberFormat="0" applyFill="0" applyAlignment="0" applyProtection="0"/>
    <xf numFmtId="0" fontId="25" fillId="13" borderId="118" applyNumberFormat="0" applyAlignment="0" applyProtection="0"/>
    <xf numFmtId="0" fontId="31" fillId="0" borderId="123" applyNumberFormat="0" applyFill="0" applyAlignment="0" applyProtection="0"/>
    <xf numFmtId="0" fontId="41" fillId="13" borderId="167" applyNumberFormat="0" applyAlignment="0" applyProtection="0"/>
    <xf numFmtId="0" fontId="28" fillId="10" borderId="85" applyNumberFormat="0" applyFont="0" applyAlignment="0" applyProtection="0"/>
    <xf numFmtId="0" fontId="31" fillId="0" borderId="90" applyNumberFormat="0" applyFill="0" applyAlignment="0" applyProtection="0"/>
    <xf numFmtId="0" fontId="24" fillId="24" borderId="86" applyNumberFormat="0" applyAlignment="0" applyProtection="0"/>
    <xf numFmtId="0" fontId="29" fillId="24" borderId="91" applyNumberFormat="0" applyAlignment="0" applyProtection="0"/>
    <xf numFmtId="0" fontId="8" fillId="10" borderId="119" applyNumberFormat="0" applyFont="0" applyAlignment="0" applyProtection="0"/>
    <xf numFmtId="0" fontId="28" fillId="10" borderId="85" applyNumberFormat="0" applyFont="0" applyAlignment="0" applyProtection="0"/>
    <xf numFmtId="0" fontId="24" fillId="24" borderId="86" applyNumberFormat="0" applyAlignment="0" applyProtection="0"/>
    <xf numFmtId="0" fontId="28" fillId="0" borderId="174"/>
    <xf numFmtId="0" fontId="31" fillId="0" borderId="93" applyNumberFormat="0" applyFill="0" applyAlignment="0" applyProtection="0"/>
    <xf numFmtId="0" fontId="49" fillId="10" borderId="85" applyNumberFormat="0" applyFont="0" applyAlignment="0" applyProtection="0"/>
    <xf numFmtId="0" fontId="31" fillId="0" borderId="87" applyNumberFormat="0" applyFill="0" applyAlignment="0" applyProtection="0"/>
    <xf numFmtId="0" fontId="31" fillId="0" borderId="93" applyNumberFormat="0" applyFill="0" applyAlignment="0" applyProtection="0"/>
    <xf numFmtId="0" fontId="31" fillId="0" borderId="92" applyNumberFormat="0" applyFill="0" applyAlignment="0" applyProtection="0"/>
    <xf numFmtId="0" fontId="31" fillId="0" borderId="90" applyNumberFormat="0" applyFill="0" applyAlignment="0" applyProtection="0"/>
    <xf numFmtId="0" fontId="31" fillId="0" borderId="93" applyNumberFormat="0" applyFill="0" applyAlignment="0" applyProtection="0"/>
    <xf numFmtId="0" fontId="28" fillId="10" borderId="85" applyNumberFormat="0" applyFont="0" applyAlignment="0" applyProtection="0"/>
    <xf numFmtId="0" fontId="31" fillId="0" borderId="87" applyNumberFormat="0" applyFill="0" applyAlignment="0" applyProtection="0"/>
    <xf numFmtId="0" fontId="8" fillId="10" borderId="85" applyNumberFormat="0" applyFont="0" applyAlignment="0" applyProtection="0"/>
    <xf numFmtId="0" fontId="29" fillId="24" borderId="91" applyNumberFormat="0" applyAlignment="0" applyProtection="0"/>
    <xf numFmtId="0" fontId="28" fillId="0" borderId="88"/>
    <xf numFmtId="0" fontId="48" fillId="12" borderId="143" applyNumberFormat="0" applyAlignment="0" applyProtection="0"/>
    <xf numFmtId="0" fontId="29" fillId="12" borderId="133" applyNumberFormat="0" applyAlignment="0" applyProtection="0"/>
    <xf numFmtId="0" fontId="49" fillId="10" borderId="85" applyNumberFormat="0" applyFont="0" applyAlignment="0" applyProtection="0"/>
    <xf numFmtId="0" fontId="31" fillId="0" borderId="185" applyNumberFormat="0" applyFill="0" applyAlignment="0" applyProtection="0"/>
    <xf numFmtId="0" fontId="8" fillId="10" borderId="177" applyNumberFormat="0" applyFont="0" applyAlignment="0" applyProtection="0"/>
    <xf numFmtId="0" fontId="31" fillId="0" borderId="192" applyNumberFormat="0" applyFill="0" applyAlignment="0" applyProtection="0"/>
    <xf numFmtId="0" fontId="24" fillId="24" borderId="120" applyNumberFormat="0" applyAlignment="0" applyProtection="0"/>
    <xf numFmtId="0" fontId="32" fillId="24" borderId="118" applyNumberFormat="0" applyAlignment="0" applyProtection="0"/>
    <xf numFmtId="0" fontId="31" fillId="0" borderId="116" applyNumberFormat="0" applyFill="0" applyAlignment="0" applyProtection="0"/>
    <xf numFmtId="0" fontId="8" fillId="10" borderId="119" applyNumberFormat="0" applyFont="0" applyAlignment="0" applyProtection="0"/>
    <xf numFmtId="0" fontId="8" fillId="45" borderId="175" applyNumberFormat="0" applyFont="0" applyAlignment="0" applyProtection="0"/>
    <xf numFmtId="0" fontId="48" fillId="12" borderId="143" applyNumberFormat="0" applyAlignment="0" applyProtection="0"/>
    <xf numFmtId="0" fontId="32" fillId="24" borderId="194" applyNumberFormat="0" applyAlignment="0" applyProtection="0"/>
    <xf numFmtId="0" fontId="8" fillId="10" borderId="204" applyNumberFormat="0" applyFont="0" applyAlignment="0" applyProtection="0"/>
    <xf numFmtId="0" fontId="16" fillId="24" borderId="167" applyNumberFormat="0" applyAlignment="0" applyProtection="0"/>
    <xf numFmtId="0" fontId="24" fillId="24" borderId="129" applyNumberFormat="0" applyAlignment="0" applyProtection="0"/>
    <xf numFmtId="0" fontId="8" fillId="10" borderId="128" applyNumberFormat="0" applyFont="0" applyAlignment="0" applyProtection="0"/>
    <xf numFmtId="0" fontId="31" fillId="0" borderId="172" applyNumberFormat="0" applyFill="0" applyAlignment="0" applyProtection="0"/>
    <xf numFmtId="0" fontId="16" fillId="24" borderId="127" applyNumberFormat="0" applyAlignment="0" applyProtection="0"/>
    <xf numFmtId="0" fontId="28" fillId="0" borderId="174"/>
    <xf numFmtId="0" fontId="31" fillId="0" borderId="116" applyNumberFormat="0" applyFill="0" applyAlignment="0" applyProtection="0"/>
    <xf numFmtId="0" fontId="31" fillId="0" borderId="116" applyNumberFormat="0" applyFill="0" applyAlignment="0" applyProtection="0"/>
    <xf numFmtId="0" fontId="25" fillId="13" borderId="118" applyNumberFormat="0" applyAlignment="0" applyProtection="0"/>
    <xf numFmtId="0" fontId="31" fillId="0" borderId="116" applyNumberFormat="0" applyFill="0" applyAlignment="0" applyProtection="0"/>
    <xf numFmtId="0" fontId="48" fillId="24" borderId="118" applyNumberFormat="0" applyAlignment="0" applyProtection="0"/>
    <xf numFmtId="0" fontId="8" fillId="10" borderId="119" applyNumberFormat="0" applyFont="0" applyAlignment="0" applyProtection="0"/>
    <xf numFmtId="0" fontId="25" fillId="13" borderId="118" applyNumberFormat="0" applyAlignment="0" applyProtection="0"/>
    <xf numFmtId="0" fontId="31" fillId="0" borderId="122" applyNumberFormat="0" applyFill="0" applyAlignment="0" applyProtection="0"/>
    <xf numFmtId="0" fontId="8" fillId="10" borderId="119" applyNumberFormat="0" applyFont="0" applyAlignment="0" applyProtection="0"/>
    <xf numFmtId="0" fontId="48" fillId="12" borderId="118" applyNumberFormat="0" applyAlignment="0" applyProtection="0"/>
    <xf numFmtId="0" fontId="28" fillId="0" borderId="124"/>
    <xf numFmtId="0" fontId="49" fillId="10" borderId="168" applyNumberFormat="0" applyFont="0" applyAlignment="0" applyProtection="0"/>
    <xf numFmtId="0" fontId="29" fillId="24" borderId="170" applyNumberFormat="0" applyAlignment="0" applyProtection="0"/>
    <xf numFmtId="0" fontId="49" fillId="10" borderId="144" applyNumberFormat="0" applyFont="0" applyAlignment="0" applyProtection="0"/>
    <xf numFmtId="0" fontId="31" fillId="0" borderId="148" applyNumberFormat="0" applyFill="0" applyAlignment="0" applyProtection="0"/>
    <xf numFmtId="0" fontId="31" fillId="0" borderId="192" applyNumberFormat="0" applyFill="0" applyAlignment="0" applyProtection="0"/>
    <xf numFmtId="0" fontId="84" fillId="0" borderId="124"/>
    <xf numFmtId="0" fontId="28" fillId="0" borderId="124"/>
    <xf numFmtId="0" fontId="48" fillId="24" borderId="118" applyNumberFormat="0" applyAlignment="0" applyProtection="0"/>
    <xf numFmtId="0" fontId="16" fillId="24" borderId="176" applyNumberFormat="0" applyAlignment="0" applyProtection="0"/>
    <xf numFmtId="0" fontId="48" fillId="24" borderId="143" applyNumberFormat="0" applyAlignment="0" applyProtection="0"/>
    <xf numFmtId="0" fontId="31" fillId="0" borderId="199" applyNumberFormat="0" applyFill="0" applyAlignment="0" applyProtection="0"/>
    <xf numFmtId="0" fontId="18" fillId="10" borderId="144" applyNumberFormat="0" applyFont="0" applyAlignment="0" applyProtection="0"/>
    <xf numFmtId="0" fontId="49" fillId="10" borderId="168" applyNumberFormat="0" applyFont="0" applyAlignment="0" applyProtection="0"/>
    <xf numFmtId="0" fontId="8" fillId="10" borderId="168" applyNumberFormat="0" applyFont="0" applyAlignment="0" applyProtection="0"/>
    <xf numFmtId="0" fontId="31" fillId="0" borderId="199" applyNumberFormat="0" applyFill="0" applyAlignment="0" applyProtection="0"/>
    <xf numFmtId="0" fontId="8" fillId="10" borderId="195" applyNumberFormat="0" applyFont="0" applyAlignment="0" applyProtection="0"/>
    <xf numFmtId="0" fontId="8" fillId="10" borderId="177" applyNumberFormat="0" applyFont="0" applyAlignment="0" applyProtection="0"/>
    <xf numFmtId="0" fontId="41" fillId="13" borderId="194" applyNumberFormat="0" applyAlignment="0" applyProtection="0"/>
    <xf numFmtId="0" fontId="25" fillId="13" borderId="167" applyNumberFormat="0" applyAlignment="0" applyProtection="0"/>
    <xf numFmtId="0" fontId="29" fillId="12" borderId="146" applyNumberFormat="0" applyAlignment="0" applyProtection="0"/>
    <xf numFmtId="0" fontId="31" fillId="0" borderId="185" applyNumberFormat="0" applyFill="0" applyAlignment="0" applyProtection="0"/>
    <xf numFmtId="0" fontId="8" fillId="45" borderId="202" applyNumberFormat="0" applyFont="0" applyAlignment="0" applyProtection="0"/>
    <xf numFmtId="0" fontId="31" fillId="0" borderId="163" applyNumberFormat="0" applyFill="0" applyAlignment="0" applyProtection="0"/>
    <xf numFmtId="0" fontId="84" fillId="73" borderId="124"/>
    <xf numFmtId="0" fontId="8" fillId="10" borderId="119" applyNumberFormat="0" applyFont="0" applyAlignment="0" applyProtection="0"/>
    <xf numFmtId="0" fontId="25" fillId="13" borderId="176" applyNumberFormat="0" applyAlignment="0" applyProtection="0"/>
    <xf numFmtId="0" fontId="48" fillId="12" borderId="167" applyNumberFormat="0" applyAlignment="0" applyProtection="0"/>
    <xf numFmtId="0" fontId="28" fillId="10" borderId="168" applyNumberFormat="0" applyFont="0" applyAlignment="0" applyProtection="0"/>
    <xf numFmtId="0" fontId="84" fillId="0" borderId="180"/>
    <xf numFmtId="0" fontId="48" fillId="24" borderId="167" applyNumberFormat="0" applyAlignment="0" applyProtection="0"/>
    <xf numFmtId="0" fontId="25" fillId="13" borderId="176" applyNumberFormat="0" applyAlignment="0" applyProtection="0"/>
    <xf numFmtId="0" fontId="49" fillId="10" borderId="144" applyNumberFormat="0" applyFont="0" applyAlignment="0" applyProtection="0"/>
    <xf numFmtId="0" fontId="31" fillId="0" borderId="147" applyNumberFormat="0" applyFill="0" applyAlignment="0" applyProtection="0"/>
    <xf numFmtId="0" fontId="31" fillId="0" borderId="200" applyNumberFormat="0" applyFill="0" applyAlignment="0" applyProtection="0"/>
    <xf numFmtId="0" fontId="84" fillId="73" borderId="174"/>
    <xf numFmtId="0" fontId="49" fillId="10" borderId="119" applyNumberFormat="0" applyFont="0" applyAlignment="0" applyProtection="0"/>
    <xf numFmtId="0" fontId="31" fillId="0" borderId="121" applyNumberFormat="0" applyFill="0" applyAlignment="0" applyProtection="0"/>
    <xf numFmtId="0" fontId="31" fillId="0" borderId="199" applyNumberFormat="0" applyFill="0" applyAlignment="0" applyProtection="0"/>
    <xf numFmtId="0" fontId="24" fillId="24" borderId="145" applyNumberFormat="0" applyAlignment="0" applyProtection="0"/>
    <xf numFmtId="0" fontId="31" fillId="0" borderId="200" applyNumberFormat="0" applyFill="0" applyAlignment="0" applyProtection="0"/>
    <xf numFmtId="0" fontId="84" fillId="0" borderId="174"/>
    <xf numFmtId="0" fontId="24" fillId="24" borderId="196" applyNumberFormat="0" applyAlignment="0" applyProtection="0"/>
    <xf numFmtId="0" fontId="28" fillId="10" borderId="204" applyNumberFormat="0" applyFont="0" applyAlignment="0" applyProtection="0"/>
    <xf numFmtId="0" fontId="16" fillId="24" borderId="187" applyNumberFormat="0" applyAlignment="0" applyProtection="0"/>
    <xf numFmtId="0" fontId="31" fillId="0" borderId="185" applyNumberFormat="0" applyFill="0" applyAlignment="0" applyProtection="0"/>
    <xf numFmtId="0" fontId="8" fillId="10" borderId="144" applyNumberFormat="0" applyFont="0" applyAlignment="0" applyProtection="0"/>
    <xf numFmtId="0" fontId="48" fillId="12" borderId="143" applyNumberFormat="0" applyAlignment="0" applyProtection="0"/>
    <xf numFmtId="0" fontId="25" fillId="13" borderId="143" applyNumberFormat="0" applyAlignment="0" applyProtection="0"/>
    <xf numFmtId="0" fontId="48" fillId="12" borderId="143" applyNumberFormat="0" applyAlignment="0" applyProtection="0"/>
    <xf numFmtId="0" fontId="8" fillId="10" borderId="154" applyNumberFormat="0" applyFont="0" applyAlignment="0" applyProtection="0"/>
    <xf numFmtId="0" fontId="31" fillId="0" borderId="200" applyNumberFormat="0" applyFill="0" applyAlignment="0" applyProtection="0"/>
    <xf numFmtId="0" fontId="41" fillId="13" borderId="118" applyNumberFormat="0" applyAlignment="0" applyProtection="0"/>
    <xf numFmtId="0" fontId="48" fillId="24" borderId="194" applyNumberFormat="0" applyAlignment="0" applyProtection="0"/>
    <xf numFmtId="0" fontId="31" fillId="0" borderId="151" applyNumberFormat="0" applyFill="0" applyAlignment="0" applyProtection="0"/>
    <xf numFmtId="0" fontId="48" fillId="24" borderId="194" applyNumberFormat="0" applyAlignment="0" applyProtection="0"/>
    <xf numFmtId="0" fontId="32" fillId="24" borderId="194" applyNumberFormat="0" applyAlignment="0" applyProtection="0"/>
    <xf numFmtId="0" fontId="31" fillId="0" borderId="166" applyNumberFormat="0" applyFill="0" applyAlignment="0" applyProtection="0"/>
    <xf numFmtId="0" fontId="31" fillId="0" borderId="105" applyNumberFormat="0" applyFill="0" applyAlignment="0" applyProtection="0"/>
    <xf numFmtId="0" fontId="72" fillId="0" borderId="109" applyBorder="0">
      <alignment horizontal="center" vertical="center" wrapText="1"/>
    </xf>
    <xf numFmtId="0" fontId="48" fillId="24" borderId="102" applyNumberFormat="0" applyAlignment="0" applyProtection="0"/>
    <xf numFmtId="0" fontId="31" fillId="0" borderId="105" applyNumberFormat="0" applyFill="0" applyAlignment="0" applyProtection="0"/>
    <xf numFmtId="0" fontId="41" fillId="13" borderId="102" applyNumberFormat="0" applyAlignment="0" applyProtection="0"/>
    <xf numFmtId="0" fontId="29" fillId="24" borderId="101" applyNumberFormat="0" applyAlignment="0" applyProtection="0"/>
    <xf numFmtId="0" fontId="16" fillId="24" borderId="102" applyNumberFormat="0" applyAlignment="0" applyProtection="0"/>
    <xf numFmtId="0" fontId="31" fillId="0" borderId="108" applyNumberFormat="0" applyFill="0" applyAlignment="0" applyProtection="0"/>
    <xf numFmtId="0" fontId="41" fillId="13" borderId="102" applyNumberFormat="0" applyAlignment="0" applyProtection="0"/>
    <xf numFmtId="0" fontId="31" fillId="0" borderId="107" applyNumberFormat="0" applyFill="0" applyAlignment="0" applyProtection="0"/>
    <xf numFmtId="0" fontId="31" fillId="0" borderId="100" applyNumberFormat="0" applyFill="0" applyAlignment="0" applyProtection="0"/>
    <xf numFmtId="0" fontId="31" fillId="0" borderId="105" applyNumberFormat="0" applyFill="0" applyAlignment="0" applyProtection="0"/>
    <xf numFmtId="0" fontId="28" fillId="10" borderId="103" applyNumberFormat="0" applyFont="0" applyAlignment="0" applyProtection="0"/>
    <xf numFmtId="0" fontId="8" fillId="45" borderId="110" applyNumberFormat="0" applyFont="0" applyAlignment="0" applyProtection="0"/>
    <xf numFmtId="0" fontId="29" fillId="24" borderId="101" applyNumberFormat="0" applyAlignment="0" applyProtection="0"/>
    <xf numFmtId="0" fontId="18" fillId="10" borderId="103" applyNumberFormat="0" applyFont="0" applyAlignment="0" applyProtection="0"/>
    <xf numFmtId="0" fontId="48" fillId="24" borderId="194" applyNumberFormat="0" applyAlignment="0" applyProtection="0"/>
    <xf numFmtId="0" fontId="29" fillId="24" borderId="146" applyNumberFormat="0" applyAlignment="0" applyProtection="0"/>
    <xf numFmtId="0" fontId="24" fillId="24" borderId="145" applyNumberFormat="0" applyAlignment="0" applyProtection="0"/>
    <xf numFmtId="0" fontId="28" fillId="10" borderId="144" applyNumberFormat="0" applyFont="0" applyAlignment="0" applyProtection="0"/>
    <xf numFmtId="0" fontId="25" fillId="13" borderId="167" applyNumberFormat="0" applyAlignment="0" applyProtection="0"/>
    <xf numFmtId="0" fontId="31" fillId="0" borderId="165" applyNumberFormat="0" applyFill="0" applyAlignment="0" applyProtection="0"/>
    <xf numFmtId="0" fontId="31" fillId="0" borderId="192" applyNumberFormat="0" applyFill="0" applyAlignment="0" applyProtection="0"/>
    <xf numFmtId="0" fontId="16" fillId="24" borderId="194" applyNumberFormat="0" applyAlignment="0" applyProtection="0"/>
    <xf numFmtId="0" fontId="49" fillId="10" borderId="177" applyNumberFormat="0" applyFont="0" applyAlignment="0" applyProtection="0"/>
    <xf numFmtId="0" fontId="28" fillId="10" borderId="168" applyNumberFormat="0" applyFont="0" applyAlignment="0" applyProtection="0"/>
    <xf numFmtId="0" fontId="48" fillId="24" borderId="143" applyNumberFormat="0" applyAlignment="0" applyProtection="0"/>
    <xf numFmtId="0" fontId="16" fillId="24" borderId="143" applyNumberFormat="0" applyAlignment="0" applyProtection="0"/>
    <xf numFmtId="0" fontId="49" fillId="10" borderId="144" applyNumberFormat="0" applyFont="0" applyAlignment="0" applyProtection="0"/>
    <xf numFmtId="0" fontId="25" fillId="13" borderId="143" applyNumberFormat="0" applyAlignment="0" applyProtection="0"/>
    <xf numFmtId="0" fontId="25" fillId="13" borderId="143" applyNumberFormat="0" applyAlignment="0" applyProtection="0"/>
    <xf numFmtId="0" fontId="24" fillId="24" borderId="169" applyNumberFormat="0" applyAlignment="0" applyProtection="0"/>
    <xf numFmtId="0" fontId="49" fillId="10" borderId="195" applyNumberFormat="0" applyFont="0" applyAlignment="0" applyProtection="0"/>
    <xf numFmtId="0" fontId="31" fillId="0" borderId="185" applyNumberFormat="0" applyFill="0" applyAlignment="0" applyProtection="0"/>
    <xf numFmtId="0" fontId="8" fillId="10" borderId="177" applyNumberFormat="0" applyFont="0" applyAlignment="0" applyProtection="0"/>
    <xf numFmtId="0" fontId="18" fillId="10" borderId="119" applyNumberFormat="0" applyFont="0" applyAlignment="0" applyProtection="0"/>
    <xf numFmtId="0" fontId="31" fillId="0" borderId="123" applyNumberFormat="0" applyFill="0" applyAlignment="0" applyProtection="0"/>
    <xf numFmtId="0" fontId="31" fillId="0" borderId="123" applyNumberFormat="0" applyFill="0" applyAlignment="0" applyProtection="0"/>
    <xf numFmtId="0" fontId="24" fillId="24" borderId="169" applyNumberFormat="0" applyAlignment="0" applyProtection="0"/>
    <xf numFmtId="0" fontId="8" fillId="45" borderId="202" applyNumberFormat="0" applyFont="0" applyAlignment="0" applyProtection="0"/>
    <xf numFmtId="0" fontId="31" fillId="0" borderId="172" applyNumberFormat="0" applyFill="0" applyAlignment="0" applyProtection="0"/>
    <xf numFmtId="0" fontId="25" fillId="13" borderId="167" applyNumberFormat="0" applyAlignment="0" applyProtection="0"/>
    <xf numFmtId="0" fontId="31" fillId="0" borderId="166" applyNumberFormat="0" applyFill="0" applyAlignment="0" applyProtection="0"/>
    <xf numFmtId="0" fontId="29" fillId="24" borderId="170" applyNumberFormat="0" applyAlignment="0" applyProtection="0"/>
    <xf numFmtId="0" fontId="24" fillId="24" borderId="145" applyNumberFormat="0" applyAlignment="0" applyProtection="0"/>
    <xf numFmtId="0" fontId="16" fillId="24" borderId="153" applyNumberFormat="0" applyAlignment="0" applyProtection="0"/>
    <xf numFmtId="0" fontId="48" fillId="12" borderId="194" applyNumberFormat="0" applyAlignment="0" applyProtection="0"/>
    <xf numFmtId="0" fontId="31" fillId="0" borderId="165" applyNumberFormat="0" applyFill="0" applyAlignment="0" applyProtection="0"/>
    <xf numFmtId="0" fontId="25" fillId="8" borderId="143" applyNumberFormat="0" applyAlignment="0" applyProtection="0"/>
    <xf numFmtId="0" fontId="31" fillId="0" borderId="148" applyNumberFormat="0" applyFill="0" applyAlignment="0" applyProtection="0"/>
    <xf numFmtId="0" fontId="16" fillId="24" borderId="194" applyNumberFormat="0" applyAlignment="0" applyProtection="0"/>
    <xf numFmtId="0" fontId="31" fillId="0" borderId="166" applyNumberFormat="0" applyFill="0" applyAlignment="0" applyProtection="0"/>
    <xf numFmtId="0" fontId="31" fillId="0" borderId="192" applyNumberFormat="0" applyFill="0" applyAlignment="0" applyProtection="0"/>
    <xf numFmtId="0" fontId="41" fillId="13" borderId="194" applyNumberFormat="0" applyAlignment="0" applyProtection="0"/>
    <xf numFmtId="0" fontId="31" fillId="0" borderId="116" applyNumberFormat="0" applyFill="0" applyAlignment="0" applyProtection="0"/>
    <xf numFmtId="0" fontId="28" fillId="10" borderId="119" applyNumberFormat="0" applyFont="0" applyAlignment="0" applyProtection="0"/>
    <xf numFmtId="0" fontId="29" fillId="12" borderId="117" applyNumberFormat="0" applyAlignment="0" applyProtection="0"/>
    <xf numFmtId="0" fontId="31" fillId="0" borderId="166" applyNumberFormat="0" applyFill="0" applyAlignment="0" applyProtection="0"/>
    <xf numFmtId="0" fontId="31" fillId="0" borderId="90" applyNumberFormat="0" applyFill="0" applyAlignment="0" applyProtection="0"/>
    <xf numFmtId="0" fontId="8" fillId="10" borderId="85" applyNumberFormat="0" applyFont="0" applyAlignment="0" applyProtection="0"/>
    <xf numFmtId="0" fontId="31" fillId="0" borderId="93" applyNumberFormat="0" applyFill="0" applyAlignment="0" applyProtection="0"/>
    <xf numFmtId="0" fontId="29" fillId="24" borderId="91" applyNumberFormat="0" applyAlignment="0" applyProtection="0"/>
    <xf numFmtId="0" fontId="31" fillId="0" borderId="93" applyNumberFormat="0" applyFill="0" applyAlignment="0" applyProtection="0"/>
    <xf numFmtId="0" fontId="29" fillId="24" borderId="91" applyNumberFormat="0" applyAlignment="0" applyProtection="0"/>
    <xf numFmtId="0" fontId="49" fillId="10" borderId="85" applyNumberFormat="0" applyFont="0" applyAlignment="0" applyProtection="0"/>
    <xf numFmtId="0" fontId="31" fillId="0" borderId="92" applyNumberFormat="0" applyFill="0" applyAlignment="0" applyProtection="0"/>
    <xf numFmtId="0" fontId="29" fillId="12" borderId="91" applyNumberFormat="0" applyAlignment="0" applyProtection="0"/>
    <xf numFmtId="0" fontId="31" fillId="0" borderId="90" applyNumberFormat="0" applyFill="0" applyAlignment="0" applyProtection="0"/>
    <xf numFmtId="0" fontId="28" fillId="10" borderId="144" applyNumberFormat="0" applyFont="0" applyAlignment="0" applyProtection="0"/>
    <xf numFmtId="0" fontId="49" fillId="10" borderId="144" applyNumberFormat="0" applyFont="0" applyAlignment="0" applyProtection="0"/>
    <xf numFmtId="0" fontId="31" fillId="0" borderId="200" applyNumberFormat="0" applyFill="0" applyAlignment="0" applyProtection="0"/>
    <xf numFmtId="0" fontId="31" fillId="0" borderId="200" applyNumberFormat="0" applyFill="0" applyAlignment="0" applyProtection="0"/>
    <xf numFmtId="0" fontId="25" fillId="8" borderId="118" applyNumberFormat="0" applyAlignment="0" applyProtection="0"/>
    <xf numFmtId="0" fontId="28" fillId="0" borderId="124"/>
    <xf numFmtId="0" fontId="8" fillId="10" borderId="128" applyNumberFormat="0" applyFont="0" applyAlignment="0" applyProtection="0"/>
    <xf numFmtId="0" fontId="28" fillId="10" borderId="144" applyNumberFormat="0" applyFont="0" applyAlignment="0" applyProtection="0"/>
    <xf numFmtId="0" fontId="31" fillId="0" borderId="63" applyNumberFormat="0" applyFill="0" applyAlignment="0" applyProtection="0"/>
    <xf numFmtId="0" fontId="24" fillId="24" borderId="62" applyNumberFormat="0" applyAlignment="0" applyProtection="0"/>
    <xf numFmtId="0" fontId="28" fillId="10" borderId="61" applyNumberFormat="0" applyFont="0" applyAlignment="0" applyProtection="0"/>
    <xf numFmtId="0" fontId="49" fillId="10" borderId="61" applyNumberFormat="0" applyFont="0" applyAlignment="0" applyProtection="0"/>
    <xf numFmtId="0" fontId="28" fillId="10" borderId="61" applyNumberFormat="0" applyFont="0" applyAlignment="0" applyProtection="0"/>
    <xf numFmtId="0" fontId="28" fillId="10" borderId="61" applyNumberFormat="0" applyFont="0" applyAlignment="0" applyProtection="0"/>
    <xf numFmtId="0" fontId="18" fillId="10" borderId="61" applyNumberFormat="0" applyFont="0" applyAlignment="0" applyProtection="0"/>
    <xf numFmtId="0" fontId="31" fillId="0" borderId="121" applyNumberFormat="0" applyFill="0" applyAlignment="0" applyProtection="0"/>
    <xf numFmtId="0" fontId="31" fillId="0" borderId="200" applyNumberFormat="0" applyFill="0" applyAlignment="0" applyProtection="0"/>
    <xf numFmtId="0" fontId="28" fillId="0" borderId="82"/>
    <xf numFmtId="0" fontId="72" fillId="0" borderId="141" applyBorder="0">
      <alignment horizontal="center" vertical="center" wrapText="1"/>
    </xf>
    <xf numFmtId="0" fontId="49" fillId="10" borderId="119" applyNumberFormat="0" applyFont="0" applyAlignment="0" applyProtection="0"/>
    <xf numFmtId="0" fontId="16" fillId="24" borderId="134" applyNumberFormat="0" applyAlignment="0" applyProtection="0"/>
    <xf numFmtId="0" fontId="41" fillId="13" borderId="60" applyNumberFormat="0" applyAlignment="0" applyProtection="0"/>
    <xf numFmtId="0" fontId="25" fillId="13" borderId="60" applyNumberFormat="0" applyAlignment="0" applyProtection="0"/>
    <xf numFmtId="0" fontId="41" fillId="13" borderId="60" applyNumberFormat="0" applyAlignment="0" applyProtection="0"/>
    <xf numFmtId="0" fontId="48" fillId="24" borderId="167" applyNumberFormat="0" applyAlignment="0" applyProtection="0"/>
    <xf numFmtId="0" fontId="31" fillId="0" borderId="148" applyNumberFormat="0" applyFill="0" applyAlignment="0" applyProtection="0"/>
    <xf numFmtId="0" fontId="31" fillId="0" borderId="87" applyNumberFormat="0" applyFill="0" applyAlignment="0" applyProtection="0"/>
    <xf numFmtId="0" fontId="16" fillId="24" borderId="60" applyNumberFormat="0" applyAlignment="0" applyProtection="0"/>
    <xf numFmtId="0" fontId="48" fillId="24" borderId="60" applyNumberFormat="0" applyAlignment="0" applyProtection="0"/>
    <xf numFmtId="0" fontId="32" fillId="24" borderId="60" applyNumberFormat="0" applyAlignment="0" applyProtection="0"/>
    <xf numFmtId="0" fontId="16" fillId="24" borderId="167" applyNumberFormat="0" applyAlignment="0" applyProtection="0"/>
    <xf numFmtId="0" fontId="25" fillId="8" borderId="167" applyNumberFormat="0" applyAlignment="0" applyProtection="0"/>
    <xf numFmtId="0" fontId="48" fillId="24" borderId="143" applyNumberFormat="0" applyAlignment="0" applyProtection="0"/>
    <xf numFmtId="0" fontId="48" fillId="24" borderId="134" applyNumberFormat="0" applyAlignment="0" applyProtection="0"/>
    <xf numFmtId="0" fontId="31" fillId="0" borderId="172" applyNumberFormat="0" applyFill="0" applyAlignment="0" applyProtection="0"/>
    <xf numFmtId="0" fontId="31" fillId="0" borderId="55" applyNumberFormat="0" applyFill="0" applyAlignment="0" applyProtection="0"/>
    <xf numFmtId="0" fontId="29" fillId="12" borderId="56" applyNumberFormat="0" applyAlignment="0" applyProtection="0"/>
    <xf numFmtId="0" fontId="84" fillId="0" borderId="53"/>
    <xf numFmtId="0" fontId="8" fillId="10" borderId="50" applyNumberFormat="0" applyFont="0" applyAlignment="0" applyProtection="0"/>
    <xf numFmtId="0" fontId="31" fillId="0" borderId="55" applyNumberFormat="0" applyFill="0" applyAlignment="0" applyProtection="0"/>
    <xf numFmtId="0" fontId="29" fillId="12" borderId="56" applyNumberFormat="0" applyAlignment="0" applyProtection="0"/>
    <xf numFmtId="0" fontId="25" fillId="13" borderId="118" applyNumberFormat="0" applyAlignment="0" applyProtection="0"/>
    <xf numFmtId="0" fontId="84" fillId="0" borderId="53"/>
    <xf numFmtId="0" fontId="84" fillId="0" borderId="53"/>
    <xf numFmtId="0" fontId="28" fillId="0" borderId="53"/>
    <xf numFmtId="0" fontId="28" fillId="0" borderId="53"/>
    <xf numFmtId="0" fontId="8" fillId="45" borderId="59" applyNumberFormat="0" applyFont="0" applyAlignment="0" applyProtection="0"/>
    <xf numFmtId="0" fontId="8" fillId="10" borderId="50" applyNumberFormat="0" applyFont="0" applyAlignment="0" applyProtection="0"/>
    <xf numFmtId="0" fontId="49" fillId="10" borderId="50" applyNumberFormat="0" applyFont="0" applyAlignment="0" applyProtection="0"/>
    <xf numFmtId="0" fontId="31" fillId="0" borderId="52" applyNumberFormat="0" applyFill="0" applyAlignment="0" applyProtection="0"/>
    <xf numFmtId="0" fontId="31" fillId="0" borderId="57" applyNumberFormat="0" applyFill="0" applyAlignment="0" applyProtection="0"/>
    <xf numFmtId="0" fontId="28" fillId="10" borderId="50" applyNumberFormat="0" applyFont="0" applyAlignment="0" applyProtection="0"/>
    <xf numFmtId="0" fontId="31" fillId="0" borderId="55" applyNumberFormat="0" applyFill="0" applyAlignment="0" applyProtection="0"/>
    <xf numFmtId="0" fontId="31" fillId="0" borderId="52" applyNumberFormat="0" applyFill="0" applyAlignment="0" applyProtection="0"/>
    <xf numFmtId="0" fontId="28" fillId="10" borderId="168" applyNumberFormat="0" applyFont="0" applyAlignment="0" applyProtection="0"/>
    <xf numFmtId="0" fontId="48" fillId="24" borderId="118" applyNumberFormat="0" applyAlignment="0" applyProtection="0"/>
    <xf numFmtId="0" fontId="8" fillId="10" borderId="119" applyNumberFormat="0" applyFont="0" applyAlignment="0" applyProtection="0"/>
    <xf numFmtId="0" fontId="31" fillId="0" borderId="55" applyNumberFormat="0" applyFill="0" applyAlignment="0" applyProtection="0"/>
    <xf numFmtId="0" fontId="28" fillId="10" borderId="50" applyNumberFormat="0" applyFont="0" applyAlignment="0" applyProtection="0"/>
    <xf numFmtId="0" fontId="29" fillId="24" borderId="56" applyNumberFormat="0" applyAlignment="0" applyProtection="0"/>
    <xf numFmtId="0" fontId="31" fillId="0" borderId="58" applyNumberFormat="0" applyFill="0" applyAlignment="0" applyProtection="0"/>
    <xf numFmtId="0" fontId="31" fillId="0" borderId="58" applyNumberFormat="0" applyFill="0" applyAlignment="0" applyProtection="0"/>
    <xf numFmtId="0" fontId="72" fillId="0" borderId="54" applyBorder="0">
      <alignment horizontal="center" vertical="center" wrapText="1"/>
    </xf>
    <xf numFmtId="0" fontId="84" fillId="0" borderId="53"/>
    <xf numFmtId="0" fontId="8" fillId="45" borderId="59" applyNumberFormat="0" applyFont="0" applyAlignment="0" applyProtection="0"/>
    <xf numFmtId="0" fontId="31" fillId="0" borderId="52" applyNumberFormat="0" applyFill="0" applyAlignment="0" applyProtection="0"/>
    <xf numFmtId="0" fontId="24" fillId="24" borderId="51" applyNumberFormat="0" applyAlignment="0" applyProtection="0"/>
    <xf numFmtId="0" fontId="28" fillId="10" borderId="50" applyNumberFormat="0" applyFont="0" applyAlignment="0" applyProtection="0"/>
    <xf numFmtId="0" fontId="8" fillId="10" borderId="50" applyNumberFormat="0" applyFont="0" applyAlignment="0" applyProtection="0"/>
    <xf numFmtId="0" fontId="28" fillId="10" borderId="50" applyNumberFormat="0" applyFont="0" applyAlignment="0" applyProtection="0"/>
    <xf numFmtId="0" fontId="18" fillId="10" borderId="50" applyNumberFormat="0" applyFont="0" applyAlignment="0" applyProtection="0"/>
    <xf numFmtId="0" fontId="25" fillId="13" borderId="118" applyNumberFormat="0" applyAlignment="0" applyProtection="0"/>
    <xf numFmtId="0" fontId="31" fillId="0" borderId="58" applyNumberFormat="0" applyFill="0" applyAlignment="0" applyProtection="0"/>
    <xf numFmtId="0" fontId="31" fillId="0" borderId="58" applyNumberFormat="0" applyFill="0" applyAlignment="0" applyProtection="0"/>
    <xf numFmtId="0" fontId="29" fillId="24" borderId="56" applyNumberFormat="0" applyAlignment="0" applyProtection="0"/>
    <xf numFmtId="0" fontId="29" fillId="24" borderId="56" applyNumberFormat="0" applyAlignment="0" applyProtection="0"/>
    <xf numFmtId="0" fontId="29" fillId="24" borderId="56" applyNumberFormat="0" applyAlignment="0" applyProtection="0"/>
    <xf numFmtId="0" fontId="28" fillId="10" borderId="50" applyNumberFormat="0" applyFont="0" applyAlignment="0" applyProtection="0"/>
    <xf numFmtId="0" fontId="8" fillId="10" borderId="50" applyNumberFormat="0" applyFont="0" applyAlignment="0" applyProtection="0"/>
    <xf numFmtId="0" fontId="28" fillId="10" borderId="50" applyNumberFormat="0" applyFont="0" applyAlignment="0" applyProtection="0"/>
    <xf numFmtId="0" fontId="31" fillId="0" borderId="93" applyNumberFormat="0" applyFill="0" applyAlignment="0" applyProtection="0"/>
    <xf numFmtId="0" fontId="31" fillId="0" borderId="90" applyNumberFormat="0" applyFill="0" applyAlignment="0" applyProtection="0"/>
    <xf numFmtId="0" fontId="48" fillId="12" borderId="118" applyNumberFormat="0" applyAlignment="0" applyProtection="0"/>
    <xf numFmtId="0" fontId="31" fillId="0" borderId="55" applyNumberFormat="0" applyFill="0" applyAlignment="0" applyProtection="0"/>
    <xf numFmtId="0" fontId="31" fillId="0" borderId="52" applyNumberFormat="0" applyFill="0" applyAlignment="0" applyProtection="0"/>
    <xf numFmtId="0" fontId="31" fillId="0" borderId="52" applyNumberFormat="0" applyFill="0" applyAlignment="0" applyProtection="0"/>
    <xf numFmtId="0" fontId="24" fillId="24" borderId="51" applyNumberFormat="0" applyAlignment="0" applyProtection="0"/>
    <xf numFmtId="0" fontId="49" fillId="10" borderId="50" applyNumberFormat="0" applyFont="0" applyAlignment="0" applyProtection="0"/>
    <xf numFmtId="0" fontId="8" fillId="10" borderId="50" applyNumberFormat="0" applyFont="0" applyAlignment="0" applyProtection="0"/>
    <xf numFmtId="0" fontId="28" fillId="0" borderId="124"/>
    <xf numFmtId="0" fontId="31" fillId="0" borderId="55" applyNumberFormat="0" applyFill="0" applyAlignment="0" applyProtection="0"/>
    <xf numFmtId="0" fontId="31" fillId="0" borderId="58" applyNumberFormat="0" applyFill="0" applyAlignment="0" applyProtection="0"/>
    <xf numFmtId="0" fontId="31" fillId="0" borderId="58" applyNumberFormat="0" applyFill="0" applyAlignment="0" applyProtection="0"/>
    <xf numFmtId="0" fontId="31" fillId="0" borderId="57" applyNumberFormat="0" applyFill="0" applyAlignment="0" applyProtection="0"/>
    <xf numFmtId="0" fontId="8" fillId="45" borderId="125" applyNumberFormat="0" applyFont="0" applyAlignment="0" applyProtection="0"/>
    <xf numFmtId="0" fontId="29" fillId="24" borderId="56" applyNumberFormat="0" applyAlignment="0" applyProtection="0"/>
    <xf numFmtId="0" fontId="8" fillId="10" borderId="50" applyNumberFormat="0" applyFont="0" applyAlignment="0" applyProtection="0"/>
    <xf numFmtId="0" fontId="49" fillId="10" borderId="50" applyNumberFormat="0" applyFont="0" applyAlignment="0" applyProtection="0"/>
    <xf numFmtId="0" fontId="31" fillId="0" borderId="55" applyNumberFormat="0" applyFill="0" applyAlignment="0" applyProtection="0"/>
    <xf numFmtId="0" fontId="31" fillId="0" borderId="52" applyNumberFormat="0" applyFill="0" applyAlignment="0" applyProtection="0"/>
    <xf numFmtId="0" fontId="24" fillId="24" borderId="51" applyNumberFormat="0" applyAlignment="0" applyProtection="0"/>
    <xf numFmtId="0" fontId="31" fillId="0" borderId="58" applyNumberFormat="0" applyFill="0" applyAlignment="0" applyProtection="0"/>
    <xf numFmtId="0" fontId="31" fillId="0" borderId="58" applyNumberFormat="0" applyFill="0" applyAlignment="0" applyProtection="0"/>
    <xf numFmtId="0" fontId="31" fillId="0" borderId="58" applyNumberFormat="0" applyFill="0" applyAlignment="0" applyProtection="0"/>
    <xf numFmtId="0" fontId="31" fillId="0" borderId="58" applyNumberFormat="0" applyFill="0" applyAlignment="0" applyProtection="0"/>
    <xf numFmtId="0" fontId="31" fillId="0" borderId="116" applyNumberFormat="0" applyFill="0" applyAlignment="0" applyProtection="0"/>
    <xf numFmtId="0" fontId="31" fillId="0" borderId="58" applyNumberFormat="0" applyFill="0" applyAlignment="0" applyProtection="0"/>
    <xf numFmtId="0" fontId="29" fillId="24" borderId="56" applyNumberFormat="0" applyAlignment="0" applyProtection="0"/>
    <xf numFmtId="0" fontId="8" fillId="10" borderId="50" applyNumberFormat="0" applyFont="0" applyAlignment="0" applyProtection="0"/>
    <xf numFmtId="0" fontId="48" fillId="12" borderId="118" applyNumberFormat="0" applyAlignment="0" applyProtection="0"/>
    <xf numFmtId="0" fontId="49" fillId="10" borderId="50" applyNumberFormat="0" applyFont="0" applyAlignment="0" applyProtection="0"/>
    <xf numFmtId="0" fontId="31" fillId="0" borderId="55" applyNumberFormat="0" applyFill="0" applyAlignment="0" applyProtection="0"/>
    <xf numFmtId="0" fontId="31" fillId="0" borderId="55" applyNumberFormat="0" applyFill="0" applyAlignment="0" applyProtection="0"/>
    <xf numFmtId="0" fontId="84" fillId="0" borderId="53"/>
    <xf numFmtId="0" fontId="84" fillId="0" borderId="53"/>
    <xf numFmtId="0" fontId="31" fillId="0" borderId="52" applyNumberFormat="0" applyFill="0" applyAlignment="0" applyProtection="0"/>
    <xf numFmtId="0" fontId="28" fillId="0" borderId="53"/>
    <xf numFmtId="0" fontId="8" fillId="45" borderId="59" applyNumberFormat="0" applyFont="0" applyAlignment="0" applyProtection="0"/>
    <xf numFmtId="0" fontId="8" fillId="10" borderId="50" applyNumberFormat="0" applyFont="0" applyAlignment="0" applyProtection="0"/>
    <xf numFmtId="0" fontId="31" fillId="0" borderId="58" applyNumberFormat="0" applyFill="0" applyAlignment="0" applyProtection="0"/>
    <xf numFmtId="0" fontId="31" fillId="0" borderId="58" applyNumberFormat="0" applyFill="0" applyAlignment="0" applyProtection="0"/>
    <xf numFmtId="0" fontId="29" fillId="24" borderId="56" applyNumberFormat="0" applyAlignment="0" applyProtection="0"/>
    <xf numFmtId="0" fontId="29" fillId="24" borderId="56" applyNumberFormat="0" applyAlignment="0" applyProtection="0"/>
    <xf numFmtId="0" fontId="24" fillId="24" borderId="51" applyNumberFormat="0" applyAlignment="0" applyProtection="0"/>
    <xf numFmtId="0" fontId="28" fillId="10" borderId="50" applyNumberFormat="0" applyFont="0" applyAlignment="0" applyProtection="0"/>
    <xf numFmtId="0" fontId="28" fillId="10" borderId="50" applyNumberFormat="0" applyFont="0" applyAlignment="0" applyProtection="0"/>
    <xf numFmtId="0" fontId="28" fillId="10" borderId="50" applyNumberFormat="0" applyFont="0" applyAlignment="0" applyProtection="0"/>
    <xf numFmtId="0" fontId="31" fillId="0" borderId="93" applyNumberFormat="0" applyFill="0" applyAlignment="0" applyProtection="0"/>
    <xf numFmtId="0" fontId="24" fillId="24" borderId="86" applyNumberFormat="0" applyAlignment="0" applyProtection="0"/>
    <xf numFmtId="0" fontId="31" fillId="0" borderId="87" applyNumberFormat="0" applyFill="0" applyAlignment="0" applyProtection="0"/>
    <xf numFmtId="0" fontId="31" fillId="0" borderId="55" applyNumberFormat="0" applyFill="0" applyAlignment="0" applyProtection="0"/>
    <xf numFmtId="0" fontId="24" fillId="24" borderId="51" applyNumberFormat="0" applyAlignment="0" applyProtection="0"/>
    <xf numFmtId="0" fontId="49" fillId="10" borderId="50" applyNumberFormat="0" applyFont="0" applyAlignment="0" applyProtection="0"/>
    <xf numFmtId="0" fontId="49" fillId="10" borderId="50" applyNumberFormat="0" applyFont="0" applyAlignment="0" applyProtection="0"/>
    <xf numFmtId="0" fontId="8" fillId="10" borderId="50" applyNumberFormat="0" applyFont="0" applyAlignment="0" applyProtection="0"/>
    <xf numFmtId="0" fontId="31" fillId="0" borderId="58" applyNumberFormat="0" applyFill="0" applyAlignment="0" applyProtection="0"/>
    <xf numFmtId="0" fontId="31" fillId="0" borderId="58" applyNumberFormat="0" applyFill="0" applyAlignment="0" applyProtection="0"/>
    <xf numFmtId="0" fontId="29" fillId="24" borderId="56" applyNumberFormat="0" applyAlignment="0" applyProtection="0"/>
    <xf numFmtId="0" fontId="29" fillId="24" borderId="56" applyNumberFormat="0" applyAlignment="0" applyProtection="0"/>
    <xf numFmtId="0" fontId="29" fillId="12" borderId="56" applyNumberFormat="0" applyAlignment="0" applyProtection="0"/>
    <xf numFmtId="0" fontId="31" fillId="0" borderId="55" applyNumberFormat="0" applyFill="0" applyAlignment="0" applyProtection="0"/>
    <xf numFmtId="0" fontId="48" fillId="24" borderId="167" applyNumberFormat="0" applyAlignment="0" applyProtection="0"/>
    <xf numFmtId="0" fontId="84" fillId="0" borderId="53"/>
    <xf numFmtId="0" fontId="84" fillId="0" borderId="53"/>
    <xf numFmtId="0" fontId="72" fillId="0" borderId="109" applyBorder="0">
      <alignment horizontal="center" vertical="center" wrapText="1"/>
    </xf>
    <xf numFmtId="0" fontId="28" fillId="0" borderId="53"/>
    <xf numFmtId="0" fontId="28" fillId="0" borderId="53"/>
    <xf numFmtId="0" fontId="29" fillId="12" borderId="146" applyNumberFormat="0" applyAlignment="0" applyProtection="0"/>
    <xf numFmtId="0" fontId="48" fillId="12" borderId="194" applyNumberFormat="0" applyAlignment="0" applyProtection="0"/>
    <xf numFmtId="0" fontId="49" fillId="10" borderId="103" applyNumberFormat="0" applyFont="0" applyAlignment="0" applyProtection="0"/>
    <xf numFmtId="0" fontId="8" fillId="45" borderId="59" applyNumberFormat="0" applyFont="0" applyAlignment="0" applyProtection="0"/>
    <xf numFmtId="0" fontId="8" fillId="10" borderId="50" applyNumberFormat="0" applyFont="0" applyAlignment="0" applyProtection="0"/>
    <xf numFmtId="0" fontId="48" fillId="12" borderId="143" applyNumberFormat="0" applyAlignment="0" applyProtection="0"/>
    <xf numFmtId="0" fontId="29" fillId="12" borderId="146" applyNumberFormat="0" applyAlignment="0" applyProtection="0"/>
    <xf numFmtId="0" fontId="84" fillId="73" borderId="149"/>
    <xf numFmtId="0" fontId="48" fillId="24" borderId="143" applyNumberFormat="0" applyAlignment="0" applyProtection="0"/>
    <xf numFmtId="0" fontId="49" fillId="10" borderId="177" applyNumberFormat="0" applyFont="0" applyAlignment="0" applyProtection="0"/>
    <xf numFmtId="0" fontId="49" fillId="10" borderId="177" applyNumberFormat="0" applyFont="0" applyAlignment="0" applyProtection="0"/>
    <xf numFmtId="0" fontId="31" fillId="0" borderId="166" applyNumberFormat="0" applyFill="0" applyAlignment="0" applyProtection="0"/>
    <xf numFmtId="0" fontId="72" fillId="0" borderId="152" applyBorder="0">
      <alignment horizontal="center" vertical="center" wrapText="1"/>
    </xf>
    <xf numFmtId="0" fontId="84" fillId="0" borderId="180"/>
    <xf numFmtId="0" fontId="25" fillId="8" borderId="167" applyNumberFormat="0" applyAlignment="0" applyProtection="0"/>
    <xf numFmtId="0" fontId="72" fillId="0" borderId="164" applyBorder="0">
      <alignment horizontal="center" vertical="center" wrapText="1"/>
    </xf>
    <xf numFmtId="0" fontId="31" fillId="0" borderId="184" applyNumberFormat="0" applyFill="0" applyAlignment="0" applyProtection="0"/>
    <xf numFmtId="0" fontId="24" fillId="24" borderId="169" applyNumberFormat="0" applyAlignment="0" applyProtection="0"/>
    <xf numFmtId="0" fontId="25" fillId="8" borderId="167" applyNumberFormat="0" applyAlignment="0" applyProtection="0"/>
    <xf numFmtId="0" fontId="31" fillId="0" borderId="93" applyNumberFormat="0" applyFill="0" applyAlignment="0" applyProtection="0"/>
    <xf numFmtId="0" fontId="31" fillId="0" borderId="92" applyNumberFormat="0" applyFill="0" applyAlignment="0" applyProtection="0"/>
    <xf numFmtId="0" fontId="31" fillId="0" borderId="93" applyNumberFormat="0" applyFill="0" applyAlignment="0" applyProtection="0"/>
    <xf numFmtId="0" fontId="31" fillId="0" borderId="93" applyNumberFormat="0" applyFill="0" applyAlignment="0" applyProtection="0"/>
    <xf numFmtId="0" fontId="24" fillId="24" borderId="86" applyNumberFormat="0" applyAlignment="0" applyProtection="0"/>
    <xf numFmtId="0" fontId="31" fillId="0" borderId="93" applyNumberFormat="0" applyFill="0" applyAlignment="0" applyProtection="0"/>
    <xf numFmtId="0" fontId="31" fillId="0" borderId="87" applyNumberFormat="0" applyFill="0" applyAlignment="0" applyProtection="0"/>
    <xf numFmtId="0" fontId="28" fillId="0" borderId="88"/>
    <xf numFmtId="0" fontId="28" fillId="0" borderId="88"/>
    <xf numFmtId="0" fontId="48" fillId="24" borderId="194" applyNumberFormat="0" applyAlignment="0" applyProtection="0"/>
    <xf numFmtId="0" fontId="8" fillId="45" borderId="125" applyNumberFormat="0" applyFont="0" applyAlignment="0" applyProtection="0"/>
    <xf numFmtId="0" fontId="28" fillId="10" borderId="76" applyNumberFormat="0" applyFont="0" applyAlignment="0" applyProtection="0"/>
    <xf numFmtId="0" fontId="28" fillId="10" borderId="76" applyNumberFormat="0" applyFont="0" applyAlignment="0" applyProtection="0"/>
    <xf numFmtId="0" fontId="8" fillId="10" borderId="103" applyNumberFormat="0" applyFont="0" applyAlignment="0" applyProtection="0"/>
    <xf numFmtId="0" fontId="29" fillId="24" borderId="91" applyNumberFormat="0" applyAlignment="0" applyProtection="0"/>
    <xf numFmtId="0" fontId="25" fillId="13" borderId="118" applyNumberFormat="0" applyAlignment="0" applyProtection="0"/>
    <xf numFmtId="0" fontId="31" fillId="0" borderId="108" applyNumberFormat="0" applyFill="0" applyAlignment="0" applyProtection="0"/>
    <xf numFmtId="0" fontId="31" fillId="0" borderId="197" applyNumberFormat="0" applyFill="0" applyAlignment="0" applyProtection="0"/>
    <xf numFmtId="0" fontId="31" fillId="0" borderId="185" applyNumberFormat="0" applyFill="0" applyAlignment="0" applyProtection="0"/>
    <xf numFmtId="0" fontId="8" fillId="10" borderId="168" applyNumberFormat="0" applyFont="0" applyAlignment="0" applyProtection="0"/>
    <xf numFmtId="0" fontId="48" fillId="12" borderId="194" applyNumberFormat="0" applyAlignment="0" applyProtection="0"/>
    <xf numFmtId="0" fontId="31" fillId="0" borderId="185" applyNumberFormat="0" applyFill="0" applyAlignment="0" applyProtection="0"/>
    <xf numFmtId="0" fontId="41" fillId="13" borderId="194" applyNumberFormat="0" applyAlignment="0" applyProtection="0"/>
    <xf numFmtId="0" fontId="32" fillId="24" borderId="194" applyNumberFormat="0" applyAlignment="0" applyProtection="0"/>
    <xf numFmtId="0" fontId="84" fillId="0" borderId="124"/>
    <xf numFmtId="0" fontId="28" fillId="10" borderId="119" applyNumberFormat="0" applyFont="0" applyAlignment="0" applyProtection="0"/>
    <xf numFmtId="0" fontId="84" fillId="73" borderId="149"/>
    <xf numFmtId="0" fontId="29" fillId="24" borderId="193" applyNumberFormat="0" applyAlignment="0" applyProtection="0"/>
    <xf numFmtId="0" fontId="41" fillId="13" borderId="160" applyNumberFormat="0" applyAlignment="0" applyProtection="0"/>
    <xf numFmtId="0" fontId="8" fillId="45" borderId="186" applyNumberFormat="0" applyFont="0" applyAlignment="0" applyProtection="0"/>
    <xf numFmtId="0" fontId="48" fillId="12" borderId="194" applyNumberFormat="0" applyAlignment="0" applyProtection="0"/>
    <xf numFmtId="0" fontId="28" fillId="10" borderId="177" applyNumberFormat="0" applyFont="0" applyAlignment="0" applyProtection="0"/>
    <xf numFmtId="0" fontId="31" fillId="0" borderId="98" applyNumberFormat="0" applyFill="0" applyAlignment="0" applyProtection="0"/>
    <xf numFmtId="0" fontId="24" fillId="24" borderId="97" applyNumberFormat="0" applyAlignment="0" applyProtection="0"/>
    <xf numFmtId="0" fontId="28" fillId="10" borderId="96" applyNumberFormat="0" applyFont="0" applyAlignment="0" applyProtection="0"/>
    <xf numFmtId="0" fontId="8" fillId="10" borderId="96" applyNumberFormat="0" applyFont="0" applyAlignment="0" applyProtection="0"/>
    <xf numFmtId="0" fontId="28" fillId="10" borderId="96" applyNumberFormat="0" applyFont="0" applyAlignment="0" applyProtection="0"/>
    <xf numFmtId="0" fontId="28" fillId="0" borderId="99"/>
    <xf numFmtId="0" fontId="29" fillId="12" borderId="193" applyNumberFormat="0" applyAlignment="0" applyProtection="0"/>
    <xf numFmtId="0" fontId="25" fillId="13" borderId="95" applyNumberFormat="0" applyAlignment="0" applyProtection="0"/>
    <xf numFmtId="0" fontId="25" fillId="13" borderId="95" applyNumberFormat="0" applyAlignment="0" applyProtection="0"/>
    <xf numFmtId="0" fontId="29" fillId="24" borderId="170" applyNumberFormat="0" applyAlignment="0" applyProtection="0"/>
    <xf numFmtId="0" fontId="28" fillId="10" borderId="119" applyNumberFormat="0" applyFont="0" applyAlignment="0" applyProtection="0"/>
    <xf numFmtId="0" fontId="31" fillId="0" borderId="122" applyNumberFormat="0" applyFill="0" applyAlignment="0" applyProtection="0"/>
    <xf numFmtId="0" fontId="16" fillId="24" borderId="95" applyNumberFormat="0" applyAlignment="0" applyProtection="0"/>
    <xf numFmtId="0" fontId="28" fillId="10" borderId="177" applyNumberFormat="0" applyFont="0" applyAlignment="0" applyProtection="0"/>
    <xf numFmtId="0" fontId="31" fillId="0" borderId="123" applyNumberFormat="0" applyFill="0" applyAlignment="0" applyProtection="0"/>
    <xf numFmtId="0" fontId="31" fillId="0" borderId="90" applyNumberFormat="0" applyFill="0" applyAlignment="0" applyProtection="0"/>
    <xf numFmtId="0" fontId="16" fillId="24" borderId="160" applyNumberFormat="0" applyAlignment="0" applyProtection="0"/>
    <xf numFmtId="0" fontId="8" fillId="45" borderId="175" applyNumberFormat="0" applyFont="0" applyAlignment="0" applyProtection="0"/>
    <xf numFmtId="0" fontId="31" fillId="0" borderId="87" applyNumberFormat="0" applyFill="0" applyAlignment="0" applyProtection="0"/>
    <xf numFmtId="0" fontId="49" fillId="10" borderId="85" applyNumberFormat="0" applyFont="0" applyAlignment="0" applyProtection="0"/>
    <xf numFmtId="0" fontId="29" fillId="12" borderId="91" applyNumberFormat="0" applyAlignment="0" applyProtection="0"/>
    <xf numFmtId="0" fontId="84" fillId="0" borderId="88"/>
    <xf numFmtId="0" fontId="8" fillId="45" borderId="94" applyNumberFormat="0" applyFont="0" applyAlignment="0" applyProtection="0"/>
    <xf numFmtId="0" fontId="49" fillId="10" borderId="85" applyNumberFormat="0" applyFont="0" applyAlignment="0" applyProtection="0"/>
    <xf numFmtId="0" fontId="31" fillId="0" borderId="87" applyNumberFormat="0" applyFill="0" applyAlignment="0" applyProtection="0"/>
    <xf numFmtId="0" fontId="28" fillId="10" borderId="85" applyNumberFormat="0" applyFont="0" applyAlignment="0" applyProtection="0"/>
    <xf numFmtId="0" fontId="31" fillId="0" borderId="92" applyNumberFormat="0" applyFill="0" applyAlignment="0" applyProtection="0"/>
    <xf numFmtId="0" fontId="28" fillId="10" borderId="85" applyNumberFormat="0" applyFont="0" applyAlignment="0" applyProtection="0"/>
    <xf numFmtId="0" fontId="31" fillId="0" borderId="90" applyNumberFormat="0" applyFill="0" applyAlignment="0" applyProtection="0"/>
    <xf numFmtId="0" fontId="31" fillId="0" borderId="87" applyNumberFormat="0" applyFill="0" applyAlignment="0" applyProtection="0"/>
    <xf numFmtId="0" fontId="8" fillId="10" borderId="85" applyNumberFormat="0" applyFont="0" applyAlignment="0" applyProtection="0"/>
    <xf numFmtId="0" fontId="31" fillId="0" borderId="90" applyNumberFormat="0" applyFill="0" applyAlignment="0" applyProtection="0"/>
    <xf numFmtId="0" fontId="31" fillId="0" borderId="93" applyNumberFormat="0" applyFill="0" applyAlignment="0" applyProtection="0"/>
    <xf numFmtId="0" fontId="24" fillId="24" borderId="86" applyNumberFormat="0" applyAlignment="0" applyProtection="0"/>
    <xf numFmtId="0" fontId="24" fillId="24" borderId="86" applyNumberFormat="0" applyAlignment="0" applyProtection="0"/>
    <xf numFmtId="0" fontId="31" fillId="0" borderId="90" applyNumberFormat="0" applyFill="0" applyAlignment="0" applyProtection="0"/>
    <xf numFmtId="0" fontId="31" fillId="0" borderId="92" applyNumberFormat="0" applyFill="0" applyAlignment="0" applyProtection="0"/>
    <xf numFmtId="0" fontId="24" fillId="24" borderId="86" applyNumberFormat="0" applyAlignment="0" applyProtection="0"/>
    <xf numFmtId="0" fontId="48" fillId="12" borderId="167" applyNumberFormat="0" applyAlignment="0" applyProtection="0"/>
    <xf numFmtId="0" fontId="24" fillId="24" borderId="162" applyNumberFormat="0" applyAlignment="0" applyProtection="0"/>
    <xf numFmtId="0" fontId="31" fillId="0" borderId="122" applyNumberFormat="0" applyFill="0" applyAlignment="0" applyProtection="0"/>
    <xf numFmtId="0" fontId="31" fillId="0" borderId="200" applyNumberFormat="0" applyFill="0" applyAlignment="0" applyProtection="0"/>
    <xf numFmtId="0" fontId="31" fillId="0" borderId="166" applyNumberFormat="0" applyFill="0" applyAlignment="0" applyProtection="0"/>
    <xf numFmtId="0" fontId="49" fillId="10" borderId="195" applyNumberFormat="0" applyFont="0" applyAlignment="0" applyProtection="0"/>
    <xf numFmtId="0" fontId="31" fillId="0" borderId="200" applyNumberFormat="0" applyFill="0" applyAlignment="0" applyProtection="0"/>
    <xf numFmtId="0" fontId="31" fillId="0" borderId="185" applyNumberFormat="0" applyFill="0" applyAlignment="0" applyProtection="0"/>
    <xf numFmtId="0" fontId="41" fillId="13" borderId="194" applyNumberFormat="0" applyAlignment="0" applyProtection="0"/>
    <xf numFmtId="0" fontId="25" fillId="8" borderId="143" applyNumberFormat="0" applyAlignment="0" applyProtection="0"/>
    <xf numFmtId="0" fontId="41" fillId="13" borderId="143" applyNumberFormat="0" applyAlignment="0" applyProtection="0"/>
    <xf numFmtId="0" fontId="48" fillId="12" borderId="143" applyNumberFormat="0" applyAlignment="0" applyProtection="0"/>
    <xf numFmtId="0" fontId="49" fillId="10" borderId="195" applyNumberFormat="0" applyFont="0" applyAlignment="0" applyProtection="0"/>
    <xf numFmtId="0" fontId="24" fillId="24" borderId="162" applyNumberFormat="0" applyAlignment="0" applyProtection="0"/>
    <xf numFmtId="0" fontId="31" fillId="0" borderId="90" applyNumberFormat="0" applyFill="0" applyAlignment="0" applyProtection="0"/>
    <xf numFmtId="0" fontId="8" fillId="10" borderId="85" applyNumberFormat="0" applyFont="0" applyAlignment="0" applyProtection="0"/>
    <xf numFmtId="0" fontId="31" fillId="0" borderId="171" applyNumberFormat="0" applyFill="0" applyAlignment="0" applyProtection="0"/>
    <xf numFmtId="0" fontId="31" fillId="0" borderId="185" applyNumberFormat="0" applyFill="0" applyAlignment="0" applyProtection="0"/>
    <xf numFmtId="0" fontId="31" fillId="0" borderId="185" applyNumberFormat="0" applyFill="0" applyAlignment="0" applyProtection="0"/>
    <xf numFmtId="0" fontId="31" fillId="0" borderId="116" applyNumberFormat="0" applyFill="0" applyAlignment="0" applyProtection="0"/>
    <xf numFmtId="0" fontId="29" fillId="12" borderId="117" applyNumberFormat="0" applyAlignment="0" applyProtection="0"/>
    <xf numFmtId="0" fontId="31" fillId="0" borderId="107" applyNumberFormat="0" applyFill="0" applyAlignment="0" applyProtection="0"/>
    <xf numFmtId="0" fontId="29" fillId="24" borderId="56" applyNumberFormat="0" applyAlignment="0" applyProtection="0"/>
    <xf numFmtId="0" fontId="28" fillId="10" borderId="50" applyNumberFormat="0" applyFont="0" applyAlignment="0" applyProtection="0"/>
    <xf numFmtId="0" fontId="28" fillId="10" borderId="50" applyNumberFormat="0" applyFont="0" applyAlignment="0" applyProtection="0"/>
    <xf numFmtId="0" fontId="49" fillId="10" borderId="85" applyNumberFormat="0" applyFont="0" applyAlignment="0" applyProtection="0"/>
    <xf numFmtId="0" fontId="28" fillId="10" borderId="144" applyNumberFormat="0" applyFont="0" applyAlignment="0" applyProtection="0"/>
    <xf numFmtId="0" fontId="31" fillId="0" borderId="166" applyNumberFormat="0" applyFill="0" applyAlignment="0" applyProtection="0"/>
    <xf numFmtId="0" fontId="84" fillId="0" borderId="149"/>
    <xf numFmtId="0" fontId="25" fillId="13" borderId="67" applyNumberFormat="0" applyAlignment="0" applyProtection="0"/>
    <xf numFmtId="0" fontId="48" fillId="24" borderId="102" applyNumberFormat="0" applyAlignment="0" applyProtection="0"/>
    <xf numFmtId="0" fontId="29" fillId="24" borderId="56" applyNumberFormat="0" applyAlignment="0" applyProtection="0"/>
    <xf numFmtId="0" fontId="16" fillId="24" borderId="153" applyNumberFormat="0" applyAlignment="0" applyProtection="0"/>
    <xf numFmtId="0" fontId="8" fillId="45" borderId="110" applyNumberFormat="0" applyFont="0" applyAlignment="0" applyProtection="0"/>
    <xf numFmtId="0" fontId="48" fillId="12" borderId="194" applyNumberFormat="0" applyAlignment="0" applyProtection="0"/>
    <xf numFmtId="0" fontId="48" fillId="24" borderId="75" applyNumberFormat="0" applyAlignment="0" applyProtection="0"/>
    <xf numFmtId="0" fontId="25" fillId="13" borderId="102" applyNumberFormat="0" applyAlignment="0" applyProtection="0"/>
    <xf numFmtId="0" fontId="31" fillId="0" borderId="165" applyNumberFormat="0" applyFill="0" applyAlignment="0" applyProtection="0"/>
    <xf numFmtId="0" fontId="48" fillId="12" borderId="167" applyNumberFormat="0" applyAlignment="0" applyProtection="0"/>
    <xf numFmtId="0" fontId="16" fillId="24" borderId="203" applyNumberFormat="0" applyAlignment="0" applyProtection="0"/>
    <xf numFmtId="0" fontId="28" fillId="0" borderId="82"/>
    <xf numFmtId="0" fontId="84" fillId="0" borderId="82"/>
    <xf numFmtId="0" fontId="31" fillId="0" borderId="74" applyNumberFormat="0" applyFill="0" applyAlignment="0" applyProtection="0"/>
    <xf numFmtId="0" fontId="8" fillId="10" borderId="76" applyNumberFormat="0" applyFont="0" applyAlignment="0" applyProtection="0"/>
    <xf numFmtId="0" fontId="31" fillId="0" borderId="74" applyNumberFormat="0" applyFill="0" applyAlignment="0" applyProtection="0"/>
    <xf numFmtId="0" fontId="31" fillId="0" borderId="74" applyNumberFormat="0" applyFill="0" applyAlignment="0" applyProtection="0"/>
    <xf numFmtId="0" fontId="31" fillId="0" borderId="73" applyNumberFormat="0" applyFill="0" applyAlignment="0" applyProtection="0"/>
    <xf numFmtId="0" fontId="31" fillId="0" borderId="74" applyNumberFormat="0" applyFill="0" applyAlignment="0" applyProtection="0"/>
    <xf numFmtId="0" fontId="25" fillId="13" borderId="167" applyNumberFormat="0" applyAlignment="0" applyProtection="0"/>
    <xf numFmtId="0" fontId="8" fillId="10" borderId="144" applyNumberFormat="0" applyFont="0" applyAlignment="0" applyProtection="0"/>
    <xf numFmtId="0" fontId="84" fillId="0" borderId="124"/>
    <xf numFmtId="0" fontId="28" fillId="0" borderId="124"/>
    <xf numFmtId="0" fontId="72" fillId="0" borderId="54" applyBorder="0">
      <alignment horizontal="center" vertical="center" wrapText="1"/>
    </xf>
    <xf numFmtId="0" fontId="29" fillId="24" borderId="91" applyNumberFormat="0" applyAlignment="0" applyProtection="0"/>
    <xf numFmtId="0" fontId="8" fillId="10" borderId="85" applyNumberFormat="0" applyFont="0" applyAlignment="0" applyProtection="0"/>
    <xf numFmtId="0" fontId="31" fillId="0" borderId="93" applyNumberFormat="0" applyFill="0" applyAlignment="0" applyProtection="0"/>
    <xf numFmtId="0" fontId="28" fillId="10" borderId="195" applyNumberFormat="0" applyFont="0" applyAlignment="0" applyProtection="0"/>
    <xf numFmtId="0" fontId="31" fillId="0" borderId="151" applyNumberFormat="0" applyFill="0" applyAlignment="0" applyProtection="0"/>
    <xf numFmtId="0" fontId="25" fillId="13" borderId="143" applyNumberFormat="0" applyAlignment="0" applyProtection="0"/>
    <xf numFmtId="0" fontId="49" fillId="10" borderId="119" applyNumberFormat="0" applyFont="0" applyAlignment="0" applyProtection="0"/>
    <xf numFmtId="0" fontId="48" fillId="24" borderId="194" applyNumberFormat="0" applyAlignment="0" applyProtection="0"/>
    <xf numFmtId="0" fontId="18" fillId="10" borderId="195" applyNumberFormat="0" applyFont="0" applyAlignment="0" applyProtection="0"/>
    <xf numFmtId="0" fontId="31" fillId="0" borderId="148" applyNumberFormat="0" applyFill="0" applyAlignment="0" applyProtection="0"/>
    <xf numFmtId="0" fontId="29" fillId="24" borderId="170" applyNumberFormat="0" applyAlignment="0" applyProtection="0"/>
    <xf numFmtId="0" fontId="29" fillId="24" borderId="170" applyNumberFormat="0" applyAlignment="0" applyProtection="0"/>
    <xf numFmtId="0" fontId="31" fillId="0" borderId="148" applyNumberFormat="0" applyFill="0" applyAlignment="0" applyProtection="0"/>
    <xf numFmtId="0" fontId="24" fillId="24" borderId="145" applyNumberFormat="0" applyAlignment="0" applyProtection="0"/>
    <xf numFmtId="0" fontId="8" fillId="10" borderId="103" applyNumberFormat="0" applyFont="0" applyAlignment="0" applyProtection="0"/>
    <xf numFmtId="0" fontId="29" fillId="24" borderId="101" applyNumberFormat="0" applyAlignment="0" applyProtection="0"/>
    <xf numFmtId="0" fontId="31" fillId="0" borderId="197" applyNumberFormat="0" applyFill="0" applyAlignment="0" applyProtection="0"/>
    <xf numFmtId="0" fontId="31" fillId="0" borderId="158" applyNumberFormat="0" applyFill="0" applyAlignment="0" applyProtection="0"/>
    <xf numFmtId="0" fontId="31" fillId="0" borderId="199" applyNumberFormat="0" applyFill="0" applyAlignment="0" applyProtection="0"/>
    <xf numFmtId="0" fontId="29" fillId="24" borderId="193" applyNumberFormat="0" applyAlignment="0" applyProtection="0"/>
    <xf numFmtId="0" fontId="31" fillId="0" borderId="158" applyNumberFormat="0" applyFill="0" applyAlignment="0" applyProtection="0"/>
    <xf numFmtId="0" fontId="31" fillId="0" borderId="200" applyNumberFormat="0" applyFill="0" applyAlignment="0" applyProtection="0"/>
    <xf numFmtId="0" fontId="28" fillId="0" borderId="88"/>
    <xf numFmtId="0" fontId="84" fillId="0" borderId="88"/>
    <xf numFmtId="0" fontId="29" fillId="12" borderId="91" applyNumberFormat="0" applyAlignment="0" applyProtection="0"/>
    <xf numFmtId="0" fontId="31" fillId="0" borderId="93" applyNumberFormat="0" applyFill="0" applyAlignment="0" applyProtection="0"/>
    <xf numFmtId="0" fontId="29" fillId="24" borderId="91" applyNumberFormat="0" applyAlignment="0" applyProtection="0"/>
    <xf numFmtId="0" fontId="28" fillId="10" borderId="85" applyNumberFormat="0" applyFont="0" applyAlignment="0" applyProtection="0"/>
    <xf numFmtId="0" fontId="29" fillId="12" borderId="91" applyNumberFormat="0" applyAlignment="0" applyProtection="0"/>
    <xf numFmtId="0" fontId="31" fillId="0" borderId="90" applyNumberFormat="0" applyFill="0" applyAlignment="0" applyProtection="0"/>
    <xf numFmtId="0" fontId="8" fillId="45" borderId="94" applyNumberFormat="0" applyFont="0" applyAlignment="0" applyProtection="0"/>
    <xf numFmtId="0" fontId="28" fillId="10" borderId="103" applyNumberFormat="0" applyFont="0" applyAlignment="0" applyProtection="0"/>
    <xf numFmtId="0" fontId="29" fillId="12" borderId="193" applyNumberFormat="0" applyAlignment="0" applyProtection="0"/>
    <xf numFmtId="0" fontId="16" fillId="24" borderId="127" applyNumberFormat="0" applyAlignment="0" applyProtection="0"/>
    <xf numFmtId="0" fontId="29" fillId="12" borderId="117" applyNumberFormat="0" applyAlignment="0" applyProtection="0"/>
    <xf numFmtId="0" fontId="72" fillId="0" borderId="54" applyBorder="0">
      <alignment horizontal="center" vertical="center" wrapText="1"/>
    </xf>
    <xf numFmtId="0" fontId="28" fillId="10" borderId="168" applyNumberFormat="0" applyFont="0" applyAlignment="0" applyProtection="0"/>
    <xf numFmtId="0" fontId="84" fillId="0" borderId="180"/>
    <xf numFmtId="0" fontId="31" fillId="0" borderId="123" applyNumberFormat="0" applyFill="0" applyAlignment="0" applyProtection="0"/>
    <xf numFmtId="0" fontId="16" fillId="24" borderId="194" applyNumberFormat="0" applyAlignment="0" applyProtection="0"/>
    <xf numFmtId="0" fontId="29" fillId="12" borderId="193" applyNumberFormat="0" applyAlignment="0" applyProtection="0"/>
    <xf numFmtId="0" fontId="31" fillId="0" borderId="148" applyNumberFormat="0" applyFill="0" applyAlignment="0" applyProtection="0"/>
    <xf numFmtId="0" fontId="25" fillId="13" borderId="143" applyNumberFormat="0" applyAlignment="0" applyProtection="0"/>
    <xf numFmtId="0" fontId="28" fillId="10" borderId="168" applyNumberFormat="0" applyFont="0" applyAlignment="0" applyProtection="0"/>
    <xf numFmtId="0" fontId="25" fillId="13" borderId="153" applyNumberFormat="0" applyAlignment="0" applyProtection="0"/>
    <xf numFmtId="0" fontId="8" fillId="10" borderId="103" applyNumberFormat="0" applyFont="0" applyAlignment="0" applyProtection="0"/>
    <xf numFmtId="0" fontId="24" fillId="24" borderId="162" applyNumberFormat="0" applyAlignment="0" applyProtection="0"/>
    <xf numFmtId="0" fontId="28" fillId="10" borderId="188" applyNumberFormat="0" applyFont="0" applyAlignment="0" applyProtection="0"/>
    <xf numFmtId="0" fontId="31" fillId="0" borderId="122" applyNumberFormat="0" applyFill="0" applyAlignment="0" applyProtection="0"/>
    <xf numFmtId="0" fontId="16" fillId="24" borderId="167" applyNumberFormat="0" applyAlignment="0" applyProtection="0"/>
    <xf numFmtId="0" fontId="28" fillId="10" borderId="128" applyNumberFormat="0" applyFont="0" applyAlignment="0" applyProtection="0"/>
    <xf numFmtId="0" fontId="31" fillId="0" borderId="122" applyNumberFormat="0" applyFill="0" applyAlignment="0" applyProtection="0"/>
    <xf numFmtId="0" fontId="8" fillId="10" borderId="103" applyNumberFormat="0" applyFont="0" applyAlignment="0" applyProtection="0"/>
    <xf numFmtId="0" fontId="48" fillId="12" borderId="75" applyNumberFormat="0" applyAlignment="0" applyProtection="0"/>
    <xf numFmtId="0" fontId="31" fillId="0" borderId="142" applyNumberFormat="0" applyFill="0" applyAlignment="0" applyProtection="0"/>
    <xf numFmtId="0" fontId="49" fillId="10" borderId="85" applyNumberFormat="0" applyFont="0" applyAlignment="0" applyProtection="0"/>
    <xf numFmtId="0" fontId="31" fillId="0" borderId="185" applyNumberFormat="0" applyFill="0" applyAlignment="0" applyProtection="0"/>
    <xf numFmtId="0" fontId="32" fillId="24" borderId="102" applyNumberFormat="0" applyAlignment="0" applyProtection="0"/>
    <xf numFmtId="0" fontId="28" fillId="0" borderId="191"/>
    <xf numFmtId="0" fontId="31" fillId="0" borderId="73" applyNumberFormat="0" applyFill="0" applyAlignment="0" applyProtection="0"/>
    <xf numFmtId="0" fontId="25" fillId="13" borderId="102" applyNumberFormat="0" applyAlignment="0" applyProtection="0"/>
    <xf numFmtId="0" fontId="28" fillId="10" borderId="119" applyNumberFormat="0" applyFont="0" applyAlignment="0" applyProtection="0"/>
    <xf numFmtId="0" fontId="28" fillId="0" borderId="174"/>
    <xf numFmtId="0" fontId="49" fillId="10" borderId="119" applyNumberFormat="0" applyFont="0" applyAlignment="0" applyProtection="0"/>
    <xf numFmtId="0" fontId="18" fillId="10" borderId="144" applyNumberFormat="0" applyFont="0" applyAlignment="0" applyProtection="0"/>
    <xf numFmtId="0" fontId="49" fillId="10" borderId="188" applyNumberFormat="0" applyFont="0" applyAlignment="0" applyProtection="0"/>
    <xf numFmtId="0" fontId="31" fillId="0" borderId="184" applyNumberFormat="0" applyFill="0" applyAlignment="0" applyProtection="0"/>
    <xf numFmtId="0" fontId="8" fillId="10" borderId="85" applyNumberFormat="0" applyFont="0" applyAlignment="0" applyProtection="0"/>
    <xf numFmtId="0" fontId="16" fillId="24" borderId="194" applyNumberFormat="0" applyAlignment="0" applyProtection="0"/>
    <xf numFmtId="0" fontId="31" fillId="0" borderId="93" applyNumberFormat="0" applyFill="0" applyAlignment="0" applyProtection="0"/>
    <xf numFmtId="0" fontId="8" fillId="10" borderId="177" applyNumberFormat="0" applyFont="0" applyAlignment="0" applyProtection="0"/>
    <xf numFmtId="0" fontId="29" fillId="12" borderId="170" applyNumberFormat="0" applyAlignment="0" applyProtection="0"/>
    <xf numFmtId="0" fontId="18" fillId="10" borderId="112" applyNumberFormat="0" applyFont="0" applyAlignment="0" applyProtection="0"/>
    <xf numFmtId="0" fontId="29" fillId="24" borderId="146" applyNumberFormat="0" applyAlignment="0" applyProtection="0"/>
    <xf numFmtId="0" fontId="48" fillId="12" borderId="194" applyNumberFormat="0" applyAlignment="0" applyProtection="0"/>
    <xf numFmtId="0" fontId="16" fillId="24" borderId="102" applyNumberFormat="0" applyAlignment="0" applyProtection="0"/>
    <xf numFmtId="0" fontId="31" fillId="0" borderId="123" applyNumberFormat="0" applyFill="0" applyAlignment="0" applyProtection="0"/>
    <xf numFmtId="0" fontId="72" fillId="0" borderId="81" applyBorder="0">
      <alignment horizontal="center" vertical="center" wrapText="1"/>
    </xf>
    <xf numFmtId="0" fontId="48" fillId="24" borderId="194" applyNumberFormat="0" applyAlignment="0" applyProtection="0"/>
    <xf numFmtId="0" fontId="49" fillId="10" borderId="76" applyNumberFormat="0" applyFont="0" applyAlignment="0" applyProtection="0"/>
    <xf numFmtId="0" fontId="48" fillId="12" borderId="75" applyNumberFormat="0" applyAlignment="0" applyProtection="0"/>
    <xf numFmtId="0" fontId="84" fillId="73" borderId="82"/>
    <xf numFmtId="0" fontId="31" fillId="0" borderId="79" applyNumberFormat="0" applyFill="0" applyAlignment="0" applyProtection="0"/>
    <xf numFmtId="0" fontId="31" fillId="0" borderId="148" applyNumberFormat="0" applyFill="0" applyAlignment="0" applyProtection="0"/>
    <xf numFmtId="0" fontId="25" fillId="13" borderId="127" applyNumberFormat="0" applyAlignment="0" applyProtection="0"/>
    <xf numFmtId="0" fontId="49" fillId="10" borderId="76" applyNumberFormat="0" applyFont="0" applyAlignment="0" applyProtection="0"/>
    <xf numFmtId="0" fontId="16" fillId="24" borderId="75" applyNumberFormat="0" applyAlignment="0" applyProtection="0"/>
    <xf numFmtId="0" fontId="28" fillId="10" borderId="76" applyNumberFormat="0" applyFont="0" applyAlignment="0" applyProtection="0"/>
    <xf numFmtId="0" fontId="31" fillId="0" borderId="74" applyNumberFormat="0" applyFill="0" applyAlignment="0" applyProtection="0"/>
    <xf numFmtId="0" fontId="31" fillId="0" borderId="108" applyNumberFormat="0" applyFill="0" applyAlignment="0" applyProtection="0"/>
    <xf numFmtId="0" fontId="8" fillId="10" borderId="103" applyNumberFormat="0" applyFont="0" applyAlignment="0" applyProtection="0"/>
    <xf numFmtId="0" fontId="24" fillId="24" borderId="104" applyNumberFormat="0" applyAlignment="0" applyProtection="0"/>
    <xf numFmtId="0" fontId="25" fillId="8" borderId="102" applyNumberFormat="0" applyAlignment="0" applyProtection="0"/>
    <xf numFmtId="0" fontId="31" fillId="0" borderId="105" applyNumberFormat="0" applyFill="0" applyAlignment="0" applyProtection="0"/>
    <xf numFmtId="0" fontId="31" fillId="0" borderId="105" applyNumberFormat="0" applyFill="0" applyAlignment="0" applyProtection="0"/>
    <xf numFmtId="0" fontId="84" fillId="0" borderId="99"/>
    <xf numFmtId="0" fontId="49" fillId="10" borderId="177" applyNumberFormat="0" applyFont="0" applyAlignment="0" applyProtection="0"/>
    <xf numFmtId="0" fontId="25" fillId="13" borderId="111" applyNumberFormat="0" applyAlignment="0" applyProtection="0"/>
    <xf numFmtId="0" fontId="31" fillId="0" borderId="199" applyNumberFormat="0" applyFill="0" applyAlignment="0" applyProtection="0"/>
    <xf numFmtId="0" fontId="31" fillId="0" borderId="192" applyNumberFormat="0" applyFill="0" applyAlignment="0" applyProtection="0"/>
    <xf numFmtId="0" fontId="8" fillId="10" borderId="195" applyNumberFormat="0" applyFont="0" applyAlignment="0" applyProtection="0"/>
    <xf numFmtId="0" fontId="41" fillId="13" borderId="143" applyNumberFormat="0" applyAlignment="0" applyProtection="0"/>
    <xf numFmtId="0" fontId="31" fillId="0" borderId="197" applyNumberFormat="0" applyFill="0" applyAlignment="0" applyProtection="0"/>
    <xf numFmtId="0" fontId="18" fillId="10" borderId="195" applyNumberFormat="0" applyFont="0" applyAlignment="0" applyProtection="0"/>
    <xf numFmtId="0" fontId="8" fillId="10" borderId="168" applyNumberFormat="0" applyFont="0" applyAlignment="0" applyProtection="0"/>
    <xf numFmtId="0" fontId="8" fillId="10" borderId="76" applyNumberFormat="0" applyFont="0" applyAlignment="0" applyProtection="0"/>
    <xf numFmtId="0" fontId="24" fillId="24" borderId="120" applyNumberFormat="0" applyAlignment="0" applyProtection="0"/>
    <xf numFmtId="0" fontId="31" fillId="0" borderId="80" applyNumberFormat="0" applyFill="0" applyAlignment="0" applyProtection="0"/>
    <xf numFmtId="0" fontId="31" fillId="0" borderId="73" applyNumberFormat="0" applyFill="0" applyAlignment="0" applyProtection="0"/>
    <xf numFmtId="0" fontId="48" fillId="24" borderId="75" applyNumberFormat="0" applyAlignment="0" applyProtection="0"/>
    <xf numFmtId="0" fontId="31" fillId="0" borderId="80" applyNumberFormat="0" applyFill="0" applyAlignment="0" applyProtection="0"/>
    <xf numFmtId="0" fontId="25" fillId="13" borderId="75" applyNumberFormat="0" applyAlignment="0" applyProtection="0"/>
    <xf numFmtId="0" fontId="28" fillId="10" borderId="76" applyNumberFormat="0" applyFont="0" applyAlignment="0" applyProtection="0"/>
    <xf numFmtId="0" fontId="31" fillId="0" borderId="74" applyNumberFormat="0" applyFill="0" applyAlignment="0" applyProtection="0"/>
    <xf numFmtId="0" fontId="25" fillId="8" borderId="75" applyNumberFormat="0" applyAlignment="0" applyProtection="0"/>
    <xf numFmtId="0" fontId="28" fillId="0" borderId="82"/>
    <xf numFmtId="0" fontId="48" fillId="24" borderId="75" applyNumberFormat="0" applyAlignment="0" applyProtection="0"/>
    <xf numFmtId="0" fontId="31" fillId="0" borderId="80" applyNumberFormat="0" applyFill="0" applyAlignment="0" applyProtection="0"/>
    <xf numFmtId="0" fontId="29" fillId="24" borderId="78" applyNumberFormat="0" applyAlignment="0" applyProtection="0"/>
    <xf numFmtId="0" fontId="48" fillId="24" borderId="75" applyNumberFormat="0" applyAlignment="0" applyProtection="0"/>
    <xf numFmtId="0" fontId="49" fillId="10" borderId="76" applyNumberFormat="0" applyFont="0" applyAlignment="0" applyProtection="0"/>
    <xf numFmtId="0" fontId="31" fillId="0" borderId="80" applyNumberFormat="0" applyFill="0" applyAlignment="0" applyProtection="0"/>
    <xf numFmtId="0" fontId="28" fillId="10" borderId="76" applyNumberFormat="0" applyFont="0" applyAlignment="0" applyProtection="0"/>
    <xf numFmtId="0" fontId="16" fillId="24" borderId="75" applyNumberFormat="0" applyAlignment="0" applyProtection="0"/>
    <xf numFmtId="0" fontId="28" fillId="10" borderId="76" applyNumberFormat="0" applyFont="0" applyAlignment="0" applyProtection="0"/>
    <xf numFmtId="0" fontId="31" fillId="0" borderId="79" applyNumberFormat="0" applyFill="0" applyAlignment="0" applyProtection="0"/>
    <xf numFmtId="0" fontId="28" fillId="0" borderId="82"/>
    <xf numFmtId="0" fontId="29" fillId="24" borderId="78" applyNumberFormat="0" applyAlignment="0" applyProtection="0"/>
    <xf numFmtId="0" fontId="72" fillId="0" borderId="72" applyBorder="0">
      <alignment horizontal="center" vertical="center" wrapText="1"/>
    </xf>
    <xf numFmtId="0" fontId="48" fillId="24" borderId="75" applyNumberFormat="0" applyAlignment="0" applyProtection="0"/>
    <xf numFmtId="0" fontId="29" fillId="12" borderId="78" applyNumberFormat="0" applyAlignment="0" applyProtection="0"/>
    <xf numFmtId="0" fontId="84" fillId="0" borderId="82"/>
    <xf numFmtId="0" fontId="8" fillId="10" borderId="76" applyNumberFormat="0" applyFont="0" applyAlignment="0" applyProtection="0"/>
    <xf numFmtId="0" fontId="84" fillId="0" borderId="82"/>
    <xf numFmtId="0" fontId="8" fillId="45" borderId="186" applyNumberFormat="0" applyFont="0" applyAlignment="0" applyProtection="0"/>
    <xf numFmtId="0" fontId="18" fillId="10" borderId="177" applyNumberFormat="0" applyFont="0" applyAlignment="0" applyProtection="0"/>
    <xf numFmtId="0" fontId="18" fillId="10" borderId="85" applyNumberFormat="0" applyFont="0" applyAlignment="0" applyProtection="0"/>
    <xf numFmtId="0" fontId="16" fillId="24" borderId="102" applyNumberFormat="0" applyAlignment="0" applyProtection="0"/>
    <xf numFmtId="0" fontId="31" fillId="0" borderId="108" applyNumberFormat="0" applyFill="0" applyAlignment="0" applyProtection="0"/>
    <xf numFmtId="0" fontId="29" fillId="12" borderId="101" applyNumberFormat="0" applyAlignment="0" applyProtection="0"/>
    <xf numFmtId="0" fontId="84" fillId="0" borderId="99"/>
    <xf numFmtId="0" fontId="84" fillId="0" borderId="180"/>
    <xf numFmtId="0" fontId="18" fillId="10" borderId="144" applyNumberFormat="0" applyFont="0" applyAlignment="0" applyProtection="0"/>
    <xf numFmtId="0" fontId="84" fillId="0" borderId="180"/>
    <xf numFmtId="0" fontId="31" fillId="0" borderId="123" applyNumberFormat="0" applyFill="0" applyAlignment="0" applyProtection="0"/>
    <xf numFmtId="0" fontId="8" fillId="10" borderId="168" applyNumberFormat="0" applyFont="0" applyAlignment="0" applyProtection="0"/>
    <xf numFmtId="0" fontId="41" fillId="13" borderId="143" applyNumberFormat="0" applyAlignment="0" applyProtection="0"/>
    <xf numFmtId="0" fontId="25" fillId="8" borderId="167" applyNumberFormat="0" applyAlignment="0" applyProtection="0"/>
    <xf numFmtId="0" fontId="8" fillId="10" borderId="144" applyNumberFormat="0" applyFont="0" applyAlignment="0" applyProtection="0"/>
    <xf numFmtId="0" fontId="16" fillId="24" borderId="194" applyNumberFormat="0" applyAlignment="0" applyProtection="0"/>
    <xf numFmtId="0" fontId="31" fillId="0" borderId="197" applyNumberFormat="0" applyFill="0" applyAlignment="0" applyProtection="0"/>
    <xf numFmtId="0" fontId="41" fillId="13" borderId="118" applyNumberFormat="0" applyAlignment="0" applyProtection="0"/>
    <xf numFmtId="0" fontId="72" fillId="0" borderId="141" applyBorder="0">
      <alignment horizontal="center" vertical="center" wrapText="1"/>
    </xf>
    <xf numFmtId="0" fontId="8" fillId="10" borderId="119" applyNumberFormat="0" applyFont="0" applyAlignment="0" applyProtection="0"/>
    <xf numFmtId="0" fontId="31" fillId="0" borderId="190" applyNumberFormat="0" applyFill="0" applyAlignment="0" applyProtection="0"/>
    <xf numFmtId="0" fontId="31" fillId="0" borderId="166" applyNumberFormat="0" applyFill="0" applyAlignment="0" applyProtection="0"/>
    <xf numFmtId="0" fontId="84" fillId="0" borderId="149"/>
    <xf numFmtId="0" fontId="24" fillId="24" borderId="155" applyNumberFormat="0" applyAlignment="0" applyProtection="0"/>
    <xf numFmtId="0" fontId="29" fillId="24" borderId="117" applyNumberFormat="0" applyAlignment="0" applyProtection="0"/>
    <xf numFmtId="0" fontId="48" fillId="24" borderId="143" applyNumberFormat="0" applyAlignment="0" applyProtection="0"/>
    <xf numFmtId="0" fontId="49" fillId="10" borderId="168" applyNumberFormat="0" applyFont="0" applyAlignment="0" applyProtection="0"/>
    <xf numFmtId="0" fontId="29" fillId="24" borderId="101" applyNumberFormat="0" applyAlignment="0" applyProtection="0"/>
    <xf numFmtId="0" fontId="29" fillId="24" borderId="101" applyNumberFormat="0" applyAlignment="0" applyProtection="0"/>
    <xf numFmtId="0" fontId="72" fillId="0" borderId="109" applyBorder="0">
      <alignment horizontal="center" vertical="center" wrapText="1"/>
    </xf>
    <xf numFmtId="0" fontId="31" fillId="0" borderId="107" applyNumberFormat="0" applyFill="0" applyAlignment="0" applyProtection="0"/>
    <xf numFmtId="0" fontId="32" fillId="24" borderId="102" applyNumberFormat="0" applyAlignment="0" applyProtection="0"/>
    <xf numFmtId="0" fontId="31" fillId="0" borderId="108" applyNumberFormat="0" applyFill="0" applyAlignment="0" applyProtection="0"/>
    <xf numFmtId="0" fontId="25" fillId="13" borderId="143" applyNumberFormat="0" applyAlignment="0" applyProtection="0"/>
    <xf numFmtId="0" fontId="49" fillId="10" borderId="144" applyNumberFormat="0" applyFont="0" applyAlignment="0" applyProtection="0"/>
    <xf numFmtId="0" fontId="31" fillId="0" borderId="165" applyNumberFormat="0" applyFill="0" applyAlignment="0" applyProtection="0"/>
    <xf numFmtId="0" fontId="16" fillId="24" borderId="194" applyNumberFormat="0" applyAlignment="0" applyProtection="0"/>
    <xf numFmtId="0" fontId="28" fillId="10" borderId="177" applyNumberFormat="0" applyFont="0" applyAlignment="0" applyProtection="0"/>
    <xf numFmtId="0" fontId="31" fillId="0" borderId="197" applyNumberFormat="0" applyFill="0" applyAlignment="0" applyProtection="0"/>
    <xf numFmtId="0" fontId="31" fillId="0" borderId="148" applyNumberFormat="0" applyFill="0" applyAlignment="0" applyProtection="0"/>
    <xf numFmtId="0" fontId="25" fillId="8" borderId="194" applyNumberFormat="0" applyAlignment="0" applyProtection="0"/>
    <xf numFmtId="0" fontId="29" fillId="12" borderId="193" applyNumberFormat="0" applyAlignment="0" applyProtection="0"/>
    <xf numFmtId="0" fontId="24" fillId="24" borderId="169" applyNumberFormat="0" applyAlignment="0" applyProtection="0"/>
    <xf numFmtId="0" fontId="31" fillId="0" borderId="122" applyNumberFormat="0" applyFill="0" applyAlignment="0" applyProtection="0"/>
    <xf numFmtId="0" fontId="31" fillId="0" borderId="123" applyNumberFormat="0" applyFill="0" applyAlignment="0" applyProtection="0"/>
    <xf numFmtId="0" fontId="18" fillId="10" borderId="168" applyNumberFormat="0" applyFont="0" applyAlignment="0" applyProtection="0"/>
    <xf numFmtId="0" fontId="48" fillId="24" borderId="134" applyNumberFormat="0" applyAlignment="0" applyProtection="0"/>
    <xf numFmtId="0" fontId="31" fillId="0" borderId="206" applyNumberFormat="0" applyFill="0" applyAlignment="0" applyProtection="0"/>
    <xf numFmtId="0" fontId="31" fillId="0" borderId="172" applyNumberFormat="0" applyFill="0" applyAlignment="0" applyProtection="0"/>
    <xf numFmtId="0" fontId="31" fillId="0" borderId="148" applyNumberFormat="0" applyFill="0" applyAlignment="0" applyProtection="0"/>
    <xf numFmtId="0" fontId="28" fillId="10" borderId="195" applyNumberFormat="0" applyFont="0" applyAlignment="0" applyProtection="0"/>
    <xf numFmtId="0" fontId="49" fillId="10" borderId="177" applyNumberFormat="0" applyFont="0" applyAlignment="0" applyProtection="0"/>
    <xf numFmtId="0" fontId="49" fillId="10" borderId="144" applyNumberFormat="0" applyFont="0" applyAlignment="0" applyProtection="0"/>
    <xf numFmtId="0" fontId="8" fillId="45" borderId="202" applyNumberFormat="0" applyFont="0" applyAlignment="0" applyProtection="0"/>
    <xf numFmtId="0" fontId="41" fillId="13" borderId="194" applyNumberFormat="0" applyAlignment="0" applyProtection="0"/>
    <xf numFmtId="0" fontId="72" fillId="0" borderId="164" applyBorder="0">
      <alignment horizontal="center" vertical="center" wrapText="1"/>
    </xf>
    <xf numFmtId="0" fontId="25" fillId="13" borderId="194" applyNumberFormat="0" applyAlignment="0" applyProtection="0"/>
    <xf numFmtId="0" fontId="31" fillId="0" borderId="192" applyNumberFormat="0" applyFill="0" applyAlignment="0" applyProtection="0"/>
    <xf numFmtId="0" fontId="8" fillId="10" borderId="195" applyNumberFormat="0" applyFont="0" applyAlignment="0" applyProtection="0"/>
    <xf numFmtId="0" fontId="24" fillId="24" borderId="120" applyNumberFormat="0" applyAlignment="0" applyProtection="0"/>
    <xf numFmtId="0" fontId="84" fillId="0" borderId="124"/>
    <xf numFmtId="0" fontId="18" fillId="10" borderId="85" applyNumberFormat="0" applyFont="0" applyAlignment="0" applyProtection="0"/>
    <xf numFmtId="0" fontId="28" fillId="10" borderId="85" applyNumberFormat="0" applyFont="0" applyAlignment="0" applyProtection="0"/>
    <xf numFmtId="0" fontId="29" fillId="24" borderId="91" applyNumberFormat="0" applyAlignment="0" applyProtection="0"/>
    <xf numFmtId="0" fontId="49" fillId="10" borderId="85" applyNumberFormat="0" applyFont="0" applyAlignment="0" applyProtection="0"/>
    <xf numFmtId="0" fontId="31" fillId="0" borderId="92" applyNumberFormat="0" applyFill="0" applyAlignment="0" applyProtection="0"/>
    <xf numFmtId="0" fontId="31" fillId="0" borderId="87" applyNumberFormat="0" applyFill="0" applyAlignment="0" applyProtection="0"/>
    <xf numFmtId="0" fontId="31" fillId="0" borderId="93" applyNumberFormat="0" applyFill="0" applyAlignment="0" applyProtection="0"/>
    <xf numFmtId="0" fontId="8" fillId="10" borderId="85" applyNumberFormat="0" applyFont="0" applyAlignment="0" applyProtection="0"/>
    <xf numFmtId="0" fontId="29" fillId="24" borderId="91" applyNumberFormat="0" applyAlignment="0" applyProtection="0"/>
    <xf numFmtId="0" fontId="31" fillId="0" borderId="87" applyNumberFormat="0" applyFill="0" applyAlignment="0" applyProtection="0"/>
    <xf numFmtId="0" fontId="31" fillId="0" borderId="87" applyNumberFormat="0" applyFill="0" applyAlignment="0" applyProtection="0"/>
    <xf numFmtId="0" fontId="8" fillId="10" borderId="119" applyNumberFormat="0" applyFont="0" applyAlignment="0" applyProtection="0"/>
    <xf numFmtId="0" fontId="28" fillId="10" borderId="103" applyNumberFormat="0" applyFont="0" applyAlignment="0" applyProtection="0"/>
    <xf numFmtId="0" fontId="28" fillId="10" borderId="168" applyNumberFormat="0" applyFont="0" applyAlignment="0" applyProtection="0"/>
    <xf numFmtId="0" fontId="18" fillId="10" borderId="128" applyNumberFormat="0" applyFont="0" applyAlignment="0" applyProtection="0"/>
    <xf numFmtId="0" fontId="28" fillId="0" borderId="124"/>
    <xf numFmtId="0" fontId="28" fillId="10" borderId="119" applyNumberFormat="0" applyFont="0" applyAlignment="0" applyProtection="0"/>
    <xf numFmtId="0" fontId="28" fillId="10" borderId="119" applyNumberFormat="0" applyFont="0" applyAlignment="0" applyProtection="0"/>
    <xf numFmtId="0" fontId="8" fillId="10" borderId="119" applyNumberFormat="0" applyFont="0" applyAlignment="0" applyProtection="0"/>
    <xf numFmtId="0" fontId="48" fillId="12" borderId="167" applyNumberFormat="0" applyAlignment="0" applyProtection="0"/>
    <xf numFmtId="0" fontId="48" fillId="24" borderId="167" applyNumberFormat="0" applyAlignment="0" applyProtection="0"/>
    <xf numFmtId="0" fontId="72" fillId="0" borderId="89" applyBorder="0">
      <alignment horizontal="center" vertical="center" wrapText="1"/>
    </xf>
    <xf numFmtId="0" fontId="41" fillId="13" borderId="167" applyNumberFormat="0" applyAlignment="0" applyProtection="0"/>
    <xf numFmtId="0" fontId="16" fillId="24" borderId="143" applyNumberFormat="0" applyAlignment="0" applyProtection="0"/>
    <xf numFmtId="0" fontId="48" fillId="12" borderId="102" applyNumberFormat="0" applyAlignment="0" applyProtection="0"/>
    <xf numFmtId="0" fontId="28" fillId="0" borderId="191"/>
    <xf numFmtId="0" fontId="8" fillId="10" borderId="177" applyNumberFormat="0" applyFont="0" applyAlignment="0" applyProtection="0"/>
    <xf numFmtId="0" fontId="31" fillId="0" borderId="148" applyNumberFormat="0" applyFill="0" applyAlignment="0" applyProtection="0"/>
    <xf numFmtId="0" fontId="31" fillId="0" borderId="197" applyNumberFormat="0" applyFill="0" applyAlignment="0" applyProtection="0"/>
    <xf numFmtId="0" fontId="72" fillId="0" borderId="201" applyBorder="0">
      <alignment horizontal="center" vertical="center" wrapText="1"/>
    </xf>
    <xf numFmtId="0" fontId="31" fillId="0" borderId="185" applyNumberFormat="0" applyFill="0" applyAlignment="0" applyProtection="0"/>
    <xf numFmtId="0" fontId="16" fillId="24" borderId="194" applyNumberFormat="0" applyAlignment="0" applyProtection="0"/>
    <xf numFmtId="0" fontId="16" fillId="24" borderId="118" applyNumberFormat="0" applyAlignment="0" applyProtection="0"/>
    <xf numFmtId="0" fontId="31" fillId="0" borderId="166" applyNumberFormat="0" applyFill="0" applyAlignment="0" applyProtection="0"/>
    <xf numFmtId="0" fontId="29" fillId="24" borderId="193" applyNumberFormat="0" applyAlignment="0" applyProtection="0"/>
    <xf numFmtId="0" fontId="8" fillId="10" borderId="144" applyNumberFormat="0" applyFont="0" applyAlignment="0" applyProtection="0"/>
    <xf numFmtId="0" fontId="32" fillId="24" borderId="194" applyNumberFormat="0" applyAlignment="0" applyProtection="0"/>
    <xf numFmtId="0" fontId="48" fillId="12" borderId="194" applyNumberFormat="0" applyAlignment="0" applyProtection="0"/>
    <xf numFmtId="0" fontId="8" fillId="10" borderId="103" applyNumberFormat="0" applyFont="0" applyAlignment="0" applyProtection="0"/>
    <xf numFmtId="0" fontId="48" fillId="12" borderId="102" applyNumberFormat="0" applyAlignment="0" applyProtection="0"/>
    <xf numFmtId="0" fontId="29" fillId="24" borderId="170" applyNumberFormat="0" applyAlignment="0" applyProtection="0"/>
    <xf numFmtId="0" fontId="8" fillId="45" borderId="150" applyNumberFormat="0" applyFont="0" applyAlignment="0" applyProtection="0"/>
    <xf numFmtId="0" fontId="31" fillId="0" borderId="185" applyNumberFormat="0" applyFill="0" applyAlignment="0" applyProtection="0"/>
    <xf numFmtId="0" fontId="25" fillId="13" borderId="194" applyNumberFormat="0" applyAlignment="0" applyProtection="0"/>
    <xf numFmtId="0" fontId="28" fillId="0" borderId="174"/>
    <xf numFmtId="0" fontId="31" fillId="0" borderId="163" applyNumberFormat="0" applyFill="0" applyAlignment="0" applyProtection="0"/>
    <xf numFmtId="0" fontId="25" fillId="13" borderId="167" applyNumberFormat="0" applyAlignment="0" applyProtection="0"/>
    <xf numFmtId="0" fontId="32" fillId="24" borderId="118" applyNumberFormat="0" applyAlignment="0" applyProtection="0"/>
    <xf numFmtId="0" fontId="18" fillId="10" borderId="119" applyNumberFormat="0" applyFont="0" applyAlignment="0" applyProtection="0"/>
    <xf numFmtId="0" fontId="48" fillId="12" borderId="167" applyNumberFormat="0" applyAlignment="0" applyProtection="0"/>
    <xf numFmtId="0" fontId="16" fillId="24" borderId="118" applyNumberFormat="0" applyAlignment="0" applyProtection="0"/>
    <xf numFmtId="0" fontId="31" fillId="0" borderId="140" applyNumberFormat="0" applyFill="0" applyAlignment="0" applyProtection="0"/>
    <xf numFmtId="0" fontId="49" fillId="10" borderId="144" applyNumberFormat="0" applyFont="0" applyAlignment="0" applyProtection="0"/>
    <xf numFmtId="0" fontId="25" fillId="13" borderId="143" applyNumberFormat="0" applyAlignment="0" applyProtection="0"/>
    <xf numFmtId="0" fontId="31" fillId="0" borderId="197" applyNumberFormat="0" applyFill="0" applyAlignment="0" applyProtection="0"/>
    <xf numFmtId="0" fontId="16" fillId="24" borderId="167" applyNumberFormat="0" applyAlignment="0" applyProtection="0"/>
    <xf numFmtId="0" fontId="84" fillId="0" borderId="88"/>
    <xf numFmtId="0" fontId="28" fillId="10" borderId="85" applyNumberFormat="0" applyFont="0" applyAlignment="0" applyProtection="0"/>
    <xf numFmtId="0" fontId="31" fillId="0" borderId="93" applyNumberFormat="0" applyFill="0" applyAlignment="0" applyProtection="0"/>
    <xf numFmtId="0" fontId="28" fillId="10" borderId="177" applyNumberFormat="0" applyFont="0" applyAlignment="0" applyProtection="0"/>
    <xf numFmtId="0" fontId="29" fillId="12" borderId="170" applyNumberFormat="0" applyAlignment="0" applyProtection="0"/>
    <xf numFmtId="0" fontId="28" fillId="0" borderId="180"/>
    <xf numFmtId="0" fontId="31" fillId="0" borderId="108" applyNumberFormat="0" applyFill="0" applyAlignment="0" applyProtection="0"/>
    <xf numFmtId="0" fontId="31" fillId="0" borderId="105" applyNumberFormat="0" applyFill="0" applyAlignment="0" applyProtection="0"/>
    <xf numFmtId="0" fontId="25" fillId="13" borderId="143" applyNumberFormat="0" applyAlignment="0" applyProtection="0"/>
    <xf numFmtId="0" fontId="84" fillId="73" borderId="149"/>
    <xf numFmtId="0" fontId="48" fillId="24" borderId="194" applyNumberFormat="0" applyAlignment="0" applyProtection="0"/>
    <xf numFmtId="0" fontId="72" fillId="0" borderId="126" applyBorder="0">
      <alignment horizontal="center" vertical="center" wrapText="1"/>
    </xf>
    <xf numFmtId="0" fontId="48" fillId="24" borderId="118" applyNumberFormat="0" applyAlignment="0" applyProtection="0"/>
    <xf numFmtId="0" fontId="28" fillId="10" borderId="103" applyNumberFormat="0" applyFont="0" applyAlignment="0" applyProtection="0"/>
    <xf numFmtId="0" fontId="31" fillId="0" borderId="148" applyNumberFormat="0" applyFill="0" applyAlignment="0" applyProtection="0"/>
    <xf numFmtId="0" fontId="29" fillId="24" borderId="101" applyNumberFormat="0" applyAlignment="0" applyProtection="0"/>
    <xf numFmtId="0" fontId="31" fillId="0" borderId="100" applyNumberFormat="0" applyFill="0" applyAlignment="0" applyProtection="0"/>
    <xf numFmtId="0" fontId="31" fillId="0" borderId="158" applyNumberFormat="0" applyFill="0" applyAlignment="0" applyProtection="0"/>
    <xf numFmtId="0" fontId="84" fillId="0" borderId="149"/>
    <xf numFmtId="0" fontId="31" fillId="0" borderId="142" applyNumberFormat="0" applyFill="0" applyAlignment="0" applyProtection="0"/>
    <xf numFmtId="0" fontId="29" fillId="24" borderId="146" applyNumberFormat="0" applyAlignment="0" applyProtection="0"/>
    <xf numFmtId="0" fontId="24" fillId="24" borderId="104" applyNumberFormat="0" applyAlignment="0" applyProtection="0"/>
    <xf numFmtId="0" fontId="84" fillId="0" borderId="180"/>
    <xf numFmtId="0" fontId="28" fillId="10" borderId="103" applyNumberFormat="0" applyFont="0" applyAlignment="0" applyProtection="0"/>
    <xf numFmtId="0" fontId="25" fillId="13" borderId="203" applyNumberFormat="0" applyAlignment="0" applyProtection="0"/>
    <xf numFmtId="0" fontId="84" fillId="73" borderId="149"/>
    <xf numFmtId="0" fontId="18" fillId="10" borderId="119" applyNumberFormat="0" applyFont="0" applyAlignment="0" applyProtection="0"/>
    <xf numFmtId="0" fontId="29" fillId="24" borderId="101" applyNumberFormat="0" applyAlignment="0" applyProtection="0"/>
    <xf numFmtId="0" fontId="49" fillId="10" borderId="103" applyNumberFormat="0" applyFont="0" applyAlignment="0" applyProtection="0"/>
    <xf numFmtId="0" fontId="24" fillId="24" borderId="104" applyNumberFormat="0" applyAlignment="0" applyProtection="0"/>
    <xf numFmtId="0" fontId="25" fillId="13" borderId="187" applyNumberFormat="0" applyAlignment="0" applyProtection="0"/>
    <xf numFmtId="0" fontId="28" fillId="0" borderId="149"/>
    <xf numFmtId="0" fontId="31" fillId="0" borderId="147" applyNumberFormat="0" applyFill="0" applyAlignment="0" applyProtection="0"/>
    <xf numFmtId="0" fontId="31" fillId="0" borderId="121" applyNumberFormat="0" applyFill="0" applyAlignment="0" applyProtection="0"/>
    <xf numFmtId="0" fontId="41" fillId="13" borderId="176" applyNumberFormat="0" applyAlignment="0" applyProtection="0"/>
    <xf numFmtId="0" fontId="31" fillId="0" borderId="123" applyNumberFormat="0" applyFill="0" applyAlignment="0" applyProtection="0"/>
    <xf numFmtId="0" fontId="8" fillId="45" borderId="186" applyNumberFormat="0" applyFont="0" applyAlignment="0" applyProtection="0"/>
    <xf numFmtId="0" fontId="41" fillId="13" borderId="176" applyNumberFormat="0" applyAlignment="0" applyProtection="0"/>
    <xf numFmtId="0" fontId="31" fillId="0" borderId="184" applyNumberFormat="0" applyFill="0" applyAlignment="0" applyProtection="0"/>
    <xf numFmtId="0" fontId="31" fillId="0" borderId="74" applyNumberFormat="0" applyFill="0" applyAlignment="0" applyProtection="0"/>
    <xf numFmtId="0" fontId="49" fillId="10" borderId="76" applyNumberFormat="0" applyFont="0" applyAlignment="0" applyProtection="0"/>
    <xf numFmtId="0" fontId="31" fillId="0" borderId="79" applyNumberFormat="0" applyFill="0" applyAlignment="0" applyProtection="0"/>
    <xf numFmtId="0" fontId="16" fillId="24" borderId="75" applyNumberFormat="0" applyAlignment="0" applyProtection="0"/>
    <xf numFmtId="0" fontId="25" fillId="13" borderId="75" applyNumberFormat="0" applyAlignment="0" applyProtection="0"/>
    <xf numFmtId="0" fontId="8" fillId="10" borderId="76" applyNumberFormat="0" applyFont="0" applyAlignment="0" applyProtection="0"/>
    <xf numFmtId="0" fontId="31" fillId="0" borderId="74" applyNumberFormat="0" applyFill="0" applyAlignment="0" applyProtection="0"/>
    <xf numFmtId="0" fontId="31" fillId="0" borderId="172" applyNumberFormat="0" applyFill="0" applyAlignment="0" applyProtection="0"/>
    <xf numFmtId="0" fontId="29" fillId="24" borderId="146" applyNumberFormat="0" applyAlignment="0" applyProtection="0"/>
    <xf numFmtId="0" fontId="41" fillId="13" borderId="143" applyNumberFormat="0" applyAlignment="0" applyProtection="0"/>
    <xf numFmtId="0" fontId="31" fillId="0" borderId="199" applyNumberFormat="0" applyFill="0" applyAlignment="0" applyProtection="0"/>
    <xf numFmtId="0" fontId="24" fillId="24" borderId="196" applyNumberFormat="0" applyAlignment="0" applyProtection="0"/>
    <xf numFmtId="0" fontId="32" fillId="24" borderId="102" applyNumberFormat="0" applyAlignment="0" applyProtection="0"/>
    <xf numFmtId="0" fontId="48" fillId="24" borderId="102" applyNumberFormat="0" applyAlignment="0" applyProtection="0"/>
    <xf numFmtId="0" fontId="31" fillId="0" borderId="100" applyNumberFormat="0" applyFill="0" applyAlignment="0" applyProtection="0"/>
    <xf numFmtId="0" fontId="72" fillId="0" borderId="109" applyBorder="0">
      <alignment horizontal="center" vertical="center" wrapText="1"/>
    </xf>
    <xf numFmtId="0" fontId="48" fillId="24" borderId="102" applyNumberFormat="0" applyAlignment="0" applyProtection="0"/>
    <xf numFmtId="0" fontId="48" fillId="12" borderId="102" applyNumberFormat="0" applyAlignment="0" applyProtection="0"/>
    <xf numFmtId="0" fontId="28" fillId="10" borderId="103" applyNumberFormat="0" applyFont="0" applyAlignment="0" applyProtection="0"/>
    <xf numFmtId="0" fontId="49" fillId="10" borderId="103" applyNumberFormat="0" applyFont="0" applyAlignment="0" applyProtection="0"/>
    <xf numFmtId="0" fontId="49" fillId="10" borderId="103" applyNumberFormat="0" applyFont="0" applyAlignment="0" applyProtection="0"/>
    <xf numFmtId="0" fontId="31" fillId="0" borderId="151" applyNumberFormat="0" applyFill="0" applyAlignment="0" applyProtection="0"/>
    <xf numFmtId="0" fontId="25" fillId="13" borderId="111" applyNumberFormat="0" applyAlignment="0" applyProtection="0"/>
    <xf numFmtId="0" fontId="28" fillId="10" borderId="112" applyNumberFormat="0" applyFont="0" applyAlignment="0" applyProtection="0"/>
    <xf numFmtId="0" fontId="72" fillId="0" borderId="173" applyBorder="0">
      <alignment horizontal="center" vertical="center" wrapText="1"/>
    </xf>
    <xf numFmtId="0" fontId="49" fillId="10" borderId="177" applyNumberFormat="0" applyFont="0" applyAlignment="0" applyProtection="0"/>
    <xf numFmtId="0" fontId="48" fillId="12" borderId="194" applyNumberFormat="0" applyAlignment="0" applyProtection="0"/>
    <xf numFmtId="0" fontId="25" fillId="13" borderId="118" applyNumberFormat="0" applyAlignment="0" applyProtection="0"/>
    <xf numFmtId="0" fontId="24" fillId="24" borderId="162" applyNumberFormat="0" applyAlignment="0" applyProtection="0"/>
    <xf numFmtId="0" fontId="28" fillId="0" borderId="99"/>
    <xf numFmtId="0" fontId="84" fillId="0" borderId="99"/>
    <xf numFmtId="0" fontId="24" fillId="24" borderId="104" applyNumberFormat="0" applyAlignment="0" applyProtection="0"/>
    <xf numFmtId="0" fontId="31" fillId="0" borderId="107" applyNumberFormat="0" applyFill="0" applyAlignment="0" applyProtection="0"/>
    <xf numFmtId="0" fontId="31" fillId="0" borderId="108" applyNumberFormat="0" applyFill="0" applyAlignment="0" applyProtection="0"/>
    <xf numFmtId="0" fontId="28" fillId="10" borderId="204" applyNumberFormat="0" applyFont="0" applyAlignment="0" applyProtection="0"/>
    <xf numFmtId="0" fontId="31" fillId="0" borderId="74" applyNumberFormat="0" applyFill="0" applyAlignment="0" applyProtection="0"/>
    <xf numFmtId="0" fontId="48" fillId="12" borderId="75" applyNumberFormat="0" applyAlignment="0" applyProtection="0"/>
    <xf numFmtId="0" fontId="25" fillId="8" borderId="75" applyNumberFormat="0" applyAlignment="0" applyProtection="0"/>
    <xf numFmtId="0" fontId="31" fillId="0" borderId="80" applyNumberFormat="0" applyFill="0" applyAlignment="0" applyProtection="0"/>
    <xf numFmtId="0" fontId="16" fillId="24" borderId="75" applyNumberFormat="0" applyAlignment="0" applyProtection="0"/>
    <xf numFmtId="0" fontId="18" fillId="10" borderId="76" applyNumberFormat="0" applyFont="0" applyAlignment="0" applyProtection="0"/>
    <xf numFmtId="0" fontId="24" fillId="24" borderId="77" applyNumberFormat="0" applyAlignment="0" applyProtection="0"/>
    <xf numFmtId="0" fontId="8" fillId="10" borderId="76" applyNumberFormat="0" applyFont="0" applyAlignment="0" applyProtection="0"/>
    <xf numFmtId="0" fontId="28" fillId="0" borderId="82"/>
    <xf numFmtId="0" fontId="16" fillId="24" borderId="75" applyNumberFormat="0" applyAlignment="0" applyProtection="0"/>
    <xf numFmtId="0" fontId="49" fillId="10" borderId="76" applyNumberFormat="0" applyFont="0" applyAlignment="0" applyProtection="0"/>
    <xf numFmtId="0" fontId="49" fillId="10" borderId="76" applyNumberFormat="0" applyFont="0" applyAlignment="0" applyProtection="0"/>
    <xf numFmtId="0" fontId="48" fillId="12" borderId="75" applyNumberFormat="0" applyAlignment="0" applyProtection="0"/>
    <xf numFmtId="0" fontId="48" fillId="12" borderId="75" applyNumberFormat="0" applyAlignment="0" applyProtection="0"/>
    <xf numFmtId="0" fontId="8" fillId="45" borderId="83" applyNumberFormat="0" applyFont="0" applyAlignment="0" applyProtection="0"/>
    <xf numFmtId="0" fontId="48" fillId="12" borderId="75" applyNumberFormat="0" applyAlignment="0" applyProtection="0"/>
    <xf numFmtId="0" fontId="31" fillId="0" borderId="80" applyNumberFormat="0" applyFill="0" applyAlignment="0" applyProtection="0"/>
    <xf numFmtId="0" fontId="16" fillId="24" borderId="84" applyNumberFormat="0" applyAlignment="0" applyProtection="0"/>
    <xf numFmtId="0" fontId="48" fillId="12" borderId="118" applyNumberFormat="0" applyAlignment="0" applyProtection="0"/>
    <xf numFmtId="0" fontId="25" fillId="13" borderId="84" applyNumberFormat="0" applyAlignment="0" applyProtection="0"/>
    <xf numFmtId="0" fontId="29" fillId="24" borderId="101" applyNumberFormat="0" applyAlignment="0" applyProtection="0"/>
    <xf numFmtId="0" fontId="28" fillId="0" borderId="88"/>
    <xf numFmtId="0" fontId="28" fillId="10" borderId="85" applyNumberFormat="0" applyFont="0" applyAlignment="0" applyProtection="0"/>
    <xf numFmtId="0" fontId="8" fillId="10" borderId="85" applyNumberFormat="0" applyFont="0" applyAlignment="0" applyProtection="0"/>
    <xf numFmtId="0" fontId="31" fillId="0" borderId="87" applyNumberFormat="0" applyFill="0" applyAlignment="0" applyProtection="0"/>
    <xf numFmtId="0" fontId="8" fillId="10" borderId="144" applyNumberFormat="0" applyFont="0" applyAlignment="0" applyProtection="0"/>
    <xf numFmtId="0" fontId="8" fillId="45" borderId="110" applyNumberFormat="0" applyFont="0" applyAlignment="0" applyProtection="0"/>
    <xf numFmtId="0" fontId="16" fillId="24" borderId="102" applyNumberFormat="0" applyAlignment="0" applyProtection="0"/>
    <xf numFmtId="0" fontId="31" fillId="0" borderId="108" applyNumberFormat="0" applyFill="0" applyAlignment="0" applyProtection="0"/>
    <xf numFmtId="0" fontId="8" fillId="10" borderId="103" applyNumberFormat="0" applyFont="0" applyAlignment="0" applyProtection="0"/>
    <xf numFmtId="0" fontId="49" fillId="10" borderId="103" applyNumberFormat="0" applyFont="0" applyAlignment="0" applyProtection="0"/>
    <xf numFmtId="0" fontId="28" fillId="10" borderId="103" applyNumberFormat="0" applyFont="0" applyAlignment="0" applyProtection="0"/>
    <xf numFmtId="0" fontId="29" fillId="24" borderId="101" applyNumberFormat="0" applyAlignment="0" applyProtection="0"/>
    <xf numFmtId="0" fontId="32" fillId="24" borderId="102" applyNumberFormat="0" applyAlignment="0" applyProtection="0"/>
    <xf numFmtId="0" fontId="29" fillId="12" borderId="101" applyNumberFormat="0" applyAlignment="0" applyProtection="0"/>
    <xf numFmtId="0" fontId="8" fillId="10" borderId="103" applyNumberFormat="0" applyFont="0" applyAlignment="0" applyProtection="0"/>
    <xf numFmtId="0" fontId="16" fillId="24" borderId="143" applyNumberFormat="0" applyAlignment="0" applyProtection="0"/>
    <xf numFmtId="0" fontId="48" fillId="24" borderId="194" applyNumberFormat="0" applyAlignment="0" applyProtection="0"/>
    <xf numFmtId="0" fontId="31" fillId="0" borderId="171" applyNumberFormat="0" applyFill="0" applyAlignment="0" applyProtection="0"/>
    <xf numFmtId="0" fontId="31" fillId="0" borderId="200" applyNumberFormat="0" applyFill="0" applyAlignment="0" applyProtection="0"/>
    <xf numFmtId="0" fontId="16" fillId="24" borderId="160" applyNumberFormat="0" applyAlignment="0" applyProtection="0"/>
    <xf numFmtId="0" fontId="72" fillId="0" borderId="201" applyBorder="0">
      <alignment horizontal="center" vertical="center" wrapText="1"/>
    </xf>
    <xf numFmtId="0" fontId="31" fillId="0" borderId="163" applyNumberFormat="0" applyFill="0" applyAlignment="0" applyProtection="0"/>
    <xf numFmtId="0" fontId="49" fillId="10" borderId="168" applyNumberFormat="0" applyFont="0" applyAlignment="0" applyProtection="0"/>
    <xf numFmtId="0" fontId="31" fillId="0" borderId="123" applyNumberFormat="0" applyFill="0" applyAlignment="0" applyProtection="0"/>
    <xf numFmtId="0" fontId="28" fillId="10" borderId="119" applyNumberFormat="0" applyFont="0" applyAlignment="0" applyProtection="0"/>
    <xf numFmtId="0" fontId="48" fillId="12" borderId="118" applyNumberFormat="0" applyAlignment="0" applyProtection="0"/>
    <xf numFmtId="0" fontId="31" fillId="0" borderId="122" applyNumberFormat="0" applyFill="0" applyAlignment="0" applyProtection="0"/>
    <xf numFmtId="0" fontId="25" fillId="13" borderId="118" applyNumberFormat="0" applyAlignment="0" applyProtection="0"/>
    <xf numFmtId="0" fontId="29" fillId="12" borderId="117" applyNumberFormat="0" applyAlignment="0" applyProtection="0"/>
    <xf numFmtId="0" fontId="29" fillId="12" borderId="170" applyNumberFormat="0" applyAlignment="0" applyProtection="0"/>
    <xf numFmtId="0" fontId="16" fillId="24" borderId="167" applyNumberFormat="0" applyAlignment="0" applyProtection="0"/>
    <xf numFmtId="0" fontId="31" fillId="0" borderId="200" applyNumberFormat="0" applyFill="0" applyAlignment="0" applyProtection="0"/>
    <xf numFmtId="0" fontId="48" fillId="24" borderId="167" applyNumberFormat="0" applyAlignment="0" applyProtection="0"/>
    <xf numFmtId="0" fontId="41" fillId="13" borderId="143" applyNumberFormat="0" applyAlignment="0" applyProtection="0"/>
    <xf numFmtId="0" fontId="28" fillId="10" borderId="144" applyNumberFormat="0" applyFont="0" applyAlignment="0" applyProtection="0"/>
    <xf numFmtId="0" fontId="25" fillId="13" borderId="203" applyNumberFormat="0" applyAlignment="0" applyProtection="0"/>
    <xf numFmtId="0" fontId="28" fillId="10" borderId="195" applyNumberFormat="0" applyFont="0" applyAlignment="0" applyProtection="0"/>
    <xf numFmtId="0" fontId="31" fillId="0" borderId="163" applyNumberFormat="0" applyFill="0" applyAlignment="0" applyProtection="0"/>
    <xf numFmtId="0" fontId="25" fillId="13" borderId="187" applyNumberFormat="0" applyAlignment="0" applyProtection="0"/>
    <xf numFmtId="0" fontId="41" fillId="13" borderId="167" applyNumberFormat="0" applyAlignment="0" applyProtection="0"/>
    <xf numFmtId="0" fontId="31" fillId="0" borderId="147" applyNumberFormat="0" applyFill="0" applyAlignment="0" applyProtection="0"/>
    <xf numFmtId="0" fontId="31" fillId="0" borderId="197" applyNumberFormat="0" applyFill="0" applyAlignment="0" applyProtection="0"/>
    <xf numFmtId="0" fontId="8" fillId="10" borderId="128" applyNumberFormat="0" applyFont="0" applyAlignment="0" applyProtection="0"/>
    <xf numFmtId="0" fontId="31" fillId="0" borderId="158" applyNumberFormat="0" applyFill="0" applyAlignment="0" applyProtection="0"/>
    <xf numFmtId="0" fontId="31" fillId="0" borderId="151" applyNumberFormat="0" applyFill="0" applyAlignment="0" applyProtection="0"/>
    <xf numFmtId="0" fontId="8" fillId="10" borderId="128" applyNumberFormat="0" applyFont="0" applyAlignment="0" applyProtection="0"/>
    <xf numFmtId="0" fontId="24" fillId="24" borderId="136" applyNumberFormat="0" applyAlignment="0" applyProtection="0"/>
    <xf numFmtId="0" fontId="84" fillId="0" borderId="180"/>
    <xf numFmtId="0" fontId="72" fillId="0" borderId="106" applyBorder="0">
      <alignment horizontal="center" vertical="center" wrapText="1"/>
    </xf>
    <xf numFmtId="0" fontId="72" fillId="0" borderId="152" applyBorder="0">
      <alignment horizontal="center" vertical="center" wrapText="1"/>
    </xf>
    <xf numFmtId="0" fontId="29" fillId="12" borderId="146" applyNumberFormat="0" applyAlignment="0" applyProtection="0"/>
    <xf numFmtId="0" fontId="84" fillId="0" borderId="149"/>
    <xf numFmtId="0" fontId="41" fillId="13" borderId="153" applyNumberFormat="0" applyAlignment="0" applyProtection="0"/>
    <xf numFmtId="0" fontId="8" fillId="10" borderId="195" applyNumberFormat="0" applyFont="0" applyAlignment="0" applyProtection="0"/>
    <xf numFmtId="0" fontId="8" fillId="10" borderId="177" applyNumberFormat="0" applyFont="0" applyAlignment="0" applyProtection="0"/>
    <xf numFmtId="0" fontId="28" fillId="0" borderId="174"/>
    <xf numFmtId="0" fontId="48" fillId="24" borderId="118" applyNumberFormat="0" applyAlignment="0" applyProtection="0"/>
    <xf numFmtId="0" fontId="31" fillId="0" borderId="148" applyNumberFormat="0" applyFill="0" applyAlignment="0" applyProtection="0"/>
    <xf numFmtId="0" fontId="49" fillId="10" borderId="195" applyNumberFormat="0" applyFont="0" applyAlignment="0" applyProtection="0"/>
    <xf numFmtId="0" fontId="31" fillId="0" borderId="108" applyNumberFormat="0" applyFill="0" applyAlignment="0" applyProtection="0"/>
    <xf numFmtId="0" fontId="31" fillId="0" borderId="107" applyNumberFormat="0" applyFill="0" applyAlignment="0" applyProtection="0"/>
    <xf numFmtId="0" fontId="31" fillId="0" borderId="107" applyNumberFormat="0" applyFill="0" applyAlignment="0" applyProtection="0"/>
    <xf numFmtId="0" fontId="49" fillId="10" borderId="103" applyNumberFormat="0" applyFont="0" applyAlignment="0" applyProtection="0"/>
    <xf numFmtId="0" fontId="31" fillId="0" borderId="108" applyNumberFormat="0" applyFill="0" applyAlignment="0" applyProtection="0"/>
    <xf numFmtId="0" fontId="24" fillId="24" borderId="104" applyNumberFormat="0" applyAlignment="0" applyProtection="0"/>
    <xf numFmtId="0" fontId="16" fillId="24" borderId="102" applyNumberFormat="0" applyAlignment="0" applyProtection="0"/>
    <xf numFmtId="0" fontId="24" fillId="24" borderId="104" applyNumberFormat="0" applyAlignment="0" applyProtection="0"/>
    <xf numFmtId="0" fontId="28" fillId="10" borderId="103" applyNumberFormat="0" applyFont="0" applyAlignment="0" applyProtection="0"/>
    <xf numFmtId="0" fontId="28" fillId="10" borderId="144" applyNumberFormat="0" applyFont="0" applyAlignment="0" applyProtection="0"/>
    <xf numFmtId="0" fontId="48" fillId="24" borderId="143" applyNumberFormat="0" applyAlignment="0" applyProtection="0"/>
    <xf numFmtId="0" fontId="48" fillId="12" borderId="143" applyNumberFormat="0" applyAlignment="0" applyProtection="0"/>
    <xf numFmtId="0" fontId="48" fillId="24" borderId="153" applyNumberFormat="0" applyAlignment="0" applyProtection="0"/>
    <xf numFmtId="0" fontId="31" fillId="0" borderId="163" applyNumberFormat="0" applyFill="0" applyAlignment="0" applyProtection="0"/>
    <xf numFmtId="0" fontId="8" fillId="10" borderId="177" applyNumberFormat="0" applyFont="0" applyAlignment="0" applyProtection="0"/>
    <xf numFmtId="0" fontId="8" fillId="10" borderId="195" applyNumberFormat="0" applyFont="0" applyAlignment="0" applyProtection="0"/>
    <xf numFmtId="0" fontId="32" fillId="24" borderId="167" applyNumberFormat="0" applyAlignment="0" applyProtection="0"/>
    <xf numFmtId="0" fontId="84" fillId="0" borderId="174"/>
    <xf numFmtId="0" fontId="41" fillId="13" borderId="118" applyNumberFormat="0" applyAlignment="0" applyProtection="0"/>
    <xf numFmtId="0" fontId="48" fillId="24" borderId="118" applyNumberFormat="0" applyAlignment="0" applyProtection="0"/>
    <xf numFmtId="0" fontId="49" fillId="10" borderId="119" applyNumberFormat="0" applyFont="0" applyAlignment="0" applyProtection="0"/>
    <xf numFmtId="0" fontId="25" fillId="8" borderId="118" applyNumberFormat="0" applyAlignment="0" applyProtection="0"/>
    <xf numFmtId="0" fontId="32" fillId="24" borderId="167" applyNumberFormat="0" applyAlignment="0" applyProtection="0"/>
    <xf numFmtId="0" fontId="25" fillId="13" borderId="167" applyNumberFormat="0" applyAlignment="0" applyProtection="0"/>
    <xf numFmtId="0" fontId="31" fillId="0" borderId="165" applyNumberFormat="0" applyFill="0" applyAlignment="0" applyProtection="0"/>
    <xf numFmtId="0" fontId="18" fillId="10" borderId="177" applyNumberFormat="0" applyFont="0" applyAlignment="0" applyProtection="0"/>
    <xf numFmtId="0" fontId="24" fillId="24" borderId="178" applyNumberFormat="0" applyAlignment="0" applyProtection="0"/>
    <xf numFmtId="0" fontId="31" fillId="0" borderId="192" applyNumberFormat="0" applyFill="0" applyAlignment="0" applyProtection="0"/>
    <xf numFmtId="0" fontId="8" fillId="10" borderId="144" applyNumberFormat="0" applyFont="0" applyAlignment="0" applyProtection="0"/>
    <xf numFmtId="0" fontId="16" fillId="24" borderId="143" applyNumberFormat="0" applyAlignment="0" applyProtection="0"/>
    <xf numFmtId="0" fontId="8" fillId="10" borderId="144" applyNumberFormat="0" applyFont="0" applyAlignment="0" applyProtection="0"/>
    <xf numFmtId="0" fontId="31" fillId="0" borderId="151" applyNumberFormat="0" applyFill="0" applyAlignment="0" applyProtection="0"/>
    <xf numFmtId="0" fontId="8" fillId="45" borderId="150" applyNumberFormat="0" applyFont="0" applyAlignment="0" applyProtection="0"/>
    <xf numFmtId="0" fontId="25" fillId="13" borderId="194" applyNumberFormat="0" applyAlignment="0" applyProtection="0"/>
    <xf numFmtId="0" fontId="31" fillId="0" borderId="171" applyNumberFormat="0" applyFill="0" applyAlignment="0" applyProtection="0"/>
    <xf numFmtId="0" fontId="31" fillId="0" borderId="172" applyNumberFormat="0" applyFill="0" applyAlignment="0" applyProtection="0"/>
    <xf numFmtId="0" fontId="28" fillId="10" borderId="204" applyNumberFormat="0" applyFont="0" applyAlignment="0" applyProtection="0"/>
    <xf numFmtId="0" fontId="41" fillId="13" borderId="187" applyNumberFormat="0" applyAlignment="0" applyProtection="0"/>
    <xf numFmtId="0" fontId="28" fillId="10" borderId="195" applyNumberFormat="0" applyFont="0" applyAlignment="0" applyProtection="0"/>
    <xf numFmtId="0" fontId="29" fillId="12" borderId="117" applyNumberFormat="0" applyAlignment="0" applyProtection="0"/>
    <xf numFmtId="0" fontId="31" fillId="0" borderId="90" applyNumberFormat="0" applyFill="0" applyAlignment="0" applyProtection="0"/>
    <xf numFmtId="0" fontId="31" fillId="0" borderId="93" applyNumberFormat="0" applyFill="0" applyAlignment="0" applyProtection="0"/>
    <xf numFmtId="0" fontId="84" fillId="0" borderId="88"/>
    <xf numFmtId="0" fontId="18" fillId="10" borderId="85" applyNumberFormat="0" applyFont="0" applyAlignment="0" applyProtection="0"/>
    <xf numFmtId="0" fontId="29" fillId="24" borderId="91" applyNumberFormat="0" applyAlignment="0" applyProtection="0"/>
    <xf numFmtId="0" fontId="28" fillId="0" borderId="174"/>
    <xf numFmtId="0" fontId="8" fillId="10" borderId="85" applyNumberFormat="0" applyFont="0" applyAlignment="0" applyProtection="0"/>
    <xf numFmtId="0" fontId="31" fillId="0" borderId="92" applyNumberFormat="0" applyFill="0" applyAlignment="0" applyProtection="0"/>
    <xf numFmtId="0" fontId="8" fillId="10" borderId="85" applyNumberFormat="0" applyFont="0" applyAlignment="0" applyProtection="0"/>
    <xf numFmtId="0" fontId="31" fillId="0" borderId="92" applyNumberFormat="0" applyFill="0" applyAlignment="0" applyProtection="0"/>
    <xf numFmtId="0" fontId="31" fillId="0" borderId="93" applyNumberFormat="0" applyFill="0" applyAlignment="0" applyProtection="0"/>
    <xf numFmtId="0" fontId="29" fillId="12" borderId="91" applyNumberFormat="0" applyAlignment="0" applyProtection="0"/>
    <xf numFmtId="0" fontId="29" fillId="24" borderId="91" applyNumberFormat="0" applyAlignment="0" applyProtection="0"/>
    <xf numFmtId="0" fontId="24" fillId="24" borderId="120" applyNumberFormat="0" applyAlignment="0" applyProtection="0"/>
    <xf numFmtId="0" fontId="8" fillId="10" borderId="85" applyNumberFormat="0" applyFont="0" applyAlignment="0" applyProtection="0"/>
    <xf numFmtId="0" fontId="31" fillId="0" borderId="93" applyNumberFormat="0" applyFill="0" applyAlignment="0" applyProtection="0"/>
    <xf numFmtId="0" fontId="29" fillId="24" borderId="91" applyNumberFormat="0" applyAlignment="0" applyProtection="0"/>
    <xf numFmtId="0" fontId="28" fillId="0" borderId="180"/>
    <xf numFmtId="0" fontId="29" fillId="24" borderId="117" applyNumberFormat="0" applyAlignment="0" applyProtection="0"/>
    <xf numFmtId="0" fontId="29" fillId="12" borderId="117" applyNumberFormat="0" applyAlignment="0" applyProtection="0"/>
    <xf numFmtId="0" fontId="84" fillId="73" borderId="124"/>
    <xf numFmtId="0" fontId="25" fillId="13" borderId="118" applyNumberFormat="0" applyAlignment="0" applyProtection="0"/>
    <xf numFmtId="0" fontId="28" fillId="0" borderId="149"/>
    <xf numFmtId="0" fontId="41" fillId="13" borderId="203" applyNumberFormat="0" applyAlignment="0" applyProtection="0"/>
    <xf numFmtId="0" fontId="49" fillId="10" borderId="177" applyNumberFormat="0" applyFont="0" applyAlignment="0" applyProtection="0"/>
    <xf numFmtId="0" fontId="41" fillId="13" borderId="127" applyNumberFormat="0" applyAlignment="0" applyProtection="0"/>
    <xf numFmtId="0" fontId="8" fillId="45" borderId="125" applyNumberFormat="0" applyFont="0" applyAlignment="0" applyProtection="0"/>
    <xf numFmtId="0" fontId="25" fillId="8" borderId="118" applyNumberFormat="0" applyAlignment="0" applyProtection="0"/>
    <xf numFmtId="0" fontId="48" fillId="12" borderId="118" applyNumberFormat="0" applyAlignment="0" applyProtection="0"/>
    <xf numFmtId="0" fontId="31" fillId="0" borderId="121" applyNumberFormat="0" applyFill="0" applyAlignment="0" applyProtection="0"/>
    <xf numFmtId="0" fontId="49" fillId="10" borderId="119" applyNumberFormat="0" applyFont="0" applyAlignment="0" applyProtection="0"/>
    <xf numFmtId="0" fontId="24" fillId="24" borderId="120" applyNumberFormat="0" applyAlignment="0" applyProtection="0"/>
    <xf numFmtId="0" fontId="31" fillId="0" borderId="165" applyNumberFormat="0" applyFill="0" applyAlignment="0" applyProtection="0"/>
    <xf numFmtId="0" fontId="16" fillId="24" borderId="143" applyNumberFormat="0" applyAlignment="0" applyProtection="0"/>
    <xf numFmtId="0" fontId="29" fillId="12" borderId="117" applyNumberFormat="0" applyAlignment="0" applyProtection="0"/>
    <xf numFmtId="0" fontId="25" fillId="13" borderId="118" applyNumberFormat="0" applyAlignment="0" applyProtection="0"/>
    <xf numFmtId="0" fontId="8" fillId="10" borderId="119" applyNumberFormat="0" applyFont="0" applyAlignment="0" applyProtection="0"/>
    <xf numFmtId="0" fontId="8" fillId="10" borderId="119" applyNumberFormat="0" applyFont="0" applyAlignment="0" applyProtection="0"/>
    <xf numFmtId="0" fontId="8" fillId="10" borderId="195" applyNumberFormat="0" applyFont="0" applyAlignment="0" applyProtection="0"/>
    <xf numFmtId="0" fontId="28" fillId="0" borderId="191"/>
    <xf numFmtId="0" fontId="16" fillId="24" borderId="194" applyNumberFormat="0" applyAlignment="0" applyProtection="0"/>
    <xf numFmtId="0" fontId="48" fillId="12" borderId="102" applyNumberFormat="0" applyAlignment="0" applyProtection="0"/>
    <xf numFmtId="0" fontId="28" fillId="10" borderId="168" applyNumberFormat="0" applyFont="0" applyAlignment="0" applyProtection="0"/>
    <xf numFmtId="0" fontId="24" fillId="24" borderId="162" applyNumberFormat="0" applyAlignment="0" applyProtection="0"/>
    <xf numFmtId="0" fontId="25" fillId="8" borderId="143" applyNumberFormat="0" applyAlignment="0" applyProtection="0"/>
    <xf numFmtId="0" fontId="25" fillId="13" borderId="194" applyNumberFormat="0" applyAlignment="0" applyProtection="0"/>
    <xf numFmtId="0" fontId="48" fillId="12" borderId="194" applyNumberFormat="0" applyAlignment="0" applyProtection="0"/>
    <xf numFmtId="0" fontId="25" fillId="13" borderId="118" applyNumberFormat="0" applyAlignment="0" applyProtection="0"/>
    <xf numFmtId="0" fontId="28" fillId="10" borderId="119" applyNumberFormat="0" applyFont="0" applyAlignment="0" applyProtection="0"/>
    <xf numFmtId="0" fontId="28" fillId="10" borderId="177" applyNumberFormat="0" applyFont="0" applyAlignment="0" applyProtection="0"/>
    <xf numFmtId="0" fontId="32" fillId="24" borderId="176" applyNumberFormat="0" applyAlignment="0" applyProtection="0"/>
    <xf numFmtId="0" fontId="48" fillId="12" borderId="167" applyNumberFormat="0" applyAlignment="0" applyProtection="0"/>
    <xf numFmtId="0" fontId="84" fillId="0" borderId="149"/>
    <xf numFmtId="0" fontId="29" fillId="24" borderId="117" applyNumberFormat="0" applyAlignment="0" applyProtection="0"/>
    <xf numFmtId="0" fontId="48" fillId="12" borderId="118" applyNumberFormat="0" applyAlignment="0" applyProtection="0"/>
    <xf numFmtId="0" fontId="8" fillId="10" borderId="144" applyNumberFormat="0" applyFont="0" applyAlignment="0" applyProtection="0"/>
    <xf numFmtId="0" fontId="49" fillId="10" borderId="128" applyNumberFormat="0" applyFont="0" applyAlignment="0" applyProtection="0"/>
    <xf numFmtId="0" fontId="31" fillId="0" borderId="158" applyNumberFormat="0" applyFill="0" applyAlignment="0" applyProtection="0"/>
    <xf numFmtId="0" fontId="8" fillId="45" borderId="150" applyNumberFormat="0" applyFont="0" applyAlignment="0" applyProtection="0"/>
    <xf numFmtId="0" fontId="84" fillId="0" borderId="149"/>
    <xf numFmtId="0" fontId="32" fillId="24" borderId="153" applyNumberFormat="0" applyAlignment="0" applyProtection="0"/>
    <xf numFmtId="0" fontId="31" fillId="0" borderId="192" applyNumberFormat="0" applyFill="0" applyAlignment="0" applyProtection="0"/>
    <xf numFmtId="0" fontId="8" fillId="10" borderId="195" applyNumberFormat="0" applyFont="0" applyAlignment="0" applyProtection="0"/>
    <xf numFmtId="0" fontId="84" fillId="0" borderId="99"/>
    <xf numFmtId="0" fontId="25" fillId="8" borderId="102" applyNumberFormat="0" applyAlignment="0" applyProtection="0"/>
    <xf numFmtId="0" fontId="18" fillId="10" borderId="103" applyNumberFormat="0" applyFont="0" applyAlignment="0" applyProtection="0"/>
    <xf numFmtId="0" fontId="8" fillId="10" borderId="103" applyNumberFormat="0" applyFont="0" applyAlignment="0" applyProtection="0"/>
    <xf numFmtId="0" fontId="31" fillId="0" borderId="105" applyNumberFormat="0" applyFill="0" applyAlignment="0" applyProtection="0"/>
    <xf numFmtId="0" fontId="49" fillId="10" borderId="103" applyNumberFormat="0" applyFont="0" applyAlignment="0" applyProtection="0"/>
    <xf numFmtId="0" fontId="16" fillId="24" borderId="102" applyNumberFormat="0" applyAlignment="0" applyProtection="0"/>
    <xf numFmtId="0" fontId="25" fillId="8" borderId="102" applyNumberFormat="0" applyAlignment="0" applyProtection="0"/>
    <xf numFmtId="0" fontId="48" fillId="12" borderId="102" applyNumberFormat="0" applyAlignment="0" applyProtection="0"/>
    <xf numFmtId="0" fontId="31" fillId="0" borderId="148" applyNumberFormat="0" applyFill="0" applyAlignment="0" applyProtection="0"/>
    <xf numFmtId="0" fontId="8" fillId="10" borderId="195" applyNumberFormat="0" applyFont="0" applyAlignment="0" applyProtection="0"/>
    <xf numFmtId="0" fontId="8" fillId="10" borderId="168" applyNumberFormat="0" applyFont="0" applyAlignment="0" applyProtection="0"/>
    <xf numFmtId="0" fontId="84" fillId="0" borderId="174"/>
    <xf numFmtId="0" fontId="31" fillId="0" borderId="179" applyNumberFormat="0" applyFill="0" applyAlignment="0" applyProtection="0"/>
    <xf numFmtId="0" fontId="84" fillId="73" borderId="174"/>
    <xf numFmtId="0" fontId="48" fillId="24" borderId="143" applyNumberFormat="0" applyAlignment="0" applyProtection="0"/>
    <xf numFmtId="0" fontId="29" fillId="24" borderId="170" applyNumberFormat="0" applyAlignment="0" applyProtection="0"/>
    <xf numFmtId="0" fontId="41" fillId="13" borderId="194" applyNumberFormat="0" applyAlignment="0" applyProtection="0"/>
    <xf numFmtId="0" fontId="28" fillId="10" borderId="195" applyNumberFormat="0" applyFont="0" applyAlignment="0" applyProtection="0"/>
    <xf numFmtId="0" fontId="29" fillId="24" borderId="170" applyNumberFormat="0" applyAlignment="0" applyProtection="0"/>
    <xf numFmtId="0" fontId="28" fillId="0" borderId="124"/>
    <xf numFmtId="0" fontId="24" fillId="24" borderId="120" applyNumberFormat="0" applyAlignment="0" applyProtection="0"/>
    <xf numFmtId="0" fontId="31" fillId="0" borderId="123" applyNumberFormat="0" applyFill="0" applyAlignment="0" applyProtection="0"/>
    <xf numFmtId="0" fontId="72" fillId="0" borderId="164" applyBorder="0">
      <alignment horizontal="center" vertical="center" wrapText="1"/>
    </xf>
    <xf numFmtId="0" fontId="84" fillId="73" borderId="174"/>
    <xf numFmtId="0" fontId="29" fillId="24" borderId="193" applyNumberFormat="0" applyAlignment="0" applyProtection="0"/>
    <xf numFmtId="0" fontId="24" fillId="24" borderId="169" applyNumberFormat="0" applyAlignment="0" applyProtection="0"/>
    <xf numFmtId="0" fontId="31" fillId="0" borderId="166" applyNumberFormat="0" applyFill="0" applyAlignment="0" applyProtection="0"/>
    <xf numFmtId="0" fontId="31" fillId="0" borderId="142" applyNumberFormat="0" applyFill="0" applyAlignment="0" applyProtection="0"/>
    <xf numFmtId="0" fontId="31" fillId="0" borderId="171" applyNumberFormat="0" applyFill="0" applyAlignment="0" applyProtection="0"/>
    <xf numFmtId="0" fontId="25" fillId="13" borderId="194" applyNumberFormat="0" applyAlignment="0" applyProtection="0"/>
    <xf numFmtId="0" fontId="31" fillId="0" borderId="200" applyNumberFormat="0" applyFill="0" applyAlignment="0" applyProtection="0"/>
    <xf numFmtId="0" fontId="48" fillId="12" borderId="143" applyNumberFormat="0" applyAlignment="0" applyProtection="0"/>
    <xf numFmtId="0" fontId="31" fillId="0" borderId="197" applyNumberFormat="0" applyFill="0" applyAlignment="0" applyProtection="0"/>
    <xf numFmtId="0" fontId="48" fillId="24" borderId="118" applyNumberFormat="0" applyAlignment="0" applyProtection="0"/>
    <xf numFmtId="0" fontId="48" fillId="12" borderId="118" applyNumberFormat="0" applyAlignment="0" applyProtection="0"/>
    <xf numFmtId="0" fontId="8" fillId="10" borderId="85" applyNumberFormat="0" applyFont="0" applyAlignment="0" applyProtection="0"/>
    <xf numFmtId="0" fontId="28" fillId="10" borderId="85" applyNumberFormat="0" applyFont="0" applyAlignment="0" applyProtection="0"/>
    <xf numFmtId="0" fontId="31" fillId="0" borderId="90" applyNumberFormat="0" applyFill="0" applyAlignment="0" applyProtection="0"/>
    <xf numFmtId="0" fontId="18" fillId="10" borderId="168" applyNumberFormat="0" applyFont="0" applyAlignment="0" applyProtection="0"/>
    <xf numFmtId="0" fontId="28" fillId="0" borderId="88"/>
    <xf numFmtId="0" fontId="49" fillId="10" borderId="177" applyNumberFormat="0" applyFont="0" applyAlignment="0" applyProtection="0"/>
    <xf numFmtId="0" fontId="31" fillId="0" borderId="185" applyNumberFormat="0" applyFill="0" applyAlignment="0" applyProtection="0"/>
    <xf numFmtId="0" fontId="31" fillId="0" borderId="123" applyNumberFormat="0" applyFill="0" applyAlignment="0" applyProtection="0"/>
    <xf numFmtId="0" fontId="28" fillId="10" borderId="128" applyNumberFormat="0" applyFont="0" applyAlignment="0" applyProtection="0"/>
    <xf numFmtId="0" fontId="28" fillId="0" borderId="124"/>
    <xf numFmtId="0" fontId="24" fillId="24" borderId="62" applyNumberFormat="0" applyAlignment="0" applyProtection="0"/>
    <xf numFmtId="0" fontId="8" fillId="10" borderId="61" applyNumberFormat="0" applyFont="0" applyAlignment="0" applyProtection="0"/>
    <xf numFmtId="0" fontId="8" fillId="10" borderId="61" applyNumberFormat="0" applyFont="0" applyAlignment="0" applyProtection="0"/>
    <xf numFmtId="0" fontId="29" fillId="24" borderId="78" applyNumberFormat="0" applyAlignment="0" applyProtection="0"/>
    <xf numFmtId="0" fontId="29" fillId="24" borderId="91" applyNumberFormat="0" applyAlignment="0" applyProtection="0"/>
    <xf numFmtId="0" fontId="25" fillId="13" borderId="60" applyNumberFormat="0" applyAlignment="0" applyProtection="0"/>
    <xf numFmtId="0" fontId="29" fillId="24" borderId="146" applyNumberFormat="0" applyAlignment="0" applyProtection="0"/>
    <xf numFmtId="0" fontId="32" fillId="24" borderId="143" applyNumberFormat="0" applyAlignment="0" applyProtection="0"/>
    <xf numFmtId="0" fontId="28" fillId="0" borderId="191"/>
    <xf numFmtId="0" fontId="8" fillId="10" borderId="85" applyNumberFormat="0" applyFont="0" applyAlignment="0" applyProtection="0"/>
    <xf numFmtId="0" fontId="8" fillId="10" borderId="85" applyNumberFormat="0" applyFont="0" applyAlignment="0" applyProtection="0"/>
    <xf numFmtId="0" fontId="16" fillId="24" borderId="60" applyNumberFormat="0" applyAlignment="0" applyProtection="0"/>
    <xf numFmtId="0" fontId="16" fillId="24" borderId="60" applyNumberFormat="0" applyAlignment="0" applyProtection="0"/>
    <xf numFmtId="0" fontId="25" fillId="8" borderId="194" applyNumberFormat="0" applyAlignment="0" applyProtection="0"/>
    <xf numFmtId="0" fontId="41" fillId="13" borderId="95" applyNumberFormat="0" applyAlignment="0" applyProtection="0"/>
    <xf numFmtId="0" fontId="32" fillId="24" borderId="95" applyNumberFormat="0" applyAlignment="0" applyProtection="0"/>
    <xf numFmtId="0" fontId="41" fillId="13" borderId="118" applyNumberFormat="0" applyAlignment="0" applyProtection="0"/>
    <xf numFmtId="0" fontId="31" fillId="0" borderId="52" applyNumberFormat="0" applyFill="0" applyAlignment="0" applyProtection="0"/>
    <xf numFmtId="0" fontId="31" fillId="0" borderId="55" applyNumberFormat="0" applyFill="0" applyAlignment="0" applyProtection="0"/>
    <xf numFmtId="0" fontId="84" fillId="0" borderId="53"/>
    <xf numFmtId="0" fontId="31" fillId="0" borderId="52" applyNumberFormat="0" applyFill="0" applyAlignment="0" applyProtection="0"/>
    <xf numFmtId="0" fontId="49" fillId="10" borderId="50" applyNumberFormat="0" applyFont="0" applyAlignment="0" applyProtection="0"/>
    <xf numFmtId="0" fontId="49" fillId="10" borderId="50" applyNumberFormat="0" applyFont="0" applyAlignment="0" applyProtection="0"/>
    <xf numFmtId="0" fontId="29" fillId="12" borderId="56" applyNumberFormat="0" applyAlignment="0" applyProtection="0"/>
    <xf numFmtId="0" fontId="28" fillId="10" borderId="50" applyNumberFormat="0" applyFont="0" applyAlignment="0" applyProtection="0"/>
    <xf numFmtId="0" fontId="29" fillId="12" borderId="56" applyNumberFormat="0" applyAlignment="0" applyProtection="0"/>
    <xf numFmtId="0" fontId="31" fillId="0" borderId="123" applyNumberFormat="0" applyFill="0" applyAlignment="0" applyProtection="0"/>
    <xf numFmtId="0" fontId="28" fillId="0" borderId="53"/>
    <xf numFmtId="0" fontId="8" fillId="10" borderId="50" applyNumberFormat="0" applyFont="0" applyAlignment="0" applyProtection="0"/>
    <xf numFmtId="0" fontId="31" fillId="0" borderId="55" applyNumberFormat="0" applyFill="0" applyAlignment="0" applyProtection="0"/>
    <xf numFmtId="0" fontId="18" fillId="10" borderId="50" applyNumberFormat="0" applyFont="0" applyAlignment="0" applyProtection="0"/>
    <xf numFmtId="0" fontId="29" fillId="24" borderId="56" applyNumberFormat="0" applyAlignment="0" applyProtection="0"/>
    <xf numFmtId="0" fontId="31" fillId="0" borderId="58" applyNumberFormat="0" applyFill="0" applyAlignment="0" applyProtection="0"/>
    <xf numFmtId="0" fontId="31" fillId="0" borderId="55" applyNumberFormat="0" applyFill="0" applyAlignment="0" applyProtection="0"/>
    <xf numFmtId="0" fontId="31" fillId="0" borderId="58" applyNumberFormat="0" applyFill="0" applyAlignment="0" applyProtection="0"/>
    <xf numFmtId="0" fontId="28" fillId="0" borderId="53"/>
    <xf numFmtId="0" fontId="24" fillId="24" borderId="51" applyNumberFormat="0" applyAlignment="0" applyProtection="0"/>
    <xf numFmtId="0" fontId="28" fillId="10" borderId="50" applyNumberFormat="0" applyFont="0" applyAlignment="0" applyProtection="0"/>
    <xf numFmtId="0" fontId="31" fillId="0" borderId="58" applyNumberFormat="0" applyFill="0" applyAlignment="0" applyProtection="0"/>
    <xf numFmtId="0" fontId="31" fillId="0" borderId="57" applyNumberFormat="0" applyFill="0" applyAlignment="0" applyProtection="0"/>
    <xf numFmtId="0" fontId="24" fillId="24" borderId="51" applyNumberFormat="0" applyAlignment="0" applyProtection="0"/>
    <xf numFmtId="0" fontId="28" fillId="10" borderId="50" applyNumberFormat="0" applyFont="0" applyAlignment="0" applyProtection="0"/>
    <xf numFmtId="0" fontId="18" fillId="10" borderId="50" applyNumberFormat="0" applyFont="0" applyAlignment="0" applyProtection="0"/>
    <xf numFmtId="0" fontId="29" fillId="12" borderId="56" applyNumberFormat="0" applyAlignment="0" applyProtection="0"/>
    <xf numFmtId="0" fontId="49" fillId="10" borderId="50" applyNumberFormat="0" applyFont="0" applyAlignment="0" applyProtection="0"/>
    <xf numFmtId="0" fontId="8" fillId="10" borderId="50" applyNumberFormat="0" applyFont="0" applyAlignment="0" applyProtection="0"/>
    <xf numFmtId="0" fontId="31" fillId="0" borderId="58" applyNumberFormat="0" applyFill="0" applyAlignment="0" applyProtection="0"/>
    <xf numFmtId="0" fontId="31" fillId="0" borderId="57" applyNumberFormat="0" applyFill="0" applyAlignment="0" applyProtection="0"/>
    <xf numFmtId="0" fontId="8" fillId="10" borderId="50" applyNumberFormat="0" applyFont="0" applyAlignment="0" applyProtection="0"/>
    <xf numFmtId="0" fontId="72" fillId="0" borderId="54" applyBorder="0">
      <alignment horizontal="center" vertical="center" wrapText="1"/>
    </xf>
    <xf numFmtId="0" fontId="31" fillId="0" borderId="52" applyNumberFormat="0" applyFill="0" applyAlignment="0" applyProtection="0"/>
    <xf numFmtId="0" fontId="49" fillId="10" borderId="50" applyNumberFormat="0" applyFont="0" applyAlignment="0" applyProtection="0"/>
    <xf numFmtId="0" fontId="31" fillId="0" borderId="57" applyNumberFormat="0" applyFill="0" applyAlignment="0" applyProtection="0"/>
    <xf numFmtId="0" fontId="31" fillId="0" borderId="58" applyNumberFormat="0" applyFill="0" applyAlignment="0" applyProtection="0"/>
    <xf numFmtId="0" fontId="31" fillId="0" borderId="57" applyNumberFormat="0" applyFill="0" applyAlignment="0" applyProtection="0"/>
    <xf numFmtId="0" fontId="31" fillId="0" borderId="58" applyNumberFormat="0" applyFill="0" applyAlignment="0" applyProtection="0"/>
    <xf numFmtId="0" fontId="24" fillId="24" borderId="51" applyNumberFormat="0" applyAlignment="0" applyProtection="0"/>
    <xf numFmtId="0" fontId="29" fillId="12" borderId="56" applyNumberFormat="0" applyAlignment="0" applyProtection="0"/>
    <xf numFmtId="0" fontId="31" fillId="0" borderId="58" applyNumberFormat="0" applyFill="0" applyAlignment="0" applyProtection="0"/>
    <xf numFmtId="0" fontId="29" fillId="12" borderId="56" applyNumberFormat="0" applyAlignment="0" applyProtection="0"/>
    <xf numFmtId="0" fontId="28" fillId="0" borderId="53"/>
    <xf numFmtId="0" fontId="49" fillId="10" borderId="50" applyNumberFormat="0" applyFont="0" applyAlignment="0" applyProtection="0"/>
    <xf numFmtId="0" fontId="31" fillId="0" borderId="58" applyNumberFormat="0" applyFill="0" applyAlignment="0" applyProtection="0"/>
    <xf numFmtId="0" fontId="31" fillId="0" borderId="57" applyNumberFormat="0" applyFill="0" applyAlignment="0" applyProtection="0"/>
    <xf numFmtId="0" fontId="29" fillId="24" borderId="56" applyNumberFormat="0" applyAlignment="0" applyProtection="0"/>
    <xf numFmtId="0" fontId="8" fillId="10" borderId="50" applyNumberFormat="0" applyFont="0" applyAlignment="0" applyProtection="0"/>
    <xf numFmtId="0" fontId="18" fillId="10" borderId="50" applyNumberFormat="0" applyFont="0" applyAlignment="0" applyProtection="0"/>
    <xf numFmtId="0" fontId="31" fillId="0" borderId="121" applyNumberFormat="0" applyFill="0" applyAlignment="0" applyProtection="0"/>
    <xf numFmtId="0" fontId="31" fillId="0" borderId="55" applyNumberFormat="0" applyFill="0" applyAlignment="0" applyProtection="0"/>
    <xf numFmtId="0" fontId="8" fillId="10" borderId="50" applyNumberFormat="0" applyFont="0" applyAlignment="0" applyProtection="0"/>
    <xf numFmtId="0" fontId="25" fillId="8" borderId="167" applyNumberFormat="0" applyAlignment="0" applyProtection="0"/>
    <xf numFmtId="0" fontId="48" fillId="12" borderId="118" applyNumberFormat="0" applyAlignment="0" applyProtection="0"/>
    <xf numFmtId="0" fontId="31" fillId="0" borderId="58" applyNumberFormat="0" applyFill="0" applyAlignment="0" applyProtection="0"/>
    <xf numFmtId="0" fontId="31" fillId="0" borderId="57" applyNumberFormat="0" applyFill="0" applyAlignment="0" applyProtection="0"/>
    <xf numFmtId="0" fontId="29" fillId="24" borderId="56" applyNumberFormat="0" applyAlignment="0" applyProtection="0"/>
    <xf numFmtId="0" fontId="31" fillId="0" borderId="55" applyNumberFormat="0" applyFill="0" applyAlignment="0" applyProtection="0"/>
    <xf numFmtId="0" fontId="29" fillId="12" borderId="56" applyNumberFormat="0" applyAlignment="0" applyProtection="0"/>
    <xf numFmtId="0" fontId="31" fillId="0" borderId="116" applyNumberFormat="0" applyFill="0" applyAlignment="0" applyProtection="0"/>
    <xf numFmtId="0" fontId="31" fillId="0" borderId="52" applyNumberFormat="0" applyFill="0" applyAlignment="0" applyProtection="0"/>
    <xf numFmtId="0" fontId="31" fillId="0" borderId="100" applyNumberFormat="0" applyFill="0" applyAlignment="0" applyProtection="0"/>
    <xf numFmtId="0" fontId="48" fillId="24" borderId="143" applyNumberFormat="0" applyAlignment="0" applyProtection="0"/>
    <xf numFmtId="0" fontId="31" fillId="0" borderId="139" applyNumberFormat="0" applyFill="0" applyAlignment="0" applyProtection="0"/>
    <xf numFmtId="0" fontId="49" fillId="10" borderId="50" applyNumberFormat="0" applyFont="0" applyAlignment="0" applyProtection="0"/>
    <xf numFmtId="0" fontId="72" fillId="0" borderId="141" applyBorder="0">
      <alignment horizontal="center" vertical="center" wrapText="1"/>
    </xf>
    <xf numFmtId="0" fontId="48" fillId="24" borderId="194" applyNumberFormat="0" applyAlignment="0" applyProtection="0"/>
    <xf numFmtId="0" fontId="72" fillId="0" borderId="198" applyBorder="0">
      <alignment horizontal="center" vertical="center" wrapText="1"/>
    </xf>
    <xf numFmtId="0" fontId="49" fillId="10" borderId="168" applyNumberFormat="0" applyFont="0" applyAlignment="0" applyProtection="0"/>
    <xf numFmtId="0" fontId="31" fillId="0" borderId="148" applyNumberFormat="0" applyFill="0" applyAlignment="0" applyProtection="0"/>
    <xf numFmtId="0" fontId="41" fillId="13" borderId="143" applyNumberFormat="0" applyAlignment="0" applyProtection="0"/>
    <xf numFmtId="0" fontId="31" fillId="0" borderId="163" applyNumberFormat="0" applyFill="0" applyAlignment="0" applyProtection="0"/>
    <xf numFmtId="0" fontId="25" fillId="8" borderId="194" applyNumberFormat="0" applyAlignment="0" applyProtection="0"/>
    <xf numFmtId="0" fontId="31" fillId="0" borderId="172" applyNumberFormat="0" applyFill="0" applyAlignment="0" applyProtection="0"/>
    <xf numFmtId="0" fontId="28" fillId="0" borderId="88"/>
    <xf numFmtId="0" fontId="31" fillId="0" borderId="93" applyNumberFormat="0" applyFill="0" applyAlignment="0" applyProtection="0"/>
    <xf numFmtId="0" fontId="31" fillId="0" borderId="93" applyNumberFormat="0" applyFill="0" applyAlignment="0" applyProtection="0"/>
    <xf numFmtId="0" fontId="8" fillId="10" borderId="85" applyNumberFormat="0" applyFont="0" applyAlignment="0" applyProtection="0"/>
    <xf numFmtId="0" fontId="29" fillId="12" borderId="91" applyNumberFormat="0" applyAlignment="0" applyProtection="0"/>
    <xf numFmtId="0" fontId="49" fillId="10" borderId="85" applyNumberFormat="0" applyFont="0" applyAlignment="0" applyProtection="0"/>
    <xf numFmtId="0" fontId="31" fillId="0" borderId="185" applyNumberFormat="0" applyFill="0" applyAlignment="0" applyProtection="0"/>
    <xf numFmtId="0" fontId="29" fillId="24" borderId="78" applyNumberFormat="0" applyAlignment="0" applyProtection="0"/>
    <xf numFmtId="0" fontId="24" fillId="24" borderId="169" applyNumberFormat="0" applyAlignment="0" applyProtection="0"/>
    <xf numFmtId="0" fontId="24" fillId="24" borderId="196" applyNumberFormat="0" applyAlignment="0" applyProtection="0"/>
    <xf numFmtId="0" fontId="18" fillId="10" borderId="195" applyNumberFormat="0" applyFont="0" applyAlignment="0" applyProtection="0"/>
    <xf numFmtId="0" fontId="28" fillId="10" borderId="195" applyNumberFormat="0" applyFont="0" applyAlignment="0" applyProtection="0"/>
    <xf numFmtId="0" fontId="28" fillId="10" borderId="177" applyNumberFormat="0" applyFont="0" applyAlignment="0" applyProtection="0"/>
    <xf numFmtId="0" fontId="72" fillId="0" borderId="198" applyBorder="0">
      <alignment horizontal="center" vertical="center" wrapText="1"/>
    </xf>
    <xf numFmtId="0" fontId="8" fillId="45" borderId="202" applyNumberFormat="0" applyFont="0" applyAlignment="0" applyProtection="0"/>
    <xf numFmtId="0" fontId="25" fillId="8" borderId="118" applyNumberFormat="0" applyAlignment="0" applyProtection="0"/>
    <xf numFmtId="0" fontId="31" fillId="0" borderId="142" applyNumberFormat="0" applyFill="0" applyAlignment="0" applyProtection="0"/>
    <xf numFmtId="0" fontId="16" fillId="24" borderId="194" applyNumberFormat="0" applyAlignment="0" applyProtection="0"/>
    <xf numFmtId="0" fontId="29" fillId="24" borderId="193" applyNumberFormat="0" applyAlignment="0" applyProtection="0"/>
    <xf numFmtId="0" fontId="31" fillId="0" borderId="185" applyNumberFormat="0" applyFill="0" applyAlignment="0" applyProtection="0"/>
    <xf numFmtId="0" fontId="24" fillId="24" borderId="97" applyNumberFormat="0" applyAlignment="0" applyProtection="0"/>
    <xf numFmtId="0" fontId="28" fillId="10" borderId="96" applyNumberFormat="0" applyFont="0" applyAlignment="0" applyProtection="0"/>
    <xf numFmtId="0" fontId="28" fillId="10" borderId="119" applyNumberFormat="0" applyFont="0" applyAlignment="0" applyProtection="0"/>
    <xf numFmtId="0" fontId="41" fillId="13" borderId="95" applyNumberFormat="0" applyAlignment="0" applyProtection="0"/>
    <xf numFmtId="0" fontId="25" fillId="13" borderId="95" applyNumberFormat="0" applyAlignment="0" applyProtection="0"/>
    <xf numFmtId="0" fontId="48" fillId="24" borderId="176" applyNumberFormat="0" applyAlignment="0" applyProtection="0"/>
    <xf numFmtId="0" fontId="29" fillId="24" borderId="117" applyNumberFormat="0" applyAlignment="0" applyProtection="0"/>
    <xf numFmtId="0" fontId="16" fillId="24" borderId="95" applyNumberFormat="0" applyAlignment="0" applyProtection="0"/>
    <xf numFmtId="0" fontId="49" fillId="10" borderId="119" applyNumberFormat="0" applyFont="0" applyAlignment="0" applyProtection="0"/>
    <xf numFmtId="0" fontId="25" fillId="13" borderId="134" applyNumberFormat="0" applyAlignment="0" applyProtection="0"/>
    <xf numFmtId="0" fontId="29" fillId="12" borderId="91" applyNumberFormat="0" applyAlignment="0" applyProtection="0"/>
    <xf numFmtId="0" fontId="84" fillId="0" borderId="88"/>
    <xf numFmtId="0" fontId="28" fillId="0" borderId="88"/>
    <xf numFmtId="0" fontId="49" fillId="10" borderId="85" applyNumberFormat="0" applyFont="0" applyAlignment="0" applyProtection="0"/>
    <xf numFmtId="0" fontId="49" fillId="10" borderId="85" applyNumberFormat="0" applyFont="0" applyAlignment="0" applyProtection="0"/>
    <xf numFmtId="0" fontId="16" fillId="24" borderId="167" applyNumberFormat="0" applyAlignment="0" applyProtection="0"/>
    <xf numFmtId="0" fontId="28" fillId="0" borderId="88"/>
    <xf numFmtId="0" fontId="31" fillId="0" borderId="116" applyNumberFormat="0" applyFill="0" applyAlignment="0" applyProtection="0"/>
    <xf numFmtId="0" fontId="72" fillId="0" borderId="89" applyBorder="0">
      <alignment horizontal="center" vertical="center" wrapText="1"/>
    </xf>
    <xf numFmtId="0" fontId="8" fillId="10" borderId="85" applyNumberFormat="0" applyFont="0" applyAlignment="0" applyProtection="0"/>
    <xf numFmtId="0" fontId="31" fillId="0" borderId="87" applyNumberFormat="0" applyFill="0" applyAlignment="0" applyProtection="0"/>
    <xf numFmtId="0" fontId="18" fillId="10" borderId="119" applyNumberFormat="0" applyFont="0" applyAlignment="0" applyProtection="0"/>
    <xf numFmtId="0" fontId="72" fillId="0" borderId="173" applyBorder="0">
      <alignment horizontal="center" vertical="center" wrapText="1"/>
    </xf>
    <xf numFmtId="0" fontId="41" fillId="13" borderId="102" applyNumberFormat="0" applyAlignment="0" applyProtection="0"/>
    <xf numFmtId="0" fontId="31" fillId="0" borderId="166" applyNumberFormat="0" applyFill="0" applyAlignment="0" applyProtection="0"/>
    <xf numFmtId="0" fontId="28" fillId="10" borderId="168" applyNumberFormat="0" applyFont="0" applyAlignment="0" applyProtection="0"/>
    <xf numFmtId="0" fontId="84" fillId="0" borderId="191"/>
    <xf numFmtId="0" fontId="8" fillId="10" borderId="195" applyNumberFormat="0" applyFont="0" applyAlignment="0" applyProtection="0"/>
    <xf numFmtId="0" fontId="31" fillId="0" borderId="158" applyNumberFormat="0" applyFill="0" applyAlignment="0" applyProtection="0"/>
    <xf numFmtId="0" fontId="8" fillId="10" borderId="119" applyNumberFormat="0" applyFont="0" applyAlignment="0" applyProtection="0"/>
    <xf numFmtId="0" fontId="31" fillId="0" borderId="148" applyNumberFormat="0" applyFill="0" applyAlignment="0" applyProtection="0"/>
    <xf numFmtId="0" fontId="48" fillId="24" borderId="167" applyNumberFormat="0" applyAlignment="0" applyProtection="0"/>
    <xf numFmtId="0" fontId="41" fillId="13" borderId="118" applyNumberFormat="0" applyAlignment="0" applyProtection="0"/>
    <xf numFmtId="0" fontId="28" fillId="10" borderId="119" applyNumberFormat="0" applyFont="0" applyAlignment="0" applyProtection="0"/>
    <xf numFmtId="0" fontId="25" fillId="13" borderId="194" applyNumberFormat="0" applyAlignment="0" applyProtection="0"/>
    <xf numFmtId="0" fontId="29" fillId="24" borderId="170" applyNumberFormat="0" applyAlignment="0" applyProtection="0"/>
    <xf numFmtId="0" fontId="31" fillId="0" borderId="58" applyNumberFormat="0" applyFill="0" applyAlignment="0" applyProtection="0"/>
    <xf numFmtId="0" fontId="31" fillId="0" borderId="58" applyNumberFormat="0" applyFill="0" applyAlignment="0" applyProtection="0"/>
    <xf numFmtId="0" fontId="29" fillId="24" borderId="56" applyNumberFormat="0" applyAlignment="0" applyProtection="0"/>
    <xf numFmtId="0" fontId="8" fillId="10" borderId="50" applyNumberFormat="0" applyFont="0" applyAlignment="0" applyProtection="0"/>
    <xf numFmtId="0" fontId="28" fillId="10" borderId="50" applyNumberFormat="0" applyFont="0" applyAlignment="0" applyProtection="0"/>
    <xf numFmtId="0" fontId="31" fillId="0" borderId="87" applyNumberFormat="0" applyFill="0" applyAlignment="0" applyProtection="0"/>
    <xf numFmtId="0" fontId="28" fillId="10" borderId="161" applyNumberFormat="0" applyFont="0" applyAlignment="0" applyProtection="0"/>
    <xf numFmtId="0" fontId="41" fillId="13" borderId="102" applyNumberFormat="0" applyAlignment="0" applyProtection="0"/>
    <xf numFmtId="0" fontId="29" fillId="24" borderId="56" applyNumberFormat="0" applyAlignment="0" applyProtection="0"/>
    <xf numFmtId="0" fontId="29" fillId="24" borderId="56" applyNumberFormat="0" applyAlignment="0" applyProtection="0"/>
    <xf numFmtId="0" fontId="31" fillId="0" borderId="100" applyNumberFormat="0" applyFill="0" applyAlignment="0" applyProtection="0"/>
    <xf numFmtId="0" fontId="8" fillId="10" borderId="177" applyNumberFormat="0" applyFont="0" applyAlignment="0" applyProtection="0"/>
    <xf numFmtId="0" fontId="28" fillId="10" borderId="161" applyNumberFormat="0" applyFont="0" applyAlignment="0" applyProtection="0"/>
    <xf numFmtId="0" fontId="25" fillId="13" borderId="143" applyNumberFormat="0" applyAlignment="0" applyProtection="0"/>
    <xf numFmtId="0" fontId="29" fillId="24" borderId="146" applyNumberFormat="0" applyAlignment="0" applyProtection="0"/>
    <xf numFmtId="0" fontId="84" fillId="73" borderId="82"/>
    <xf numFmtId="0" fontId="49" fillId="10" borderId="103" applyNumberFormat="0" applyFont="0" applyAlignment="0" applyProtection="0"/>
    <xf numFmtId="0" fontId="8" fillId="10" borderId="177" applyNumberFormat="0" applyFont="0" applyAlignment="0" applyProtection="0"/>
    <xf numFmtId="0" fontId="28" fillId="0" borderId="82"/>
    <xf numFmtId="0" fontId="48" fillId="24" borderId="75" applyNumberFormat="0" applyAlignment="0" applyProtection="0"/>
    <xf numFmtId="0" fontId="29" fillId="12" borderId="78" applyNumberFormat="0" applyAlignment="0" applyProtection="0"/>
    <xf numFmtId="0" fontId="31" fillId="0" borderId="74" applyNumberFormat="0" applyFill="0" applyAlignment="0" applyProtection="0"/>
    <xf numFmtId="0" fontId="31" fillId="0" borderId="74" applyNumberFormat="0" applyFill="0" applyAlignment="0" applyProtection="0"/>
    <xf numFmtId="0" fontId="72" fillId="0" borderId="81" applyBorder="0">
      <alignment horizontal="center" vertical="center" wrapText="1"/>
    </xf>
    <xf numFmtId="0" fontId="8" fillId="45" borderId="94" applyNumberFormat="0" applyFont="0" applyAlignment="0" applyProtection="0"/>
    <xf numFmtId="0" fontId="25" fillId="8" borderId="118" applyNumberFormat="0" applyAlignment="0" applyProtection="0"/>
    <xf numFmtId="0" fontId="32" fillId="24" borderId="118" applyNumberFormat="0" applyAlignment="0" applyProtection="0"/>
    <xf numFmtId="0" fontId="31" fillId="0" borderId="123" applyNumberFormat="0" applyFill="0" applyAlignment="0" applyProtection="0"/>
    <xf numFmtId="0" fontId="31" fillId="0" borderId="148" applyNumberFormat="0" applyFill="0" applyAlignment="0" applyProtection="0"/>
    <xf numFmtId="0" fontId="28" fillId="0" borderId="180"/>
    <xf numFmtId="0" fontId="16" fillId="24" borderId="118" applyNumberFormat="0" applyAlignment="0" applyProtection="0"/>
    <xf numFmtId="0" fontId="16" fillId="24" borderId="118" applyNumberFormat="0" applyAlignment="0" applyProtection="0"/>
    <xf numFmtId="0" fontId="16" fillId="24" borderId="102" applyNumberFormat="0" applyAlignment="0" applyProtection="0"/>
    <xf numFmtId="0" fontId="8" fillId="10" borderId="144" applyNumberFormat="0" applyFont="0" applyAlignment="0" applyProtection="0"/>
    <xf numFmtId="0" fontId="18" fillId="10" borderId="103" applyNumberFormat="0" applyFont="0" applyAlignment="0" applyProtection="0"/>
    <xf numFmtId="0" fontId="31" fillId="0" borderId="158" applyNumberFormat="0" applyFill="0" applyAlignment="0" applyProtection="0"/>
    <xf numFmtId="0" fontId="49" fillId="10" borderId="168" applyNumberFormat="0" applyFont="0" applyAlignment="0" applyProtection="0"/>
    <xf numFmtId="0" fontId="29" fillId="24" borderId="193" applyNumberFormat="0" applyAlignment="0" applyProtection="0"/>
    <xf numFmtId="0" fontId="24" fillId="24" borderId="120" applyNumberFormat="0" applyAlignment="0" applyProtection="0"/>
    <xf numFmtId="0" fontId="16" fillId="24" borderId="194" applyNumberFormat="0" applyAlignment="0" applyProtection="0"/>
    <xf numFmtId="0" fontId="31" fillId="0" borderId="90" applyNumberFormat="0" applyFill="0" applyAlignment="0" applyProtection="0"/>
    <xf numFmtId="0" fontId="29" fillId="24" borderId="91" applyNumberFormat="0" applyAlignment="0" applyProtection="0"/>
    <xf numFmtId="0" fontId="28" fillId="10" borderId="85" applyNumberFormat="0" applyFont="0" applyAlignment="0" applyProtection="0"/>
    <xf numFmtId="0" fontId="29" fillId="24" borderId="117" applyNumberFormat="0" applyAlignment="0" applyProtection="0"/>
    <xf numFmtId="0" fontId="49" fillId="10" borderId="168" applyNumberFormat="0" applyFont="0" applyAlignment="0" applyProtection="0"/>
    <xf numFmtId="0" fontId="41" fillId="13" borderId="127" applyNumberFormat="0" applyAlignment="0" applyProtection="0"/>
    <xf numFmtId="0" fontId="84" fillId="0" borderId="124"/>
    <xf numFmtId="0" fontId="31" fillId="0" borderId="90" applyNumberFormat="0" applyFill="0" applyAlignment="0" applyProtection="0"/>
    <xf numFmtId="0" fontId="29" fillId="24" borderId="91" applyNumberFormat="0" applyAlignment="0" applyProtection="0"/>
    <xf numFmtId="0" fontId="48" fillId="12" borderId="143" applyNumberFormat="0" applyAlignment="0" applyProtection="0"/>
    <xf numFmtId="0" fontId="25" fillId="8" borderId="143" applyNumberFormat="0" applyAlignment="0" applyProtection="0"/>
    <xf numFmtId="0" fontId="29" fillId="24" borderId="133" applyNumberFormat="0" applyAlignment="0" applyProtection="0"/>
    <xf numFmtId="0" fontId="31" fillId="0" borderId="100" applyNumberFormat="0" applyFill="0" applyAlignment="0" applyProtection="0"/>
    <xf numFmtId="0" fontId="25" fillId="8" borderId="118" applyNumberFormat="0" applyAlignment="0" applyProtection="0"/>
    <xf numFmtId="0" fontId="25" fillId="8" borderId="75" applyNumberFormat="0" applyAlignment="0" applyProtection="0"/>
    <xf numFmtId="0" fontId="31" fillId="0" borderId="93" applyNumberFormat="0" applyFill="0" applyAlignment="0" applyProtection="0"/>
    <xf numFmtId="0" fontId="84" fillId="0" borderId="174"/>
    <xf numFmtId="0" fontId="48" fillId="12" borderId="75" applyNumberFormat="0" applyAlignment="0" applyProtection="0"/>
    <xf numFmtId="0" fontId="28" fillId="10" borderId="188" applyNumberFormat="0" applyFont="0" applyAlignment="0" applyProtection="0"/>
    <xf numFmtId="0" fontId="31" fillId="0" borderId="116" applyNumberFormat="0" applyFill="0" applyAlignment="0" applyProtection="0"/>
    <xf numFmtId="0" fontId="8" fillId="10" borderId="112" applyNumberFormat="0" applyFont="0" applyAlignment="0" applyProtection="0"/>
    <xf numFmtId="0" fontId="29" fillId="24" borderId="146" applyNumberFormat="0" applyAlignment="0" applyProtection="0"/>
    <xf numFmtId="0" fontId="31" fillId="0" borderId="105" applyNumberFormat="0" applyFill="0" applyAlignment="0" applyProtection="0"/>
    <xf numFmtId="0" fontId="25" fillId="13" borderId="102" applyNumberFormat="0" applyAlignment="0" applyProtection="0"/>
    <xf numFmtId="0" fontId="7" fillId="0" borderId="71">
      <alignment horizontal="center"/>
    </xf>
    <xf numFmtId="0" fontId="29" fillId="12" borderId="101" applyNumberFormat="0" applyAlignment="0" applyProtection="0"/>
    <xf numFmtId="0" fontId="18" fillId="10" borderId="76" applyNumberFormat="0" applyFont="0" applyAlignment="0" applyProtection="0"/>
    <xf numFmtId="0" fontId="31" fillId="0" borderId="158" applyNumberFormat="0" applyFill="0" applyAlignment="0" applyProtection="0"/>
    <xf numFmtId="0" fontId="25" fillId="13" borderId="143" applyNumberFormat="0" applyAlignment="0" applyProtection="0"/>
    <xf numFmtId="0" fontId="29" fillId="24" borderId="78" applyNumberFormat="0" applyAlignment="0" applyProtection="0"/>
    <xf numFmtId="0" fontId="31" fillId="0" borderId="74" applyNumberFormat="0" applyFill="0" applyAlignment="0" applyProtection="0"/>
    <xf numFmtId="0" fontId="29" fillId="12" borderId="170" applyNumberFormat="0" applyAlignment="0" applyProtection="0"/>
    <xf numFmtId="0" fontId="28" fillId="0" borderId="180"/>
    <xf numFmtId="0" fontId="31" fillId="0" borderId="197" applyNumberFormat="0" applyFill="0" applyAlignment="0" applyProtection="0"/>
    <xf numFmtId="0" fontId="31" fillId="0" borderId="185" applyNumberFormat="0" applyFill="0" applyAlignment="0" applyProtection="0"/>
    <xf numFmtId="0" fontId="72" fillId="0" borderId="48" applyBorder="0">
      <alignment horizontal="center" vertical="center" wrapText="1"/>
    </xf>
    <xf numFmtId="0" fontId="72" fillId="0" borderId="48" applyBorder="0">
      <alignment horizontal="center" vertical="center" wrapText="1"/>
    </xf>
    <xf numFmtId="0" fontId="72" fillId="0" borderId="48" applyBorder="0">
      <alignment horizontal="center" vertical="center" wrapText="1"/>
    </xf>
    <xf numFmtId="0" fontId="72" fillId="0" borderId="48" applyBorder="0">
      <alignment horizontal="center" vertical="center" wrapText="1"/>
    </xf>
    <xf numFmtId="0" fontId="72" fillId="0" borderId="48" applyBorder="0">
      <alignment horizontal="center" vertical="center" wrapText="1"/>
    </xf>
    <xf numFmtId="0" fontId="72" fillId="0" borderId="48" applyBorder="0">
      <alignment horizontal="center" vertical="center" wrapText="1"/>
    </xf>
    <xf numFmtId="0" fontId="72" fillId="0" borderId="48" applyBorder="0">
      <alignment horizontal="center" vertical="center" wrapText="1"/>
    </xf>
    <xf numFmtId="0" fontId="72" fillId="0" borderId="48" applyBorder="0">
      <alignment horizontal="center" vertical="center" wrapText="1"/>
    </xf>
    <xf numFmtId="0" fontId="72" fillId="0" borderId="48" applyBorder="0">
      <alignment horizontal="center" vertical="center" wrapText="1"/>
    </xf>
    <xf numFmtId="0" fontId="72" fillId="0" borderId="48" applyBorder="0">
      <alignment horizontal="center" vertical="center" wrapText="1"/>
    </xf>
    <xf numFmtId="0" fontId="72" fillId="0" borderId="48" applyBorder="0">
      <alignment horizontal="center" vertical="center" wrapText="1"/>
    </xf>
    <xf numFmtId="0" fontId="72" fillId="0" borderId="48" applyBorder="0">
      <alignment horizontal="center" vertical="center" wrapText="1"/>
    </xf>
    <xf numFmtId="0" fontId="72" fillId="0" borderId="48" applyBorder="0">
      <alignment horizontal="center" vertical="center" wrapText="1"/>
    </xf>
    <xf numFmtId="0" fontId="72" fillId="0" borderId="48" applyBorder="0">
      <alignment horizontal="center" vertical="center" wrapText="1"/>
    </xf>
    <xf numFmtId="0" fontId="72" fillId="0" borderId="48" applyBorder="0">
      <alignment horizontal="center" vertical="center" wrapText="1"/>
    </xf>
    <xf numFmtId="0" fontId="72" fillId="0" borderId="48" applyBorder="0">
      <alignment horizontal="center" vertical="center" wrapText="1"/>
    </xf>
    <xf numFmtId="0" fontId="72" fillId="0" borderId="48" applyBorder="0">
      <alignment horizontal="center" vertical="center" wrapText="1"/>
    </xf>
    <xf numFmtId="0" fontId="72" fillId="0" borderId="48" applyBorder="0">
      <alignment horizontal="center" vertical="center" wrapText="1"/>
    </xf>
    <xf numFmtId="0" fontId="72" fillId="0" borderId="48" applyBorder="0">
      <alignment horizontal="center" vertical="center" wrapText="1"/>
    </xf>
    <xf numFmtId="0" fontId="72" fillId="0" borderId="48" applyBorder="0">
      <alignment horizontal="center" vertical="center" wrapText="1"/>
    </xf>
    <xf numFmtId="0" fontId="72" fillId="0" borderId="48" applyBorder="0">
      <alignment horizontal="center" vertical="center" wrapText="1"/>
    </xf>
    <xf numFmtId="0" fontId="72" fillId="0" borderId="48" applyBorder="0">
      <alignment horizontal="center" vertical="center" wrapText="1"/>
    </xf>
    <xf numFmtId="0" fontId="72" fillId="0" borderId="48" applyBorder="0">
      <alignment horizontal="center" vertical="center" wrapText="1"/>
    </xf>
    <xf numFmtId="0" fontId="72" fillId="0" borderId="48" applyBorder="0">
      <alignment horizontal="center" vertical="center" wrapText="1"/>
    </xf>
    <xf numFmtId="0" fontId="72" fillId="0" borderId="48" applyBorder="0">
      <alignment horizontal="center" vertical="center" wrapText="1"/>
    </xf>
    <xf numFmtId="0" fontId="72" fillId="0" borderId="48" applyBorder="0">
      <alignment horizontal="center" vertical="center" wrapText="1"/>
    </xf>
    <xf numFmtId="0" fontId="72" fillId="0" borderId="48" applyBorder="0">
      <alignment horizontal="center" vertical="center" wrapText="1"/>
    </xf>
    <xf numFmtId="0" fontId="72" fillId="0" borderId="48" applyBorder="0">
      <alignment horizontal="center" vertical="center" wrapText="1"/>
    </xf>
    <xf numFmtId="0" fontId="72" fillId="0" borderId="48" applyBorder="0">
      <alignment horizontal="center" vertical="center" wrapText="1"/>
    </xf>
    <xf numFmtId="0" fontId="72" fillId="0" borderId="48" applyBorder="0">
      <alignment horizontal="center" vertical="center" wrapText="1"/>
    </xf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32" fillId="24" borderId="49" applyNumberFormat="0" applyAlignment="0" applyProtection="0"/>
    <xf numFmtId="0" fontId="32" fillId="24" borderId="49" applyNumberFormat="0" applyAlignment="0" applyProtection="0"/>
    <xf numFmtId="0" fontId="32" fillId="24" borderId="49" applyNumberFormat="0" applyAlignment="0" applyProtection="0"/>
    <xf numFmtId="0" fontId="32" fillId="24" borderId="49" applyNumberFormat="0" applyAlignment="0" applyProtection="0"/>
    <xf numFmtId="0" fontId="32" fillId="24" borderId="49" applyNumberFormat="0" applyAlignment="0" applyProtection="0"/>
    <xf numFmtId="0" fontId="32" fillId="24" borderId="49" applyNumberFormat="0" applyAlignment="0" applyProtection="0"/>
    <xf numFmtId="0" fontId="32" fillId="24" borderId="49" applyNumberFormat="0" applyAlignment="0" applyProtection="0"/>
    <xf numFmtId="0" fontId="32" fillId="24" borderId="49" applyNumberFormat="0" applyAlignment="0" applyProtection="0"/>
    <xf numFmtId="0" fontId="32" fillId="24" borderId="49" applyNumberFormat="0" applyAlignment="0" applyProtection="0"/>
    <xf numFmtId="0" fontId="32" fillId="24" borderId="49" applyNumberFormat="0" applyAlignment="0" applyProtection="0"/>
    <xf numFmtId="0" fontId="32" fillId="24" borderId="49" applyNumberFormat="0" applyAlignment="0" applyProtection="0"/>
    <xf numFmtId="0" fontId="32" fillId="24" borderId="49" applyNumberFormat="0" applyAlignment="0" applyProtection="0"/>
    <xf numFmtId="0" fontId="32" fillId="24" borderId="49" applyNumberFormat="0" applyAlignment="0" applyProtection="0"/>
    <xf numFmtId="0" fontId="32" fillId="24" borderId="49" applyNumberFormat="0" applyAlignment="0" applyProtection="0"/>
    <xf numFmtId="0" fontId="32" fillId="24" borderId="49" applyNumberFormat="0" applyAlignment="0" applyProtection="0"/>
    <xf numFmtId="0" fontId="32" fillId="24" borderId="49" applyNumberFormat="0" applyAlignment="0" applyProtection="0"/>
    <xf numFmtId="0" fontId="32" fillId="24" borderId="49" applyNumberFormat="0" applyAlignment="0" applyProtection="0"/>
    <xf numFmtId="0" fontId="32" fillId="24" borderId="49" applyNumberFormat="0" applyAlignment="0" applyProtection="0"/>
    <xf numFmtId="0" fontId="32" fillId="24" borderId="49" applyNumberFormat="0" applyAlignment="0" applyProtection="0"/>
    <xf numFmtId="0" fontId="32" fillId="24" borderId="49" applyNumberFormat="0" applyAlignment="0" applyProtection="0"/>
    <xf numFmtId="0" fontId="32" fillId="24" borderId="49" applyNumberFormat="0" applyAlignment="0" applyProtection="0"/>
    <xf numFmtId="0" fontId="32" fillId="24" borderId="49" applyNumberFormat="0" applyAlignment="0" applyProtection="0"/>
    <xf numFmtId="0" fontId="32" fillId="24" borderId="49" applyNumberFormat="0" applyAlignment="0" applyProtection="0"/>
    <xf numFmtId="0" fontId="32" fillId="24" borderId="49" applyNumberFormat="0" applyAlignment="0" applyProtection="0"/>
    <xf numFmtId="0" fontId="32" fillId="24" borderId="49" applyNumberFormat="0" applyAlignment="0" applyProtection="0"/>
    <xf numFmtId="0" fontId="32" fillId="24" borderId="49" applyNumberFormat="0" applyAlignment="0" applyProtection="0"/>
    <xf numFmtId="0" fontId="32" fillId="24" borderId="49" applyNumberFormat="0" applyAlignment="0" applyProtection="0"/>
    <xf numFmtId="0" fontId="32" fillId="24" borderId="49" applyNumberFormat="0" applyAlignment="0" applyProtection="0"/>
    <xf numFmtId="0" fontId="32" fillId="24" borderId="49" applyNumberFormat="0" applyAlignment="0" applyProtection="0"/>
    <xf numFmtId="0" fontId="32" fillId="24" borderId="49" applyNumberFormat="0" applyAlignment="0" applyProtection="0"/>
    <xf numFmtId="0" fontId="32" fillId="24" borderId="49" applyNumberFormat="0" applyAlignment="0" applyProtection="0"/>
    <xf numFmtId="0" fontId="32" fillId="24" borderId="49" applyNumberFormat="0" applyAlignment="0" applyProtection="0"/>
    <xf numFmtId="0" fontId="32" fillId="24" borderId="49" applyNumberFormat="0" applyAlignment="0" applyProtection="0"/>
    <xf numFmtId="0" fontId="32" fillId="24" borderId="49" applyNumberFormat="0" applyAlignment="0" applyProtection="0"/>
    <xf numFmtId="0" fontId="32" fillId="24" borderId="49" applyNumberFormat="0" applyAlignment="0" applyProtection="0"/>
    <xf numFmtId="0" fontId="32" fillId="24" borderId="49" applyNumberFormat="0" applyAlignment="0" applyProtection="0"/>
    <xf numFmtId="0" fontId="32" fillId="24" borderId="49" applyNumberFormat="0" applyAlignment="0" applyProtection="0"/>
    <xf numFmtId="0" fontId="32" fillId="24" borderId="49" applyNumberFormat="0" applyAlignment="0" applyProtection="0"/>
    <xf numFmtId="0" fontId="32" fillId="24" borderId="49" applyNumberFormat="0" applyAlignment="0" applyProtection="0"/>
    <xf numFmtId="0" fontId="32" fillId="24" borderId="49" applyNumberFormat="0" applyAlignment="0" applyProtection="0"/>
    <xf numFmtId="0" fontId="32" fillId="24" borderId="49" applyNumberFormat="0" applyAlignment="0" applyProtection="0"/>
    <xf numFmtId="0" fontId="32" fillId="24" borderId="49" applyNumberFormat="0" applyAlignment="0" applyProtection="0"/>
    <xf numFmtId="0" fontId="32" fillId="24" borderId="49" applyNumberFormat="0" applyAlignment="0" applyProtection="0"/>
    <xf numFmtId="0" fontId="32" fillId="24" borderId="49" applyNumberFormat="0" applyAlignment="0" applyProtection="0"/>
    <xf numFmtId="0" fontId="32" fillId="24" borderId="49" applyNumberFormat="0" applyAlignment="0" applyProtection="0"/>
    <xf numFmtId="0" fontId="32" fillId="24" borderId="49" applyNumberFormat="0" applyAlignment="0" applyProtection="0"/>
    <xf numFmtId="0" fontId="32" fillId="24" borderId="49" applyNumberFormat="0" applyAlignment="0" applyProtection="0"/>
    <xf numFmtId="0" fontId="32" fillId="24" borderId="49" applyNumberFormat="0" applyAlignment="0" applyProtection="0"/>
    <xf numFmtId="0" fontId="32" fillId="24" borderId="49" applyNumberFormat="0" applyAlignment="0" applyProtection="0"/>
    <xf numFmtId="0" fontId="16" fillId="24" borderId="49" applyNumberFormat="0" applyAlignment="0" applyProtection="0"/>
    <xf numFmtId="0" fontId="16" fillId="24" borderId="49" applyNumberFormat="0" applyAlignment="0" applyProtection="0"/>
    <xf numFmtId="0" fontId="16" fillId="24" borderId="49" applyNumberFormat="0" applyAlignment="0" applyProtection="0"/>
    <xf numFmtId="0" fontId="16" fillId="24" borderId="49" applyNumberFormat="0" applyAlignment="0" applyProtection="0"/>
    <xf numFmtId="0" fontId="16" fillId="24" borderId="49" applyNumberFormat="0" applyAlignment="0" applyProtection="0"/>
    <xf numFmtId="0" fontId="16" fillId="24" borderId="49" applyNumberFormat="0" applyAlignment="0" applyProtection="0"/>
    <xf numFmtId="0" fontId="16" fillId="24" borderId="49" applyNumberFormat="0" applyAlignment="0" applyProtection="0"/>
    <xf numFmtId="0" fontId="16" fillId="24" borderId="49" applyNumberFormat="0" applyAlignment="0" applyProtection="0"/>
    <xf numFmtId="0" fontId="16" fillId="24" borderId="49" applyNumberFormat="0" applyAlignment="0" applyProtection="0"/>
    <xf numFmtId="0" fontId="16" fillId="24" borderId="49" applyNumberFormat="0" applyAlignment="0" applyProtection="0"/>
    <xf numFmtId="0" fontId="16" fillId="24" borderId="49" applyNumberFormat="0" applyAlignment="0" applyProtection="0"/>
    <xf numFmtId="0" fontId="16" fillId="24" borderId="49" applyNumberFormat="0" applyAlignment="0" applyProtection="0"/>
    <xf numFmtId="0" fontId="16" fillId="24" borderId="49" applyNumberFormat="0" applyAlignment="0" applyProtection="0"/>
    <xf numFmtId="0" fontId="16" fillId="24" borderId="49" applyNumberFormat="0" applyAlignment="0" applyProtection="0"/>
    <xf numFmtId="0" fontId="16" fillId="24" borderId="49" applyNumberFormat="0" applyAlignment="0" applyProtection="0"/>
    <xf numFmtId="0" fontId="16" fillId="24" borderId="49" applyNumberFormat="0" applyAlignment="0" applyProtection="0"/>
    <xf numFmtId="0" fontId="16" fillId="24" borderId="49" applyNumberFormat="0" applyAlignment="0" applyProtection="0"/>
    <xf numFmtId="0" fontId="16" fillId="24" borderId="49" applyNumberFormat="0" applyAlignment="0" applyProtection="0"/>
    <xf numFmtId="0" fontId="16" fillId="24" borderId="49" applyNumberFormat="0" applyAlignment="0" applyProtection="0"/>
    <xf numFmtId="0" fontId="16" fillId="24" borderId="49" applyNumberFormat="0" applyAlignment="0" applyProtection="0"/>
    <xf numFmtId="0" fontId="16" fillId="24" borderId="49" applyNumberFormat="0" applyAlignment="0" applyProtection="0"/>
    <xf numFmtId="0" fontId="16" fillId="24" borderId="49" applyNumberFormat="0" applyAlignment="0" applyProtection="0"/>
    <xf numFmtId="0" fontId="16" fillId="24" borderId="49" applyNumberFormat="0" applyAlignment="0" applyProtection="0"/>
    <xf numFmtId="0" fontId="16" fillId="24" borderId="49" applyNumberFormat="0" applyAlignment="0" applyProtection="0"/>
    <xf numFmtId="0" fontId="16" fillId="24" borderId="49" applyNumberFormat="0" applyAlignment="0" applyProtection="0"/>
    <xf numFmtId="0" fontId="16" fillId="24" borderId="49" applyNumberFormat="0" applyAlignment="0" applyProtection="0"/>
    <xf numFmtId="0" fontId="16" fillId="24" borderId="49" applyNumberFormat="0" applyAlignment="0" applyProtection="0"/>
    <xf numFmtId="0" fontId="16" fillId="24" borderId="49" applyNumberFormat="0" applyAlignment="0" applyProtection="0"/>
    <xf numFmtId="0" fontId="16" fillId="24" borderId="49" applyNumberFormat="0" applyAlignment="0" applyProtection="0"/>
    <xf numFmtId="0" fontId="16" fillId="24" borderId="49" applyNumberFormat="0" applyAlignment="0" applyProtection="0"/>
    <xf numFmtId="0" fontId="16" fillId="24" borderId="49" applyNumberFormat="0" applyAlignment="0" applyProtection="0"/>
    <xf numFmtId="0" fontId="16" fillId="24" borderId="49" applyNumberFormat="0" applyAlignment="0" applyProtection="0"/>
    <xf numFmtId="0" fontId="16" fillId="24" borderId="49" applyNumberFormat="0" applyAlignment="0" applyProtection="0"/>
    <xf numFmtId="0" fontId="16" fillId="24" borderId="49" applyNumberFormat="0" applyAlignment="0" applyProtection="0"/>
    <xf numFmtId="0" fontId="16" fillId="24" borderId="49" applyNumberFormat="0" applyAlignment="0" applyProtection="0"/>
    <xf numFmtId="0" fontId="16" fillId="24" borderId="49" applyNumberFormat="0" applyAlignment="0" applyProtection="0"/>
    <xf numFmtId="0" fontId="16" fillId="24" borderId="49" applyNumberFormat="0" applyAlignment="0" applyProtection="0"/>
    <xf numFmtId="0" fontId="16" fillId="24" borderId="49" applyNumberFormat="0" applyAlignment="0" applyProtection="0"/>
    <xf numFmtId="0" fontId="16" fillId="24" borderId="49" applyNumberFormat="0" applyAlignment="0" applyProtection="0"/>
    <xf numFmtId="0" fontId="16" fillId="24" borderId="49" applyNumberFormat="0" applyAlignment="0" applyProtection="0"/>
    <xf numFmtId="0" fontId="16" fillId="24" borderId="49" applyNumberFormat="0" applyAlignment="0" applyProtection="0"/>
    <xf numFmtId="0" fontId="16" fillId="24" borderId="49" applyNumberFormat="0" applyAlignment="0" applyProtection="0"/>
    <xf numFmtId="0" fontId="16" fillId="24" borderId="49" applyNumberFormat="0" applyAlignment="0" applyProtection="0"/>
    <xf numFmtId="0" fontId="16" fillId="24" borderId="49" applyNumberFormat="0" applyAlignment="0" applyProtection="0"/>
    <xf numFmtId="0" fontId="16" fillId="24" borderId="49" applyNumberFormat="0" applyAlignment="0" applyProtection="0"/>
    <xf numFmtId="0" fontId="16" fillId="24" borderId="49" applyNumberFormat="0" applyAlignment="0" applyProtection="0"/>
    <xf numFmtId="0" fontId="16" fillId="24" borderId="49" applyNumberFormat="0" applyAlignment="0" applyProtection="0"/>
    <xf numFmtId="0" fontId="16" fillId="24" borderId="49" applyNumberFormat="0" applyAlignment="0" applyProtection="0"/>
    <xf numFmtId="0" fontId="16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12" borderId="49" applyNumberFormat="0" applyAlignment="0" applyProtection="0"/>
    <xf numFmtId="0" fontId="48" fillId="12" borderId="49" applyNumberFormat="0" applyAlignment="0" applyProtection="0"/>
    <xf numFmtId="0" fontId="48" fillId="12" borderId="49" applyNumberFormat="0" applyAlignment="0" applyProtection="0"/>
    <xf numFmtId="0" fontId="48" fillId="12" borderId="49" applyNumberFormat="0" applyAlignment="0" applyProtection="0"/>
    <xf numFmtId="0" fontId="48" fillId="12" borderId="49" applyNumberFormat="0" applyAlignment="0" applyProtection="0"/>
    <xf numFmtId="0" fontId="48" fillId="12" borderId="49" applyNumberFormat="0" applyAlignment="0" applyProtection="0"/>
    <xf numFmtId="0" fontId="48" fillId="12" borderId="49" applyNumberFormat="0" applyAlignment="0" applyProtection="0"/>
    <xf numFmtId="0" fontId="48" fillId="12" borderId="49" applyNumberFormat="0" applyAlignment="0" applyProtection="0"/>
    <xf numFmtId="0" fontId="48" fillId="12" borderId="49" applyNumberFormat="0" applyAlignment="0" applyProtection="0"/>
    <xf numFmtId="0" fontId="48" fillId="12" borderId="49" applyNumberFormat="0" applyAlignment="0" applyProtection="0"/>
    <xf numFmtId="0" fontId="48" fillId="12" borderId="49" applyNumberFormat="0" applyAlignment="0" applyProtection="0"/>
    <xf numFmtId="0" fontId="48" fillId="12" borderId="49" applyNumberFormat="0" applyAlignment="0" applyProtection="0"/>
    <xf numFmtId="0" fontId="48" fillId="12" borderId="49" applyNumberFormat="0" applyAlignment="0" applyProtection="0"/>
    <xf numFmtId="0" fontId="48" fillId="12" borderId="49" applyNumberFormat="0" applyAlignment="0" applyProtection="0"/>
    <xf numFmtId="0" fontId="48" fillId="12" borderId="49" applyNumberFormat="0" applyAlignment="0" applyProtection="0"/>
    <xf numFmtId="0" fontId="48" fillId="12" borderId="49" applyNumberFormat="0" applyAlignment="0" applyProtection="0"/>
    <xf numFmtId="0" fontId="48" fillId="12" borderId="49" applyNumberFormat="0" applyAlignment="0" applyProtection="0"/>
    <xf numFmtId="0" fontId="48" fillId="12" borderId="49" applyNumberFormat="0" applyAlignment="0" applyProtection="0"/>
    <xf numFmtId="0" fontId="48" fillId="12" borderId="49" applyNumberFormat="0" applyAlignment="0" applyProtection="0"/>
    <xf numFmtId="0" fontId="48" fillId="12" borderId="49" applyNumberFormat="0" applyAlignment="0" applyProtection="0"/>
    <xf numFmtId="0" fontId="48" fillId="12" borderId="49" applyNumberFormat="0" applyAlignment="0" applyProtection="0"/>
    <xf numFmtId="0" fontId="48" fillId="12" borderId="49" applyNumberFormat="0" applyAlignment="0" applyProtection="0"/>
    <xf numFmtId="0" fontId="48" fillId="12" borderId="49" applyNumberFormat="0" applyAlignment="0" applyProtection="0"/>
    <xf numFmtId="0" fontId="48" fillId="12" borderId="49" applyNumberFormat="0" applyAlignment="0" applyProtection="0"/>
    <xf numFmtId="0" fontId="48" fillId="12" borderId="49" applyNumberFormat="0" applyAlignment="0" applyProtection="0"/>
    <xf numFmtId="0" fontId="48" fillId="12" borderId="49" applyNumberFormat="0" applyAlignment="0" applyProtection="0"/>
    <xf numFmtId="0" fontId="48" fillId="12" borderId="49" applyNumberFormat="0" applyAlignment="0" applyProtection="0"/>
    <xf numFmtId="0" fontId="48" fillId="12" borderId="49" applyNumberFormat="0" applyAlignment="0" applyProtection="0"/>
    <xf numFmtId="0" fontId="48" fillId="12" borderId="49" applyNumberFormat="0" applyAlignment="0" applyProtection="0"/>
    <xf numFmtId="0" fontId="48" fillId="12" borderId="49" applyNumberFormat="0" applyAlignment="0" applyProtection="0"/>
    <xf numFmtId="0" fontId="48" fillId="12" borderId="49" applyNumberFormat="0" applyAlignment="0" applyProtection="0"/>
    <xf numFmtId="0" fontId="48" fillId="12" borderId="49" applyNumberFormat="0" applyAlignment="0" applyProtection="0"/>
    <xf numFmtId="0" fontId="48" fillId="12" borderId="49" applyNumberFormat="0" applyAlignment="0" applyProtection="0"/>
    <xf numFmtId="0" fontId="48" fillId="12" borderId="49" applyNumberFormat="0" applyAlignment="0" applyProtection="0"/>
    <xf numFmtId="0" fontId="48" fillId="12" borderId="49" applyNumberFormat="0" applyAlignment="0" applyProtection="0"/>
    <xf numFmtId="0" fontId="48" fillId="12" borderId="49" applyNumberFormat="0" applyAlignment="0" applyProtection="0"/>
    <xf numFmtId="0" fontId="48" fillId="12" borderId="49" applyNumberFormat="0" applyAlignment="0" applyProtection="0"/>
    <xf numFmtId="0" fontId="48" fillId="12" borderId="49" applyNumberFormat="0" applyAlignment="0" applyProtection="0"/>
    <xf numFmtId="0" fontId="48" fillId="12" borderId="49" applyNumberFormat="0" applyAlignment="0" applyProtection="0"/>
    <xf numFmtId="0" fontId="48" fillId="12" borderId="49" applyNumberFormat="0" applyAlignment="0" applyProtection="0"/>
    <xf numFmtId="0" fontId="48" fillId="12" borderId="49" applyNumberFormat="0" applyAlignment="0" applyProtection="0"/>
    <xf numFmtId="0" fontId="48" fillId="12" borderId="49" applyNumberFormat="0" applyAlignment="0" applyProtection="0"/>
    <xf numFmtId="0" fontId="48" fillId="12" borderId="49" applyNumberFormat="0" applyAlignment="0" applyProtection="0"/>
    <xf numFmtId="0" fontId="48" fillId="12" borderId="49" applyNumberFormat="0" applyAlignment="0" applyProtection="0"/>
    <xf numFmtId="0" fontId="48" fillId="12" borderId="49" applyNumberFormat="0" applyAlignment="0" applyProtection="0"/>
    <xf numFmtId="0" fontId="48" fillId="12" borderId="49" applyNumberFormat="0" applyAlignment="0" applyProtection="0"/>
    <xf numFmtId="0" fontId="48" fillId="12" borderId="49" applyNumberFormat="0" applyAlignment="0" applyProtection="0"/>
    <xf numFmtId="0" fontId="48" fillId="12" borderId="49" applyNumberFormat="0" applyAlignment="0" applyProtection="0"/>
    <xf numFmtId="0" fontId="48" fillId="12" borderId="49" applyNumberFormat="0" applyAlignment="0" applyProtection="0"/>
    <xf numFmtId="0" fontId="48" fillId="12" borderId="49" applyNumberFormat="0" applyAlignment="0" applyProtection="0"/>
    <xf numFmtId="0" fontId="48" fillId="12" borderId="49" applyNumberFormat="0" applyAlignment="0" applyProtection="0"/>
    <xf numFmtId="0" fontId="48" fillId="12" borderId="49" applyNumberFormat="0" applyAlignment="0" applyProtection="0"/>
    <xf numFmtId="0" fontId="48" fillId="12" borderId="49" applyNumberFormat="0" applyAlignment="0" applyProtection="0"/>
    <xf numFmtId="0" fontId="48" fillId="12" borderId="49" applyNumberFormat="0" applyAlignment="0" applyProtection="0"/>
    <xf numFmtId="0" fontId="48" fillId="12" borderId="49" applyNumberFormat="0" applyAlignment="0" applyProtection="0"/>
    <xf numFmtId="0" fontId="48" fillId="12" borderId="49" applyNumberFormat="0" applyAlignment="0" applyProtection="0"/>
    <xf numFmtId="0" fontId="48" fillId="12" borderId="49" applyNumberFormat="0" applyAlignment="0" applyProtection="0"/>
    <xf numFmtId="0" fontId="48" fillId="12" borderId="49" applyNumberFormat="0" applyAlignment="0" applyProtection="0"/>
    <xf numFmtId="0" fontId="48" fillId="12" borderId="49" applyNumberFormat="0" applyAlignment="0" applyProtection="0"/>
    <xf numFmtId="0" fontId="48" fillId="12" borderId="49" applyNumberFormat="0" applyAlignment="0" applyProtection="0"/>
    <xf numFmtId="0" fontId="48" fillId="12" borderId="49" applyNumberFormat="0" applyAlignment="0" applyProtection="0"/>
    <xf numFmtId="0" fontId="48" fillId="12" borderId="49" applyNumberFormat="0" applyAlignment="0" applyProtection="0"/>
    <xf numFmtId="0" fontId="48" fillId="12" borderId="49" applyNumberFormat="0" applyAlignment="0" applyProtection="0"/>
    <xf numFmtId="0" fontId="48" fillId="12" borderId="49" applyNumberFormat="0" applyAlignment="0" applyProtection="0"/>
    <xf numFmtId="0" fontId="48" fillId="12" borderId="49" applyNumberFormat="0" applyAlignment="0" applyProtection="0"/>
    <xf numFmtId="0" fontId="48" fillId="12" borderId="49" applyNumberFormat="0" applyAlignment="0" applyProtection="0"/>
    <xf numFmtId="0" fontId="48" fillId="12" borderId="49" applyNumberFormat="0" applyAlignment="0" applyProtection="0"/>
    <xf numFmtId="0" fontId="48" fillId="12" borderId="49" applyNumberFormat="0" applyAlignment="0" applyProtection="0"/>
    <xf numFmtId="0" fontId="48" fillId="12" borderId="49" applyNumberFormat="0" applyAlignment="0" applyProtection="0"/>
    <xf numFmtId="0" fontId="48" fillId="12" borderId="49" applyNumberFormat="0" applyAlignment="0" applyProtection="0"/>
    <xf numFmtId="0" fontId="48" fillId="12" borderId="49" applyNumberFormat="0" applyAlignment="0" applyProtection="0"/>
    <xf numFmtId="0" fontId="48" fillId="12" borderId="49" applyNumberFormat="0" applyAlignment="0" applyProtection="0"/>
    <xf numFmtId="0" fontId="48" fillId="12" borderId="49" applyNumberFormat="0" applyAlignment="0" applyProtection="0"/>
    <xf numFmtId="0" fontId="48" fillId="12" borderId="49" applyNumberFormat="0" applyAlignment="0" applyProtection="0"/>
    <xf numFmtId="0" fontId="48" fillId="12" borderId="49" applyNumberFormat="0" applyAlignment="0" applyProtection="0"/>
    <xf numFmtId="0" fontId="48" fillId="12" borderId="49" applyNumberFormat="0" applyAlignment="0" applyProtection="0"/>
    <xf numFmtId="0" fontId="48" fillId="12" borderId="49" applyNumberFormat="0" applyAlignment="0" applyProtection="0"/>
    <xf numFmtId="0" fontId="16" fillId="24" borderId="49" applyNumberFormat="0" applyAlignment="0" applyProtection="0"/>
    <xf numFmtId="0" fontId="16" fillId="24" borderId="49" applyNumberFormat="0" applyAlignment="0" applyProtection="0"/>
    <xf numFmtId="0" fontId="16" fillId="24" borderId="49" applyNumberFormat="0" applyAlignment="0" applyProtection="0"/>
    <xf numFmtId="0" fontId="16" fillId="24" borderId="49" applyNumberFormat="0" applyAlignment="0" applyProtection="0"/>
    <xf numFmtId="0" fontId="16" fillId="24" borderId="49" applyNumberFormat="0" applyAlignment="0" applyProtection="0"/>
    <xf numFmtId="0" fontId="16" fillId="24" borderId="49" applyNumberFormat="0" applyAlignment="0" applyProtection="0"/>
    <xf numFmtId="0" fontId="16" fillId="24" borderId="49" applyNumberFormat="0" applyAlignment="0" applyProtection="0"/>
    <xf numFmtId="0" fontId="16" fillId="24" borderId="49" applyNumberFormat="0" applyAlignment="0" applyProtection="0"/>
    <xf numFmtId="0" fontId="16" fillId="24" borderId="49" applyNumberFormat="0" applyAlignment="0" applyProtection="0"/>
    <xf numFmtId="0" fontId="16" fillId="24" borderId="49" applyNumberFormat="0" applyAlignment="0" applyProtection="0"/>
    <xf numFmtId="0" fontId="16" fillId="24" borderId="49" applyNumberFormat="0" applyAlignment="0" applyProtection="0"/>
    <xf numFmtId="0" fontId="16" fillId="24" borderId="49" applyNumberFormat="0" applyAlignment="0" applyProtection="0"/>
    <xf numFmtId="0" fontId="16" fillId="24" borderId="49" applyNumberFormat="0" applyAlignment="0" applyProtection="0"/>
    <xf numFmtId="0" fontId="16" fillId="24" borderId="49" applyNumberFormat="0" applyAlignment="0" applyProtection="0"/>
    <xf numFmtId="0" fontId="16" fillId="24" borderId="49" applyNumberFormat="0" applyAlignment="0" applyProtection="0"/>
    <xf numFmtId="0" fontId="16" fillId="24" borderId="49" applyNumberFormat="0" applyAlignment="0" applyProtection="0"/>
    <xf numFmtId="0" fontId="16" fillId="24" borderId="49" applyNumberFormat="0" applyAlignment="0" applyProtection="0"/>
    <xf numFmtId="0" fontId="16" fillId="24" borderId="49" applyNumberFormat="0" applyAlignment="0" applyProtection="0"/>
    <xf numFmtId="0" fontId="16" fillId="24" borderId="49" applyNumberFormat="0" applyAlignment="0" applyProtection="0"/>
    <xf numFmtId="0" fontId="16" fillId="24" borderId="49" applyNumberFormat="0" applyAlignment="0" applyProtection="0"/>
    <xf numFmtId="0" fontId="16" fillId="24" borderId="49" applyNumberFormat="0" applyAlignment="0" applyProtection="0"/>
    <xf numFmtId="0" fontId="16" fillId="24" borderId="49" applyNumberFormat="0" applyAlignment="0" applyProtection="0"/>
    <xf numFmtId="0" fontId="16" fillId="24" borderId="49" applyNumberFormat="0" applyAlignment="0" applyProtection="0"/>
    <xf numFmtId="0" fontId="16" fillId="24" borderId="49" applyNumberFormat="0" applyAlignment="0" applyProtection="0"/>
    <xf numFmtId="0" fontId="16" fillId="24" borderId="49" applyNumberFormat="0" applyAlignment="0" applyProtection="0"/>
    <xf numFmtId="0" fontId="16" fillId="24" borderId="49" applyNumberFormat="0" applyAlignment="0" applyProtection="0"/>
    <xf numFmtId="0" fontId="16" fillId="24" borderId="49" applyNumberFormat="0" applyAlignment="0" applyProtection="0"/>
    <xf numFmtId="0" fontId="16" fillId="24" borderId="49" applyNumberFormat="0" applyAlignment="0" applyProtection="0"/>
    <xf numFmtId="0" fontId="16" fillId="24" borderId="49" applyNumberFormat="0" applyAlignment="0" applyProtection="0"/>
    <xf numFmtId="0" fontId="16" fillId="24" borderId="49" applyNumberFormat="0" applyAlignment="0" applyProtection="0"/>
    <xf numFmtId="0" fontId="16" fillId="24" borderId="49" applyNumberFormat="0" applyAlignment="0" applyProtection="0"/>
    <xf numFmtId="0" fontId="16" fillId="24" borderId="49" applyNumberFormat="0" applyAlignment="0" applyProtection="0"/>
    <xf numFmtId="0" fontId="16" fillId="24" borderId="49" applyNumberFormat="0" applyAlignment="0" applyProtection="0"/>
    <xf numFmtId="0" fontId="16" fillId="24" borderId="49" applyNumberFormat="0" applyAlignment="0" applyProtection="0"/>
    <xf numFmtId="0" fontId="16" fillId="24" borderId="49" applyNumberFormat="0" applyAlignment="0" applyProtection="0"/>
    <xf numFmtId="0" fontId="16" fillId="24" borderId="49" applyNumberFormat="0" applyAlignment="0" applyProtection="0"/>
    <xf numFmtId="0" fontId="16" fillId="24" borderId="49" applyNumberFormat="0" applyAlignment="0" applyProtection="0"/>
    <xf numFmtId="0" fontId="16" fillId="24" borderId="49" applyNumberFormat="0" applyAlignment="0" applyProtection="0"/>
    <xf numFmtId="0" fontId="16" fillId="24" borderId="49" applyNumberFormat="0" applyAlignment="0" applyProtection="0"/>
    <xf numFmtId="0" fontId="16" fillId="24" borderId="49" applyNumberFormat="0" applyAlignment="0" applyProtection="0"/>
    <xf numFmtId="0" fontId="16" fillId="24" borderId="49" applyNumberFormat="0" applyAlignment="0" applyProtection="0"/>
    <xf numFmtId="0" fontId="16" fillId="24" borderId="49" applyNumberFormat="0" applyAlignment="0" applyProtection="0"/>
    <xf numFmtId="0" fontId="16" fillId="24" borderId="49" applyNumberFormat="0" applyAlignment="0" applyProtection="0"/>
    <xf numFmtId="0" fontId="16" fillId="24" borderId="49" applyNumberFormat="0" applyAlignment="0" applyProtection="0"/>
    <xf numFmtId="0" fontId="16" fillId="24" borderId="49" applyNumberFormat="0" applyAlignment="0" applyProtection="0"/>
    <xf numFmtId="0" fontId="16" fillId="24" borderId="49" applyNumberFormat="0" applyAlignment="0" applyProtection="0"/>
    <xf numFmtId="0" fontId="16" fillId="24" borderId="49" applyNumberFormat="0" applyAlignment="0" applyProtection="0"/>
    <xf numFmtId="0" fontId="16" fillId="24" borderId="49" applyNumberFormat="0" applyAlignment="0" applyProtection="0"/>
    <xf numFmtId="0" fontId="16" fillId="24" borderId="49" applyNumberFormat="0" applyAlignment="0" applyProtection="0"/>
    <xf numFmtId="0" fontId="48" fillId="12" borderId="49" applyNumberFormat="0" applyAlignment="0" applyProtection="0"/>
    <xf numFmtId="0" fontId="48" fillId="12" borderId="49" applyNumberFormat="0" applyAlignment="0" applyProtection="0"/>
    <xf numFmtId="0" fontId="48" fillId="12" borderId="49" applyNumberFormat="0" applyAlignment="0" applyProtection="0"/>
    <xf numFmtId="0" fontId="48" fillId="12" borderId="49" applyNumberFormat="0" applyAlignment="0" applyProtection="0"/>
    <xf numFmtId="0" fontId="48" fillId="12" borderId="49" applyNumberFormat="0" applyAlignment="0" applyProtection="0"/>
    <xf numFmtId="0" fontId="48" fillId="12" borderId="49" applyNumberFormat="0" applyAlignment="0" applyProtection="0"/>
    <xf numFmtId="0" fontId="48" fillId="12" borderId="49" applyNumberFormat="0" applyAlignment="0" applyProtection="0"/>
    <xf numFmtId="0" fontId="48" fillId="12" borderId="49" applyNumberFormat="0" applyAlignment="0" applyProtection="0"/>
    <xf numFmtId="0" fontId="48" fillId="12" borderId="49" applyNumberFormat="0" applyAlignment="0" applyProtection="0"/>
    <xf numFmtId="0" fontId="48" fillId="12" borderId="49" applyNumberFormat="0" applyAlignment="0" applyProtection="0"/>
    <xf numFmtId="0" fontId="48" fillId="12" borderId="49" applyNumberFormat="0" applyAlignment="0" applyProtection="0"/>
    <xf numFmtId="0" fontId="48" fillId="12" borderId="49" applyNumberFormat="0" applyAlignment="0" applyProtection="0"/>
    <xf numFmtId="0" fontId="48" fillId="12" borderId="49" applyNumberFormat="0" applyAlignment="0" applyProtection="0"/>
    <xf numFmtId="0" fontId="48" fillId="12" borderId="49" applyNumberFormat="0" applyAlignment="0" applyProtection="0"/>
    <xf numFmtId="0" fontId="48" fillId="12" borderId="49" applyNumberFormat="0" applyAlignment="0" applyProtection="0"/>
    <xf numFmtId="0" fontId="48" fillId="12" borderId="49" applyNumberFormat="0" applyAlignment="0" applyProtection="0"/>
    <xf numFmtId="0" fontId="48" fillId="12" borderId="49" applyNumberFormat="0" applyAlignment="0" applyProtection="0"/>
    <xf numFmtId="0" fontId="48" fillId="12" borderId="49" applyNumberFormat="0" applyAlignment="0" applyProtection="0"/>
    <xf numFmtId="0" fontId="48" fillId="12" borderId="49" applyNumberFormat="0" applyAlignment="0" applyProtection="0"/>
    <xf numFmtId="0" fontId="48" fillId="12" borderId="49" applyNumberFormat="0" applyAlignment="0" applyProtection="0"/>
    <xf numFmtId="0" fontId="48" fillId="12" borderId="49" applyNumberFormat="0" applyAlignment="0" applyProtection="0"/>
    <xf numFmtId="0" fontId="48" fillId="12" borderId="49" applyNumberFormat="0" applyAlignment="0" applyProtection="0"/>
    <xf numFmtId="0" fontId="48" fillId="12" borderId="49" applyNumberFormat="0" applyAlignment="0" applyProtection="0"/>
    <xf numFmtId="0" fontId="48" fillId="12" borderId="49" applyNumberFormat="0" applyAlignment="0" applyProtection="0"/>
    <xf numFmtId="0" fontId="48" fillId="12" borderId="49" applyNumberFormat="0" applyAlignment="0" applyProtection="0"/>
    <xf numFmtId="0" fontId="48" fillId="12" borderId="49" applyNumberFormat="0" applyAlignment="0" applyProtection="0"/>
    <xf numFmtId="0" fontId="48" fillId="12" borderId="49" applyNumberFormat="0" applyAlignment="0" applyProtection="0"/>
    <xf numFmtId="0" fontId="48" fillId="12" borderId="49" applyNumberFormat="0" applyAlignment="0" applyProtection="0"/>
    <xf numFmtId="0" fontId="48" fillId="12" borderId="49" applyNumberFormat="0" applyAlignment="0" applyProtection="0"/>
    <xf numFmtId="0" fontId="48" fillId="12" borderId="49" applyNumberFormat="0" applyAlignment="0" applyProtection="0"/>
    <xf numFmtId="0" fontId="48" fillId="12" borderId="49" applyNumberFormat="0" applyAlignment="0" applyProtection="0"/>
    <xf numFmtId="0" fontId="48" fillId="12" borderId="49" applyNumberFormat="0" applyAlignment="0" applyProtection="0"/>
    <xf numFmtId="0" fontId="48" fillId="12" borderId="49" applyNumberFormat="0" applyAlignment="0" applyProtection="0"/>
    <xf numFmtId="0" fontId="48" fillId="12" borderId="49" applyNumberFormat="0" applyAlignment="0" applyProtection="0"/>
    <xf numFmtId="0" fontId="48" fillId="12" borderId="49" applyNumberFormat="0" applyAlignment="0" applyProtection="0"/>
    <xf numFmtId="0" fontId="48" fillId="12" borderId="49" applyNumberFormat="0" applyAlignment="0" applyProtection="0"/>
    <xf numFmtId="0" fontId="48" fillId="12" borderId="49" applyNumberFormat="0" applyAlignment="0" applyProtection="0"/>
    <xf numFmtId="0" fontId="48" fillId="12" borderId="49" applyNumberFormat="0" applyAlignment="0" applyProtection="0"/>
    <xf numFmtId="0" fontId="48" fillId="12" borderId="49" applyNumberFormat="0" applyAlignment="0" applyProtection="0"/>
    <xf numFmtId="0" fontId="48" fillId="12" borderId="49" applyNumberFormat="0" applyAlignment="0" applyProtection="0"/>
    <xf numFmtId="0" fontId="48" fillId="12" borderId="49" applyNumberFormat="0" applyAlignment="0" applyProtection="0"/>
    <xf numFmtId="0" fontId="48" fillId="12" borderId="49" applyNumberFormat="0" applyAlignment="0" applyProtection="0"/>
    <xf numFmtId="0" fontId="48" fillId="12" borderId="49" applyNumberFormat="0" applyAlignment="0" applyProtection="0"/>
    <xf numFmtId="0" fontId="48" fillId="12" borderId="49" applyNumberFormat="0" applyAlignment="0" applyProtection="0"/>
    <xf numFmtId="0" fontId="48" fillId="12" borderId="49" applyNumberFormat="0" applyAlignment="0" applyProtection="0"/>
    <xf numFmtId="0" fontId="48" fillId="12" borderId="49" applyNumberFormat="0" applyAlignment="0" applyProtection="0"/>
    <xf numFmtId="0" fontId="48" fillId="12" borderId="49" applyNumberFormat="0" applyAlignment="0" applyProtection="0"/>
    <xf numFmtId="0" fontId="48" fillId="12" borderId="49" applyNumberFormat="0" applyAlignment="0" applyProtection="0"/>
    <xf numFmtId="0" fontId="48" fillId="12" borderId="49" applyNumberFormat="0" applyAlignment="0" applyProtection="0"/>
    <xf numFmtId="0" fontId="48" fillId="12" borderId="49" applyNumberFormat="0" applyAlignment="0" applyProtection="0"/>
    <xf numFmtId="0" fontId="48" fillId="12" borderId="49" applyNumberFormat="0" applyAlignment="0" applyProtection="0"/>
    <xf numFmtId="0" fontId="48" fillId="12" borderId="49" applyNumberFormat="0" applyAlignment="0" applyProtection="0"/>
    <xf numFmtId="0" fontId="48" fillId="12" borderId="49" applyNumberFormat="0" applyAlignment="0" applyProtection="0"/>
    <xf numFmtId="0" fontId="48" fillId="12" borderId="49" applyNumberFormat="0" applyAlignment="0" applyProtection="0"/>
    <xf numFmtId="0" fontId="48" fillId="12" borderId="49" applyNumberFormat="0" applyAlignment="0" applyProtection="0"/>
    <xf numFmtId="0" fontId="48" fillId="12" borderId="49" applyNumberFormat="0" applyAlignment="0" applyProtection="0"/>
    <xf numFmtId="0" fontId="48" fillId="12" borderId="49" applyNumberFormat="0" applyAlignment="0" applyProtection="0"/>
    <xf numFmtId="0" fontId="48" fillId="12" borderId="49" applyNumberFormat="0" applyAlignment="0" applyProtection="0"/>
    <xf numFmtId="0" fontId="48" fillId="12" borderId="49" applyNumberFormat="0" applyAlignment="0" applyProtection="0"/>
    <xf numFmtId="0" fontId="48" fillId="12" borderId="49" applyNumberFormat="0" applyAlignment="0" applyProtection="0"/>
    <xf numFmtId="0" fontId="48" fillId="12" borderId="49" applyNumberFormat="0" applyAlignment="0" applyProtection="0"/>
    <xf numFmtId="0" fontId="48" fillId="12" borderId="49" applyNumberFormat="0" applyAlignment="0" applyProtection="0"/>
    <xf numFmtId="0" fontId="48" fillId="12" borderId="49" applyNumberFormat="0" applyAlignment="0" applyProtection="0"/>
    <xf numFmtId="0" fontId="48" fillId="12" borderId="49" applyNumberFormat="0" applyAlignment="0" applyProtection="0"/>
    <xf numFmtId="0" fontId="48" fillId="12" borderId="49" applyNumberFormat="0" applyAlignment="0" applyProtection="0"/>
    <xf numFmtId="0" fontId="48" fillId="12" borderId="49" applyNumberFormat="0" applyAlignment="0" applyProtection="0"/>
    <xf numFmtId="0" fontId="48" fillId="12" borderId="49" applyNumberFormat="0" applyAlignment="0" applyProtection="0"/>
    <xf numFmtId="0" fontId="48" fillId="12" borderId="49" applyNumberFormat="0" applyAlignment="0" applyProtection="0"/>
    <xf numFmtId="0" fontId="48" fillId="12" borderId="49" applyNumberFormat="0" applyAlignment="0" applyProtection="0"/>
    <xf numFmtId="0" fontId="48" fillId="12" borderId="49" applyNumberFormat="0" applyAlignment="0" applyProtection="0"/>
    <xf numFmtId="0" fontId="48" fillId="12" borderId="49" applyNumberFormat="0" applyAlignment="0" applyProtection="0"/>
    <xf numFmtId="0" fontId="48" fillId="12" borderId="49" applyNumberFormat="0" applyAlignment="0" applyProtection="0"/>
    <xf numFmtId="0" fontId="48" fillId="12" borderId="49" applyNumberFormat="0" applyAlignment="0" applyProtection="0"/>
    <xf numFmtId="0" fontId="48" fillId="12" borderId="49" applyNumberFormat="0" applyAlignment="0" applyProtection="0"/>
    <xf numFmtId="0" fontId="48" fillId="12" borderId="49" applyNumberFormat="0" applyAlignment="0" applyProtection="0"/>
    <xf numFmtId="0" fontId="48" fillId="12" borderId="49" applyNumberFormat="0" applyAlignment="0" applyProtection="0"/>
    <xf numFmtId="0" fontId="48" fillId="12" borderId="49" applyNumberFormat="0" applyAlignment="0" applyProtection="0"/>
    <xf numFmtId="0" fontId="16" fillId="24" borderId="49" applyNumberFormat="0" applyAlignment="0" applyProtection="0"/>
    <xf numFmtId="0" fontId="16" fillId="24" borderId="49" applyNumberFormat="0" applyAlignment="0" applyProtection="0"/>
    <xf numFmtId="0" fontId="16" fillId="24" borderId="49" applyNumberFormat="0" applyAlignment="0" applyProtection="0"/>
    <xf numFmtId="0" fontId="16" fillId="24" borderId="49" applyNumberFormat="0" applyAlignment="0" applyProtection="0"/>
    <xf numFmtId="0" fontId="16" fillId="24" borderId="49" applyNumberFormat="0" applyAlignment="0" applyProtection="0"/>
    <xf numFmtId="0" fontId="16" fillId="24" borderId="49" applyNumberFormat="0" applyAlignment="0" applyProtection="0"/>
    <xf numFmtId="0" fontId="16" fillId="24" borderId="49" applyNumberFormat="0" applyAlignment="0" applyProtection="0"/>
    <xf numFmtId="0" fontId="16" fillId="24" borderId="49" applyNumberFormat="0" applyAlignment="0" applyProtection="0"/>
    <xf numFmtId="0" fontId="16" fillId="24" borderId="49" applyNumberFormat="0" applyAlignment="0" applyProtection="0"/>
    <xf numFmtId="0" fontId="16" fillId="24" borderId="49" applyNumberFormat="0" applyAlignment="0" applyProtection="0"/>
    <xf numFmtId="0" fontId="16" fillId="24" borderId="49" applyNumberFormat="0" applyAlignment="0" applyProtection="0"/>
    <xf numFmtId="0" fontId="16" fillId="24" borderId="49" applyNumberFormat="0" applyAlignment="0" applyProtection="0"/>
    <xf numFmtId="0" fontId="16" fillId="24" borderId="49" applyNumberFormat="0" applyAlignment="0" applyProtection="0"/>
    <xf numFmtId="0" fontId="16" fillId="24" borderId="49" applyNumberFormat="0" applyAlignment="0" applyProtection="0"/>
    <xf numFmtId="0" fontId="16" fillId="24" borderId="49" applyNumberFormat="0" applyAlignment="0" applyProtection="0"/>
    <xf numFmtId="0" fontId="16" fillId="24" borderId="49" applyNumberFormat="0" applyAlignment="0" applyProtection="0"/>
    <xf numFmtId="0" fontId="16" fillId="24" borderId="49" applyNumberFormat="0" applyAlignment="0" applyProtection="0"/>
    <xf numFmtId="0" fontId="16" fillId="24" borderId="49" applyNumberFormat="0" applyAlignment="0" applyProtection="0"/>
    <xf numFmtId="0" fontId="16" fillId="24" borderId="49" applyNumberFormat="0" applyAlignment="0" applyProtection="0"/>
    <xf numFmtId="0" fontId="16" fillId="24" borderId="49" applyNumberFormat="0" applyAlignment="0" applyProtection="0"/>
    <xf numFmtId="0" fontId="16" fillId="24" borderId="49" applyNumberFormat="0" applyAlignment="0" applyProtection="0"/>
    <xf numFmtId="0" fontId="16" fillId="24" borderId="49" applyNumberFormat="0" applyAlignment="0" applyProtection="0"/>
    <xf numFmtId="0" fontId="16" fillId="24" borderId="49" applyNumberFormat="0" applyAlignment="0" applyProtection="0"/>
    <xf numFmtId="0" fontId="16" fillId="24" borderId="49" applyNumberFormat="0" applyAlignment="0" applyProtection="0"/>
    <xf numFmtId="0" fontId="16" fillId="24" borderId="49" applyNumberFormat="0" applyAlignment="0" applyProtection="0"/>
    <xf numFmtId="0" fontId="16" fillId="24" borderId="49" applyNumberFormat="0" applyAlignment="0" applyProtection="0"/>
    <xf numFmtId="0" fontId="16" fillId="24" borderId="49" applyNumberFormat="0" applyAlignment="0" applyProtection="0"/>
    <xf numFmtId="0" fontId="16" fillId="24" borderId="49" applyNumberFormat="0" applyAlignment="0" applyProtection="0"/>
    <xf numFmtId="0" fontId="16" fillId="24" borderId="49" applyNumberFormat="0" applyAlignment="0" applyProtection="0"/>
    <xf numFmtId="0" fontId="16" fillId="24" borderId="49" applyNumberFormat="0" applyAlignment="0" applyProtection="0"/>
    <xf numFmtId="0" fontId="16" fillId="24" borderId="49" applyNumberFormat="0" applyAlignment="0" applyProtection="0"/>
    <xf numFmtId="0" fontId="16" fillId="24" borderId="49" applyNumberFormat="0" applyAlignment="0" applyProtection="0"/>
    <xf numFmtId="0" fontId="16" fillId="24" borderId="49" applyNumberFormat="0" applyAlignment="0" applyProtection="0"/>
    <xf numFmtId="0" fontId="16" fillId="24" borderId="49" applyNumberFormat="0" applyAlignment="0" applyProtection="0"/>
    <xf numFmtId="0" fontId="16" fillId="24" borderId="49" applyNumberFormat="0" applyAlignment="0" applyProtection="0"/>
    <xf numFmtId="0" fontId="16" fillId="24" borderId="49" applyNumberFormat="0" applyAlignment="0" applyProtection="0"/>
    <xf numFmtId="0" fontId="16" fillId="24" borderId="49" applyNumberFormat="0" applyAlignment="0" applyProtection="0"/>
    <xf numFmtId="0" fontId="16" fillId="24" borderId="49" applyNumberFormat="0" applyAlignment="0" applyProtection="0"/>
    <xf numFmtId="0" fontId="16" fillId="24" borderId="49" applyNumberFormat="0" applyAlignment="0" applyProtection="0"/>
    <xf numFmtId="0" fontId="16" fillId="24" borderId="49" applyNumberFormat="0" applyAlignment="0" applyProtection="0"/>
    <xf numFmtId="0" fontId="16" fillId="24" borderId="49" applyNumberFormat="0" applyAlignment="0" applyProtection="0"/>
    <xf numFmtId="0" fontId="16" fillId="24" borderId="49" applyNumberFormat="0" applyAlignment="0" applyProtection="0"/>
    <xf numFmtId="0" fontId="16" fillId="24" borderId="49" applyNumberFormat="0" applyAlignment="0" applyProtection="0"/>
    <xf numFmtId="0" fontId="16" fillId="24" borderId="49" applyNumberFormat="0" applyAlignment="0" applyProtection="0"/>
    <xf numFmtId="0" fontId="16" fillId="24" borderId="49" applyNumberFormat="0" applyAlignment="0" applyProtection="0"/>
    <xf numFmtId="0" fontId="16" fillId="24" borderId="49" applyNumberFormat="0" applyAlignment="0" applyProtection="0"/>
    <xf numFmtId="0" fontId="16" fillId="24" borderId="49" applyNumberFormat="0" applyAlignment="0" applyProtection="0"/>
    <xf numFmtId="0" fontId="16" fillId="24" borderId="49" applyNumberFormat="0" applyAlignment="0" applyProtection="0"/>
    <xf numFmtId="0" fontId="16" fillId="24" borderId="49" applyNumberFormat="0" applyAlignment="0" applyProtection="0"/>
    <xf numFmtId="0" fontId="31" fillId="0" borderId="122" applyNumberFormat="0" applyFill="0" applyAlignment="0" applyProtection="0"/>
    <xf numFmtId="0" fontId="28" fillId="0" borderId="53"/>
    <xf numFmtId="0" fontId="28" fillId="0" borderId="53"/>
    <xf numFmtId="0" fontId="28" fillId="0" borderId="53"/>
    <xf numFmtId="0" fontId="28" fillId="0" borderId="53"/>
    <xf numFmtId="0" fontId="28" fillId="0" borderId="53"/>
    <xf numFmtId="0" fontId="28" fillId="0" borderId="53"/>
    <xf numFmtId="0" fontId="28" fillId="0" borderId="53"/>
    <xf numFmtId="0" fontId="28" fillId="0" borderId="53"/>
    <xf numFmtId="0" fontId="28" fillId="0" borderId="53"/>
    <xf numFmtId="0" fontId="28" fillId="0" borderId="53"/>
    <xf numFmtId="0" fontId="28" fillId="0" borderId="53"/>
    <xf numFmtId="0" fontId="28" fillId="0" borderId="53"/>
    <xf numFmtId="0" fontId="28" fillId="0" borderId="53"/>
    <xf numFmtId="0" fontId="28" fillId="0" borderId="53"/>
    <xf numFmtId="0" fontId="28" fillId="0" borderId="53"/>
    <xf numFmtId="0" fontId="28" fillId="0" borderId="53"/>
    <xf numFmtId="0" fontId="28" fillId="0" borderId="53"/>
    <xf numFmtId="0" fontId="28" fillId="0" borderId="53"/>
    <xf numFmtId="0" fontId="28" fillId="0" borderId="53"/>
    <xf numFmtId="0" fontId="28" fillId="0" borderId="53"/>
    <xf numFmtId="0" fontId="28" fillId="0" borderId="53"/>
    <xf numFmtId="0" fontId="28" fillId="0" borderId="53"/>
    <xf numFmtId="0" fontId="28" fillId="0" borderId="53"/>
    <xf numFmtId="0" fontId="28" fillId="0" borderId="53"/>
    <xf numFmtId="0" fontId="28" fillId="0" borderId="53"/>
    <xf numFmtId="0" fontId="28" fillId="0" borderId="53"/>
    <xf numFmtId="0" fontId="28" fillId="0" borderId="53"/>
    <xf numFmtId="0" fontId="28" fillId="0" borderId="53"/>
    <xf numFmtId="0" fontId="28" fillId="0" borderId="53"/>
    <xf numFmtId="0" fontId="28" fillId="0" borderId="53"/>
    <xf numFmtId="0" fontId="28" fillId="0" borderId="53"/>
    <xf numFmtId="0" fontId="28" fillId="0" borderId="53"/>
    <xf numFmtId="0" fontId="28" fillId="0" borderId="53"/>
    <xf numFmtId="0" fontId="28" fillId="0" borderId="53"/>
    <xf numFmtId="0" fontId="28" fillId="0" borderId="53"/>
    <xf numFmtId="0" fontId="28" fillId="0" borderId="53"/>
    <xf numFmtId="0" fontId="28" fillId="0" borderId="53"/>
    <xf numFmtId="0" fontId="28" fillId="0" borderId="53"/>
    <xf numFmtId="0" fontId="28" fillId="0" borderId="53"/>
    <xf numFmtId="0" fontId="28" fillId="0" borderId="53"/>
    <xf numFmtId="0" fontId="28" fillId="0" borderId="53"/>
    <xf numFmtId="0" fontId="28" fillId="0" borderId="53"/>
    <xf numFmtId="0" fontId="28" fillId="0" borderId="53"/>
    <xf numFmtId="0" fontId="28" fillId="0" borderId="53"/>
    <xf numFmtId="0" fontId="28" fillId="0" borderId="53"/>
    <xf numFmtId="0" fontId="25" fillId="13" borderId="49" applyNumberFormat="0" applyAlignment="0" applyProtection="0"/>
    <xf numFmtId="0" fontId="25" fillId="13" borderId="49" applyNumberFormat="0" applyAlignment="0" applyProtection="0"/>
    <xf numFmtId="0" fontId="25" fillId="13" borderId="49" applyNumberFormat="0" applyAlignment="0" applyProtection="0"/>
    <xf numFmtId="0" fontId="25" fillId="13" borderId="49" applyNumberFormat="0" applyAlignment="0" applyProtection="0"/>
    <xf numFmtId="0" fontId="25" fillId="13" borderId="49" applyNumberFormat="0" applyAlignment="0" applyProtection="0"/>
    <xf numFmtId="0" fontId="25" fillId="13" borderId="49" applyNumberFormat="0" applyAlignment="0" applyProtection="0"/>
    <xf numFmtId="0" fontId="25" fillId="13" borderId="49" applyNumberFormat="0" applyAlignment="0" applyProtection="0"/>
    <xf numFmtId="0" fontId="25" fillId="13" borderId="49" applyNumberFormat="0" applyAlignment="0" applyProtection="0"/>
    <xf numFmtId="0" fontId="25" fillId="13" borderId="49" applyNumberFormat="0" applyAlignment="0" applyProtection="0"/>
    <xf numFmtId="0" fontId="25" fillId="13" borderId="49" applyNumberFormat="0" applyAlignment="0" applyProtection="0"/>
    <xf numFmtId="0" fontId="25" fillId="13" borderId="49" applyNumberFormat="0" applyAlignment="0" applyProtection="0"/>
    <xf numFmtId="0" fontId="25" fillId="13" borderId="49" applyNumberFormat="0" applyAlignment="0" applyProtection="0"/>
    <xf numFmtId="0" fontId="25" fillId="13" borderId="49" applyNumberFormat="0" applyAlignment="0" applyProtection="0"/>
    <xf numFmtId="0" fontId="25" fillId="13" borderId="49" applyNumberFormat="0" applyAlignment="0" applyProtection="0"/>
    <xf numFmtId="0" fontId="25" fillId="13" borderId="49" applyNumberFormat="0" applyAlignment="0" applyProtection="0"/>
    <xf numFmtId="0" fontId="25" fillId="13" borderId="49" applyNumberFormat="0" applyAlignment="0" applyProtection="0"/>
    <xf numFmtId="0" fontId="25" fillId="13" borderId="49" applyNumberFormat="0" applyAlignment="0" applyProtection="0"/>
    <xf numFmtId="0" fontId="25" fillId="13" borderId="49" applyNumberFormat="0" applyAlignment="0" applyProtection="0"/>
    <xf numFmtId="0" fontId="25" fillId="13" borderId="49" applyNumberFormat="0" applyAlignment="0" applyProtection="0"/>
    <xf numFmtId="0" fontId="25" fillId="13" borderId="49" applyNumberFormat="0" applyAlignment="0" applyProtection="0"/>
    <xf numFmtId="0" fontId="25" fillId="13" borderId="49" applyNumberFormat="0" applyAlignment="0" applyProtection="0"/>
    <xf numFmtId="0" fontId="25" fillId="13" borderId="49" applyNumberFormat="0" applyAlignment="0" applyProtection="0"/>
    <xf numFmtId="0" fontId="25" fillId="13" borderId="49" applyNumberFormat="0" applyAlignment="0" applyProtection="0"/>
    <xf numFmtId="0" fontId="25" fillId="13" borderId="49" applyNumberFormat="0" applyAlignment="0" applyProtection="0"/>
    <xf numFmtId="0" fontId="25" fillId="13" borderId="49" applyNumberFormat="0" applyAlignment="0" applyProtection="0"/>
    <xf numFmtId="0" fontId="25" fillId="13" borderId="49" applyNumberFormat="0" applyAlignment="0" applyProtection="0"/>
    <xf numFmtId="0" fontId="25" fillId="13" borderId="49" applyNumberFormat="0" applyAlignment="0" applyProtection="0"/>
    <xf numFmtId="0" fontId="25" fillId="13" borderId="49" applyNumberFormat="0" applyAlignment="0" applyProtection="0"/>
    <xf numFmtId="0" fontId="25" fillId="13" borderId="49" applyNumberFormat="0" applyAlignment="0" applyProtection="0"/>
    <xf numFmtId="0" fontId="25" fillId="13" borderId="49" applyNumberFormat="0" applyAlignment="0" applyProtection="0"/>
    <xf numFmtId="0" fontId="25" fillId="13" borderId="49" applyNumberFormat="0" applyAlignment="0" applyProtection="0"/>
    <xf numFmtId="0" fontId="25" fillId="13" borderId="49" applyNumberFormat="0" applyAlignment="0" applyProtection="0"/>
    <xf numFmtId="0" fontId="25" fillId="13" borderId="49" applyNumberFormat="0" applyAlignment="0" applyProtection="0"/>
    <xf numFmtId="0" fontId="25" fillId="13" borderId="49" applyNumberFormat="0" applyAlignment="0" applyProtection="0"/>
    <xf numFmtId="0" fontId="25" fillId="13" borderId="49" applyNumberFormat="0" applyAlignment="0" applyProtection="0"/>
    <xf numFmtId="0" fontId="25" fillId="13" borderId="49" applyNumberFormat="0" applyAlignment="0" applyProtection="0"/>
    <xf numFmtId="0" fontId="25" fillId="13" borderId="49" applyNumberFormat="0" applyAlignment="0" applyProtection="0"/>
    <xf numFmtId="0" fontId="25" fillId="13" borderId="49" applyNumberFormat="0" applyAlignment="0" applyProtection="0"/>
    <xf numFmtId="0" fontId="25" fillId="13" borderId="49" applyNumberFormat="0" applyAlignment="0" applyProtection="0"/>
    <xf numFmtId="0" fontId="25" fillId="13" borderId="49" applyNumberFormat="0" applyAlignment="0" applyProtection="0"/>
    <xf numFmtId="0" fontId="25" fillId="13" borderId="49" applyNumberFormat="0" applyAlignment="0" applyProtection="0"/>
    <xf numFmtId="0" fontId="25" fillId="13" borderId="49" applyNumberFormat="0" applyAlignment="0" applyProtection="0"/>
    <xf numFmtId="0" fontId="25" fillId="13" borderId="49" applyNumberFormat="0" applyAlignment="0" applyProtection="0"/>
    <xf numFmtId="0" fontId="25" fillId="13" borderId="49" applyNumberFormat="0" applyAlignment="0" applyProtection="0"/>
    <xf numFmtId="0" fontId="25" fillId="13" borderId="49" applyNumberFormat="0" applyAlignment="0" applyProtection="0"/>
    <xf numFmtId="0" fontId="25" fillId="13" borderId="49" applyNumberFormat="0" applyAlignment="0" applyProtection="0"/>
    <xf numFmtId="0" fontId="25" fillId="13" borderId="49" applyNumberFormat="0" applyAlignment="0" applyProtection="0"/>
    <xf numFmtId="0" fontId="25" fillId="13" borderId="49" applyNumberFormat="0" applyAlignment="0" applyProtection="0"/>
    <xf numFmtId="0" fontId="25" fillId="13" borderId="49" applyNumberFormat="0" applyAlignment="0" applyProtection="0"/>
    <xf numFmtId="0" fontId="41" fillId="13" borderId="49" applyNumberFormat="0" applyAlignment="0" applyProtection="0"/>
    <xf numFmtId="0" fontId="41" fillId="13" borderId="49" applyNumberFormat="0" applyAlignment="0" applyProtection="0"/>
    <xf numFmtId="0" fontId="41" fillId="13" borderId="49" applyNumberFormat="0" applyAlignment="0" applyProtection="0"/>
    <xf numFmtId="0" fontId="41" fillId="13" borderId="49" applyNumberFormat="0" applyAlignment="0" applyProtection="0"/>
    <xf numFmtId="0" fontId="41" fillId="13" borderId="49" applyNumberFormat="0" applyAlignment="0" applyProtection="0"/>
    <xf numFmtId="0" fontId="41" fillId="13" borderId="49" applyNumberFormat="0" applyAlignment="0" applyProtection="0"/>
    <xf numFmtId="0" fontId="41" fillId="13" borderId="49" applyNumberFormat="0" applyAlignment="0" applyProtection="0"/>
    <xf numFmtId="0" fontId="41" fillId="13" borderId="49" applyNumberFormat="0" applyAlignment="0" applyProtection="0"/>
    <xf numFmtId="0" fontId="41" fillId="13" borderId="49" applyNumberFormat="0" applyAlignment="0" applyProtection="0"/>
    <xf numFmtId="0" fontId="41" fillId="13" borderId="49" applyNumberFormat="0" applyAlignment="0" applyProtection="0"/>
    <xf numFmtId="0" fontId="41" fillId="13" borderId="49" applyNumberFormat="0" applyAlignment="0" applyProtection="0"/>
    <xf numFmtId="0" fontId="41" fillId="13" borderId="49" applyNumberFormat="0" applyAlignment="0" applyProtection="0"/>
    <xf numFmtId="0" fontId="41" fillId="13" borderId="49" applyNumberFormat="0" applyAlignment="0" applyProtection="0"/>
    <xf numFmtId="0" fontId="41" fillId="13" borderId="49" applyNumberFormat="0" applyAlignment="0" applyProtection="0"/>
    <xf numFmtId="0" fontId="41" fillId="13" borderId="49" applyNumberFormat="0" applyAlignment="0" applyProtection="0"/>
    <xf numFmtId="0" fontId="41" fillId="13" borderId="49" applyNumberFormat="0" applyAlignment="0" applyProtection="0"/>
    <xf numFmtId="0" fontId="41" fillId="13" borderId="49" applyNumberFormat="0" applyAlignment="0" applyProtection="0"/>
    <xf numFmtId="0" fontId="41" fillId="13" borderId="49" applyNumberFormat="0" applyAlignment="0" applyProtection="0"/>
    <xf numFmtId="0" fontId="41" fillId="13" borderId="49" applyNumberFormat="0" applyAlignment="0" applyProtection="0"/>
    <xf numFmtId="0" fontId="41" fillId="13" borderId="49" applyNumberFormat="0" applyAlignment="0" applyProtection="0"/>
    <xf numFmtId="0" fontId="41" fillId="13" borderId="49" applyNumberFormat="0" applyAlignment="0" applyProtection="0"/>
    <xf numFmtId="0" fontId="41" fillId="13" borderId="49" applyNumberFormat="0" applyAlignment="0" applyProtection="0"/>
    <xf numFmtId="0" fontId="41" fillId="13" borderId="49" applyNumberFormat="0" applyAlignment="0" applyProtection="0"/>
    <xf numFmtId="0" fontId="41" fillId="13" borderId="49" applyNumberFormat="0" applyAlignment="0" applyProtection="0"/>
    <xf numFmtId="0" fontId="41" fillId="13" borderId="49" applyNumberFormat="0" applyAlignment="0" applyProtection="0"/>
    <xf numFmtId="0" fontId="41" fillId="13" borderId="49" applyNumberFormat="0" applyAlignment="0" applyProtection="0"/>
    <xf numFmtId="0" fontId="41" fillId="13" borderId="49" applyNumberFormat="0" applyAlignment="0" applyProtection="0"/>
    <xf numFmtId="0" fontId="41" fillId="13" borderId="49" applyNumberFormat="0" applyAlignment="0" applyProtection="0"/>
    <xf numFmtId="0" fontId="41" fillId="13" borderId="49" applyNumberFormat="0" applyAlignment="0" applyProtection="0"/>
    <xf numFmtId="0" fontId="41" fillId="13" borderId="49" applyNumberFormat="0" applyAlignment="0" applyProtection="0"/>
    <xf numFmtId="0" fontId="41" fillId="13" borderId="49" applyNumberFormat="0" applyAlignment="0" applyProtection="0"/>
    <xf numFmtId="0" fontId="41" fillId="13" borderId="49" applyNumberFormat="0" applyAlignment="0" applyProtection="0"/>
    <xf numFmtId="0" fontId="41" fillId="13" borderId="49" applyNumberFormat="0" applyAlignment="0" applyProtection="0"/>
    <xf numFmtId="0" fontId="41" fillId="13" borderId="49" applyNumberFormat="0" applyAlignment="0" applyProtection="0"/>
    <xf numFmtId="0" fontId="41" fillId="13" borderId="49" applyNumberFormat="0" applyAlignment="0" applyProtection="0"/>
    <xf numFmtId="0" fontId="41" fillId="13" borderId="49" applyNumberFormat="0" applyAlignment="0" applyProtection="0"/>
    <xf numFmtId="0" fontId="41" fillId="13" borderId="49" applyNumberFormat="0" applyAlignment="0" applyProtection="0"/>
    <xf numFmtId="0" fontId="41" fillId="13" borderId="49" applyNumberFormat="0" applyAlignment="0" applyProtection="0"/>
    <xf numFmtId="0" fontId="41" fillId="13" borderId="49" applyNumberFormat="0" applyAlignment="0" applyProtection="0"/>
    <xf numFmtId="0" fontId="41" fillId="13" borderId="49" applyNumberFormat="0" applyAlignment="0" applyProtection="0"/>
    <xf numFmtId="0" fontId="41" fillId="13" borderId="49" applyNumberFormat="0" applyAlignment="0" applyProtection="0"/>
    <xf numFmtId="0" fontId="41" fillId="13" borderId="49" applyNumberFormat="0" applyAlignment="0" applyProtection="0"/>
    <xf numFmtId="0" fontId="41" fillId="13" borderId="49" applyNumberFormat="0" applyAlignment="0" applyProtection="0"/>
    <xf numFmtId="0" fontId="41" fillId="13" borderId="49" applyNumberFormat="0" applyAlignment="0" applyProtection="0"/>
    <xf numFmtId="0" fontId="41" fillId="13" borderId="49" applyNumberFormat="0" applyAlignment="0" applyProtection="0"/>
    <xf numFmtId="0" fontId="41" fillId="13" borderId="49" applyNumberFormat="0" applyAlignment="0" applyProtection="0"/>
    <xf numFmtId="0" fontId="41" fillId="13" borderId="49" applyNumberFormat="0" applyAlignment="0" applyProtection="0"/>
    <xf numFmtId="0" fontId="41" fillId="13" borderId="49" applyNumberFormat="0" applyAlignment="0" applyProtection="0"/>
    <xf numFmtId="0" fontId="41" fillId="13" borderId="49" applyNumberFormat="0" applyAlignment="0" applyProtection="0"/>
    <xf numFmtId="0" fontId="25" fillId="13" borderId="49" applyNumberFormat="0" applyAlignment="0" applyProtection="0"/>
    <xf numFmtId="0" fontId="25" fillId="13" borderId="49" applyNumberFormat="0" applyAlignment="0" applyProtection="0"/>
    <xf numFmtId="0" fontId="25" fillId="13" borderId="49" applyNumberFormat="0" applyAlignment="0" applyProtection="0"/>
    <xf numFmtId="0" fontId="25" fillId="13" borderId="49" applyNumberFormat="0" applyAlignment="0" applyProtection="0"/>
    <xf numFmtId="0" fontId="25" fillId="13" borderId="49" applyNumberFormat="0" applyAlignment="0" applyProtection="0"/>
    <xf numFmtId="0" fontId="25" fillId="13" borderId="49" applyNumberFormat="0" applyAlignment="0" applyProtection="0"/>
    <xf numFmtId="0" fontId="25" fillId="13" borderId="49" applyNumberFormat="0" applyAlignment="0" applyProtection="0"/>
    <xf numFmtId="0" fontId="25" fillId="13" borderId="49" applyNumberFormat="0" applyAlignment="0" applyProtection="0"/>
    <xf numFmtId="0" fontId="25" fillId="13" borderId="49" applyNumberFormat="0" applyAlignment="0" applyProtection="0"/>
    <xf numFmtId="0" fontId="25" fillId="13" borderId="49" applyNumberFormat="0" applyAlignment="0" applyProtection="0"/>
    <xf numFmtId="0" fontId="25" fillId="13" borderId="49" applyNumberFormat="0" applyAlignment="0" applyProtection="0"/>
    <xf numFmtId="0" fontId="25" fillId="13" borderId="49" applyNumberFormat="0" applyAlignment="0" applyProtection="0"/>
    <xf numFmtId="0" fontId="25" fillId="13" borderId="49" applyNumberFormat="0" applyAlignment="0" applyProtection="0"/>
    <xf numFmtId="0" fontId="25" fillId="13" borderId="49" applyNumberFormat="0" applyAlignment="0" applyProtection="0"/>
    <xf numFmtId="0" fontId="25" fillId="13" borderId="49" applyNumberFormat="0" applyAlignment="0" applyProtection="0"/>
    <xf numFmtId="0" fontId="25" fillId="13" borderId="49" applyNumberFormat="0" applyAlignment="0" applyProtection="0"/>
    <xf numFmtId="0" fontId="25" fillId="13" borderId="49" applyNumberFormat="0" applyAlignment="0" applyProtection="0"/>
    <xf numFmtId="0" fontId="25" fillId="13" borderId="49" applyNumberFormat="0" applyAlignment="0" applyProtection="0"/>
    <xf numFmtId="0" fontId="25" fillId="13" borderId="49" applyNumberFormat="0" applyAlignment="0" applyProtection="0"/>
    <xf numFmtId="0" fontId="25" fillId="13" borderId="49" applyNumberFormat="0" applyAlignment="0" applyProtection="0"/>
    <xf numFmtId="0" fontId="25" fillId="13" borderId="49" applyNumberFormat="0" applyAlignment="0" applyProtection="0"/>
    <xf numFmtId="0" fontId="25" fillId="13" borderId="49" applyNumberFormat="0" applyAlignment="0" applyProtection="0"/>
    <xf numFmtId="0" fontId="25" fillId="13" borderId="49" applyNumberFormat="0" applyAlignment="0" applyProtection="0"/>
    <xf numFmtId="0" fontId="25" fillId="13" borderId="49" applyNumberFormat="0" applyAlignment="0" applyProtection="0"/>
    <xf numFmtId="0" fontId="25" fillId="13" borderId="49" applyNumberFormat="0" applyAlignment="0" applyProtection="0"/>
    <xf numFmtId="0" fontId="25" fillId="13" borderId="49" applyNumberFormat="0" applyAlignment="0" applyProtection="0"/>
    <xf numFmtId="0" fontId="25" fillId="13" borderId="49" applyNumberFormat="0" applyAlignment="0" applyProtection="0"/>
    <xf numFmtId="0" fontId="25" fillId="13" borderId="49" applyNumberFormat="0" applyAlignment="0" applyProtection="0"/>
    <xf numFmtId="0" fontId="25" fillId="13" borderId="49" applyNumberFormat="0" applyAlignment="0" applyProtection="0"/>
    <xf numFmtId="0" fontId="25" fillId="13" borderId="49" applyNumberFormat="0" applyAlignment="0" applyProtection="0"/>
    <xf numFmtId="0" fontId="25" fillId="13" borderId="49" applyNumberFormat="0" applyAlignment="0" applyProtection="0"/>
    <xf numFmtId="0" fontId="25" fillId="13" borderId="49" applyNumberFormat="0" applyAlignment="0" applyProtection="0"/>
    <xf numFmtId="0" fontId="25" fillId="13" borderId="49" applyNumberFormat="0" applyAlignment="0" applyProtection="0"/>
    <xf numFmtId="0" fontId="25" fillId="13" borderId="49" applyNumberFormat="0" applyAlignment="0" applyProtection="0"/>
    <xf numFmtId="0" fontId="25" fillId="13" borderId="49" applyNumberFormat="0" applyAlignment="0" applyProtection="0"/>
    <xf numFmtId="0" fontId="25" fillId="13" borderId="49" applyNumberFormat="0" applyAlignment="0" applyProtection="0"/>
    <xf numFmtId="0" fontId="25" fillId="13" borderId="49" applyNumberFormat="0" applyAlignment="0" applyProtection="0"/>
    <xf numFmtId="0" fontId="25" fillId="13" borderId="49" applyNumberFormat="0" applyAlignment="0" applyProtection="0"/>
    <xf numFmtId="0" fontId="25" fillId="13" borderId="49" applyNumberFormat="0" applyAlignment="0" applyProtection="0"/>
    <xf numFmtId="0" fontId="25" fillId="13" borderId="49" applyNumberFormat="0" applyAlignment="0" applyProtection="0"/>
    <xf numFmtId="0" fontId="25" fillId="13" borderId="49" applyNumberFormat="0" applyAlignment="0" applyProtection="0"/>
    <xf numFmtId="0" fontId="25" fillId="13" borderId="49" applyNumberFormat="0" applyAlignment="0" applyProtection="0"/>
    <xf numFmtId="0" fontId="25" fillId="13" borderId="49" applyNumberFormat="0" applyAlignment="0" applyProtection="0"/>
    <xf numFmtId="0" fontId="25" fillId="13" borderId="49" applyNumberFormat="0" applyAlignment="0" applyProtection="0"/>
    <xf numFmtId="0" fontId="25" fillId="13" borderId="49" applyNumberFormat="0" applyAlignment="0" applyProtection="0"/>
    <xf numFmtId="0" fontId="25" fillId="13" borderId="49" applyNumberFormat="0" applyAlignment="0" applyProtection="0"/>
    <xf numFmtId="0" fontId="25" fillId="13" borderId="49" applyNumberFormat="0" applyAlignment="0" applyProtection="0"/>
    <xf numFmtId="0" fontId="25" fillId="13" borderId="49" applyNumberFormat="0" applyAlignment="0" applyProtection="0"/>
    <xf numFmtId="0" fontId="25" fillId="13" borderId="49" applyNumberFormat="0" applyAlignment="0" applyProtection="0"/>
    <xf numFmtId="0" fontId="41" fillId="13" borderId="49" applyNumberFormat="0" applyAlignment="0" applyProtection="0"/>
    <xf numFmtId="0" fontId="41" fillId="13" borderId="49" applyNumberFormat="0" applyAlignment="0" applyProtection="0"/>
    <xf numFmtId="0" fontId="41" fillId="13" borderId="49" applyNumberFormat="0" applyAlignment="0" applyProtection="0"/>
    <xf numFmtId="0" fontId="41" fillId="13" borderId="49" applyNumberFormat="0" applyAlignment="0" applyProtection="0"/>
    <xf numFmtId="0" fontId="41" fillId="13" borderId="49" applyNumberFormat="0" applyAlignment="0" applyProtection="0"/>
    <xf numFmtId="0" fontId="41" fillId="13" borderId="49" applyNumberFormat="0" applyAlignment="0" applyProtection="0"/>
    <xf numFmtId="0" fontId="41" fillId="13" borderId="49" applyNumberFormat="0" applyAlignment="0" applyProtection="0"/>
    <xf numFmtId="0" fontId="41" fillId="13" borderId="49" applyNumberFormat="0" applyAlignment="0" applyProtection="0"/>
    <xf numFmtId="0" fontId="41" fillId="13" borderId="49" applyNumberFormat="0" applyAlignment="0" applyProtection="0"/>
    <xf numFmtId="0" fontId="41" fillId="13" borderId="49" applyNumberFormat="0" applyAlignment="0" applyProtection="0"/>
    <xf numFmtId="0" fontId="41" fillId="13" borderId="49" applyNumberFormat="0" applyAlignment="0" applyProtection="0"/>
    <xf numFmtId="0" fontId="41" fillId="13" borderId="49" applyNumberFormat="0" applyAlignment="0" applyProtection="0"/>
    <xf numFmtId="0" fontId="41" fillId="13" borderId="49" applyNumberFormat="0" applyAlignment="0" applyProtection="0"/>
    <xf numFmtId="0" fontId="41" fillId="13" borderId="49" applyNumberFormat="0" applyAlignment="0" applyProtection="0"/>
    <xf numFmtId="0" fontId="41" fillId="13" borderId="49" applyNumberFormat="0" applyAlignment="0" applyProtection="0"/>
    <xf numFmtId="0" fontId="41" fillId="13" borderId="49" applyNumberFormat="0" applyAlignment="0" applyProtection="0"/>
    <xf numFmtId="0" fontId="41" fillId="13" borderId="49" applyNumberFormat="0" applyAlignment="0" applyProtection="0"/>
    <xf numFmtId="0" fontId="41" fillId="13" borderId="49" applyNumberFormat="0" applyAlignment="0" applyProtection="0"/>
    <xf numFmtId="0" fontId="41" fillId="13" borderId="49" applyNumberFormat="0" applyAlignment="0" applyProtection="0"/>
    <xf numFmtId="0" fontId="41" fillId="13" borderId="49" applyNumberFormat="0" applyAlignment="0" applyProtection="0"/>
    <xf numFmtId="0" fontId="41" fillId="13" borderId="49" applyNumberFormat="0" applyAlignment="0" applyProtection="0"/>
    <xf numFmtId="0" fontId="41" fillId="13" borderId="49" applyNumberFormat="0" applyAlignment="0" applyProtection="0"/>
    <xf numFmtId="0" fontId="41" fillId="13" borderId="49" applyNumberFormat="0" applyAlignment="0" applyProtection="0"/>
    <xf numFmtId="0" fontId="41" fillId="13" borderId="49" applyNumberFormat="0" applyAlignment="0" applyProtection="0"/>
    <xf numFmtId="0" fontId="41" fillId="13" borderId="49" applyNumberFormat="0" applyAlignment="0" applyProtection="0"/>
    <xf numFmtId="0" fontId="41" fillId="13" borderId="49" applyNumberFormat="0" applyAlignment="0" applyProtection="0"/>
    <xf numFmtId="0" fontId="41" fillId="13" borderId="49" applyNumberFormat="0" applyAlignment="0" applyProtection="0"/>
    <xf numFmtId="0" fontId="41" fillId="13" borderId="49" applyNumberFormat="0" applyAlignment="0" applyProtection="0"/>
    <xf numFmtId="0" fontId="41" fillId="13" borderId="49" applyNumberFormat="0" applyAlignment="0" applyProtection="0"/>
    <xf numFmtId="0" fontId="41" fillId="13" borderId="49" applyNumberFormat="0" applyAlignment="0" applyProtection="0"/>
    <xf numFmtId="0" fontId="41" fillId="13" borderId="49" applyNumberFormat="0" applyAlignment="0" applyProtection="0"/>
    <xf numFmtId="0" fontId="41" fillId="13" borderId="49" applyNumberFormat="0" applyAlignment="0" applyProtection="0"/>
    <xf numFmtId="0" fontId="41" fillId="13" borderId="49" applyNumberFormat="0" applyAlignment="0" applyProtection="0"/>
    <xf numFmtId="0" fontId="41" fillId="13" borderId="49" applyNumberFormat="0" applyAlignment="0" applyProtection="0"/>
    <xf numFmtId="0" fontId="41" fillId="13" borderId="49" applyNumberFormat="0" applyAlignment="0" applyProtection="0"/>
    <xf numFmtId="0" fontId="41" fillId="13" borderId="49" applyNumberFormat="0" applyAlignment="0" applyProtection="0"/>
    <xf numFmtId="0" fontId="41" fillId="13" borderId="49" applyNumberFormat="0" applyAlignment="0" applyProtection="0"/>
    <xf numFmtId="0" fontId="41" fillId="13" borderId="49" applyNumberFormat="0" applyAlignment="0" applyProtection="0"/>
    <xf numFmtId="0" fontId="41" fillId="13" borderId="49" applyNumberFormat="0" applyAlignment="0" applyProtection="0"/>
    <xf numFmtId="0" fontId="41" fillId="13" borderId="49" applyNumberFormat="0" applyAlignment="0" applyProtection="0"/>
    <xf numFmtId="0" fontId="41" fillId="13" borderId="49" applyNumberFormat="0" applyAlignment="0" applyProtection="0"/>
    <xf numFmtId="0" fontId="41" fillId="13" borderId="49" applyNumberFormat="0" applyAlignment="0" applyProtection="0"/>
    <xf numFmtId="0" fontId="41" fillId="13" borderId="49" applyNumberFormat="0" applyAlignment="0" applyProtection="0"/>
    <xf numFmtId="0" fontId="41" fillId="13" borderId="49" applyNumberFormat="0" applyAlignment="0" applyProtection="0"/>
    <xf numFmtId="0" fontId="41" fillId="13" borderId="49" applyNumberFormat="0" applyAlignment="0" applyProtection="0"/>
    <xf numFmtId="0" fontId="41" fillId="13" borderId="49" applyNumberFormat="0" applyAlignment="0" applyProtection="0"/>
    <xf numFmtId="0" fontId="41" fillId="13" borderId="49" applyNumberFormat="0" applyAlignment="0" applyProtection="0"/>
    <xf numFmtId="0" fontId="41" fillId="13" borderId="49" applyNumberFormat="0" applyAlignment="0" applyProtection="0"/>
    <xf numFmtId="0" fontId="41" fillId="13" borderId="49" applyNumberFormat="0" applyAlignment="0" applyProtection="0"/>
    <xf numFmtId="0" fontId="25" fillId="13" borderId="49" applyNumberFormat="0" applyAlignment="0" applyProtection="0"/>
    <xf numFmtId="0" fontId="25" fillId="13" borderId="49" applyNumberFormat="0" applyAlignment="0" applyProtection="0"/>
    <xf numFmtId="0" fontId="25" fillId="13" borderId="49" applyNumberFormat="0" applyAlignment="0" applyProtection="0"/>
    <xf numFmtId="0" fontId="25" fillId="13" borderId="49" applyNumberFormat="0" applyAlignment="0" applyProtection="0"/>
    <xf numFmtId="0" fontId="25" fillId="13" borderId="49" applyNumberFormat="0" applyAlignment="0" applyProtection="0"/>
    <xf numFmtId="0" fontId="25" fillId="13" borderId="49" applyNumberFormat="0" applyAlignment="0" applyProtection="0"/>
    <xf numFmtId="0" fontId="25" fillId="13" borderId="49" applyNumberFormat="0" applyAlignment="0" applyProtection="0"/>
    <xf numFmtId="0" fontId="25" fillId="13" borderId="49" applyNumberFormat="0" applyAlignment="0" applyProtection="0"/>
    <xf numFmtId="0" fontId="25" fillId="13" borderId="49" applyNumberFormat="0" applyAlignment="0" applyProtection="0"/>
    <xf numFmtId="0" fontId="25" fillId="13" borderId="49" applyNumberFormat="0" applyAlignment="0" applyProtection="0"/>
    <xf numFmtId="0" fontId="25" fillId="13" borderId="49" applyNumberFormat="0" applyAlignment="0" applyProtection="0"/>
    <xf numFmtId="0" fontId="25" fillId="13" borderId="49" applyNumberFormat="0" applyAlignment="0" applyProtection="0"/>
    <xf numFmtId="0" fontId="25" fillId="13" borderId="49" applyNumberFormat="0" applyAlignment="0" applyProtection="0"/>
    <xf numFmtId="0" fontId="25" fillId="13" borderId="49" applyNumberFormat="0" applyAlignment="0" applyProtection="0"/>
    <xf numFmtId="0" fontId="25" fillId="13" borderId="49" applyNumberFormat="0" applyAlignment="0" applyProtection="0"/>
    <xf numFmtId="0" fontId="25" fillId="13" borderId="49" applyNumberFormat="0" applyAlignment="0" applyProtection="0"/>
    <xf numFmtId="0" fontId="25" fillId="13" borderId="49" applyNumberFormat="0" applyAlignment="0" applyProtection="0"/>
    <xf numFmtId="0" fontId="25" fillId="13" borderId="49" applyNumberFormat="0" applyAlignment="0" applyProtection="0"/>
    <xf numFmtId="0" fontId="25" fillId="13" borderId="49" applyNumberFormat="0" applyAlignment="0" applyProtection="0"/>
    <xf numFmtId="0" fontId="25" fillId="13" borderId="49" applyNumberFormat="0" applyAlignment="0" applyProtection="0"/>
    <xf numFmtId="0" fontId="25" fillId="13" borderId="49" applyNumberFormat="0" applyAlignment="0" applyProtection="0"/>
    <xf numFmtId="0" fontId="25" fillId="13" borderId="49" applyNumberFormat="0" applyAlignment="0" applyProtection="0"/>
    <xf numFmtId="0" fontId="25" fillId="13" borderId="49" applyNumberFormat="0" applyAlignment="0" applyProtection="0"/>
    <xf numFmtId="0" fontId="25" fillId="13" borderId="49" applyNumberFormat="0" applyAlignment="0" applyProtection="0"/>
    <xf numFmtId="0" fontId="25" fillId="13" borderId="49" applyNumberFormat="0" applyAlignment="0" applyProtection="0"/>
    <xf numFmtId="0" fontId="25" fillId="13" borderId="49" applyNumberFormat="0" applyAlignment="0" applyProtection="0"/>
    <xf numFmtId="0" fontId="25" fillId="13" borderId="49" applyNumberFormat="0" applyAlignment="0" applyProtection="0"/>
    <xf numFmtId="0" fontId="25" fillId="13" borderId="49" applyNumberFormat="0" applyAlignment="0" applyProtection="0"/>
    <xf numFmtId="0" fontId="25" fillId="13" borderId="49" applyNumberFormat="0" applyAlignment="0" applyProtection="0"/>
    <xf numFmtId="0" fontId="25" fillId="13" borderId="49" applyNumberFormat="0" applyAlignment="0" applyProtection="0"/>
    <xf numFmtId="0" fontId="25" fillId="13" borderId="49" applyNumberFormat="0" applyAlignment="0" applyProtection="0"/>
    <xf numFmtId="0" fontId="25" fillId="13" borderId="49" applyNumberFormat="0" applyAlignment="0" applyProtection="0"/>
    <xf numFmtId="0" fontId="25" fillId="13" borderId="49" applyNumberFormat="0" applyAlignment="0" applyProtection="0"/>
    <xf numFmtId="0" fontId="25" fillId="13" borderId="49" applyNumberFormat="0" applyAlignment="0" applyProtection="0"/>
    <xf numFmtId="0" fontId="25" fillId="13" borderId="49" applyNumberFormat="0" applyAlignment="0" applyProtection="0"/>
    <xf numFmtId="0" fontId="25" fillId="13" borderId="49" applyNumberFormat="0" applyAlignment="0" applyProtection="0"/>
    <xf numFmtId="0" fontId="25" fillId="13" borderId="49" applyNumberFormat="0" applyAlignment="0" applyProtection="0"/>
    <xf numFmtId="0" fontId="25" fillId="13" borderId="49" applyNumberFormat="0" applyAlignment="0" applyProtection="0"/>
    <xf numFmtId="0" fontId="25" fillId="13" borderId="49" applyNumberFormat="0" applyAlignment="0" applyProtection="0"/>
    <xf numFmtId="0" fontId="25" fillId="13" borderId="49" applyNumberFormat="0" applyAlignment="0" applyProtection="0"/>
    <xf numFmtId="0" fontId="25" fillId="13" borderId="49" applyNumberFormat="0" applyAlignment="0" applyProtection="0"/>
    <xf numFmtId="0" fontId="25" fillId="13" borderId="49" applyNumberFormat="0" applyAlignment="0" applyProtection="0"/>
    <xf numFmtId="0" fontId="25" fillId="13" borderId="49" applyNumberFormat="0" applyAlignment="0" applyProtection="0"/>
    <xf numFmtId="0" fontId="25" fillId="13" borderId="49" applyNumberFormat="0" applyAlignment="0" applyProtection="0"/>
    <xf numFmtId="0" fontId="25" fillId="13" borderId="49" applyNumberFormat="0" applyAlignment="0" applyProtection="0"/>
    <xf numFmtId="0" fontId="25" fillId="13" borderId="49" applyNumberFormat="0" applyAlignment="0" applyProtection="0"/>
    <xf numFmtId="0" fontId="25" fillId="13" borderId="49" applyNumberFormat="0" applyAlignment="0" applyProtection="0"/>
    <xf numFmtId="0" fontId="25" fillId="13" borderId="49" applyNumberFormat="0" applyAlignment="0" applyProtection="0"/>
    <xf numFmtId="0" fontId="25" fillId="13" borderId="49" applyNumberFormat="0" applyAlignment="0" applyProtection="0"/>
    <xf numFmtId="0" fontId="25" fillId="8" borderId="49" applyNumberFormat="0" applyAlignment="0" applyProtection="0"/>
    <xf numFmtId="0" fontId="25" fillId="8" borderId="49" applyNumberFormat="0" applyAlignment="0" applyProtection="0"/>
    <xf numFmtId="0" fontId="25" fillId="8" borderId="49" applyNumberFormat="0" applyAlignment="0" applyProtection="0"/>
    <xf numFmtId="0" fontId="25" fillId="8" borderId="49" applyNumberFormat="0" applyAlignment="0" applyProtection="0"/>
    <xf numFmtId="0" fontId="25" fillId="8" borderId="49" applyNumberFormat="0" applyAlignment="0" applyProtection="0"/>
    <xf numFmtId="0" fontId="25" fillId="8" borderId="49" applyNumberFormat="0" applyAlignment="0" applyProtection="0"/>
    <xf numFmtId="0" fontId="25" fillId="8" borderId="49" applyNumberFormat="0" applyAlignment="0" applyProtection="0"/>
    <xf numFmtId="0" fontId="25" fillId="8" borderId="49" applyNumberFormat="0" applyAlignment="0" applyProtection="0"/>
    <xf numFmtId="0" fontId="25" fillId="8" borderId="49" applyNumberFormat="0" applyAlignment="0" applyProtection="0"/>
    <xf numFmtId="0" fontId="25" fillId="8" borderId="49" applyNumberFormat="0" applyAlignment="0" applyProtection="0"/>
    <xf numFmtId="0" fontId="25" fillId="8" borderId="49" applyNumberFormat="0" applyAlignment="0" applyProtection="0"/>
    <xf numFmtId="0" fontId="25" fillId="8" borderId="49" applyNumberFormat="0" applyAlignment="0" applyProtection="0"/>
    <xf numFmtId="0" fontId="25" fillId="8" borderId="49" applyNumberFormat="0" applyAlignment="0" applyProtection="0"/>
    <xf numFmtId="0" fontId="25" fillId="8" borderId="49" applyNumberFormat="0" applyAlignment="0" applyProtection="0"/>
    <xf numFmtId="0" fontId="25" fillId="8" borderId="49" applyNumberFormat="0" applyAlignment="0" applyProtection="0"/>
    <xf numFmtId="0" fontId="25" fillId="8" borderId="49" applyNumberFormat="0" applyAlignment="0" applyProtection="0"/>
    <xf numFmtId="0" fontId="25" fillId="8" borderId="49" applyNumberFormat="0" applyAlignment="0" applyProtection="0"/>
    <xf numFmtId="0" fontId="25" fillId="8" borderId="49" applyNumberFormat="0" applyAlignment="0" applyProtection="0"/>
    <xf numFmtId="0" fontId="25" fillId="8" borderId="49" applyNumberFormat="0" applyAlignment="0" applyProtection="0"/>
    <xf numFmtId="0" fontId="25" fillId="8" borderId="49" applyNumberFormat="0" applyAlignment="0" applyProtection="0"/>
    <xf numFmtId="0" fontId="25" fillId="8" borderId="49" applyNumberFormat="0" applyAlignment="0" applyProtection="0"/>
    <xf numFmtId="0" fontId="25" fillId="8" borderId="49" applyNumberFormat="0" applyAlignment="0" applyProtection="0"/>
    <xf numFmtId="0" fontId="25" fillId="8" borderId="49" applyNumberFormat="0" applyAlignment="0" applyProtection="0"/>
    <xf numFmtId="0" fontId="25" fillId="8" borderId="49" applyNumberFormat="0" applyAlignment="0" applyProtection="0"/>
    <xf numFmtId="0" fontId="25" fillId="8" borderId="49" applyNumberFormat="0" applyAlignment="0" applyProtection="0"/>
    <xf numFmtId="0" fontId="25" fillId="8" borderId="49" applyNumberFormat="0" applyAlignment="0" applyProtection="0"/>
    <xf numFmtId="0" fontId="25" fillId="8" borderId="49" applyNumberFormat="0" applyAlignment="0" applyProtection="0"/>
    <xf numFmtId="0" fontId="25" fillId="8" borderId="49" applyNumberFormat="0" applyAlignment="0" applyProtection="0"/>
    <xf numFmtId="0" fontId="25" fillId="8" borderId="49" applyNumberFormat="0" applyAlignment="0" applyProtection="0"/>
    <xf numFmtId="0" fontId="25" fillId="8" borderId="49" applyNumberFormat="0" applyAlignment="0" applyProtection="0"/>
    <xf numFmtId="0" fontId="25" fillId="8" borderId="49" applyNumberFormat="0" applyAlignment="0" applyProtection="0"/>
    <xf numFmtId="0" fontId="25" fillId="8" borderId="49" applyNumberFormat="0" applyAlignment="0" applyProtection="0"/>
    <xf numFmtId="0" fontId="25" fillId="8" borderId="49" applyNumberFormat="0" applyAlignment="0" applyProtection="0"/>
    <xf numFmtId="0" fontId="25" fillId="8" borderId="49" applyNumberFormat="0" applyAlignment="0" applyProtection="0"/>
    <xf numFmtId="0" fontId="25" fillId="8" borderId="49" applyNumberFormat="0" applyAlignment="0" applyProtection="0"/>
    <xf numFmtId="0" fontId="25" fillId="8" borderId="49" applyNumberFormat="0" applyAlignment="0" applyProtection="0"/>
    <xf numFmtId="0" fontId="25" fillId="8" borderId="49" applyNumberFormat="0" applyAlignment="0" applyProtection="0"/>
    <xf numFmtId="0" fontId="25" fillId="8" borderId="49" applyNumberFormat="0" applyAlignment="0" applyProtection="0"/>
    <xf numFmtId="0" fontId="25" fillId="8" borderId="49" applyNumberFormat="0" applyAlignment="0" applyProtection="0"/>
    <xf numFmtId="0" fontId="25" fillId="8" borderId="49" applyNumberFormat="0" applyAlignment="0" applyProtection="0"/>
    <xf numFmtId="0" fontId="25" fillId="8" borderId="49" applyNumberFormat="0" applyAlignment="0" applyProtection="0"/>
    <xf numFmtId="0" fontId="25" fillId="8" borderId="49" applyNumberFormat="0" applyAlignment="0" applyProtection="0"/>
    <xf numFmtId="0" fontId="25" fillId="8" borderId="49" applyNumberFormat="0" applyAlignment="0" applyProtection="0"/>
    <xf numFmtId="0" fontId="25" fillId="8" borderId="49" applyNumberFormat="0" applyAlignment="0" applyProtection="0"/>
    <xf numFmtId="0" fontId="25" fillId="8" borderId="49" applyNumberFormat="0" applyAlignment="0" applyProtection="0"/>
    <xf numFmtId="0" fontId="25" fillId="8" borderId="49" applyNumberFormat="0" applyAlignment="0" applyProtection="0"/>
    <xf numFmtId="0" fontId="25" fillId="8" borderId="49" applyNumberFormat="0" applyAlignment="0" applyProtection="0"/>
    <xf numFmtId="0" fontId="25" fillId="8" borderId="49" applyNumberFormat="0" applyAlignment="0" applyProtection="0"/>
    <xf numFmtId="0" fontId="25" fillId="8" borderId="49" applyNumberFormat="0" applyAlignment="0" applyProtection="0"/>
    <xf numFmtId="0" fontId="25" fillId="8" borderId="49" applyNumberFormat="0" applyAlignment="0" applyProtection="0"/>
    <xf numFmtId="0" fontId="25" fillId="8" borderId="49" applyNumberFormat="0" applyAlignment="0" applyProtection="0"/>
    <xf numFmtId="0" fontId="25" fillId="8" borderId="49" applyNumberFormat="0" applyAlignment="0" applyProtection="0"/>
    <xf numFmtId="0" fontId="25" fillId="8" borderId="49" applyNumberFormat="0" applyAlignment="0" applyProtection="0"/>
    <xf numFmtId="0" fontId="25" fillId="8" borderId="49" applyNumberFormat="0" applyAlignment="0" applyProtection="0"/>
    <xf numFmtId="0" fontId="25" fillId="8" borderId="49" applyNumberFormat="0" applyAlignment="0" applyProtection="0"/>
    <xf numFmtId="0" fontId="25" fillId="8" borderId="49" applyNumberFormat="0" applyAlignment="0" applyProtection="0"/>
    <xf numFmtId="0" fontId="25" fillId="8" borderId="49" applyNumberFormat="0" applyAlignment="0" applyProtection="0"/>
    <xf numFmtId="0" fontId="25" fillId="8" borderId="49" applyNumberFormat="0" applyAlignment="0" applyProtection="0"/>
    <xf numFmtId="0" fontId="25" fillId="8" borderId="49" applyNumberFormat="0" applyAlignment="0" applyProtection="0"/>
    <xf numFmtId="0" fontId="25" fillId="8" borderId="49" applyNumberFormat="0" applyAlignment="0" applyProtection="0"/>
    <xf numFmtId="0" fontId="25" fillId="8" borderId="49" applyNumberFormat="0" applyAlignment="0" applyProtection="0"/>
    <xf numFmtId="0" fontId="25" fillId="8" borderId="49" applyNumberFormat="0" applyAlignment="0" applyProtection="0"/>
    <xf numFmtId="0" fontId="25" fillId="8" borderId="49" applyNumberFormat="0" applyAlignment="0" applyProtection="0"/>
    <xf numFmtId="0" fontId="25" fillId="8" borderId="49" applyNumberFormat="0" applyAlignment="0" applyProtection="0"/>
    <xf numFmtId="0" fontId="25" fillId="8" borderId="49" applyNumberFormat="0" applyAlignment="0" applyProtection="0"/>
    <xf numFmtId="0" fontId="25" fillId="8" borderId="49" applyNumberFormat="0" applyAlignment="0" applyProtection="0"/>
    <xf numFmtId="0" fontId="25" fillId="8" borderId="49" applyNumberFormat="0" applyAlignment="0" applyProtection="0"/>
    <xf numFmtId="0" fontId="25" fillId="8" borderId="49" applyNumberFormat="0" applyAlignment="0" applyProtection="0"/>
    <xf numFmtId="0" fontId="25" fillId="8" borderId="49" applyNumberFormat="0" applyAlignment="0" applyProtection="0"/>
    <xf numFmtId="0" fontId="25" fillId="8" borderId="49" applyNumberFormat="0" applyAlignment="0" applyProtection="0"/>
    <xf numFmtId="0" fontId="25" fillId="8" borderId="49" applyNumberFormat="0" applyAlignment="0" applyProtection="0"/>
    <xf numFmtId="0" fontId="25" fillId="8" borderId="49" applyNumberFormat="0" applyAlignment="0" applyProtection="0"/>
    <xf numFmtId="0" fontId="25" fillId="8" borderId="49" applyNumberFormat="0" applyAlignment="0" applyProtection="0"/>
    <xf numFmtId="0" fontId="25" fillId="8" borderId="49" applyNumberFormat="0" applyAlignment="0" applyProtection="0"/>
    <xf numFmtId="0" fontId="25" fillId="8" borderId="49" applyNumberFormat="0" applyAlignment="0" applyProtection="0"/>
    <xf numFmtId="0" fontId="25" fillId="8" borderId="49" applyNumberFormat="0" applyAlignment="0" applyProtection="0"/>
    <xf numFmtId="0" fontId="25" fillId="8" borderId="49" applyNumberFormat="0" applyAlignment="0" applyProtection="0"/>
    <xf numFmtId="0" fontId="84" fillId="73" borderId="53"/>
    <xf numFmtId="0" fontId="84" fillId="73" borderId="53"/>
    <xf numFmtId="0" fontId="84" fillId="73" borderId="53"/>
    <xf numFmtId="0" fontId="84" fillId="73" borderId="53"/>
    <xf numFmtId="0" fontId="84" fillId="73" borderId="53"/>
    <xf numFmtId="0" fontId="84" fillId="73" borderId="53"/>
    <xf numFmtId="0" fontId="84" fillId="73" borderId="53"/>
    <xf numFmtId="0" fontId="84" fillId="73" borderId="53"/>
    <xf numFmtId="0" fontId="84" fillId="73" borderId="53"/>
    <xf numFmtId="0" fontId="84" fillId="73" borderId="53"/>
    <xf numFmtId="0" fontId="84" fillId="73" borderId="53"/>
    <xf numFmtId="0" fontId="84" fillId="73" borderId="53"/>
    <xf numFmtId="0" fontId="84" fillId="73" borderId="53"/>
    <xf numFmtId="0" fontId="84" fillId="73" borderId="53"/>
    <xf numFmtId="0" fontId="84" fillId="73" borderId="53"/>
    <xf numFmtId="0" fontId="84" fillId="73" borderId="53"/>
    <xf numFmtId="0" fontId="84" fillId="73" borderId="53"/>
    <xf numFmtId="0" fontId="84" fillId="73" borderId="53"/>
    <xf numFmtId="0" fontId="84" fillId="73" borderId="53"/>
    <xf numFmtId="0" fontId="84" fillId="73" borderId="53"/>
    <xf numFmtId="0" fontId="84" fillId="73" borderId="53"/>
    <xf numFmtId="0" fontId="84" fillId="73" borderId="53"/>
    <xf numFmtId="0" fontId="84" fillId="73" borderId="53"/>
    <xf numFmtId="0" fontId="84" fillId="73" borderId="53"/>
    <xf numFmtId="0" fontId="84" fillId="73" borderId="53"/>
    <xf numFmtId="0" fontId="84" fillId="73" borderId="53"/>
    <xf numFmtId="0" fontId="84" fillId="73" borderId="53"/>
    <xf numFmtId="0" fontId="84" fillId="73" borderId="53"/>
    <xf numFmtId="0" fontId="84" fillId="73" borderId="53"/>
    <xf numFmtId="0" fontId="84" fillId="73" borderId="53"/>
    <xf numFmtId="0" fontId="84" fillId="73" borderId="53"/>
    <xf numFmtId="0" fontId="84" fillId="73" borderId="53"/>
    <xf numFmtId="0" fontId="84" fillId="73" borderId="53"/>
    <xf numFmtId="0" fontId="84" fillId="73" borderId="53"/>
    <xf numFmtId="0" fontId="84" fillId="73" borderId="53"/>
    <xf numFmtId="0" fontId="84" fillId="73" borderId="53"/>
    <xf numFmtId="0" fontId="84" fillId="73" borderId="53"/>
    <xf numFmtId="0" fontId="84" fillId="73" borderId="53"/>
    <xf numFmtId="0" fontId="84" fillId="73" borderId="53"/>
    <xf numFmtId="0" fontId="84" fillId="73" borderId="53"/>
    <xf numFmtId="0" fontId="84" fillId="73" borderId="53"/>
    <xf numFmtId="0" fontId="84" fillId="73" borderId="53"/>
    <xf numFmtId="0" fontId="84" fillId="73" borderId="53"/>
    <xf numFmtId="0" fontId="84" fillId="73" borderId="53"/>
    <xf numFmtId="0" fontId="84" fillId="73" borderId="53"/>
    <xf numFmtId="0" fontId="72" fillId="0" borderId="54" applyBorder="0">
      <alignment horizontal="center" vertical="center" wrapText="1"/>
    </xf>
    <xf numFmtId="0" fontId="72" fillId="0" borderId="54" applyBorder="0">
      <alignment horizontal="center" vertical="center" wrapText="1"/>
    </xf>
    <xf numFmtId="0" fontId="72" fillId="0" borderId="54" applyBorder="0">
      <alignment horizontal="center" vertical="center" wrapText="1"/>
    </xf>
    <xf numFmtId="0" fontId="72" fillId="0" borderId="54" applyBorder="0">
      <alignment horizontal="center" vertical="center" wrapText="1"/>
    </xf>
    <xf numFmtId="0" fontId="72" fillId="0" borderId="54" applyBorder="0">
      <alignment horizontal="center" vertical="center" wrapText="1"/>
    </xf>
    <xf numFmtId="0" fontId="72" fillId="0" borderId="54" applyBorder="0">
      <alignment horizontal="center" vertical="center" wrapText="1"/>
    </xf>
    <xf numFmtId="0" fontId="72" fillId="0" borderId="54" applyBorder="0">
      <alignment horizontal="center" vertical="center" wrapText="1"/>
    </xf>
    <xf numFmtId="0" fontId="72" fillId="0" borderId="54" applyBorder="0">
      <alignment horizontal="center" vertical="center" wrapText="1"/>
    </xf>
    <xf numFmtId="0" fontId="72" fillId="0" borderId="54" applyBorder="0">
      <alignment horizontal="center" vertical="center" wrapText="1"/>
    </xf>
    <xf numFmtId="0" fontId="72" fillId="0" borderId="54" applyBorder="0">
      <alignment horizontal="center" vertical="center" wrapText="1"/>
    </xf>
    <xf numFmtId="0" fontId="72" fillId="0" borderId="54" applyBorder="0">
      <alignment horizontal="center" vertical="center" wrapText="1"/>
    </xf>
    <xf numFmtId="0" fontId="72" fillId="0" borderId="54" applyBorder="0">
      <alignment horizontal="center" vertical="center" wrapText="1"/>
    </xf>
    <xf numFmtId="0" fontId="72" fillId="0" borderId="54" applyBorder="0">
      <alignment horizontal="center" vertical="center" wrapText="1"/>
    </xf>
    <xf numFmtId="0" fontId="72" fillId="0" borderId="54" applyBorder="0">
      <alignment horizontal="center" vertical="center" wrapText="1"/>
    </xf>
    <xf numFmtId="0" fontId="72" fillId="0" borderId="54" applyBorder="0">
      <alignment horizontal="center" vertical="center" wrapText="1"/>
    </xf>
    <xf numFmtId="0" fontId="72" fillId="0" borderId="54" applyBorder="0">
      <alignment horizontal="center" vertical="center" wrapText="1"/>
    </xf>
    <xf numFmtId="0" fontId="72" fillId="0" borderId="54" applyBorder="0">
      <alignment horizontal="center" vertical="center" wrapText="1"/>
    </xf>
    <xf numFmtId="0" fontId="72" fillId="0" borderId="54" applyBorder="0">
      <alignment horizontal="center" vertical="center" wrapText="1"/>
    </xf>
    <xf numFmtId="0" fontId="72" fillId="0" borderId="54" applyBorder="0">
      <alignment horizontal="center" vertical="center" wrapText="1"/>
    </xf>
    <xf numFmtId="0" fontId="72" fillId="0" borderId="54" applyBorder="0">
      <alignment horizontal="center" vertical="center" wrapText="1"/>
    </xf>
    <xf numFmtId="0" fontId="72" fillId="0" borderId="54" applyBorder="0">
      <alignment horizontal="center" vertical="center" wrapText="1"/>
    </xf>
    <xf numFmtId="0" fontId="72" fillId="0" borderId="54" applyBorder="0">
      <alignment horizontal="center" vertical="center" wrapText="1"/>
    </xf>
    <xf numFmtId="0" fontId="72" fillId="0" borderId="54" applyBorder="0">
      <alignment horizontal="center" vertical="center" wrapText="1"/>
    </xf>
    <xf numFmtId="0" fontId="72" fillId="0" borderId="54" applyBorder="0">
      <alignment horizontal="center" vertical="center" wrapText="1"/>
    </xf>
    <xf numFmtId="0" fontId="72" fillId="0" borderId="54" applyBorder="0">
      <alignment horizontal="center" vertical="center" wrapText="1"/>
    </xf>
    <xf numFmtId="0" fontId="72" fillId="0" borderId="54" applyBorder="0">
      <alignment horizontal="center" vertical="center" wrapText="1"/>
    </xf>
    <xf numFmtId="0" fontId="72" fillId="0" borderId="54" applyBorder="0">
      <alignment horizontal="center" vertical="center" wrapText="1"/>
    </xf>
    <xf numFmtId="0" fontId="72" fillId="0" borderId="54" applyBorder="0">
      <alignment horizontal="center" vertical="center" wrapText="1"/>
    </xf>
    <xf numFmtId="0" fontId="72" fillId="0" borderId="54" applyBorder="0">
      <alignment horizontal="center" vertical="center" wrapText="1"/>
    </xf>
    <xf numFmtId="0" fontId="72" fillId="0" borderId="54" applyBorder="0">
      <alignment horizontal="center" vertical="center" wrapText="1"/>
    </xf>
    <xf numFmtId="0" fontId="72" fillId="0" borderId="54" applyBorder="0">
      <alignment horizontal="center" vertical="center" wrapText="1"/>
    </xf>
    <xf numFmtId="0" fontId="72" fillId="0" borderId="54" applyBorder="0">
      <alignment horizontal="center" vertical="center" wrapText="1"/>
    </xf>
    <xf numFmtId="0" fontId="72" fillId="0" borderId="54" applyBorder="0">
      <alignment horizontal="center" vertical="center" wrapText="1"/>
    </xf>
    <xf numFmtId="0" fontId="72" fillId="0" borderId="54" applyBorder="0">
      <alignment horizontal="center" vertical="center" wrapText="1"/>
    </xf>
    <xf numFmtId="0" fontId="72" fillId="0" borderId="54" applyBorder="0">
      <alignment horizontal="center" vertical="center" wrapText="1"/>
    </xf>
    <xf numFmtId="0" fontId="72" fillId="0" borderId="54" applyBorder="0">
      <alignment horizontal="center" vertical="center" wrapText="1"/>
    </xf>
    <xf numFmtId="0" fontId="72" fillId="0" borderId="54" applyBorder="0">
      <alignment horizontal="center" vertical="center" wrapText="1"/>
    </xf>
    <xf numFmtId="0" fontId="72" fillId="0" borderId="54" applyBorder="0">
      <alignment horizontal="center" vertical="center" wrapText="1"/>
    </xf>
    <xf numFmtId="0" fontId="72" fillId="0" borderId="54" applyBorder="0">
      <alignment horizontal="center" vertical="center" wrapText="1"/>
    </xf>
    <xf numFmtId="0" fontId="72" fillId="0" borderId="54" applyBorder="0">
      <alignment horizontal="center" vertical="center" wrapText="1"/>
    </xf>
    <xf numFmtId="0" fontId="72" fillId="0" borderId="54" applyBorder="0">
      <alignment horizontal="center" vertical="center" wrapText="1"/>
    </xf>
    <xf numFmtId="0" fontId="72" fillId="0" borderId="54" applyBorder="0">
      <alignment horizontal="center" vertical="center" wrapText="1"/>
    </xf>
    <xf numFmtId="0" fontId="72" fillId="0" borderId="54" applyBorder="0">
      <alignment horizontal="center" vertical="center" wrapText="1"/>
    </xf>
    <xf numFmtId="0" fontId="72" fillId="0" borderId="54" applyBorder="0">
      <alignment horizontal="center" vertical="center" wrapText="1"/>
    </xf>
    <xf numFmtId="0" fontId="72" fillId="0" borderId="54" applyBorder="0">
      <alignment horizontal="center" vertical="center" wrapText="1"/>
    </xf>
    <xf numFmtId="0" fontId="72" fillId="0" borderId="54" applyBorder="0">
      <alignment horizontal="center" vertical="center" wrapText="1"/>
    </xf>
    <xf numFmtId="0" fontId="72" fillId="0" borderId="54" applyBorder="0">
      <alignment horizontal="center" vertical="center" wrapText="1"/>
    </xf>
    <xf numFmtId="0" fontId="72" fillId="0" borderId="54" applyBorder="0">
      <alignment horizontal="center" vertical="center" wrapText="1"/>
    </xf>
    <xf numFmtId="0" fontId="72" fillId="0" borderId="54" applyBorder="0">
      <alignment horizontal="center" vertical="center" wrapText="1"/>
    </xf>
    <xf numFmtId="0" fontId="72" fillId="0" borderId="54" applyBorder="0">
      <alignment horizontal="center" vertical="center" wrapText="1"/>
    </xf>
    <xf numFmtId="0" fontId="72" fillId="0" borderId="54" applyBorder="0">
      <alignment horizontal="center" vertical="center" wrapText="1"/>
    </xf>
    <xf numFmtId="0" fontId="72" fillId="0" borderId="54" applyBorder="0">
      <alignment horizontal="center" vertical="center" wrapText="1"/>
    </xf>
    <xf numFmtId="0" fontId="72" fillId="0" borderId="54" applyBorder="0">
      <alignment horizontal="center" vertical="center" wrapText="1"/>
    </xf>
    <xf numFmtId="0" fontId="72" fillId="0" borderId="54" applyBorder="0">
      <alignment horizontal="center" vertical="center" wrapText="1"/>
    </xf>
    <xf numFmtId="0" fontId="72" fillId="0" borderId="54" applyBorder="0">
      <alignment horizontal="center" vertical="center" wrapText="1"/>
    </xf>
    <xf numFmtId="0" fontId="72" fillId="0" borderId="54" applyBorder="0">
      <alignment horizontal="center" vertical="center" wrapText="1"/>
    </xf>
    <xf numFmtId="0" fontId="72" fillId="0" borderId="54" applyBorder="0">
      <alignment horizontal="center" vertical="center" wrapText="1"/>
    </xf>
    <xf numFmtId="0" fontId="72" fillId="0" borderId="54" applyBorder="0">
      <alignment horizontal="center" vertical="center" wrapText="1"/>
    </xf>
    <xf numFmtId="0" fontId="72" fillId="0" borderId="54" applyBorder="0">
      <alignment horizontal="center" vertical="center" wrapText="1"/>
    </xf>
    <xf numFmtId="0" fontId="72" fillId="0" borderId="54" applyBorder="0">
      <alignment horizontal="center" vertical="center" wrapText="1"/>
    </xf>
    <xf numFmtId="0" fontId="28" fillId="10" borderId="119" applyNumberFormat="0" applyFont="0" applyAlignment="0" applyProtection="0"/>
    <xf numFmtId="0" fontId="31" fillId="0" borderId="165" applyNumberFormat="0" applyFill="0" applyAlignment="0" applyProtection="0"/>
    <xf numFmtId="0" fontId="41" fillId="13" borderId="203" applyNumberFormat="0" applyAlignment="0" applyProtection="0"/>
    <xf numFmtId="0" fontId="18" fillId="10" borderId="177" applyNumberFormat="0" applyFont="0" applyAlignment="0" applyProtection="0"/>
    <xf numFmtId="0" fontId="25" fillId="13" borderId="167" applyNumberFormat="0" applyAlignment="0" applyProtection="0"/>
    <xf numFmtId="0" fontId="31" fillId="0" borderId="199" applyNumberFormat="0" applyFill="0" applyAlignment="0" applyProtection="0"/>
    <xf numFmtId="0" fontId="29" fillId="24" borderId="91" applyNumberFormat="0" applyAlignment="0" applyProtection="0"/>
    <xf numFmtId="0" fontId="29" fillId="12" borderId="91" applyNumberFormat="0" applyAlignment="0" applyProtection="0"/>
    <xf numFmtId="0" fontId="49" fillId="10" borderId="50" applyNumberFormat="0" applyFont="0" applyAlignment="0" applyProtection="0"/>
    <xf numFmtId="0" fontId="48" fillId="12" borderId="49" applyNumberFormat="0" applyAlignment="0" applyProtection="0"/>
    <xf numFmtId="0" fontId="25" fillId="8" borderId="49" applyNumberFormat="0" applyAlignment="0" applyProtection="0"/>
    <xf numFmtId="0" fontId="31" fillId="0" borderId="55" applyNumberFormat="0" applyFill="0" applyAlignment="0" applyProtection="0"/>
    <xf numFmtId="0" fontId="31" fillId="0" borderId="52" applyNumberFormat="0" applyFill="0" applyAlignment="0" applyProtection="0"/>
    <xf numFmtId="0" fontId="24" fillId="24" borderId="51" applyNumberFormat="0" applyAlignment="0" applyProtection="0"/>
    <xf numFmtId="0" fontId="8" fillId="10" borderId="50" applyNumberFormat="0" applyFont="0" applyAlignment="0" applyProtection="0"/>
    <xf numFmtId="0" fontId="41" fillId="13" borderId="49" applyNumberFormat="0" applyAlignment="0" applyProtection="0"/>
    <xf numFmtId="0" fontId="48" fillId="12" borderId="49" applyNumberFormat="0" applyAlignment="0" applyProtection="0"/>
    <xf numFmtId="0" fontId="48" fillId="24" borderId="49" applyNumberFormat="0" applyAlignment="0" applyProtection="0"/>
    <xf numFmtId="0" fontId="31" fillId="0" borderId="55" applyNumberFormat="0" applyFill="0" applyAlignment="0" applyProtection="0"/>
    <xf numFmtId="0" fontId="48" fillId="24" borderId="49" applyNumberFormat="0" applyAlignment="0" applyProtection="0"/>
    <xf numFmtId="0" fontId="49" fillId="10" borderId="50" applyNumberFormat="0" applyFont="0" applyAlignment="0" applyProtection="0"/>
    <xf numFmtId="0" fontId="29" fillId="12" borderId="56" applyNumberFormat="0" applyAlignment="0" applyProtection="0"/>
    <xf numFmtId="0" fontId="8" fillId="10" borderId="50" applyNumberFormat="0" applyFont="0" applyAlignment="0" applyProtection="0"/>
    <xf numFmtId="0" fontId="8" fillId="10" borderId="50" applyNumberFormat="0" applyFont="0" applyAlignment="0" applyProtection="0"/>
    <xf numFmtId="0" fontId="49" fillId="10" borderId="50" applyNumberFormat="0" applyFont="0" applyAlignment="0" applyProtection="0"/>
    <xf numFmtId="0" fontId="31" fillId="0" borderId="52" applyNumberFormat="0" applyFill="0" applyAlignment="0" applyProtection="0"/>
    <xf numFmtId="0" fontId="31" fillId="0" borderId="55" applyNumberFormat="0" applyFill="0" applyAlignment="0" applyProtection="0"/>
    <xf numFmtId="0" fontId="31" fillId="0" borderId="52" applyNumberFormat="0" applyFill="0" applyAlignment="0" applyProtection="0"/>
    <xf numFmtId="0" fontId="31" fillId="0" borderId="55" applyNumberFormat="0" applyFill="0" applyAlignment="0" applyProtection="0"/>
    <xf numFmtId="0" fontId="49" fillId="10" borderId="119" applyNumberFormat="0" applyFont="0" applyAlignment="0" applyProtection="0"/>
    <xf numFmtId="0" fontId="48" fillId="24" borderId="60" applyNumberFormat="0" applyAlignment="0" applyProtection="0"/>
    <xf numFmtId="0" fontId="48" fillId="24" borderId="60" applyNumberFormat="0" applyAlignment="0" applyProtection="0"/>
    <xf numFmtId="0" fontId="48" fillId="24" borderId="60" applyNumberFormat="0" applyAlignment="0" applyProtection="0"/>
    <xf numFmtId="0" fontId="48" fillId="24" borderId="60" applyNumberFormat="0" applyAlignment="0" applyProtection="0"/>
    <xf numFmtId="0" fontId="48" fillId="24" borderId="60" applyNumberFormat="0" applyAlignment="0" applyProtection="0"/>
    <xf numFmtId="0" fontId="48" fillId="24" borderId="60" applyNumberFormat="0" applyAlignment="0" applyProtection="0"/>
    <xf numFmtId="0" fontId="48" fillId="24" borderId="60" applyNumberFormat="0" applyAlignment="0" applyProtection="0"/>
    <xf numFmtId="0" fontId="48" fillId="24" borderId="60" applyNumberFormat="0" applyAlignment="0" applyProtection="0"/>
    <xf numFmtId="0" fontId="48" fillId="24" borderId="60" applyNumberFormat="0" applyAlignment="0" applyProtection="0"/>
    <xf numFmtId="0" fontId="48" fillId="24" borderId="60" applyNumberFormat="0" applyAlignment="0" applyProtection="0"/>
    <xf numFmtId="0" fontId="48" fillId="24" borderId="60" applyNumberFormat="0" applyAlignment="0" applyProtection="0"/>
    <xf numFmtId="0" fontId="48" fillId="24" borderId="60" applyNumberFormat="0" applyAlignment="0" applyProtection="0"/>
    <xf numFmtId="0" fontId="48" fillId="24" borderId="60" applyNumberFormat="0" applyAlignment="0" applyProtection="0"/>
    <xf numFmtId="0" fontId="48" fillId="24" borderId="60" applyNumberFormat="0" applyAlignment="0" applyProtection="0"/>
    <xf numFmtId="0" fontId="48" fillId="24" borderId="60" applyNumberFormat="0" applyAlignment="0" applyProtection="0"/>
    <xf numFmtId="0" fontId="48" fillId="24" borderId="60" applyNumberFormat="0" applyAlignment="0" applyProtection="0"/>
    <xf numFmtId="0" fontId="48" fillId="24" borderId="60" applyNumberFormat="0" applyAlignment="0" applyProtection="0"/>
    <xf numFmtId="0" fontId="48" fillId="24" borderId="60" applyNumberFormat="0" applyAlignment="0" applyProtection="0"/>
    <xf numFmtId="0" fontId="48" fillId="24" borderId="60" applyNumberFormat="0" applyAlignment="0" applyProtection="0"/>
    <xf numFmtId="0" fontId="48" fillId="24" borderId="60" applyNumberFormat="0" applyAlignment="0" applyProtection="0"/>
    <xf numFmtId="0" fontId="48" fillId="24" borderId="60" applyNumberFormat="0" applyAlignment="0" applyProtection="0"/>
    <xf numFmtId="0" fontId="48" fillId="24" borderId="60" applyNumberFormat="0" applyAlignment="0" applyProtection="0"/>
    <xf numFmtId="0" fontId="48" fillId="24" borderId="60" applyNumberFormat="0" applyAlignment="0" applyProtection="0"/>
    <xf numFmtId="0" fontId="48" fillId="24" borderId="60" applyNumberFormat="0" applyAlignment="0" applyProtection="0"/>
    <xf numFmtId="0" fontId="48" fillId="24" borderId="60" applyNumberFormat="0" applyAlignment="0" applyProtection="0"/>
    <xf numFmtId="0" fontId="48" fillId="24" borderId="60" applyNumberFormat="0" applyAlignment="0" applyProtection="0"/>
    <xf numFmtId="0" fontId="48" fillId="24" borderId="60" applyNumberFormat="0" applyAlignment="0" applyProtection="0"/>
    <xf numFmtId="0" fontId="48" fillId="24" borderId="60" applyNumberFormat="0" applyAlignment="0" applyProtection="0"/>
    <xf numFmtId="0" fontId="48" fillId="24" borderId="60" applyNumberFormat="0" applyAlignment="0" applyProtection="0"/>
    <xf numFmtId="0" fontId="48" fillId="24" borderId="60" applyNumberFormat="0" applyAlignment="0" applyProtection="0"/>
    <xf numFmtId="0" fontId="48" fillId="24" borderId="60" applyNumberFormat="0" applyAlignment="0" applyProtection="0"/>
    <xf numFmtId="0" fontId="48" fillId="24" borderId="60" applyNumberFormat="0" applyAlignment="0" applyProtection="0"/>
    <xf numFmtId="0" fontId="48" fillId="24" borderId="60" applyNumberFormat="0" applyAlignment="0" applyProtection="0"/>
    <xf numFmtId="0" fontId="48" fillId="24" borderId="60" applyNumberFormat="0" applyAlignment="0" applyProtection="0"/>
    <xf numFmtId="0" fontId="48" fillId="24" borderId="60" applyNumberFormat="0" applyAlignment="0" applyProtection="0"/>
    <xf numFmtId="0" fontId="48" fillId="24" borderId="60" applyNumberFormat="0" applyAlignment="0" applyProtection="0"/>
    <xf numFmtId="0" fontId="48" fillId="24" borderId="60" applyNumberFormat="0" applyAlignment="0" applyProtection="0"/>
    <xf numFmtId="0" fontId="48" fillId="24" borderId="60" applyNumberFormat="0" applyAlignment="0" applyProtection="0"/>
    <xf numFmtId="0" fontId="48" fillId="24" borderId="60" applyNumberFormat="0" applyAlignment="0" applyProtection="0"/>
    <xf numFmtId="0" fontId="48" fillId="24" borderId="60" applyNumberFormat="0" applyAlignment="0" applyProtection="0"/>
    <xf numFmtId="0" fontId="48" fillId="24" borderId="60" applyNumberFormat="0" applyAlignment="0" applyProtection="0"/>
    <xf numFmtId="0" fontId="48" fillId="24" borderId="60" applyNumberFormat="0" applyAlignment="0" applyProtection="0"/>
    <xf numFmtId="0" fontId="48" fillId="24" borderId="60" applyNumberFormat="0" applyAlignment="0" applyProtection="0"/>
    <xf numFmtId="0" fontId="48" fillId="24" borderId="60" applyNumberFormat="0" applyAlignment="0" applyProtection="0"/>
    <xf numFmtId="0" fontId="48" fillId="24" borderId="60" applyNumberFormat="0" applyAlignment="0" applyProtection="0"/>
    <xf numFmtId="0" fontId="48" fillId="24" borderId="60" applyNumberFormat="0" applyAlignment="0" applyProtection="0"/>
    <xf numFmtId="0" fontId="48" fillId="24" borderId="60" applyNumberFormat="0" applyAlignment="0" applyProtection="0"/>
    <xf numFmtId="0" fontId="48" fillId="24" borderId="60" applyNumberFormat="0" applyAlignment="0" applyProtection="0"/>
    <xf numFmtId="0" fontId="48" fillId="24" borderId="60" applyNumberFormat="0" applyAlignment="0" applyProtection="0"/>
    <xf numFmtId="0" fontId="48" fillId="24" borderId="60" applyNumberFormat="0" applyAlignment="0" applyProtection="0"/>
    <xf numFmtId="0" fontId="48" fillId="24" borderId="60" applyNumberFormat="0" applyAlignment="0" applyProtection="0"/>
    <xf numFmtId="0" fontId="48" fillId="24" borderId="60" applyNumberFormat="0" applyAlignment="0" applyProtection="0"/>
    <xf numFmtId="0" fontId="48" fillId="24" borderId="60" applyNumberFormat="0" applyAlignment="0" applyProtection="0"/>
    <xf numFmtId="0" fontId="48" fillId="24" borderId="60" applyNumberFormat="0" applyAlignment="0" applyProtection="0"/>
    <xf numFmtId="0" fontId="48" fillId="24" borderId="60" applyNumberFormat="0" applyAlignment="0" applyProtection="0"/>
    <xf numFmtId="0" fontId="48" fillId="24" borderId="60" applyNumberFormat="0" applyAlignment="0" applyProtection="0"/>
    <xf numFmtId="0" fontId="48" fillId="24" borderId="60" applyNumberFormat="0" applyAlignment="0" applyProtection="0"/>
    <xf numFmtId="0" fontId="48" fillId="24" borderId="60" applyNumberFormat="0" applyAlignment="0" applyProtection="0"/>
    <xf numFmtId="0" fontId="48" fillId="24" borderId="60" applyNumberFormat="0" applyAlignment="0" applyProtection="0"/>
    <xf numFmtId="0" fontId="48" fillId="24" borderId="60" applyNumberFormat="0" applyAlignment="0" applyProtection="0"/>
    <xf numFmtId="0" fontId="48" fillId="24" borderId="60" applyNumberFormat="0" applyAlignment="0" applyProtection="0"/>
    <xf numFmtId="0" fontId="48" fillId="24" borderId="60" applyNumberFormat="0" applyAlignment="0" applyProtection="0"/>
    <xf numFmtId="0" fontId="48" fillId="24" borderId="60" applyNumberFormat="0" applyAlignment="0" applyProtection="0"/>
    <xf numFmtId="0" fontId="48" fillId="24" borderId="60" applyNumberFormat="0" applyAlignment="0" applyProtection="0"/>
    <xf numFmtId="0" fontId="48" fillId="24" borderId="60" applyNumberFormat="0" applyAlignment="0" applyProtection="0"/>
    <xf numFmtId="0" fontId="48" fillId="24" borderId="60" applyNumberFormat="0" applyAlignment="0" applyProtection="0"/>
    <xf numFmtId="0" fontId="48" fillId="24" borderId="60" applyNumberFormat="0" applyAlignment="0" applyProtection="0"/>
    <xf numFmtId="0" fontId="48" fillId="24" borderId="60" applyNumberFormat="0" applyAlignment="0" applyProtection="0"/>
    <xf numFmtId="0" fontId="48" fillId="24" borderId="60" applyNumberFormat="0" applyAlignment="0" applyProtection="0"/>
    <xf numFmtId="0" fontId="48" fillId="24" borderId="60" applyNumberFormat="0" applyAlignment="0" applyProtection="0"/>
    <xf numFmtId="0" fontId="48" fillId="24" borderId="60" applyNumberFormat="0" applyAlignment="0" applyProtection="0"/>
    <xf numFmtId="0" fontId="48" fillId="24" borderId="60" applyNumberFormat="0" applyAlignment="0" applyProtection="0"/>
    <xf numFmtId="0" fontId="48" fillId="24" borderId="60" applyNumberFormat="0" applyAlignment="0" applyProtection="0"/>
    <xf numFmtId="0" fontId="48" fillId="24" borderId="60" applyNumberFormat="0" applyAlignment="0" applyProtection="0"/>
    <xf numFmtId="0" fontId="48" fillId="24" borderId="60" applyNumberFormat="0" applyAlignment="0" applyProtection="0"/>
    <xf numFmtId="0" fontId="48" fillId="24" borderId="60" applyNumberFormat="0" applyAlignment="0" applyProtection="0"/>
    <xf numFmtId="0" fontId="48" fillId="24" borderId="60" applyNumberFormat="0" applyAlignment="0" applyProtection="0"/>
    <xf numFmtId="0" fontId="32" fillId="24" borderId="60" applyNumberFormat="0" applyAlignment="0" applyProtection="0"/>
    <xf numFmtId="0" fontId="32" fillId="24" borderId="60" applyNumberFormat="0" applyAlignment="0" applyProtection="0"/>
    <xf numFmtId="0" fontId="32" fillId="24" borderId="60" applyNumberFormat="0" applyAlignment="0" applyProtection="0"/>
    <xf numFmtId="0" fontId="32" fillId="24" borderId="60" applyNumberFormat="0" applyAlignment="0" applyProtection="0"/>
    <xf numFmtId="0" fontId="32" fillId="24" borderId="60" applyNumberFormat="0" applyAlignment="0" applyProtection="0"/>
    <xf numFmtId="0" fontId="32" fillId="24" borderId="60" applyNumberFormat="0" applyAlignment="0" applyProtection="0"/>
    <xf numFmtId="0" fontId="32" fillId="24" borderId="60" applyNumberFormat="0" applyAlignment="0" applyProtection="0"/>
    <xf numFmtId="0" fontId="32" fillId="24" borderId="60" applyNumberFormat="0" applyAlignment="0" applyProtection="0"/>
    <xf numFmtId="0" fontId="32" fillId="24" borderId="60" applyNumberFormat="0" applyAlignment="0" applyProtection="0"/>
    <xf numFmtId="0" fontId="32" fillId="24" borderId="60" applyNumberFormat="0" applyAlignment="0" applyProtection="0"/>
    <xf numFmtId="0" fontId="32" fillId="24" borderId="60" applyNumberFormat="0" applyAlignment="0" applyProtection="0"/>
    <xf numFmtId="0" fontId="32" fillId="24" borderId="60" applyNumberFormat="0" applyAlignment="0" applyProtection="0"/>
    <xf numFmtId="0" fontId="32" fillId="24" borderId="60" applyNumberFormat="0" applyAlignment="0" applyProtection="0"/>
    <xf numFmtId="0" fontId="32" fillId="24" borderId="60" applyNumberFormat="0" applyAlignment="0" applyProtection="0"/>
    <xf numFmtId="0" fontId="32" fillId="24" borderId="60" applyNumberFormat="0" applyAlignment="0" applyProtection="0"/>
    <xf numFmtId="0" fontId="32" fillId="24" borderId="60" applyNumberFormat="0" applyAlignment="0" applyProtection="0"/>
    <xf numFmtId="0" fontId="32" fillId="24" borderId="60" applyNumberFormat="0" applyAlignment="0" applyProtection="0"/>
    <xf numFmtId="0" fontId="32" fillId="24" borderId="60" applyNumberFormat="0" applyAlignment="0" applyProtection="0"/>
    <xf numFmtId="0" fontId="32" fillId="24" borderId="60" applyNumberFormat="0" applyAlignment="0" applyProtection="0"/>
    <xf numFmtId="0" fontId="32" fillId="24" borderId="60" applyNumberFormat="0" applyAlignment="0" applyProtection="0"/>
    <xf numFmtId="0" fontId="32" fillId="24" borderId="60" applyNumberFormat="0" applyAlignment="0" applyProtection="0"/>
    <xf numFmtId="0" fontId="32" fillId="24" borderId="60" applyNumberFormat="0" applyAlignment="0" applyProtection="0"/>
    <xf numFmtId="0" fontId="32" fillId="24" borderId="60" applyNumberFormat="0" applyAlignment="0" applyProtection="0"/>
    <xf numFmtId="0" fontId="32" fillId="24" borderId="60" applyNumberFormat="0" applyAlignment="0" applyProtection="0"/>
    <xf numFmtId="0" fontId="32" fillId="24" borderId="60" applyNumberFormat="0" applyAlignment="0" applyProtection="0"/>
    <xf numFmtId="0" fontId="32" fillId="24" borderId="60" applyNumberFormat="0" applyAlignment="0" applyProtection="0"/>
    <xf numFmtId="0" fontId="32" fillId="24" borderId="60" applyNumberFormat="0" applyAlignment="0" applyProtection="0"/>
    <xf numFmtId="0" fontId="32" fillId="24" borderId="60" applyNumberFormat="0" applyAlignment="0" applyProtection="0"/>
    <xf numFmtId="0" fontId="32" fillId="24" borderId="60" applyNumberFormat="0" applyAlignment="0" applyProtection="0"/>
    <xf numFmtId="0" fontId="32" fillId="24" borderId="60" applyNumberFormat="0" applyAlignment="0" applyProtection="0"/>
    <xf numFmtId="0" fontId="32" fillId="24" borderId="60" applyNumberFormat="0" applyAlignment="0" applyProtection="0"/>
    <xf numFmtId="0" fontId="32" fillId="24" borderId="60" applyNumberFormat="0" applyAlignment="0" applyProtection="0"/>
    <xf numFmtId="0" fontId="32" fillId="24" borderId="60" applyNumberFormat="0" applyAlignment="0" applyProtection="0"/>
    <xf numFmtId="0" fontId="32" fillId="24" borderId="60" applyNumberFormat="0" applyAlignment="0" applyProtection="0"/>
    <xf numFmtId="0" fontId="32" fillId="24" borderId="60" applyNumberFormat="0" applyAlignment="0" applyProtection="0"/>
    <xf numFmtId="0" fontId="32" fillId="24" borderId="60" applyNumberFormat="0" applyAlignment="0" applyProtection="0"/>
    <xf numFmtId="0" fontId="32" fillId="24" borderId="60" applyNumberFormat="0" applyAlignment="0" applyProtection="0"/>
    <xf numFmtId="0" fontId="32" fillId="24" borderId="60" applyNumberFormat="0" applyAlignment="0" applyProtection="0"/>
    <xf numFmtId="0" fontId="32" fillId="24" borderId="60" applyNumberFormat="0" applyAlignment="0" applyProtection="0"/>
    <xf numFmtId="0" fontId="32" fillId="24" borderId="60" applyNumberFormat="0" applyAlignment="0" applyProtection="0"/>
    <xf numFmtId="0" fontId="32" fillId="24" borderId="60" applyNumberFormat="0" applyAlignment="0" applyProtection="0"/>
    <xf numFmtId="0" fontId="32" fillId="24" borderId="60" applyNumberFormat="0" applyAlignment="0" applyProtection="0"/>
    <xf numFmtId="0" fontId="32" fillId="24" borderId="60" applyNumberFormat="0" applyAlignment="0" applyProtection="0"/>
    <xf numFmtId="0" fontId="32" fillId="24" borderId="60" applyNumberFormat="0" applyAlignment="0" applyProtection="0"/>
    <xf numFmtId="0" fontId="32" fillId="24" borderId="60" applyNumberFormat="0" applyAlignment="0" applyProtection="0"/>
    <xf numFmtId="0" fontId="32" fillId="24" borderId="60" applyNumberFormat="0" applyAlignment="0" applyProtection="0"/>
    <xf numFmtId="0" fontId="32" fillId="24" borderId="60" applyNumberFormat="0" applyAlignment="0" applyProtection="0"/>
    <xf numFmtId="0" fontId="32" fillId="24" borderId="60" applyNumberFormat="0" applyAlignment="0" applyProtection="0"/>
    <xf numFmtId="0" fontId="32" fillId="24" borderId="60" applyNumberFormat="0" applyAlignment="0" applyProtection="0"/>
    <xf numFmtId="0" fontId="16" fillId="24" borderId="60" applyNumberFormat="0" applyAlignment="0" applyProtection="0"/>
    <xf numFmtId="0" fontId="16" fillId="24" borderId="60" applyNumberFormat="0" applyAlignment="0" applyProtection="0"/>
    <xf numFmtId="0" fontId="16" fillId="24" borderId="60" applyNumberFormat="0" applyAlignment="0" applyProtection="0"/>
    <xf numFmtId="0" fontId="16" fillId="24" borderId="60" applyNumberFormat="0" applyAlignment="0" applyProtection="0"/>
    <xf numFmtId="0" fontId="16" fillId="24" borderId="60" applyNumberFormat="0" applyAlignment="0" applyProtection="0"/>
    <xf numFmtId="0" fontId="16" fillId="24" borderId="60" applyNumberFormat="0" applyAlignment="0" applyProtection="0"/>
    <xf numFmtId="0" fontId="16" fillId="24" borderId="60" applyNumberFormat="0" applyAlignment="0" applyProtection="0"/>
    <xf numFmtId="0" fontId="16" fillId="24" borderId="60" applyNumberFormat="0" applyAlignment="0" applyProtection="0"/>
    <xf numFmtId="0" fontId="16" fillId="24" borderId="60" applyNumberFormat="0" applyAlignment="0" applyProtection="0"/>
    <xf numFmtId="0" fontId="16" fillId="24" borderId="60" applyNumberFormat="0" applyAlignment="0" applyProtection="0"/>
    <xf numFmtId="0" fontId="16" fillId="24" borderId="60" applyNumberFormat="0" applyAlignment="0" applyProtection="0"/>
    <xf numFmtId="0" fontId="16" fillId="24" borderId="60" applyNumberFormat="0" applyAlignment="0" applyProtection="0"/>
    <xf numFmtId="0" fontId="16" fillId="24" borderId="60" applyNumberFormat="0" applyAlignment="0" applyProtection="0"/>
    <xf numFmtId="0" fontId="16" fillId="24" borderId="60" applyNumberFormat="0" applyAlignment="0" applyProtection="0"/>
    <xf numFmtId="0" fontId="16" fillId="24" borderId="60" applyNumberFormat="0" applyAlignment="0" applyProtection="0"/>
    <xf numFmtId="0" fontId="16" fillId="24" borderId="60" applyNumberFormat="0" applyAlignment="0" applyProtection="0"/>
    <xf numFmtId="0" fontId="16" fillId="24" borderId="60" applyNumberFormat="0" applyAlignment="0" applyProtection="0"/>
    <xf numFmtId="0" fontId="16" fillId="24" borderId="60" applyNumberFormat="0" applyAlignment="0" applyProtection="0"/>
    <xf numFmtId="0" fontId="16" fillId="24" borderId="60" applyNumberFormat="0" applyAlignment="0" applyProtection="0"/>
    <xf numFmtId="0" fontId="16" fillId="24" borderId="60" applyNumberFormat="0" applyAlignment="0" applyProtection="0"/>
    <xf numFmtId="0" fontId="16" fillId="24" borderId="60" applyNumberFormat="0" applyAlignment="0" applyProtection="0"/>
    <xf numFmtId="0" fontId="16" fillId="24" borderId="60" applyNumberFormat="0" applyAlignment="0" applyProtection="0"/>
    <xf numFmtId="0" fontId="16" fillId="24" borderId="60" applyNumberFormat="0" applyAlignment="0" applyProtection="0"/>
    <xf numFmtId="0" fontId="16" fillId="24" borderId="60" applyNumberFormat="0" applyAlignment="0" applyProtection="0"/>
    <xf numFmtId="0" fontId="16" fillId="24" borderId="60" applyNumberFormat="0" applyAlignment="0" applyProtection="0"/>
    <xf numFmtId="0" fontId="16" fillId="24" borderId="60" applyNumberFormat="0" applyAlignment="0" applyProtection="0"/>
    <xf numFmtId="0" fontId="16" fillId="24" borderId="60" applyNumberFormat="0" applyAlignment="0" applyProtection="0"/>
    <xf numFmtId="0" fontId="16" fillId="24" borderId="60" applyNumberFormat="0" applyAlignment="0" applyProtection="0"/>
    <xf numFmtId="0" fontId="16" fillId="24" borderId="60" applyNumberFormat="0" applyAlignment="0" applyProtection="0"/>
    <xf numFmtId="0" fontId="16" fillId="24" borderId="60" applyNumberFormat="0" applyAlignment="0" applyProtection="0"/>
    <xf numFmtId="0" fontId="16" fillId="24" borderId="60" applyNumberFormat="0" applyAlignment="0" applyProtection="0"/>
    <xf numFmtId="0" fontId="16" fillId="24" borderId="60" applyNumberFormat="0" applyAlignment="0" applyProtection="0"/>
    <xf numFmtId="0" fontId="16" fillId="24" borderId="60" applyNumberFormat="0" applyAlignment="0" applyProtection="0"/>
    <xf numFmtId="0" fontId="16" fillId="24" borderId="60" applyNumberFormat="0" applyAlignment="0" applyProtection="0"/>
    <xf numFmtId="0" fontId="16" fillId="24" borderId="60" applyNumberFormat="0" applyAlignment="0" applyProtection="0"/>
    <xf numFmtId="0" fontId="16" fillId="24" borderId="60" applyNumberFormat="0" applyAlignment="0" applyProtection="0"/>
    <xf numFmtId="0" fontId="16" fillId="24" borderId="60" applyNumberFormat="0" applyAlignment="0" applyProtection="0"/>
    <xf numFmtId="0" fontId="16" fillId="24" borderId="60" applyNumberFormat="0" applyAlignment="0" applyProtection="0"/>
    <xf numFmtId="0" fontId="16" fillId="24" borderId="60" applyNumberFormat="0" applyAlignment="0" applyProtection="0"/>
    <xf numFmtId="0" fontId="16" fillId="24" borderId="60" applyNumberFormat="0" applyAlignment="0" applyProtection="0"/>
    <xf numFmtId="0" fontId="16" fillId="24" borderId="60" applyNumberFormat="0" applyAlignment="0" applyProtection="0"/>
    <xf numFmtId="0" fontId="16" fillId="24" borderId="60" applyNumberFormat="0" applyAlignment="0" applyProtection="0"/>
    <xf numFmtId="0" fontId="16" fillId="24" borderId="60" applyNumberFormat="0" applyAlignment="0" applyProtection="0"/>
    <xf numFmtId="0" fontId="16" fillId="24" borderId="60" applyNumberFormat="0" applyAlignment="0" applyProtection="0"/>
    <xf numFmtId="0" fontId="16" fillId="24" borderId="60" applyNumberFormat="0" applyAlignment="0" applyProtection="0"/>
    <xf numFmtId="0" fontId="16" fillId="24" borderId="60" applyNumberFormat="0" applyAlignment="0" applyProtection="0"/>
    <xf numFmtId="0" fontId="16" fillId="24" borderId="60" applyNumberFormat="0" applyAlignment="0" applyProtection="0"/>
    <xf numFmtId="0" fontId="16" fillId="24" borderId="60" applyNumberFormat="0" applyAlignment="0" applyProtection="0"/>
    <xf numFmtId="0" fontId="16" fillId="24" borderId="60" applyNumberFormat="0" applyAlignment="0" applyProtection="0"/>
    <xf numFmtId="0" fontId="48" fillId="24" borderId="60" applyNumberFormat="0" applyAlignment="0" applyProtection="0"/>
    <xf numFmtId="0" fontId="48" fillId="24" borderId="60" applyNumberFormat="0" applyAlignment="0" applyProtection="0"/>
    <xf numFmtId="0" fontId="48" fillId="24" borderId="60" applyNumberFormat="0" applyAlignment="0" applyProtection="0"/>
    <xf numFmtId="0" fontId="48" fillId="24" borderId="60" applyNumberFormat="0" applyAlignment="0" applyProtection="0"/>
    <xf numFmtId="0" fontId="48" fillId="24" borderId="60" applyNumberFormat="0" applyAlignment="0" applyProtection="0"/>
    <xf numFmtId="0" fontId="48" fillId="24" borderId="60" applyNumberFormat="0" applyAlignment="0" applyProtection="0"/>
    <xf numFmtId="0" fontId="48" fillId="24" borderId="60" applyNumberFormat="0" applyAlignment="0" applyProtection="0"/>
    <xf numFmtId="0" fontId="48" fillId="24" borderId="60" applyNumberFormat="0" applyAlignment="0" applyProtection="0"/>
    <xf numFmtId="0" fontId="48" fillId="24" borderId="60" applyNumberFormat="0" applyAlignment="0" applyProtection="0"/>
    <xf numFmtId="0" fontId="48" fillId="24" borderId="60" applyNumberFormat="0" applyAlignment="0" applyProtection="0"/>
    <xf numFmtId="0" fontId="48" fillId="24" borderId="60" applyNumberFormat="0" applyAlignment="0" applyProtection="0"/>
    <xf numFmtId="0" fontId="48" fillId="24" borderId="60" applyNumberFormat="0" applyAlignment="0" applyProtection="0"/>
    <xf numFmtId="0" fontId="48" fillId="24" borderId="60" applyNumberFormat="0" applyAlignment="0" applyProtection="0"/>
    <xf numFmtId="0" fontId="48" fillId="24" borderId="60" applyNumberFormat="0" applyAlignment="0" applyProtection="0"/>
    <xf numFmtId="0" fontId="48" fillId="24" borderId="60" applyNumberFormat="0" applyAlignment="0" applyProtection="0"/>
    <xf numFmtId="0" fontId="48" fillId="24" borderId="60" applyNumberFormat="0" applyAlignment="0" applyProtection="0"/>
    <xf numFmtId="0" fontId="48" fillId="24" borderId="60" applyNumberFormat="0" applyAlignment="0" applyProtection="0"/>
    <xf numFmtId="0" fontId="48" fillId="24" borderId="60" applyNumberFormat="0" applyAlignment="0" applyProtection="0"/>
    <xf numFmtId="0" fontId="48" fillId="24" borderId="60" applyNumberFormat="0" applyAlignment="0" applyProtection="0"/>
    <xf numFmtId="0" fontId="48" fillId="24" borderId="60" applyNumberFormat="0" applyAlignment="0" applyProtection="0"/>
    <xf numFmtId="0" fontId="48" fillId="24" borderId="60" applyNumberFormat="0" applyAlignment="0" applyProtection="0"/>
    <xf numFmtId="0" fontId="48" fillId="24" borderId="60" applyNumberFormat="0" applyAlignment="0" applyProtection="0"/>
    <xf numFmtId="0" fontId="48" fillId="24" borderId="60" applyNumberFormat="0" applyAlignment="0" applyProtection="0"/>
    <xf numFmtId="0" fontId="48" fillId="24" borderId="60" applyNumberFormat="0" applyAlignment="0" applyProtection="0"/>
    <xf numFmtId="0" fontId="48" fillId="24" borderId="60" applyNumberFormat="0" applyAlignment="0" applyProtection="0"/>
    <xf numFmtId="0" fontId="48" fillId="24" borderId="60" applyNumberFormat="0" applyAlignment="0" applyProtection="0"/>
    <xf numFmtId="0" fontId="48" fillId="24" borderId="60" applyNumberFormat="0" applyAlignment="0" applyProtection="0"/>
    <xf numFmtId="0" fontId="48" fillId="24" borderId="60" applyNumberFormat="0" applyAlignment="0" applyProtection="0"/>
    <xf numFmtId="0" fontId="48" fillId="24" borderId="60" applyNumberFormat="0" applyAlignment="0" applyProtection="0"/>
    <xf numFmtId="0" fontId="48" fillId="24" borderId="60" applyNumberFormat="0" applyAlignment="0" applyProtection="0"/>
    <xf numFmtId="0" fontId="48" fillId="24" borderId="60" applyNumberFormat="0" applyAlignment="0" applyProtection="0"/>
    <xf numFmtId="0" fontId="48" fillId="24" borderId="60" applyNumberFormat="0" applyAlignment="0" applyProtection="0"/>
    <xf numFmtId="0" fontId="48" fillId="24" borderId="60" applyNumberFormat="0" applyAlignment="0" applyProtection="0"/>
    <xf numFmtId="0" fontId="48" fillId="24" borderId="60" applyNumberFormat="0" applyAlignment="0" applyProtection="0"/>
    <xf numFmtId="0" fontId="48" fillId="24" borderId="60" applyNumberFormat="0" applyAlignment="0" applyProtection="0"/>
    <xf numFmtId="0" fontId="48" fillId="24" borderId="60" applyNumberFormat="0" applyAlignment="0" applyProtection="0"/>
    <xf numFmtId="0" fontId="48" fillId="24" borderId="60" applyNumberFormat="0" applyAlignment="0" applyProtection="0"/>
    <xf numFmtId="0" fontId="48" fillId="24" borderId="60" applyNumberFormat="0" applyAlignment="0" applyProtection="0"/>
    <xf numFmtId="0" fontId="48" fillId="24" borderId="60" applyNumberFormat="0" applyAlignment="0" applyProtection="0"/>
    <xf numFmtId="0" fontId="48" fillId="24" borderId="60" applyNumberFormat="0" applyAlignment="0" applyProtection="0"/>
    <xf numFmtId="0" fontId="48" fillId="24" borderId="60" applyNumberFormat="0" applyAlignment="0" applyProtection="0"/>
    <xf numFmtId="0" fontId="48" fillId="24" borderId="60" applyNumberFormat="0" applyAlignment="0" applyProtection="0"/>
    <xf numFmtId="0" fontId="48" fillId="24" borderId="60" applyNumberFormat="0" applyAlignment="0" applyProtection="0"/>
    <xf numFmtId="0" fontId="48" fillId="24" borderId="60" applyNumberFormat="0" applyAlignment="0" applyProtection="0"/>
    <xf numFmtId="0" fontId="48" fillId="24" borderId="60" applyNumberFormat="0" applyAlignment="0" applyProtection="0"/>
    <xf numFmtId="0" fontId="48" fillId="24" borderId="60" applyNumberFormat="0" applyAlignment="0" applyProtection="0"/>
    <xf numFmtId="0" fontId="48" fillId="24" borderId="60" applyNumberFormat="0" applyAlignment="0" applyProtection="0"/>
    <xf numFmtId="0" fontId="48" fillId="24" borderId="60" applyNumberFormat="0" applyAlignment="0" applyProtection="0"/>
    <xf numFmtId="0" fontId="48" fillId="12" borderId="60" applyNumberFormat="0" applyAlignment="0" applyProtection="0"/>
    <xf numFmtId="0" fontId="48" fillId="12" borderId="60" applyNumberFormat="0" applyAlignment="0" applyProtection="0"/>
    <xf numFmtId="0" fontId="48" fillId="12" borderId="60" applyNumberFormat="0" applyAlignment="0" applyProtection="0"/>
    <xf numFmtId="0" fontId="48" fillId="12" borderId="60" applyNumberFormat="0" applyAlignment="0" applyProtection="0"/>
    <xf numFmtId="0" fontId="48" fillId="12" borderId="60" applyNumberFormat="0" applyAlignment="0" applyProtection="0"/>
    <xf numFmtId="0" fontId="48" fillId="12" borderId="60" applyNumberFormat="0" applyAlignment="0" applyProtection="0"/>
    <xf numFmtId="0" fontId="48" fillId="12" borderId="60" applyNumberFormat="0" applyAlignment="0" applyProtection="0"/>
    <xf numFmtId="0" fontId="48" fillId="12" borderId="60" applyNumberFormat="0" applyAlignment="0" applyProtection="0"/>
    <xf numFmtId="0" fontId="48" fillId="12" borderId="60" applyNumberFormat="0" applyAlignment="0" applyProtection="0"/>
    <xf numFmtId="0" fontId="48" fillId="12" borderId="60" applyNumberFormat="0" applyAlignment="0" applyProtection="0"/>
    <xf numFmtId="0" fontId="48" fillId="12" borderId="60" applyNumberFormat="0" applyAlignment="0" applyProtection="0"/>
    <xf numFmtId="0" fontId="48" fillId="12" borderId="60" applyNumberFormat="0" applyAlignment="0" applyProtection="0"/>
    <xf numFmtId="0" fontId="48" fillId="12" borderId="60" applyNumberFormat="0" applyAlignment="0" applyProtection="0"/>
    <xf numFmtId="0" fontId="48" fillId="12" borderId="60" applyNumberFormat="0" applyAlignment="0" applyProtection="0"/>
    <xf numFmtId="0" fontId="48" fillId="12" borderId="60" applyNumberFormat="0" applyAlignment="0" applyProtection="0"/>
    <xf numFmtId="0" fontId="48" fillId="12" borderId="60" applyNumberFormat="0" applyAlignment="0" applyProtection="0"/>
    <xf numFmtId="0" fontId="48" fillId="12" borderId="60" applyNumberFormat="0" applyAlignment="0" applyProtection="0"/>
    <xf numFmtId="0" fontId="48" fillId="12" borderId="60" applyNumberFormat="0" applyAlignment="0" applyProtection="0"/>
    <xf numFmtId="0" fontId="48" fillId="12" borderId="60" applyNumberFormat="0" applyAlignment="0" applyProtection="0"/>
    <xf numFmtId="0" fontId="48" fillId="12" borderId="60" applyNumberFormat="0" applyAlignment="0" applyProtection="0"/>
    <xf numFmtId="0" fontId="48" fillId="12" borderId="60" applyNumberFormat="0" applyAlignment="0" applyProtection="0"/>
    <xf numFmtId="0" fontId="48" fillId="12" borderId="60" applyNumberFormat="0" applyAlignment="0" applyProtection="0"/>
    <xf numFmtId="0" fontId="48" fillId="12" borderId="60" applyNumberFormat="0" applyAlignment="0" applyProtection="0"/>
    <xf numFmtId="0" fontId="48" fillId="12" borderId="60" applyNumberFormat="0" applyAlignment="0" applyProtection="0"/>
    <xf numFmtId="0" fontId="48" fillId="12" borderId="60" applyNumberFormat="0" applyAlignment="0" applyProtection="0"/>
    <xf numFmtId="0" fontId="48" fillId="12" borderId="60" applyNumberFormat="0" applyAlignment="0" applyProtection="0"/>
    <xf numFmtId="0" fontId="48" fillId="12" borderId="60" applyNumberFormat="0" applyAlignment="0" applyProtection="0"/>
    <xf numFmtId="0" fontId="48" fillId="12" borderId="60" applyNumberFormat="0" applyAlignment="0" applyProtection="0"/>
    <xf numFmtId="0" fontId="48" fillId="12" borderId="60" applyNumberFormat="0" applyAlignment="0" applyProtection="0"/>
    <xf numFmtId="0" fontId="48" fillId="12" borderId="60" applyNumberFormat="0" applyAlignment="0" applyProtection="0"/>
    <xf numFmtId="0" fontId="48" fillId="12" borderId="60" applyNumberFormat="0" applyAlignment="0" applyProtection="0"/>
    <xf numFmtId="0" fontId="48" fillId="12" borderId="60" applyNumberFormat="0" applyAlignment="0" applyProtection="0"/>
    <xf numFmtId="0" fontId="48" fillId="12" borderId="60" applyNumberFormat="0" applyAlignment="0" applyProtection="0"/>
    <xf numFmtId="0" fontId="48" fillId="12" borderId="60" applyNumberFormat="0" applyAlignment="0" applyProtection="0"/>
    <xf numFmtId="0" fontId="48" fillId="12" borderId="60" applyNumberFormat="0" applyAlignment="0" applyProtection="0"/>
    <xf numFmtId="0" fontId="48" fillId="12" borderId="60" applyNumberFormat="0" applyAlignment="0" applyProtection="0"/>
    <xf numFmtId="0" fontId="48" fillId="12" borderId="60" applyNumberFormat="0" applyAlignment="0" applyProtection="0"/>
    <xf numFmtId="0" fontId="48" fillId="12" borderId="60" applyNumberFormat="0" applyAlignment="0" applyProtection="0"/>
    <xf numFmtId="0" fontId="48" fillId="12" borderId="60" applyNumberFormat="0" applyAlignment="0" applyProtection="0"/>
    <xf numFmtId="0" fontId="48" fillId="12" borderId="60" applyNumberFormat="0" applyAlignment="0" applyProtection="0"/>
    <xf numFmtId="0" fontId="48" fillId="12" borderId="60" applyNumberFormat="0" applyAlignment="0" applyProtection="0"/>
    <xf numFmtId="0" fontId="48" fillId="12" borderId="60" applyNumberFormat="0" applyAlignment="0" applyProtection="0"/>
    <xf numFmtId="0" fontId="48" fillId="12" borderId="60" applyNumberFormat="0" applyAlignment="0" applyProtection="0"/>
    <xf numFmtId="0" fontId="48" fillId="12" borderId="60" applyNumberFormat="0" applyAlignment="0" applyProtection="0"/>
    <xf numFmtId="0" fontId="48" fillId="12" borderId="60" applyNumberFormat="0" applyAlignment="0" applyProtection="0"/>
    <xf numFmtId="0" fontId="48" fillId="12" borderId="60" applyNumberFormat="0" applyAlignment="0" applyProtection="0"/>
    <xf numFmtId="0" fontId="48" fillId="12" borderId="60" applyNumberFormat="0" applyAlignment="0" applyProtection="0"/>
    <xf numFmtId="0" fontId="48" fillId="12" borderId="60" applyNumberFormat="0" applyAlignment="0" applyProtection="0"/>
    <xf numFmtId="0" fontId="48" fillId="12" borderId="60" applyNumberFormat="0" applyAlignment="0" applyProtection="0"/>
    <xf numFmtId="0" fontId="48" fillId="12" borderId="60" applyNumberFormat="0" applyAlignment="0" applyProtection="0"/>
    <xf numFmtId="0" fontId="48" fillId="12" borderId="60" applyNumberFormat="0" applyAlignment="0" applyProtection="0"/>
    <xf numFmtId="0" fontId="48" fillId="12" borderId="60" applyNumberFormat="0" applyAlignment="0" applyProtection="0"/>
    <xf numFmtId="0" fontId="48" fillId="12" borderId="60" applyNumberFormat="0" applyAlignment="0" applyProtection="0"/>
    <xf numFmtId="0" fontId="48" fillId="12" borderId="60" applyNumberFormat="0" applyAlignment="0" applyProtection="0"/>
    <xf numFmtId="0" fontId="48" fillId="12" borderId="60" applyNumberFormat="0" applyAlignment="0" applyProtection="0"/>
    <xf numFmtId="0" fontId="48" fillId="12" borderId="60" applyNumberFormat="0" applyAlignment="0" applyProtection="0"/>
    <xf numFmtId="0" fontId="48" fillId="12" borderId="60" applyNumberFormat="0" applyAlignment="0" applyProtection="0"/>
    <xf numFmtId="0" fontId="48" fillId="12" borderId="60" applyNumberFormat="0" applyAlignment="0" applyProtection="0"/>
    <xf numFmtId="0" fontId="48" fillId="12" borderId="60" applyNumberFormat="0" applyAlignment="0" applyProtection="0"/>
    <xf numFmtId="0" fontId="48" fillId="12" borderId="60" applyNumberFormat="0" applyAlignment="0" applyProtection="0"/>
    <xf numFmtId="0" fontId="48" fillId="12" borderId="60" applyNumberFormat="0" applyAlignment="0" applyProtection="0"/>
    <xf numFmtId="0" fontId="48" fillId="12" borderId="60" applyNumberFormat="0" applyAlignment="0" applyProtection="0"/>
    <xf numFmtId="0" fontId="48" fillId="12" borderId="60" applyNumberFormat="0" applyAlignment="0" applyProtection="0"/>
    <xf numFmtId="0" fontId="48" fillId="12" borderId="60" applyNumberFormat="0" applyAlignment="0" applyProtection="0"/>
    <xf numFmtId="0" fontId="48" fillId="12" borderId="60" applyNumberFormat="0" applyAlignment="0" applyProtection="0"/>
    <xf numFmtId="0" fontId="48" fillId="12" borderId="60" applyNumberFormat="0" applyAlignment="0" applyProtection="0"/>
    <xf numFmtId="0" fontId="48" fillId="12" borderId="60" applyNumberFormat="0" applyAlignment="0" applyProtection="0"/>
    <xf numFmtId="0" fontId="48" fillId="12" borderId="60" applyNumberFormat="0" applyAlignment="0" applyProtection="0"/>
    <xf numFmtId="0" fontId="48" fillId="12" borderId="60" applyNumberFormat="0" applyAlignment="0" applyProtection="0"/>
    <xf numFmtId="0" fontId="48" fillId="12" borderId="60" applyNumberFormat="0" applyAlignment="0" applyProtection="0"/>
    <xf numFmtId="0" fontId="48" fillId="12" borderId="60" applyNumberFormat="0" applyAlignment="0" applyProtection="0"/>
    <xf numFmtId="0" fontId="48" fillId="12" borderId="60" applyNumberFormat="0" applyAlignment="0" applyProtection="0"/>
    <xf numFmtId="0" fontId="48" fillId="12" borderId="60" applyNumberFormat="0" applyAlignment="0" applyProtection="0"/>
    <xf numFmtId="0" fontId="48" fillId="12" borderId="60" applyNumberFormat="0" applyAlignment="0" applyProtection="0"/>
    <xf numFmtId="0" fontId="48" fillId="12" borderId="60" applyNumberFormat="0" applyAlignment="0" applyProtection="0"/>
    <xf numFmtId="0" fontId="48" fillId="12" borderId="60" applyNumberFormat="0" applyAlignment="0" applyProtection="0"/>
    <xf numFmtId="0" fontId="48" fillId="12" borderId="60" applyNumberFormat="0" applyAlignment="0" applyProtection="0"/>
    <xf numFmtId="0" fontId="16" fillId="24" borderId="60" applyNumberFormat="0" applyAlignment="0" applyProtection="0"/>
    <xf numFmtId="0" fontId="16" fillId="24" borderId="60" applyNumberFormat="0" applyAlignment="0" applyProtection="0"/>
    <xf numFmtId="0" fontId="16" fillId="24" borderId="60" applyNumberFormat="0" applyAlignment="0" applyProtection="0"/>
    <xf numFmtId="0" fontId="16" fillId="24" borderId="60" applyNumberFormat="0" applyAlignment="0" applyProtection="0"/>
    <xf numFmtId="0" fontId="16" fillId="24" borderId="60" applyNumberFormat="0" applyAlignment="0" applyProtection="0"/>
    <xf numFmtId="0" fontId="16" fillId="24" borderId="60" applyNumberFormat="0" applyAlignment="0" applyProtection="0"/>
    <xf numFmtId="0" fontId="16" fillId="24" borderId="60" applyNumberFormat="0" applyAlignment="0" applyProtection="0"/>
    <xf numFmtId="0" fontId="16" fillId="24" borderId="60" applyNumberFormat="0" applyAlignment="0" applyProtection="0"/>
    <xf numFmtId="0" fontId="16" fillId="24" borderId="60" applyNumberFormat="0" applyAlignment="0" applyProtection="0"/>
    <xf numFmtId="0" fontId="16" fillId="24" borderId="60" applyNumberFormat="0" applyAlignment="0" applyProtection="0"/>
    <xf numFmtId="0" fontId="16" fillId="24" borderId="60" applyNumberFormat="0" applyAlignment="0" applyProtection="0"/>
    <xf numFmtId="0" fontId="16" fillId="24" borderId="60" applyNumberFormat="0" applyAlignment="0" applyProtection="0"/>
    <xf numFmtId="0" fontId="16" fillId="24" borderId="60" applyNumberFormat="0" applyAlignment="0" applyProtection="0"/>
    <xf numFmtId="0" fontId="16" fillId="24" borderId="60" applyNumberFormat="0" applyAlignment="0" applyProtection="0"/>
    <xf numFmtId="0" fontId="16" fillId="24" borderId="60" applyNumberFormat="0" applyAlignment="0" applyProtection="0"/>
    <xf numFmtId="0" fontId="16" fillId="24" borderId="60" applyNumberFormat="0" applyAlignment="0" applyProtection="0"/>
    <xf numFmtId="0" fontId="16" fillId="24" borderId="60" applyNumberFormat="0" applyAlignment="0" applyProtection="0"/>
    <xf numFmtId="0" fontId="16" fillId="24" borderId="60" applyNumberFormat="0" applyAlignment="0" applyProtection="0"/>
    <xf numFmtId="0" fontId="16" fillId="24" borderId="60" applyNumberFormat="0" applyAlignment="0" applyProtection="0"/>
    <xf numFmtId="0" fontId="16" fillId="24" borderId="60" applyNumberFormat="0" applyAlignment="0" applyProtection="0"/>
    <xf numFmtId="0" fontId="16" fillId="24" borderId="60" applyNumberFormat="0" applyAlignment="0" applyProtection="0"/>
    <xf numFmtId="0" fontId="16" fillId="24" borderId="60" applyNumberFormat="0" applyAlignment="0" applyProtection="0"/>
    <xf numFmtId="0" fontId="16" fillId="24" borderId="60" applyNumberFormat="0" applyAlignment="0" applyProtection="0"/>
    <xf numFmtId="0" fontId="16" fillId="24" borderId="60" applyNumberFormat="0" applyAlignment="0" applyProtection="0"/>
    <xf numFmtId="0" fontId="16" fillId="24" borderId="60" applyNumberFormat="0" applyAlignment="0" applyProtection="0"/>
    <xf numFmtId="0" fontId="16" fillId="24" borderId="60" applyNumberFormat="0" applyAlignment="0" applyProtection="0"/>
    <xf numFmtId="0" fontId="16" fillId="24" borderId="60" applyNumberFormat="0" applyAlignment="0" applyProtection="0"/>
    <xf numFmtId="0" fontId="16" fillId="24" borderId="60" applyNumberFormat="0" applyAlignment="0" applyProtection="0"/>
    <xf numFmtId="0" fontId="16" fillId="24" borderId="60" applyNumberFormat="0" applyAlignment="0" applyProtection="0"/>
    <xf numFmtId="0" fontId="16" fillId="24" borderId="60" applyNumberFormat="0" applyAlignment="0" applyProtection="0"/>
    <xf numFmtId="0" fontId="16" fillId="24" borderId="60" applyNumberFormat="0" applyAlignment="0" applyProtection="0"/>
    <xf numFmtId="0" fontId="16" fillId="24" borderId="60" applyNumberFormat="0" applyAlignment="0" applyProtection="0"/>
    <xf numFmtId="0" fontId="16" fillId="24" borderId="60" applyNumberFormat="0" applyAlignment="0" applyProtection="0"/>
    <xf numFmtId="0" fontId="16" fillId="24" borderId="60" applyNumberFormat="0" applyAlignment="0" applyProtection="0"/>
    <xf numFmtId="0" fontId="16" fillId="24" borderId="60" applyNumberFormat="0" applyAlignment="0" applyProtection="0"/>
    <xf numFmtId="0" fontId="16" fillId="24" borderId="60" applyNumberFormat="0" applyAlignment="0" applyProtection="0"/>
    <xf numFmtId="0" fontId="16" fillId="24" borderId="60" applyNumberFormat="0" applyAlignment="0" applyProtection="0"/>
    <xf numFmtId="0" fontId="16" fillId="24" borderId="60" applyNumberFormat="0" applyAlignment="0" applyProtection="0"/>
    <xf numFmtId="0" fontId="16" fillId="24" borderId="60" applyNumberFormat="0" applyAlignment="0" applyProtection="0"/>
    <xf numFmtId="0" fontId="16" fillId="24" borderId="60" applyNumberFormat="0" applyAlignment="0" applyProtection="0"/>
    <xf numFmtId="0" fontId="16" fillId="24" borderId="60" applyNumberFormat="0" applyAlignment="0" applyProtection="0"/>
    <xf numFmtId="0" fontId="16" fillId="24" borderId="60" applyNumberFormat="0" applyAlignment="0" applyProtection="0"/>
    <xf numFmtId="0" fontId="16" fillId="24" borderId="60" applyNumberFormat="0" applyAlignment="0" applyProtection="0"/>
    <xf numFmtId="0" fontId="16" fillId="24" borderId="60" applyNumberFormat="0" applyAlignment="0" applyProtection="0"/>
    <xf numFmtId="0" fontId="16" fillId="24" borderId="60" applyNumberFormat="0" applyAlignment="0" applyProtection="0"/>
    <xf numFmtId="0" fontId="16" fillId="24" borderId="60" applyNumberFormat="0" applyAlignment="0" applyProtection="0"/>
    <xf numFmtId="0" fontId="16" fillId="24" borderId="60" applyNumberFormat="0" applyAlignment="0" applyProtection="0"/>
    <xf numFmtId="0" fontId="16" fillId="24" borderId="60" applyNumberFormat="0" applyAlignment="0" applyProtection="0"/>
    <xf numFmtId="0" fontId="16" fillId="24" borderId="60" applyNumberFormat="0" applyAlignment="0" applyProtection="0"/>
    <xf numFmtId="0" fontId="48" fillId="12" borderId="60" applyNumberFormat="0" applyAlignment="0" applyProtection="0"/>
    <xf numFmtId="0" fontId="48" fillId="12" borderId="60" applyNumberFormat="0" applyAlignment="0" applyProtection="0"/>
    <xf numFmtId="0" fontId="48" fillId="12" borderId="60" applyNumberFormat="0" applyAlignment="0" applyProtection="0"/>
    <xf numFmtId="0" fontId="48" fillId="12" borderId="60" applyNumberFormat="0" applyAlignment="0" applyProtection="0"/>
    <xf numFmtId="0" fontId="48" fillId="12" borderId="60" applyNumberFormat="0" applyAlignment="0" applyProtection="0"/>
    <xf numFmtId="0" fontId="48" fillId="12" borderId="60" applyNumberFormat="0" applyAlignment="0" applyProtection="0"/>
    <xf numFmtId="0" fontId="48" fillId="12" borderId="60" applyNumberFormat="0" applyAlignment="0" applyProtection="0"/>
    <xf numFmtId="0" fontId="48" fillId="12" borderId="60" applyNumberFormat="0" applyAlignment="0" applyProtection="0"/>
    <xf numFmtId="0" fontId="48" fillId="12" borderId="60" applyNumberFormat="0" applyAlignment="0" applyProtection="0"/>
    <xf numFmtId="0" fontId="48" fillId="12" borderId="60" applyNumberFormat="0" applyAlignment="0" applyProtection="0"/>
    <xf numFmtId="0" fontId="48" fillId="12" borderId="60" applyNumberFormat="0" applyAlignment="0" applyProtection="0"/>
    <xf numFmtId="0" fontId="48" fillId="12" borderId="60" applyNumberFormat="0" applyAlignment="0" applyProtection="0"/>
    <xf numFmtId="0" fontId="48" fillId="12" borderId="60" applyNumberFormat="0" applyAlignment="0" applyProtection="0"/>
    <xf numFmtId="0" fontId="48" fillId="12" borderId="60" applyNumberFormat="0" applyAlignment="0" applyProtection="0"/>
    <xf numFmtId="0" fontId="48" fillId="12" borderId="60" applyNumberFormat="0" applyAlignment="0" applyProtection="0"/>
    <xf numFmtId="0" fontId="48" fillId="12" borderId="60" applyNumberFormat="0" applyAlignment="0" applyProtection="0"/>
    <xf numFmtId="0" fontId="48" fillId="12" borderId="60" applyNumberFormat="0" applyAlignment="0" applyProtection="0"/>
    <xf numFmtId="0" fontId="48" fillId="12" borderId="60" applyNumberFormat="0" applyAlignment="0" applyProtection="0"/>
    <xf numFmtId="0" fontId="48" fillId="12" borderId="60" applyNumberFormat="0" applyAlignment="0" applyProtection="0"/>
    <xf numFmtId="0" fontId="48" fillId="12" borderId="60" applyNumberFormat="0" applyAlignment="0" applyProtection="0"/>
    <xf numFmtId="0" fontId="48" fillId="12" borderId="60" applyNumberFormat="0" applyAlignment="0" applyProtection="0"/>
    <xf numFmtId="0" fontId="48" fillId="12" borderId="60" applyNumberFormat="0" applyAlignment="0" applyProtection="0"/>
    <xf numFmtId="0" fontId="48" fillId="12" borderId="60" applyNumberFormat="0" applyAlignment="0" applyProtection="0"/>
    <xf numFmtId="0" fontId="48" fillId="12" borderId="60" applyNumberFormat="0" applyAlignment="0" applyProtection="0"/>
    <xf numFmtId="0" fontId="48" fillId="12" borderId="60" applyNumberFormat="0" applyAlignment="0" applyProtection="0"/>
    <xf numFmtId="0" fontId="48" fillId="12" borderId="60" applyNumberFormat="0" applyAlignment="0" applyProtection="0"/>
    <xf numFmtId="0" fontId="48" fillId="12" borderId="60" applyNumberFormat="0" applyAlignment="0" applyProtection="0"/>
    <xf numFmtId="0" fontId="48" fillId="12" borderId="60" applyNumberFormat="0" applyAlignment="0" applyProtection="0"/>
    <xf numFmtId="0" fontId="48" fillId="12" borderId="60" applyNumberFormat="0" applyAlignment="0" applyProtection="0"/>
    <xf numFmtId="0" fontId="48" fillId="12" borderId="60" applyNumberFormat="0" applyAlignment="0" applyProtection="0"/>
    <xf numFmtId="0" fontId="48" fillId="12" borderId="60" applyNumberFormat="0" applyAlignment="0" applyProtection="0"/>
    <xf numFmtId="0" fontId="48" fillId="12" borderId="60" applyNumberFormat="0" applyAlignment="0" applyProtection="0"/>
    <xf numFmtId="0" fontId="48" fillId="12" borderId="60" applyNumberFormat="0" applyAlignment="0" applyProtection="0"/>
    <xf numFmtId="0" fontId="48" fillId="12" borderId="60" applyNumberFormat="0" applyAlignment="0" applyProtection="0"/>
    <xf numFmtId="0" fontId="48" fillId="12" borderId="60" applyNumberFormat="0" applyAlignment="0" applyProtection="0"/>
    <xf numFmtId="0" fontId="48" fillId="12" borderId="60" applyNumberFormat="0" applyAlignment="0" applyProtection="0"/>
    <xf numFmtId="0" fontId="48" fillId="12" borderId="60" applyNumberFormat="0" applyAlignment="0" applyProtection="0"/>
    <xf numFmtId="0" fontId="48" fillId="12" borderId="60" applyNumberFormat="0" applyAlignment="0" applyProtection="0"/>
    <xf numFmtId="0" fontId="48" fillId="12" borderId="60" applyNumberFormat="0" applyAlignment="0" applyProtection="0"/>
    <xf numFmtId="0" fontId="48" fillId="12" borderId="60" applyNumberFormat="0" applyAlignment="0" applyProtection="0"/>
    <xf numFmtId="0" fontId="48" fillId="12" borderId="60" applyNumberFormat="0" applyAlignment="0" applyProtection="0"/>
    <xf numFmtId="0" fontId="48" fillId="12" borderId="60" applyNumberFormat="0" applyAlignment="0" applyProtection="0"/>
    <xf numFmtId="0" fontId="48" fillId="12" borderId="60" applyNumberFormat="0" applyAlignment="0" applyProtection="0"/>
    <xf numFmtId="0" fontId="48" fillId="12" borderId="60" applyNumberFormat="0" applyAlignment="0" applyProtection="0"/>
    <xf numFmtId="0" fontId="48" fillId="12" borderId="60" applyNumberFormat="0" applyAlignment="0" applyProtection="0"/>
    <xf numFmtId="0" fontId="48" fillId="12" borderId="60" applyNumberFormat="0" applyAlignment="0" applyProtection="0"/>
    <xf numFmtId="0" fontId="48" fillId="12" borderId="60" applyNumberFormat="0" applyAlignment="0" applyProtection="0"/>
    <xf numFmtId="0" fontId="48" fillId="12" borderId="60" applyNumberFormat="0" applyAlignment="0" applyProtection="0"/>
    <xf numFmtId="0" fontId="48" fillId="12" borderId="60" applyNumberFormat="0" applyAlignment="0" applyProtection="0"/>
    <xf numFmtId="0" fontId="48" fillId="12" borderId="60" applyNumberFormat="0" applyAlignment="0" applyProtection="0"/>
    <xf numFmtId="0" fontId="48" fillId="12" borderId="60" applyNumberFormat="0" applyAlignment="0" applyProtection="0"/>
    <xf numFmtId="0" fontId="48" fillId="12" borderId="60" applyNumberFormat="0" applyAlignment="0" applyProtection="0"/>
    <xf numFmtId="0" fontId="48" fillId="12" borderId="60" applyNumberFormat="0" applyAlignment="0" applyProtection="0"/>
    <xf numFmtId="0" fontId="48" fillId="12" borderId="60" applyNumberFormat="0" applyAlignment="0" applyProtection="0"/>
    <xf numFmtId="0" fontId="48" fillId="12" borderId="60" applyNumberFormat="0" applyAlignment="0" applyProtection="0"/>
    <xf numFmtId="0" fontId="48" fillId="12" borderId="60" applyNumberFormat="0" applyAlignment="0" applyProtection="0"/>
    <xf numFmtId="0" fontId="48" fillId="12" borderId="60" applyNumberFormat="0" applyAlignment="0" applyProtection="0"/>
    <xf numFmtId="0" fontId="48" fillId="12" borderId="60" applyNumberFormat="0" applyAlignment="0" applyProtection="0"/>
    <xf numFmtId="0" fontId="48" fillId="12" borderId="60" applyNumberFormat="0" applyAlignment="0" applyProtection="0"/>
    <xf numFmtId="0" fontId="48" fillId="12" borderId="60" applyNumberFormat="0" applyAlignment="0" applyProtection="0"/>
    <xf numFmtId="0" fontId="48" fillId="12" borderId="60" applyNumberFormat="0" applyAlignment="0" applyProtection="0"/>
    <xf numFmtId="0" fontId="48" fillId="12" borderId="60" applyNumberFormat="0" applyAlignment="0" applyProtection="0"/>
    <xf numFmtId="0" fontId="48" fillId="12" borderId="60" applyNumberFormat="0" applyAlignment="0" applyProtection="0"/>
    <xf numFmtId="0" fontId="48" fillId="12" borderId="60" applyNumberFormat="0" applyAlignment="0" applyProtection="0"/>
    <xf numFmtId="0" fontId="48" fillId="12" borderId="60" applyNumberFormat="0" applyAlignment="0" applyProtection="0"/>
    <xf numFmtId="0" fontId="48" fillId="12" borderId="60" applyNumberFormat="0" applyAlignment="0" applyProtection="0"/>
    <xf numFmtId="0" fontId="48" fillId="12" borderId="60" applyNumberFormat="0" applyAlignment="0" applyProtection="0"/>
    <xf numFmtId="0" fontId="48" fillId="12" borderId="60" applyNumberFormat="0" applyAlignment="0" applyProtection="0"/>
    <xf numFmtId="0" fontId="48" fillId="12" borderId="60" applyNumberFormat="0" applyAlignment="0" applyProtection="0"/>
    <xf numFmtId="0" fontId="48" fillId="12" borderId="60" applyNumberFormat="0" applyAlignment="0" applyProtection="0"/>
    <xf numFmtId="0" fontId="48" fillId="12" borderId="60" applyNumberFormat="0" applyAlignment="0" applyProtection="0"/>
    <xf numFmtId="0" fontId="48" fillId="12" borderId="60" applyNumberFormat="0" applyAlignment="0" applyProtection="0"/>
    <xf numFmtId="0" fontId="48" fillId="12" borderId="60" applyNumberFormat="0" applyAlignment="0" applyProtection="0"/>
    <xf numFmtId="0" fontId="48" fillId="12" borderId="60" applyNumberFormat="0" applyAlignment="0" applyProtection="0"/>
    <xf numFmtId="0" fontId="48" fillId="12" borderId="60" applyNumberFormat="0" applyAlignment="0" applyProtection="0"/>
    <xf numFmtId="0" fontId="48" fillId="12" borderId="60" applyNumberFormat="0" applyAlignment="0" applyProtection="0"/>
    <xf numFmtId="0" fontId="48" fillId="12" borderId="60" applyNumberFormat="0" applyAlignment="0" applyProtection="0"/>
    <xf numFmtId="0" fontId="16" fillId="24" borderId="60" applyNumberFormat="0" applyAlignment="0" applyProtection="0"/>
    <xf numFmtId="0" fontId="16" fillId="24" borderId="60" applyNumberFormat="0" applyAlignment="0" applyProtection="0"/>
    <xf numFmtId="0" fontId="16" fillId="24" borderId="60" applyNumberFormat="0" applyAlignment="0" applyProtection="0"/>
    <xf numFmtId="0" fontId="16" fillId="24" borderId="60" applyNumberFormat="0" applyAlignment="0" applyProtection="0"/>
    <xf numFmtId="0" fontId="16" fillId="24" borderId="60" applyNumberFormat="0" applyAlignment="0" applyProtection="0"/>
    <xf numFmtId="0" fontId="16" fillId="24" borderId="60" applyNumberFormat="0" applyAlignment="0" applyProtection="0"/>
    <xf numFmtId="0" fontId="16" fillId="24" borderId="60" applyNumberFormat="0" applyAlignment="0" applyProtection="0"/>
    <xf numFmtId="0" fontId="16" fillId="24" borderId="60" applyNumberFormat="0" applyAlignment="0" applyProtection="0"/>
    <xf numFmtId="0" fontId="16" fillId="24" borderId="60" applyNumberFormat="0" applyAlignment="0" applyProtection="0"/>
    <xf numFmtId="0" fontId="16" fillId="24" borderId="60" applyNumberFormat="0" applyAlignment="0" applyProtection="0"/>
    <xf numFmtId="0" fontId="16" fillId="24" borderId="60" applyNumberFormat="0" applyAlignment="0" applyProtection="0"/>
    <xf numFmtId="0" fontId="16" fillId="24" borderId="60" applyNumberFormat="0" applyAlignment="0" applyProtection="0"/>
    <xf numFmtId="0" fontId="16" fillId="24" borderId="60" applyNumberFormat="0" applyAlignment="0" applyProtection="0"/>
    <xf numFmtId="0" fontId="16" fillId="24" borderId="60" applyNumberFormat="0" applyAlignment="0" applyProtection="0"/>
    <xf numFmtId="0" fontId="16" fillId="24" borderId="60" applyNumberFormat="0" applyAlignment="0" applyProtection="0"/>
    <xf numFmtId="0" fontId="16" fillId="24" borderId="60" applyNumberFormat="0" applyAlignment="0" applyProtection="0"/>
    <xf numFmtId="0" fontId="16" fillId="24" borderId="60" applyNumberFormat="0" applyAlignment="0" applyProtection="0"/>
    <xf numFmtId="0" fontId="16" fillId="24" borderId="60" applyNumberFormat="0" applyAlignment="0" applyProtection="0"/>
    <xf numFmtId="0" fontId="16" fillId="24" borderId="60" applyNumberFormat="0" applyAlignment="0" applyProtection="0"/>
    <xf numFmtId="0" fontId="16" fillId="24" borderId="60" applyNumberFormat="0" applyAlignment="0" applyProtection="0"/>
    <xf numFmtId="0" fontId="16" fillId="24" borderId="60" applyNumberFormat="0" applyAlignment="0" applyProtection="0"/>
    <xf numFmtId="0" fontId="16" fillId="24" borderId="60" applyNumberFormat="0" applyAlignment="0" applyProtection="0"/>
    <xf numFmtId="0" fontId="16" fillId="24" borderId="60" applyNumberFormat="0" applyAlignment="0" applyProtection="0"/>
    <xf numFmtId="0" fontId="16" fillId="24" borderId="60" applyNumberFormat="0" applyAlignment="0" applyProtection="0"/>
    <xf numFmtId="0" fontId="16" fillId="24" borderId="60" applyNumberFormat="0" applyAlignment="0" applyProtection="0"/>
    <xf numFmtId="0" fontId="16" fillId="24" borderId="60" applyNumberFormat="0" applyAlignment="0" applyProtection="0"/>
    <xf numFmtId="0" fontId="16" fillId="24" borderId="60" applyNumberFormat="0" applyAlignment="0" applyProtection="0"/>
    <xf numFmtId="0" fontId="16" fillId="24" borderId="60" applyNumberFormat="0" applyAlignment="0" applyProtection="0"/>
    <xf numFmtId="0" fontId="16" fillId="24" borderId="60" applyNumberFormat="0" applyAlignment="0" applyProtection="0"/>
    <xf numFmtId="0" fontId="16" fillId="24" borderId="60" applyNumberFormat="0" applyAlignment="0" applyProtection="0"/>
    <xf numFmtId="0" fontId="16" fillId="24" borderId="60" applyNumberFormat="0" applyAlignment="0" applyProtection="0"/>
    <xf numFmtId="0" fontId="16" fillId="24" borderId="60" applyNumberFormat="0" applyAlignment="0" applyProtection="0"/>
    <xf numFmtId="0" fontId="16" fillId="24" borderId="60" applyNumberFormat="0" applyAlignment="0" applyProtection="0"/>
    <xf numFmtId="0" fontId="16" fillId="24" borderId="60" applyNumberFormat="0" applyAlignment="0" applyProtection="0"/>
    <xf numFmtId="0" fontId="16" fillId="24" borderId="60" applyNumberFormat="0" applyAlignment="0" applyProtection="0"/>
    <xf numFmtId="0" fontId="16" fillId="24" borderId="60" applyNumberFormat="0" applyAlignment="0" applyProtection="0"/>
    <xf numFmtId="0" fontId="16" fillId="24" borderId="60" applyNumberFormat="0" applyAlignment="0" applyProtection="0"/>
    <xf numFmtId="0" fontId="16" fillId="24" borderId="60" applyNumberFormat="0" applyAlignment="0" applyProtection="0"/>
    <xf numFmtId="0" fontId="16" fillId="24" borderId="60" applyNumberFormat="0" applyAlignment="0" applyProtection="0"/>
    <xf numFmtId="0" fontId="16" fillId="24" borderId="60" applyNumberFormat="0" applyAlignment="0" applyProtection="0"/>
    <xf numFmtId="0" fontId="16" fillId="24" borderId="60" applyNumberFormat="0" applyAlignment="0" applyProtection="0"/>
    <xf numFmtId="0" fontId="16" fillId="24" borderId="60" applyNumberFormat="0" applyAlignment="0" applyProtection="0"/>
    <xf numFmtId="0" fontId="16" fillId="24" borderId="60" applyNumberFormat="0" applyAlignment="0" applyProtection="0"/>
    <xf numFmtId="0" fontId="16" fillId="24" borderId="60" applyNumberFormat="0" applyAlignment="0" applyProtection="0"/>
    <xf numFmtId="0" fontId="16" fillId="24" borderId="60" applyNumberFormat="0" applyAlignment="0" applyProtection="0"/>
    <xf numFmtId="0" fontId="16" fillId="24" borderId="60" applyNumberFormat="0" applyAlignment="0" applyProtection="0"/>
    <xf numFmtId="0" fontId="16" fillId="24" borderId="60" applyNumberFormat="0" applyAlignment="0" applyProtection="0"/>
    <xf numFmtId="0" fontId="16" fillId="24" borderId="60" applyNumberFormat="0" applyAlignment="0" applyProtection="0"/>
    <xf numFmtId="0" fontId="16" fillId="24" borderId="60" applyNumberFormat="0" applyAlignment="0" applyProtection="0"/>
    <xf numFmtId="0" fontId="31" fillId="0" borderId="90" applyNumberFormat="0" applyFill="0" applyAlignment="0" applyProtection="0"/>
    <xf numFmtId="0" fontId="8" fillId="10" borderId="96" applyNumberFormat="0" applyFont="0" applyAlignment="0" applyProtection="0"/>
    <xf numFmtId="0" fontId="28" fillId="0" borderId="64"/>
    <xf numFmtId="0" fontId="28" fillId="0" borderId="64"/>
    <xf numFmtId="0" fontId="28" fillId="0" borderId="64"/>
    <xf numFmtId="0" fontId="28" fillId="0" borderId="64"/>
    <xf numFmtId="0" fontId="28" fillId="0" borderId="64"/>
    <xf numFmtId="0" fontId="28" fillId="0" borderId="64"/>
    <xf numFmtId="0" fontId="28" fillId="0" borderId="64"/>
    <xf numFmtId="0" fontId="28" fillId="0" borderId="64"/>
    <xf numFmtId="0" fontId="28" fillId="0" borderId="64"/>
    <xf numFmtId="0" fontId="28" fillId="0" borderId="64"/>
    <xf numFmtId="0" fontId="28" fillId="0" borderId="64"/>
    <xf numFmtId="0" fontId="28" fillId="0" borderId="64"/>
    <xf numFmtId="0" fontId="28" fillId="0" borderId="64"/>
    <xf numFmtId="0" fontId="28" fillId="0" borderId="64"/>
    <xf numFmtId="0" fontId="28" fillId="0" borderId="64"/>
    <xf numFmtId="0" fontId="28" fillId="0" borderId="64"/>
    <xf numFmtId="0" fontId="28" fillId="0" borderId="64"/>
    <xf numFmtId="0" fontId="28" fillId="0" borderId="64"/>
    <xf numFmtId="0" fontId="28" fillId="0" borderId="64"/>
    <xf numFmtId="0" fontId="28" fillId="0" borderId="64"/>
    <xf numFmtId="0" fontId="28" fillId="0" borderId="64"/>
    <xf numFmtId="0" fontId="28" fillId="0" borderId="64"/>
    <xf numFmtId="0" fontId="28" fillId="0" borderId="64"/>
    <xf numFmtId="0" fontId="28" fillId="0" borderId="64"/>
    <xf numFmtId="0" fontId="28" fillId="0" borderId="64"/>
    <xf numFmtId="0" fontId="28" fillId="0" borderId="64"/>
    <xf numFmtId="0" fontId="28" fillId="0" borderId="64"/>
    <xf numFmtId="0" fontId="28" fillId="0" borderId="64"/>
    <xf numFmtId="0" fontId="28" fillId="0" borderId="64"/>
    <xf numFmtId="0" fontId="28" fillId="0" borderId="64"/>
    <xf numFmtId="0" fontId="28" fillId="0" borderId="64"/>
    <xf numFmtId="0" fontId="28" fillId="0" borderId="64"/>
    <xf numFmtId="0" fontId="28" fillId="0" borderId="64"/>
    <xf numFmtId="0" fontId="28" fillId="0" borderId="64"/>
    <xf numFmtId="0" fontId="28" fillId="0" borderId="64"/>
    <xf numFmtId="0" fontId="28" fillId="0" borderId="64"/>
    <xf numFmtId="0" fontId="28" fillId="0" borderId="64"/>
    <xf numFmtId="0" fontId="28" fillId="0" borderId="64"/>
    <xf numFmtId="0" fontId="28" fillId="0" borderId="64"/>
    <xf numFmtId="0" fontId="28" fillId="0" borderId="64"/>
    <xf numFmtId="0" fontId="28" fillId="0" borderId="64"/>
    <xf numFmtId="0" fontId="28" fillId="0" borderId="64"/>
    <xf numFmtId="0" fontId="28" fillId="0" borderId="64"/>
    <xf numFmtId="0" fontId="28" fillId="0" borderId="64"/>
    <xf numFmtId="0" fontId="28" fillId="0" borderId="64"/>
    <xf numFmtId="0" fontId="25" fillId="13" borderId="60" applyNumberFormat="0" applyAlignment="0" applyProtection="0"/>
    <xf numFmtId="0" fontId="25" fillId="13" borderId="60" applyNumberFormat="0" applyAlignment="0" applyProtection="0"/>
    <xf numFmtId="0" fontId="25" fillId="13" borderId="60" applyNumberFormat="0" applyAlignment="0" applyProtection="0"/>
    <xf numFmtId="0" fontId="25" fillId="13" borderId="60" applyNumberFormat="0" applyAlignment="0" applyProtection="0"/>
    <xf numFmtId="0" fontId="25" fillId="13" borderId="60" applyNumberFormat="0" applyAlignment="0" applyProtection="0"/>
    <xf numFmtId="0" fontId="25" fillId="13" borderId="60" applyNumberFormat="0" applyAlignment="0" applyProtection="0"/>
    <xf numFmtId="0" fontId="25" fillId="13" borderId="60" applyNumberFormat="0" applyAlignment="0" applyProtection="0"/>
    <xf numFmtId="0" fontId="25" fillId="13" borderId="60" applyNumberFormat="0" applyAlignment="0" applyProtection="0"/>
    <xf numFmtId="0" fontId="25" fillId="13" borderId="60" applyNumberFormat="0" applyAlignment="0" applyProtection="0"/>
    <xf numFmtId="0" fontId="25" fillId="13" borderId="60" applyNumberFormat="0" applyAlignment="0" applyProtection="0"/>
    <xf numFmtId="0" fontId="25" fillId="13" borderId="60" applyNumberFormat="0" applyAlignment="0" applyProtection="0"/>
    <xf numFmtId="0" fontId="25" fillId="13" borderId="60" applyNumberFormat="0" applyAlignment="0" applyProtection="0"/>
    <xf numFmtId="0" fontId="25" fillId="13" borderId="60" applyNumberFormat="0" applyAlignment="0" applyProtection="0"/>
    <xf numFmtId="0" fontId="25" fillId="13" borderId="60" applyNumberFormat="0" applyAlignment="0" applyProtection="0"/>
    <xf numFmtId="0" fontId="25" fillId="13" borderId="60" applyNumberFormat="0" applyAlignment="0" applyProtection="0"/>
    <xf numFmtId="0" fontId="25" fillId="13" borderId="60" applyNumberFormat="0" applyAlignment="0" applyProtection="0"/>
    <xf numFmtId="0" fontId="25" fillId="13" borderId="60" applyNumberFormat="0" applyAlignment="0" applyProtection="0"/>
    <xf numFmtId="0" fontId="25" fillId="13" borderId="60" applyNumberFormat="0" applyAlignment="0" applyProtection="0"/>
    <xf numFmtId="0" fontId="25" fillId="13" borderId="60" applyNumberFormat="0" applyAlignment="0" applyProtection="0"/>
    <xf numFmtId="0" fontId="25" fillId="13" borderId="60" applyNumberFormat="0" applyAlignment="0" applyProtection="0"/>
    <xf numFmtId="0" fontId="25" fillId="13" borderId="60" applyNumberFormat="0" applyAlignment="0" applyProtection="0"/>
    <xf numFmtId="0" fontId="25" fillId="13" borderId="60" applyNumberFormat="0" applyAlignment="0" applyProtection="0"/>
    <xf numFmtId="0" fontId="25" fillId="13" borderId="60" applyNumberFormat="0" applyAlignment="0" applyProtection="0"/>
    <xf numFmtId="0" fontId="25" fillId="13" borderId="60" applyNumberFormat="0" applyAlignment="0" applyProtection="0"/>
    <xf numFmtId="0" fontId="25" fillId="13" borderId="60" applyNumberFormat="0" applyAlignment="0" applyProtection="0"/>
    <xf numFmtId="0" fontId="25" fillId="13" borderId="60" applyNumberFormat="0" applyAlignment="0" applyProtection="0"/>
    <xf numFmtId="0" fontId="25" fillId="13" borderId="60" applyNumberFormat="0" applyAlignment="0" applyProtection="0"/>
    <xf numFmtId="0" fontId="25" fillId="13" borderId="60" applyNumberFormat="0" applyAlignment="0" applyProtection="0"/>
    <xf numFmtId="0" fontId="25" fillId="13" borderId="60" applyNumberFormat="0" applyAlignment="0" applyProtection="0"/>
    <xf numFmtId="0" fontId="25" fillId="13" borderId="60" applyNumberFormat="0" applyAlignment="0" applyProtection="0"/>
    <xf numFmtId="0" fontId="25" fillId="13" borderId="60" applyNumberFormat="0" applyAlignment="0" applyProtection="0"/>
    <xf numFmtId="0" fontId="25" fillId="13" borderId="60" applyNumberFormat="0" applyAlignment="0" applyProtection="0"/>
    <xf numFmtId="0" fontId="25" fillId="13" borderId="60" applyNumberFormat="0" applyAlignment="0" applyProtection="0"/>
    <xf numFmtId="0" fontId="25" fillId="13" borderId="60" applyNumberFormat="0" applyAlignment="0" applyProtection="0"/>
    <xf numFmtId="0" fontId="25" fillId="13" borderId="60" applyNumberFormat="0" applyAlignment="0" applyProtection="0"/>
    <xf numFmtId="0" fontId="25" fillId="13" borderId="60" applyNumberFormat="0" applyAlignment="0" applyProtection="0"/>
    <xf numFmtId="0" fontId="25" fillId="13" borderId="60" applyNumberFormat="0" applyAlignment="0" applyProtection="0"/>
    <xf numFmtId="0" fontId="25" fillId="13" borderId="60" applyNumberFormat="0" applyAlignment="0" applyProtection="0"/>
    <xf numFmtId="0" fontId="25" fillId="13" borderId="60" applyNumberFormat="0" applyAlignment="0" applyProtection="0"/>
    <xf numFmtId="0" fontId="25" fillId="13" borderId="60" applyNumberFormat="0" applyAlignment="0" applyProtection="0"/>
    <xf numFmtId="0" fontId="25" fillId="13" borderId="60" applyNumberFormat="0" applyAlignment="0" applyProtection="0"/>
    <xf numFmtId="0" fontId="25" fillId="13" borderId="60" applyNumberFormat="0" applyAlignment="0" applyProtection="0"/>
    <xf numFmtId="0" fontId="25" fillId="13" borderId="60" applyNumberFormat="0" applyAlignment="0" applyProtection="0"/>
    <xf numFmtId="0" fontId="25" fillId="13" borderId="60" applyNumberFormat="0" applyAlignment="0" applyProtection="0"/>
    <xf numFmtId="0" fontId="25" fillId="13" borderId="60" applyNumberFormat="0" applyAlignment="0" applyProtection="0"/>
    <xf numFmtId="0" fontId="25" fillId="13" borderId="60" applyNumberFormat="0" applyAlignment="0" applyProtection="0"/>
    <xf numFmtId="0" fontId="25" fillId="13" borderId="60" applyNumberFormat="0" applyAlignment="0" applyProtection="0"/>
    <xf numFmtId="0" fontId="25" fillId="13" borderId="60" applyNumberFormat="0" applyAlignment="0" applyProtection="0"/>
    <xf numFmtId="0" fontId="25" fillId="13" borderId="60" applyNumberFormat="0" applyAlignment="0" applyProtection="0"/>
    <xf numFmtId="0" fontId="41" fillId="13" borderId="60" applyNumberFormat="0" applyAlignment="0" applyProtection="0"/>
    <xf numFmtId="0" fontId="41" fillId="13" borderId="60" applyNumberFormat="0" applyAlignment="0" applyProtection="0"/>
    <xf numFmtId="0" fontId="41" fillId="13" borderId="60" applyNumberFormat="0" applyAlignment="0" applyProtection="0"/>
    <xf numFmtId="0" fontId="41" fillId="13" borderId="60" applyNumberFormat="0" applyAlignment="0" applyProtection="0"/>
    <xf numFmtId="0" fontId="41" fillId="13" borderId="60" applyNumberFormat="0" applyAlignment="0" applyProtection="0"/>
    <xf numFmtId="0" fontId="41" fillId="13" borderId="60" applyNumberFormat="0" applyAlignment="0" applyProtection="0"/>
    <xf numFmtId="0" fontId="41" fillId="13" borderId="60" applyNumberFormat="0" applyAlignment="0" applyProtection="0"/>
    <xf numFmtId="0" fontId="41" fillId="13" borderId="60" applyNumberFormat="0" applyAlignment="0" applyProtection="0"/>
    <xf numFmtId="0" fontId="41" fillId="13" borderId="60" applyNumberFormat="0" applyAlignment="0" applyProtection="0"/>
    <xf numFmtId="0" fontId="41" fillId="13" borderId="60" applyNumberFormat="0" applyAlignment="0" applyProtection="0"/>
    <xf numFmtId="0" fontId="41" fillId="13" borderId="60" applyNumberFormat="0" applyAlignment="0" applyProtection="0"/>
    <xf numFmtId="0" fontId="41" fillId="13" borderId="60" applyNumberFormat="0" applyAlignment="0" applyProtection="0"/>
    <xf numFmtId="0" fontId="41" fillId="13" borderId="60" applyNumberFormat="0" applyAlignment="0" applyProtection="0"/>
    <xf numFmtId="0" fontId="41" fillId="13" borderId="60" applyNumberFormat="0" applyAlignment="0" applyProtection="0"/>
    <xf numFmtId="0" fontId="41" fillId="13" borderId="60" applyNumberFormat="0" applyAlignment="0" applyProtection="0"/>
    <xf numFmtId="0" fontId="41" fillId="13" borderId="60" applyNumberFormat="0" applyAlignment="0" applyProtection="0"/>
    <xf numFmtId="0" fontId="41" fillId="13" borderId="60" applyNumberFormat="0" applyAlignment="0" applyProtection="0"/>
    <xf numFmtId="0" fontId="41" fillId="13" borderId="60" applyNumberFormat="0" applyAlignment="0" applyProtection="0"/>
    <xf numFmtId="0" fontId="41" fillId="13" borderId="60" applyNumberFormat="0" applyAlignment="0" applyProtection="0"/>
    <xf numFmtId="0" fontId="41" fillId="13" borderId="60" applyNumberFormat="0" applyAlignment="0" applyProtection="0"/>
    <xf numFmtId="0" fontId="41" fillId="13" borderId="60" applyNumberFormat="0" applyAlignment="0" applyProtection="0"/>
    <xf numFmtId="0" fontId="41" fillId="13" borderId="60" applyNumberFormat="0" applyAlignment="0" applyProtection="0"/>
    <xf numFmtId="0" fontId="41" fillId="13" borderId="60" applyNumberFormat="0" applyAlignment="0" applyProtection="0"/>
    <xf numFmtId="0" fontId="41" fillId="13" borderId="60" applyNumberFormat="0" applyAlignment="0" applyProtection="0"/>
    <xf numFmtId="0" fontId="41" fillId="13" borderId="60" applyNumberFormat="0" applyAlignment="0" applyProtection="0"/>
    <xf numFmtId="0" fontId="41" fillId="13" borderId="60" applyNumberFormat="0" applyAlignment="0" applyProtection="0"/>
    <xf numFmtId="0" fontId="41" fillId="13" borderId="60" applyNumberFormat="0" applyAlignment="0" applyProtection="0"/>
    <xf numFmtId="0" fontId="41" fillId="13" borderId="60" applyNumberFormat="0" applyAlignment="0" applyProtection="0"/>
    <xf numFmtId="0" fontId="41" fillId="13" borderId="60" applyNumberFormat="0" applyAlignment="0" applyProtection="0"/>
    <xf numFmtId="0" fontId="41" fillId="13" borderId="60" applyNumberFormat="0" applyAlignment="0" applyProtection="0"/>
    <xf numFmtId="0" fontId="41" fillId="13" borderId="60" applyNumberFormat="0" applyAlignment="0" applyProtection="0"/>
    <xf numFmtId="0" fontId="41" fillId="13" borderId="60" applyNumberFormat="0" applyAlignment="0" applyProtection="0"/>
    <xf numFmtId="0" fontId="41" fillId="13" borderId="60" applyNumberFormat="0" applyAlignment="0" applyProtection="0"/>
    <xf numFmtId="0" fontId="41" fillId="13" borderId="60" applyNumberFormat="0" applyAlignment="0" applyProtection="0"/>
    <xf numFmtId="0" fontId="41" fillId="13" borderId="60" applyNumberFormat="0" applyAlignment="0" applyProtection="0"/>
    <xf numFmtId="0" fontId="41" fillId="13" borderId="60" applyNumberFormat="0" applyAlignment="0" applyProtection="0"/>
    <xf numFmtId="0" fontId="41" fillId="13" borderId="60" applyNumberFormat="0" applyAlignment="0" applyProtection="0"/>
    <xf numFmtId="0" fontId="41" fillId="13" borderId="60" applyNumberFormat="0" applyAlignment="0" applyProtection="0"/>
    <xf numFmtId="0" fontId="41" fillId="13" borderId="60" applyNumberFormat="0" applyAlignment="0" applyProtection="0"/>
    <xf numFmtId="0" fontId="41" fillId="13" borderId="60" applyNumberFormat="0" applyAlignment="0" applyProtection="0"/>
    <xf numFmtId="0" fontId="41" fillId="13" borderId="60" applyNumberFormat="0" applyAlignment="0" applyProtection="0"/>
    <xf numFmtId="0" fontId="41" fillId="13" borderId="60" applyNumberFormat="0" applyAlignment="0" applyProtection="0"/>
    <xf numFmtId="0" fontId="41" fillId="13" borderId="60" applyNumberFormat="0" applyAlignment="0" applyProtection="0"/>
    <xf numFmtId="0" fontId="41" fillId="13" borderId="60" applyNumberFormat="0" applyAlignment="0" applyProtection="0"/>
    <xf numFmtId="0" fontId="41" fillId="13" borderId="60" applyNumberFormat="0" applyAlignment="0" applyProtection="0"/>
    <xf numFmtId="0" fontId="41" fillId="13" borderId="60" applyNumberFormat="0" applyAlignment="0" applyProtection="0"/>
    <xf numFmtId="0" fontId="41" fillId="13" borderId="60" applyNumberFormat="0" applyAlignment="0" applyProtection="0"/>
    <xf numFmtId="0" fontId="41" fillId="13" borderId="60" applyNumberFormat="0" applyAlignment="0" applyProtection="0"/>
    <xf numFmtId="0" fontId="41" fillId="13" borderId="60" applyNumberFormat="0" applyAlignment="0" applyProtection="0"/>
    <xf numFmtId="0" fontId="25" fillId="13" borderId="60" applyNumberFormat="0" applyAlignment="0" applyProtection="0"/>
    <xf numFmtId="0" fontId="25" fillId="13" borderId="60" applyNumberFormat="0" applyAlignment="0" applyProtection="0"/>
    <xf numFmtId="0" fontId="25" fillId="13" borderId="60" applyNumberFormat="0" applyAlignment="0" applyProtection="0"/>
    <xf numFmtId="0" fontId="25" fillId="13" borderId="60" applyNumberFormat="0" applyAlignment="0" applyProtection="0"/>
    <xf numFmtId="0" fontId="25" fillId="13" borderId="60" applyNumberFormat="0" applyAlignment="0" applyProtection="0"/>
    <xf numFmtId="0" fontId="25" fillId="13" borderId="60" applyNumberFormat="0" applyAlignment="0" applyProtection="0"/>
    <xf numFmtId="0" fontId="25" fillId="13" borderId="60" applyNumberFormat="0" applyAlignment="0" applyProtection="0"/>
    <xf numFmtId="0" fontId="25" fillId="13" borderId="60" applyNumberFormat="0" applyAlignment="0" applyProtection="0"/>
    <xf numFmtId="0" fontId="25" fillId="13" borderId="60" applyNumberFormat="0" applyAlignment="0" applyProtection="0"/>
    <xf numFmtId="0" fontId="25" fillId="13" borderId="60" applyNumberFormat="0" applyAlignment="0" applyProtection="0"/>
    <xf numFmtId="0" fontId="25" fillId="13" borderId="60" applyNumberFormat="0" applyAlignment="0" applyProtection="0"/>
    <xf numFmtId="0" fontId="25" fillId="13" borderId="60" applyNumberFormat="0" applyAlignment="0" applyProtection="0"/>
    <xf numFmtId="0" fontId="25" fillId="13" borderId="60" applyNumberFormat="0" applyAlignment="0" applyProtection="0"/>
    <xf numFmtId="0" fontId="25" fillId="13" borderId="60" applyNumberFormat="0" applyAlignment="0" applyProtection="0"/>
    <xf numFmtId="0" fontId="25" fillId="13" borderId="60" applyNumberFormat="0" applyAlignment="0" applyProtection="0"/>
    <xf numFmtId="0" fontId="25" fillId="13" borderId="60" applyNumberFormat="0" applyAlignment="0" applyProtection="0"/>
    <xf numFmtId="0" fontId="25" fillId="13" borderId="60" applyNumberFormat="0" applyAlignment="0" applyProtection="0"/>
    <xf numFmtId="0" fontId="25" fillId="13" borderId="60" applyNumberFormat="0" applyAlignment="0" applyProtection="0"/>
    <xf numFmtId="0" fontId="25" fillId="13" borderId="60" applyNumberFormat="0" applyAlignment="0" applyProtection="0"/>
    <xf numFmtId="0" fontId="25" fillId="13" borderId="60" applyNumberFormat="0" applyAlignment="0" applyProtection="0"/>
    <xf numFmtId="0" fontId="25" fillId="13" borderId="60" applyNumberFormat="0" applyAlignment="0" applyProtection="0"/>
    <xf numFmtId="0" fontId="25" fillId="13" borderId="60" applyNumberFormat="0" applyAlignment="0" applyProtection="0"/>
    <xf numFmtId="0" fontId="25" fillId="13" borderId="60" applyNumberFormat="0" applyAlignment="0" applyProtection="0"/>
    <xf numFmtId="0" fontId="25" fillId="13" borderId="60" applyNumberFormat="0" applyAlignment="0" applyProtection="0"/>
    <xf numFmtId="0" fontId="25" fillId="13" borderId="60" applyNumberFormat="0" applyAlignment="0" applyProtection="0"/>
    <xf numFmtId="0" fontId="25" fillId="13" borderId="60" applyNumberFormat="0" applyAlignment="0" applyProtection="0"/>
    <xf numFmtId="0" fontId="25" fillId="13" borderId="60" applyNumberFormat="0" applyAlignment="0" applyProtection="0"/>
    <xf numFmtId="0" fontId="25" fillId="13" borderId="60" applyNumberFormat="0" applyAlignment="0" applyProtection="0"/>
    <xf numFmtId="0" fontId="25" fillId="13" borderId="60" applyNumberFormat="0" applyAlignment="0" applyProtection="0"/>
    <xf numFmtId="0" fontId="25" fillId="13" borderId="60" applyNumberFormat="0" applyAlignment="0" applyProtection="0"/>
    <xf numFmtId="0" fontId="25" fillId="13" borderId="60" applyNumberFormat="0" applyAlignment="0" applyProtection="0"/>
    <xf numFmtId="0" fontId="25" fillId="13" borderId="60" applyNumberFormat="0" applyAlignment="0" applyProtection="0"/>
    <xf numFmtId="0" fontId="25" fillId="13" borderId="60" applyNumberFormat="0" applyAlignment="0" applyProtection="0"/>
    <xf numFmtId="0" fontId="25" fillId="13" borderId="60" applyNumberFormat="0" applyAlignment="0" applyProtection="0"/>
    <xf numFmtId="0" fontId="25" fillId="13" borderId="60" applyNumberFormat="0" applyAlignment="0" applyProtection="0"/>
    <xf numFmtId="0" fontId="25" fillId="13" borderId="60" applyNumberFormat="0" applyAlignment="0" applyProtection="0"/>
    <xf numFmtId="0" fontId="25" fillId="13" borderId="60" applyNumberFormat="0" applyAlignment="0" applyProtection="0"/>
    <xf numFmtId="0" fontId="25" fillId="13" borderId="60" applyNumberFormat="0" applyAlignment="0" applyProtection="0"/>
    <xf numFmtId="0" fontId="25" fillId="13" borderId="60" applyNumberFormat="0" applyAlignment="0" applyProtection="0"/>
    <xf numFmtId="0" fontId="25" fillId="13" borderId="60" applyNumberFormat="0" applyAlignment="0" applyProtection="0"/>
    <xf numFmtId="0" fontId="25" fillId="13" borderId="60" applyNumberFormat="0" applyAlignment="0" applyProtection="0"/>
    <xf numFmtId="0" fontId="25" fillId="13" borderId="60" applyNumberFormat="0" applyAlignment="0" applyProtection="0"/>
    <xf numFmtId="0" fontId="25" fillId="13" borderId="60" applyNumberFormat="0" applyAlignment="0" applyProtection="0"/>
    <xf numFmtId="0" fontId="25" fillId="13" borderId="60" applyNumberFormat="0" applyAlignment="0" applyProtection="0"/>
    <xf numFmtId="0" fontId="25" fillId="13" borderId="60" applyNumberFormat="0" applyAlignment="0" applyProtection="0"/>
    <xf numFmtId="0" fontId="25" fillId="13" borderId="60" applyNumberFormat="0" applyAlignment="0" applyProtection="0"/>
    <xf numFmtId="0" fontId="25" fillId="13" borderId="60" applyNumberFormat="0" applyAlignment="0" applyProtection="0"/>
    <xf numFmtId="0" fontId="25" fillId="13" borderId="60" applyNumberFormat="0" applyAlignment="0" applyProtection="0"/>
    <xf numFmtId="0" fontId="25" fillId="13" borderId="60" applyNumberFormat="0" applyAlignment="0" applyProtection="0"/>
    <xf numFmtId="0" fontId="41" fillId="13" borderId="60" applyNumberFormat="0" applyAlignment="0" applyProtection="0"/>
    <xf numFmtId="0" fontId="41" fillId="13" borderId="60" applyNumberFormat="0" applyAlignment="0" applyProtection="0"/>
    <xf numFmtId="0" fontId="41" fillId="13" borderId="60" applyNumberFormat="0" applyAlignment="0" applyProtection="0"/>
    <xf numFmtId="0" fontId="41" fillId="13" borderId="60" applyNumberFormat="0" applyAlignment="0" applyProtection="0"/>
    <xf numFmtId="0" fontId="41" fillId="13" borderId="60" applyNumberFormat="0" applyAlignment="0" applyProtection="0"/>
    <xf numFmtId="0" fontId="41" fillId="13" borderId="60" applyNumberFormat="0" applyAlignment="0" applyProtection="0"/>
    <xf numFmtId="0" fontId="41" fillId="13" borderId="60" applyNumberFormat="0" applyAlignment="0" applyProtection="0"/>
    <xf numFmtId="0" fontId="41" fillId="13" borderId="60" applyNumberFormat="0" applyAlignment="0" applyProtection="0"/>
    <xf numFmtId="0" fontId="41" fillId="13" borderId="60" applyNumberFormat="0" applyAlignment="0" applyProtection="0"/>
    <xf numFmtId="0" fontId="41" fillId="13" borderId="60" applyNumberFormat="0" applyAlignment="0" applyProtection="0"/>
    <xf numFmtId="0" fontId="41" fillId="13" borderId="60" applyNumberFormat="0" applyAlignment="0" applyProtection="0"/>
    <xf numFmtId="0" fontId="41" fillId="13" borderId="60" applyNumberFormat="0" applyAlignment="0" applyProtection="0"/>
    <xf numFmtId="0" fontId="41" fillId="13" borderId="60" applyNumberFormat="0" applyAlignment="0" applyProtection="0"/>
    <xf numFmtId="0" fontId="41" fillId="13" borderId="60" applyNumberFormat="0" applyAlignment="0" applyProtection="0"/>
    <xf numFmtId="0" fontId="41" fillId="13" borderId="60" applyNumberFormat="0" applyAlignment="0" applyProtection="0"/>
    <xf numFmtId="0" fontId="41" fillId="13" borderId="60" applyNumberFormat="0" applyAlignment="0" applyProtection="0"/>
    <xf numFmtId="0" fontId="41" fillId="13" borderId="60" applyNumberFormat="0" applyAlignment="0" applyProtection="0"/>
    <xf numFmtId="0" fontId="41" fillId="13" borderId="60" applyNumberFormat="0" applyAlignment="0" applyProtection="0"/>
    <xf numFmtId="0" fontId="41" fillId="13" borderId="60" applyNumberFormat="0" applyAlignment="0" applyProtection="0"/>
    <xf numFmtId="0" fontId="41" fillId="13" borderId="60" applyNumberFormat="0" applyAlignment="0" applyProtection="0"/>
    <xf numFmtId="0" fontId="41" fillId="13" borderId="60" applyNumberFormat="0" applyAlignment="0" applyProtection="0"/>
    <xf numFmtId="0" fontId="41" fillId="13" borderId="60" applyNumberFormat="0" applyAlignment="0" applyProtection="0"/>
    <xf numFmtId="0" fontId="41" fillId="13" borderId="60" applyNumberFormat="0" applyAlignment="0" applyProtection="0"/>
    <xf numFmtId="0" fontId="41" fillId="13" borderId="60" applyNumberFormat="0" applyAlignment="0" applyProtection="0"/>
    <xf numFmtId="0" fontId="41" fillId="13" borderId="60" applyNumberFormat="0" applyAlignment="0" applyProtection="0"/>
    <xf numFmtId="0" fontId="41" fillId="13" borderId="60" applyNumberFormat="0" applyAlignment="0" applyProtection="0"/>
    <xf numFmtId="0" fontId="41" fillId="13" borderId="60" applyNumberFormat="0" applyAlignment="0" applyProtection="0"/>
    <xf numFmtId="0" fontId="41" fillId="13" borderId="60" applyNumberFormat="0" applyAlignment="0" applyProtection="0"/>
    <xf numFmtId="0" fontId="41" fillId="13" borderId="60" applyNumberFormat="0" applyAlignment="0" applyProtection="0"/>
    <xf numFmtId="0" fontId="41" fillId="13" borderId="60" applyNumberFormat="0" applyAlignment="0" applyProtection="0"/>
    <xf numFmtId="0" fontId="41" fillId="13" borderId="60" applyNumberFormat="0" applyAlignment="0" applyProtection="0"/>
    <xf numFmtId="0" fontId="41" fillId="13" borderId="60" applyNumberFormat="0" applyAlignment="0" applyProtection="0"/>
    <xf numFmtId="0" fontId="41" fillId="13" borderId="60" applyNumberFormat="0" applyAlignment="0" applyProtection="0"/>
    <xf numFmtId="0" fontId="41" fillId="13" borderId="60" applyNumberFormat="0" applyAlignment="0" applyProtection="0"/>
    <xf numFmtId="0" fontId="41" fillId="13" borderId="60" applyNumberFormat="0" applyAlignment="0" applyProtection="0"/>
    <xf numFmtId="0" fontId="41" fillId="13" borderId="60" applyNumberFormat="0" applyAlignment="0" applyProtection="0"/>
    <xf numFmtId="0" fontId="41" fillId="13" borderId="60" applyNumberFormat="0" applyAlignment="0" applyProtection="0"/>
    <xf numFmtId="0" fontId="41" fillId="13" borderId="60" applyNumberFormat="0" applyAlignment="0" applyProtection="0"/>
    <xf numFmtId="0" fontId="41" fillId="13" borderId="60" applyNumberFormat="0" applyAlignment="0" applyProtection="0"/>
    <xf numFmtId="0" fontId="41" fillId="13" borderId="60" applyNumberFormat="0" applyAlignment="0" applyProtection="0"/>
    <xf numFmtId="0" fontId="41" fillId="13" borderId="60" applyNumberFormat="0" applyAlignment="0" applyProtection="0"/>
    <xf numFmtId="0" fontId="41" fillId="13" borderId="60" applyNumberFormat="0" applyAlignment="0" applyProtection="0"/>
    <xf numFmtId="0" fontId="41" fillId="13" borderId="60" applyNumberFormat="0" applyAlignment="0" applyProtection="0"/>
    <xf numFmtId="0" fontId="41" fillId="13" borderId="60" applyNumberFormat="0" applyAlignment="0" applyProtection="0"/>
    <xf numFmtId="0" fontId="41" fillId="13" borderId="60" applyNumberFormat="0" applyAlignment="0" applyProtection="0"/>
    <xf numFmtId="0" fontId="41" fillId="13" borderId="60" applyNumberFormat="0" applyAlignment="0" applyProtection="0"/>
    <xf numFmtId="0" fontId="41" fillId="13" borderId="60" applyNumberFormat="0" applyAlignment="0" applyProtection="0"/>
    <xf numFmtId="0" fontId="41" fillId="13" borderId="60" applyNumberFormat="0" applyAlignment="0" applyProtection="0"/>
    <xf numFmtId="0" fontId="41" fillId="13" borderId="60" applyNumberFormat="0" applyAlignment="0" applyProtection="0"/>
    <xf numFmtId="0" fontId="25" fillId="13" borderId="60" applyNumberFormat="0" applyAlignment="0" applyProtection="0"/>
    <xf numFmtId="0" fontId="25" fillId="13" borderId="60" applyNumberFormat="0" applyAlignment="0" applyProtection="0"/>
    <xf numFmtId="0" fontId="25" fillId="13" borderId="60" applyNumberFormat="0" applyAlignment="0" applyProtection="0"/>
    <xf numFmtId="0" fontId="25" fillId="13" borderId="60" applyNumberFormat="0" applyAlignment="0" applyProtection="0"/>
    <xf numFmtId="0" fontId="25" fillId="13" borderId="60" applyNumberFormat="0" applyAlignment="0" applyProtection="0"/>
    <xf numFmtId="0" fontId="25" fillId="13" borderId="60" applyNumberFormat="0" applyAlignment="0" applyProtection="0"/>
    <xf numFmtId="0" fontId="25" fillId="13" borderId="60" applyNumberFormat="0" applyAlignment="0" applyProtection="0"/>
    <xf numFmtId="0" fontId="25" fillId="13" borderId="60" applyNumberFormat="0" applyAlignment="0" applyProtection="0"/>
    <xf numFmtId="0" fontId="25" fillId="13" borderId="60" applyNumberFormat="0" applyAlignment="0" applyProtection="0"/>
    <xf numFmtId="0" fontId="25" fillId="13" borderId="60" applyNumberFormat="0" applyAlignment="0" applyProtection="0"/>
    <xf numFmtId="0" fontId="25" fillId="13" borderId="60" applyNumberFormat="0" applyAlignment="0" applyProtection="0"/>
    <xf numFmtId="0" fontId="25" fillId="13" borderId="60" applyNumberFormat="0" applyAlignment="0" applyProtection="0"/>
    <xf numFmtId="0" fontId="25" fillId="13" borderId="60" applyNumberFormat="0" applyAlignment="0" applyProtection="0"/>
    <xf numFmtId="0" fontId="25" fillId="13" borderId="60" applyNumberFormat="0" applyAlignment="0" applyProtection="0"/>
    <xf numFmtId="0" fontId="25" fillId="13" borderId="60" applyNumberFormat="0" applyAlignment="0" applyProtection="0"/>
    <xf numFmtId="0" fontId="25" fillId="13" borderId="60" applyNumberFormat="0" applyAlignment="0" applyProtection="0"/>
    <xf numFmtId="0" fontId="25" fillId="13" borderId="60" applyNumberFormat="0" applyAlignment="0" applyProtection="0"/>
    <xf numFmtId="0" fontId="25" fillId="13" borderId="60" applyNumberFormat="0" applyAlignment="0" applyProtection="0"/>
    <xf numFmtId="0" fontId="25" fillId="13" borderId="60" applyNumberFormat="0" applyAlignment="0" applyProtection="0"/>
    <xf numFmtId="0" fontId="25" fillId="13" borderId="60" applyNumberFormat="0" applyAlignment="0" applyProtection="0"/>
    <xf numFmtId="0" fontId="25" fillId="13" borderId="60" applyNumberFormat="0" applyAlignment="0" applyProtection="0"/>
    <xf numFmtId="0" fontId="25" fillId="13" borderId="60" applyNumberFormat="0" applyAlignment="0" applyProtection="0"/>
    <xf numFmtId="0" fontId="25" fillId="13" borderId="60" applyNumberFormat="0" applyAlignment="0" applyProtection="0"/>
    <xf numFmtId="0" fontId="25" fillId="13" borderId="60" applyNumberFormat="0" applyAlignment="0" applyProtection="0"/>
    <xf numFmtId="0" fontId="25" fillId="13" borderId="60" applyNumberFormat="0" applyAlignment="0" applyProtection="0"/>
    <xf numFmtId="0" fontId="25" fillId="13" borderId="60" applyNumberFormat="0" applyAlignment="0" applyProtection="0"/>
    <xf numFmtId="0" fontId="25" fillId="13" borderId="60" applyNumberFormat="0" applyAlignment="0" applyProtection="0"/>
    <xf numFmtId="0" fontId="25" fillId="13" borderId="60" applyNumberFormat="0" applyAlignment="0" applyProtection="0"/>
    <xf numFmtId="0" fontId="25" fillId="13" borderId="60" applyNumberFormat="0" applyAlignment="0" applyProtection="0"/>
    <xf numFmtId="0" fontId="25" fillId="13" borderId="60" applyNumberFormat="0" applyAlignment="0" applyProtection="0"/>
    <xf numFmtId="0" fontId="25" fillId="13" borderId="60" applyNumberFormat="0" applyAlignment="0" applyProtection="0"/>
    <xf numFmtId="0" fontId="25" fillId="13" borderId="60" applyNumberFormat="0" applyAlignment="0" applyProtection="0"/>
    <xf numFmtId="0" fontId="25" fillId="13" borderId="60" applyNumberFormat="0" applyAlignment="0" applyProtection="0"/>
    <xf numFmtId="0" fontId="25" fillId="13" borderId="60" applyNumberFormat="0" applyAlignment="0" applyProtection="0"/>
    <xf numFmtId="0" fontId="25" fillId="13" borderId="60" applyNumberFormat="0" applyAlignment="0" applyProtection="0"/>
    <xf numFmtId="0" fontId="25" fillId="13" borderId="60" applyNumberFormat="0" applyAlignment="0" applyProtection="0"/>
    <xf numFmtId="0" fontId="25" fillId="13" borderId="60" applyNumberFormat="0" applyAlignment="0" applyProtection="0"/>
    <xf numFmtId="0" fontId="25" fillId="13" borderId="60" applyNumberFormat="0" applyAlignment="0" applyProtection="0"/>
    <xf numFmtId="0" fontId="25" fillId="13" borderId="60" applyNumberFormat="0" applyAlignment="0" applyProtection="0"/>
    <xf numFmtId="0" fontId="25" fillId="13" borderId="60" applyNumberFormat="0" applyAlignment="0" applyProtection="0"/>
    <xf numFmtId="0" fontId="25" fillId="13" borderId="60" applyNumberFormat="0" applyAlignment="0" applyProtection="0"/>
    <xf numFmtId="0" fontId="25" fillId="13" borderId="60" applyNumberFormat="0" applyAlignment="0" applyProtection="0"/>
    <xf numFmtId="0" fontId="25" fillId="13" borderId="60" applyNumberFormat="0" applyAlignment="0" applyProtection="0"/>
    <xf numFmtId="0" fontId="25" fillId="13" borderId="60" applyNumberFormat="0" applyAlignment="0" applyProtection="0"/>
    <xf numFmtId="0" fontId="25" fillId="13" borderId="60" applyNumberFormat="0" applyAlignment="0" applyProtection="0"/>
    <xf numFmtId="0" fontId="25" fillId="13" borderId="60" applyNumberFormat="0" applyAlignment="0" applyProtection="0"/>
    <xf numFmtId="0" fontId="25" fillId="13" borderId="60" applyNumberFormat="0" applyAlignment="0" applyProtection="0"/>
    <xf numFmtId="0" fontId="25" fillId="13" borderId="60" applyNumberFormat="0" applyAlignment="0" applyProtection="0"/>
    <xf numFmtId="0" fontId="25" fillId="13" borderId="60" applyNumberFormat="0" applyAlignment="0" applyProtection="0"/>
    <xf numFmtId="0" fontId="25" fillId="8" borderId="60" applyNumberFormat="0" applyAlignment="0" applyProtection="0"/>
    <xf numFmtId="0" fontId="25" fillId="8" borderId="60" applyNumberFormat="0" applyAlignment="0" applyProtection="0"/>
    <xf numFmtId="0" fontId="25" fillId="8" borderId="60" applyNumberFormat="0" applyAlignment="0" applyProtection="0"/>
    <xf numFmtId="0" fontId="25" fillId="8" borderId="60" applyNumberFormat="0" applyAlignment="0" applyProtection="0"/>
    <xf numFmtId="0" fontId="25" fillId="8" borderId="60" applyNumberFormat="0" applyAlignment="0" applyProtection="0"/>
    <xf numFmtId="0" fontId="25" fillId="8" borderId="60" applyNumberFormat="0" applyAlignment="0" applyProtection="0"/>
    <xf numFmtId="0" fontId="25" fillId="8" borderId="60" applyNumberFormat="0" applyAlignment="0" applyProtection="0"/>
    <xf numFmtId="0" fontId="25" fillId="8" borderId="60" applyNumberFormat="0" applyAlignment="0" applyProtection="0"/>
    <xf numFmtId="0" fontId="25" fillId="8" borderId="60" applyNumberFormat="0" applyAlignment="0" applyProtection="0"/>
    <xf numFmtId="0" fontId="25" fillId="8" borderId="60" applyNumberFormat="0" applyAlignment="0" applyProtection="0"/>
    <xf numFmtId="0" fontId="25" fillId="8" borderId="60" applyNumberFormat="0" applyAlignment="0" applyProtection="0"/>
    <xf numFmtId="0" fontId="25" fillId="8" borderId="60" applyNumberFormat="0" applyAlignment="0" applyProtection="0"/>
    <xf numFmtId="0" fontId="25" fillId="8" borderId="60" applyNumberFormat="0" applyAlignment="0" applyProtection="0"/>
    <xf numFmtId="0" fontId="25" fillId="8" borderId="60" applyNumberFormat="0" applyAlignment="0" applyProtection="0"/>
    <xf numFmtId="0" fontId="25" fillId="8" borderId="60" applyNumberFormat="0" applyAlignment="0" applyProtection="0"/>
    <xf numFmtId="0" fontId="25" fillId="8" borderId="60" applyNumberFormat="0" applyAlignment="0" applyProtection="0"/>
    <xf numFmtId="0" fontId="25" fillId="8" borderId="60" applyNumberFormat="0" applyAlignment="0" applyProtection="0"/>
    <xf numFmtId="0" fontId="25" fillId="8" borderId="60" applyNumberFormat="0" applyAlignment="0" applyProtection="0"/>
    <xf numFmtId="0" fontId="25" fillId="8" borderId="60" applyNumberFormat="0" applyAlignment="0" applyProtection="0"/>
    <xf numFmtId="0" fontId="25" fillId="8" borderId="60" applyNumberFormat="0" applyAlignment="0" applyProtection="0"/>
    <xf numFmtId="0" fontId="25" fillId="8" borderId="60" applyNumberFormat="0" applyAlignment="0" applyProtection="0"/>
    <xf numFmtId="0" fontId="25" fillId="8" borderId="60" applyNumberFormat="0" applyAlignment="0" applyProtection="0"/>
    <xf numFmtId="0" fontId="25" fillId="8" borderId="60" applyNumberFormat="0" applyAlignment="0" applyProtection="0"/>
    <xf numFmtId="0" fontId="25" fillId="8" borderId="60" applyNumberFormat="0" applyAlignment="0" applyProtection="0"/>
    <xf numFmtId="0" fontId="25" fillId="8" borderId="60" applyNumberFormat="0" applyAlignment="0" applyProtection="0"/>
    <xf numFmtId="0" fontId="25" fillId="8" borderId="60" applyNumberFormat="0" applyAlignment="0" applyProtection="0"/>
    <xf numFmtId="0" fontId="25" fillId="8" borderId="60" applyNumberFormat="0" applyAlignment="0" applyProtection="0"/>
    <xf numFmtId="0" fontId="25" fillId="8" borderId="60" applyNumberFormat="0" applyAlignment="0" applyProtection="0"/>
    <xf numFmtId="0" fontId="25" fillId="8" borderId="60" applyNumberFormat="0" applyAlignment="0" applyProtection="0"/>
    <xf numFmtId="0" fontId="25" fillId="8" borderId="60" applyNumberFormat="0" applyAlignment="0" applyProtection="0"/>
    <xf numFmtId="0" fontId="25" fillId="8" borderId="60" applyNumberFormat="0" applyAlignment="0" applyProtection="0"/>
    <xf numFmtId="0" fontId="25" fillId="8" borderId="60" applyNumberFormat="0" applyAlignment="0" applyProtection="0"/>
    <xf numFmtId="0" fontId="25" fillId="8" borderId="60" applyNumberFormat="0" applyAlignment="0" applyProtection="0"/>
    <xf numFmtId="0" fontId="25" fillId="8" borderId="60" applyNumberFormat="0" applyAlignment="0" applyProtection="0"/>
    <xf numFmtId="0" fontId="25" fillId="8" borderId="60" applyNumberFormat="0" applyAlignment="0" applyProtection="0"/>
    <xf numFmtId="0" fontId="25" fillId="8" borderId="60" applyNumberFormat="0" applyAlignment="0" applyProtection="0"/>
    <xf numFmtId="0" fontId="25" fillId="8" borderId="60" applyNumberFormat="0" applyAlignment="0" applyProtection="0"/>
    <xf numFmtId="0" fontId="25" fillId="8" borderId="60" applyNumberFormat="0" applyAlignment="0" applyProtection="0"/>
    <xf numFmtId="0" fontId="25" fillId="8" borderId="60" applyNumberFormat="0" applyAlignment="0" applyProtection="0"/>
    <xf numFmtId="0" fontId="25" fillId="8" borderId="60" applyNumberFormat="0" applyAlignment="0" applyProtection="0"/>
    <xf numFmtId="0" fontId="25" fillId="8" borderId="60" applyNumberFormat="0" applyAlignment="0" applyProtection="0"/>
    <xf numFmtId="0" fontId="25" fillId="8" borderId="60" applyNumberFormat="0" applyAlignment="0" applyProtection="0"/>
    <xf numFmtId="0" fontId="25" fillId="8" borderId="60" applyNumberFormat="0" applyAlignment="0" applyProtection="0"/>
    <xf numFmtId="0" fontId="25" fillId="8" borderId="60" applyNumberFormat="0" applyAlignment="0" applyProtection="0"/>
    <xf numFmtId="0" fontId="25" fillId="8" borderId="60" applyNumberFormat="0" applyAlignment="0" applyProtection="0"/>
    <xf numFmtId="0" fontId="25" fillId="8" borderId="60" applyNumberFormat="0" applyAlignment="0" applyProtection="0"/>
    <xf numFmtId="0" fontId="25" fillId="8" borderId="60" applyNumberFormat="0" applyAlignment="0" applyProtection="0"/>
    <xf numFmtId="0" fontId="25" fillId="8" borderId="60" applyNumberFormat="0" applyAlignment="0" applyProtection="0"/>
    <xf numFmtId="0" fontId="25" fillId="8" borderId="60" applyNumberFormat="0" applyAlignment="0" applyProtection="0"/>
    <xf numFmtId="0" fontId="25" fillId="8" borderId="60" applyNumberFormat="0" applyAlignment="0" applyProtection="0"/>
    <xf numFmtId="0" fontId="25" fillId="8" borderId="60" applyNumberFormat="0" applyAlignment="0" applyProtection="0"/>
    <xf numFmtId="0" fontId="25" fillId="8" borderId="60" applyNumberFormat="0" applyAlignment="0" applyProtection="0"/>
    <xf numFmtId="0" fontId="25" fillId="8" borderId="60" applyNumberFormat="0" applyAlignment="0" applyProtection="0"/>
    <xf numFmtId="0" fontId="25" fillId="8" borderId="60" applyNumberFormat="0" applyAlignment="0" applyProtection="0"/>
    <xf numFmtId="0" fontId="25" fillId="8" borderId="60" applyNumberFormat="0" applyAlignment="0" applyProtection="0"/>
    <xf numFmtId="0" fontId="25" fillId="8" borderId="60" applyNumberFormat="0" applyAlignment="0" applyProtection="0"/>
    <xf numFmtId="0" fontId="25" fillId="8" borderId="60" applyNumberFormat="0" applyAlignment="0" applyProtection="0"/>
    <xf numFmtId="0" fontId="25" fillId="8" borderId="60" applyNumberFormat="0" applyAlignment="0" applyProtection="0"/>
    <xf numFmtId="0" fontId="25" fillId="8" borderId="60" applyNumberFormat="0" applyAlignment="0" applyProtection="0"/>
    <xf numFmtId="0" fontId="25" fillId="8" borderId="60" applyNumberFormat="0" applyAlignment="0" applyProtection="0"/>
    <xf numFmtId="0" fontId="25" fillId="8" borderId="60" applyNumberFormat="0" applyAlignment="0" applyProtection="0"/>
    <xf numFmtId="0" fontId="25" fillId="8" borderId="60" applyNumberFormat="0" applyAlignment="0" applyProtection="0"/>
    <xf numFmtId="0" fontId="25" fillId="8" borderId="60" applyNumberFormat="0" applyAlignment="0" applyProtection="0"/>
    <xf numFmtId="0" fontId="25" fillId="8" borderId="60" applyNumberFormat="0" applyAlignment="0" applyProtection="0"/>
    <xf numFmtId="0" fontId="25" fillId="8" borderId="60" applyNumberFormat="0" applyAlignment="0" applyProtection="0"/>
    <xf numFmtId="0" fontId="25" fillId="8" borderId="60" applyNumberFormat="0" applyAlignment="0" applyProtection="0"/>
    <xf numFmtId="0" fontId="25" fillId="8" borderId="60" applyNumberFormat="0" applyAlignment="0" applyProtection="0"/>
    <xf numFmtId="0" fontId="25" fillId="8" borderId="60" applyNumberFormat="0" applyAlignment="0" applyProtection="0"/>
    <xf numFmtId="0" fontId="25" fillId="8" borderId="60" applyNumberFormat="0" applyAlignment="0" applyProtection="0"/>
    <xf numFmtId="0" fontId="25" fillId="8" borderId="60" applyNumberFormat="0" applyAlignment="0" applyProtection="0"/>
    <xf numFmtId="0" fontId="25" fillId="8" borderId="60" applyNumberFormat="0" applyAlignment="0" applyProtection="0"/>
    <xf numFmtId="0" fontId="25" fillId="8" borderId="60" applyNumberFormat="0" applyAlignment="0" applyProtection="0"/>
    <xf numFmtId="0" fontId="25" fillId="8" borderId="60" applyNumberFormat="0" applyAlignment="0" applyProtection="0"/>
    <xf numFmtId="0" fontId="25" fillId="8" borderId="60" applyNumberFormat="0" applyAlignment="0" applyProtection="0"/>
    <xf numFmtId="0" fontId="25" fillId="8" borderId="60" applyNumberFormat="0" applyAlignment="0" applyProtection="0"/>
    <xf numFmtId="0" fontId="25" fillId="8" borderId="60" applyNumberFormat="0" applyAlignment="0" applyProtection="0"/>
    <xf numFmtId="0" fontId="25" fillId="8" borderId="60" applyNumberFormat="0" applyAlignment="0" applyProtection="0"/>
    <xf numFmtId="0" fontId="84" fillId="73" borderId="64"/>
    <xf numFmtId="0" fontId="84" fillId="73" borderId="64"/>
    <xf numFmtId="0" fontId="84" fillId="73" borderId="64"/>
    <xf numFmtId="0" fontId="84" fillId="73" borderId="64"/>
    <xf numFmtId="0" fontId="84" fillId="73" borderId="64"/>
    <xf numFmtId="0" fontId="84" fillId="73" borderId="64"/>
    <xf numFmtId="0" fontId="84" fillId="73" borderId="64"/>
    <xf numFmtId="0" fontId="84" fillId="73" borderId="64"/>
    <xf numFmtId="0" fontId="84" fillId="73" borderId="64"/>
    <xf numFmtId="0" fontId="84" fillId="73" borderId="64"/>
    <xf numFmtId="0" fontId="84" fillId="73" borderId="64"/>
    <xf numFmtId="0" fontId="84" fillId="73" borderId="64"/>
    <xf numFmtId="0" fontId="84" fillId="73" borderId="64"/>
    <xf numFmtId="0" fontId="84" fillId="73" borderId="64"/>
    <xf numFmtId="0" fontId="84" fillId="73" borderId="64"/>
    <xf numFmtId="0" fontId="84" fillId="73" borderId="64"/>
    <xf numFmtId="0" fontId="84" fillId="73" borderId="64"/>
    <xf numFmtId="0" fontId="84" fillId="73" borderId="64"/>
    <xf numFmtId="0" fontId="84" fillId="73" borderId="64"/>
    <xf numFmtId="0" fontId="84" fillId="73" borderId="64"/>
    <xf numFmtId="0" fontId="84" fillId="73" borderId="64"/>
    <xf numFmtId="0" fontId="84" fillId="73" borderId="64"/>
    <xf numFmtId="0" fontId="84" fillId="73" borderId="64"/>
    <xf numFmtId="0" fontId="84" fillId="73" borderId="64"/>
    <xf numFmtId="0" fontId="84" fillId="73" borderId="64"/>
    <xf numFmtId="0" fontId="84" fillId="73" borderId="64"/>
    <xf numFmtId="0" fontId="84" fillId="73" borderId="64"/>
    <xf numFmtId="0" fontId="84" fillId="73" borderId="64"/>
    <xf numFmtId="0" fontId="84" fillId="73" borderId="64"/>
    <xf numFmtId="0" fontId="84" fillId="73" borderId="64"/>
    <xf numFmtId="0" fontId="84" fillId="73" borderId="64"/>
    <xf numFmtId="0" fontId="84" fillId="73" borderId="64"/>
    <xf numFmtId="0" fontId="84" fillId="73" borderId="64"/>
    <xf numFmtId="0" fontId="84" fillId="73" borderId="64"/>
    <xf numFmtId="0" fontId="84" fillId="73" borderId="64"/>
    <xf numFmtId="0" fontId="84" fillId="73" borderId="64"/>
    <xf numFmtId="0" fontId="84" fillId="73" borderId="64"/>
    <xf numFmtId="0" fontId="84" fillId="73" borderId="64"/>
    <xf numFmtId="0" fontId="84" fillId="73" borderId="64"/>
    <xf numFmtId="0" fontId="84" fillId="73" borderId="64"/>
    <xf numFmtId="0" fontId="84" fillId="73" borderId="64"/>
    <xf numFmtId="0" fontId="84" fillId="73" borderId="64"/>
    <xf numFmtId="0" fontId="84" fillId="73" borderId="64"/>
    <xf numFmtId="0" fontId="84" fillId="73" borderId="64"/>
    <xf numFmtId="0" fontId="84" fillId="73" borderId="64"/>
    <xf numFmtId="0" fontId="72" fillId="0" borderId="48" applyBorder="0">
      <alignment horizontal="center" vertical="center" wrapText="1"/>
    </xf>
    <xf numFmtId="0" fontId="72" fillId="0" borderId="48" applyBorder="0">
      <alignment horizontal="center" vertical="center" wrapText="1"/>
    </xf>
    <xf numFmtId="0" fontId="72" fillId="0" borderId="48" applyBorder="0">
      <alignment horizontal="center" vertical="center" wrapText="1"/>
    </xf>
    <xf numFmtId="0" fontId="72" fillId="0" borderId="48" applyBorder="0">
      <alignment horizontal="center" vertical="center" wrapText="1"/>
    </xf>
    <xf numFmtId="0" fontId="72" fillId="0" borderId="48" applyBorder="0">
      <alignment horizontal="center" vertical="center" wrapText="1"/>
    </xf>
    <xf numFmtId="0" fontId="72" fillId="0" borderId="48" applyBorder="0">
      <alignment horizontal="center" vertical="center" wrapText="1"/>
    </xf>
    <xf numFmtId="0" fontId="72" fillId="0" borderId="48" applyBorder="0">
      <alignment horizontal="center" vertical="center" wrapText="1"/>
    </xf>
    <xf numFmtId="0" fontId="72" fillId="0" borderId="48" applyBorder="0">
      <alignment horizontal="center" vertical="center" wrapText="1"/>
    </xf>
    <xf numFmtId="0" fontId="72" fillId="0" borderId="48" applyBorder="0">
      <alignment horizontal="center" vertical="center" wrapText="1"/>
    </xf>
    <xf numFmtId="0" fontId="72" fillId="0" borderId="48" applyBorder="0">
      <alignment horizontal="center" vertical="center" wrapText="1"/>
    </xf>
    <xf numFmtId="0" fontId="72" fillId="0" borderId="48" applyBorder="0">
      <alignment horizontal="center" vertical="center" wrapText="1"/>
    </xf>
    <xf numFmtId="0" fontId="72" fillId="0" borderId="48" applyBorder="0">
      <alignment horizontal="center" vertical="center" wrapText="1"/>
    </xf>
    <xf numFmtId="0" fontId="72" fillId="0" borderId="48" applyBorder="0">
      <alignment horizontal="center" vertical="center" wrapText="1"/>
    </xf>
    <xf numFmtId="0" fontId="72" fillId="0" borderId="48" applyBorder="0">
      <alignment horizontal="center" vertical="center" wrapText="1"/>
    </xf>
    <xf numFmtId="0" fontId="72" fillId="0" borderId="48" applyBorder="0">
      <alignment horizontal="center" vertical="center" wrapText="1"/>
    </xf>
    <xf numFmtId="0" fontId="72" fillId="0" borderId="48" applyBorder="0">
      <alignment horizontal="center" vertical="center" wrapText="1"/>
    </xf>
    <xf numFmtId="0" fontId="72" fillId="0" borderId="48" applyBorder="0">
      <alignment horizontal="center" vertical="center" wrapText="1"/>
    </xf>
    <xf numFmtId="0" fontId="72" fillId="0" borderId="48" applyBorder="0">
      <alignment horizontal="center" vertical="center" wrapText="1"/>
    </xf>
    <xf numFmtId="0" fontId="72" fillId="0" borderId="48" applyBorder="0">
      <alignment horizontal="center" vertical="center" wrapText="1"/>
    </xf>
    <xf numFmtId="0" fontId="72" fillId="0" borderId="48" applyBorder="0">
      <alignment horizontal="center" vertical="center" wrapText="1"/>
    </xf>
    <xf numFmtId="0" fontId="72" fillId="0" borderId="48" applyBorder="0">
      <alignment horizontal="center" vertical="center" wrapText="1"/>
    </xf>
    <xf numFmtId="0" fontId="72" fillId="0" borderId="48" applyBorder="0">
      <alignment horizontal="center" vertical="center" wrapText="1"/>
    </xf>
    <xf numFmtId="0" fontId="72" fillId="0" borderId="48" applyBorder="0">
      <alignment horizontal="center" vertical="center" wrapText="1"/>
    </xf>
    <xf numFmtId="0" fontId="72" fillId="0" borderId="48" applyBorder="0">
      <alignment horizontal="center" vertical="center" wrapText="1"/>
    </xf>
    <xf numFmtId="0" fontId="72" fillId="0" borderId="48" applyBorder="0">
      <alignment horizontal="center" vertical="center" wrapText="1"/>
    </xf>
    <xf numFmtId="0" fontId="72" fillId="0" borderId="48" applyBorder="0">
      <alignment horizontal="center" vertical="center" wrapText="1"/>
    </xf>
    <xf numFmtId="0" fontId="72" fillId="0" borderId="48" applyBorder="0">
      <alignment horizontal="center" vertical="center" wrapText="1"/>
    </xf>
    <xf numFmtId="0" fontId="72" fillId="0" borderId="48" applyBorder="0">
      <alignment horizontal="center" vertical="center" wrapText="1"/>
    </xf>
    <xf numFmtId="0" fontId="72" fillId="0" borderId="48" applyBorder="0">
      <alignment horizontal="center" vertical="center" wrapText="1"/>
    </xf>
    <xf numFmtId="0" fontId="72" fillId="0" borderId="48" applyBorder="0">
      <alignment horizontal="center" vertical="center" wrapText="1"/>
    </xf>
    <xf numFmtId="0" fontId="72" fillId="0" borderId="48" applyBorder="0">
      <alignment horizontal="center" vertical="center" wrapText="1"/>
    </xf>
    <xf numFmtId="0" fontId="72" fillId="0" borderId="48" applyBorder="0">
      <alignment horizontal="center" vertical="center" wrapText="1"/>
    </xf>
    <xf numFmtId="0" fontId="72" fillId="0" borderId="48" applyBorder="0">
      <alignment horizontal="center" vertical="center" wrapText="1"/>
    </xf>
    <xf numFmtId="0" fontId="72" fillId="0" borderId="48" applyBorder="0">
      <alignment horizontal="center" vertical="center" wrapText="1"/>
    </xf>
    <xf numFmtId="0" fontId="72" fillId="0" borderId="48" applyBorder="0">
      <alignment horizontal="center" vertical="center" wrapText="1"/>
    </xf>
    <xf numFmtId="0" fontId="72" fillId="0" borderId="48" applyBorder="0">
      <alignment horizontal="center" vertical="center" wrapText="1"/>
    </xf>
    <xf numFmtId="0" fontId="72" fillId="0" borderId="48" applyBorder="0">
      <alignment horizontal="center" vertical="center" wrapText="1"/>
    </xf>
    <xf numFmtId="0" fontId="72" fillId="0" borderId="48" applyBorder="0">
      <alignment horizontal="center" vertical="center" wrapText="1"/>
    </xf>
    <xf numFmtId="0" fontId="72" fillId="0" borderId="48" applyBorder="0">
      <alignment horizontal="center" vertical="center" wrapText="1"/>
    </xf>
    <xf numFmtId="0" fontId="72" fillId="0" borderId="48" applyBorder="0">
      <alignment horizontal="center" vertical="center" wrapText="1"/>
    </xf>
    <xf numFmtId="0" fontId="72" fillId="0" borderId="48" applyBorder="0">
      <alignment horizontal="center" vertical="center" wrapText="1"/>
    </xf>
    <xf numFmtId="0" fontId="72" fillId="0" borderId="48" applyBorder="0">
      <alignment horizontal="center" vertical="center" wrapText="1"/>
    </xf>
    <xf numFmtId="0" fontId="72" fillId="0" borderId="48" applyBorder="0">
      <alignment horizontal="center" vertical="center" wrapText="1"/>
    </xf>
    <xf numFmtId="0" fontId="72" fillId="0" borderId="48" applyBorder="0">
      <alignment horizontal="center" vertical="center" wrapText="1"/>
    </xf>
    <xf numFmtId="0" fontId="72" fillId="0" borderId="48" applyBorder="0">
      <alignment horizontal="center" vertical="center" wrapText="1"/>
    </xf>
    <xf numFmtId="0" fontId="72" fillId="0" borderId="48" applyBorder="0">
      <alignment horizontal="center" vertical="center" wrapText="1"/>
    </xf>
    <xf numFmtId="0" fontId="72" fillId="0" borderId="48" applyBorder="0">
      <alignment horizontal="center" vertical="center" wrapText="1"/>
    </xf>
    <xf numFmtId="0" fontId="72" fillId="0" borderId="48" applyBorder="0">
      <alignment horizontal="center" vertical="center" wrapText="1"/>
    </xf>
    <xf numFmtId="0" fontId="72" fillId="0" borderId="48" applyBorder="0">
      <alignment horizontal="center" vertical="center" wrapText="1"/>
    </xf>
    <xf numFmtId="0" fontId="72" fillId="0" borderId="48" applyBorder="0">
      <alignment horizontal="center" vertical="center" wrapText="1"/>
    </xf>
    <xf numFmtId="0" fontId="72" fillId="0" borderId="48" applyBorder="0">
      <alignment horizontal="center" vertical="center" wrapText="1"/>
    </xf>
    <xf numFmtId="0" fontId="72" fillId="0" borderId="48" applyBorder="0">
      <alignment horizontal="center" vertical="center" wrapText="1"/>
    </xf>
    <xf numFmtId="0" fontId="72" fillId="0" borderId="48" applyBorder="0">
      <alignment horizontal="center" vertical="center" wrapText="1"/>
    </xf>
    <xf numFmtId="0" fontId="72" fillId="0" borderId="48" applyBorder="0">
      <alignment horizontal="center" vertical="center" wrapText="1"/>
    </xf>
    <xf numFmtId="0" fontId="72" fillId="0" borderId="48" applyBorder="0">
      <alignment horizontal="center" vertical="center" wrapText="1"/>
    </xf>
    <xf numFmtId="0" fontId="72" fillId="0" borderId="48" applyBorder="0">
      <alignment horizontal="center" vertical="center" wrapText="1"/>
    </xf>
    <xf numFmtId="0" fontId="72" fillId="0" borderId="48" applyBorder="0">
      <alignment horizontal="center" vertical="center" wrapText="1"/>
    </xf>
    <xf numFmtId="0" fontId="72" fillId="0" borderId="48" applyBorder="0">
      <alignment horizontal="center" vertical="center" wrapText="1"/>
    </xf>
    <xf numFmtId="0" fontId="72" fillId="0" borderId="48" applyBorder="0">
      <alignment horizontal="center" vertical="center" wrapText="1"/>
    </xf>
    <xf numFmtId="0" fontId="72" fillId="0" borderId="48" applyBorder="0">
      <alignment horizontal="center" vertical="center" wrapText="1"/>
    </xf>
    <xf numFmtId="0" fontId="48" fillId="24" borderId="167" applyNumberFormat="0" applyAlignment="0" applyProtection="0"/>
    <xf numFmtId="0" fontId="32" fillId="24" borderId="167" applyNumberFormat="0" applyAlignment="0" applyProtection="0"/>
    <xf numFmtId="0" fontId="8" fillId="10" borderId="168" applyNumberFormat="0" applyFont="0" applyAlignment="0" applyProtection="0"/>
    <xf numFmtId="0" fontId="16" fillId="24" borderId="176" applyNumberFormat="0" applyAlignment="0" applyProtection="0"/>
    <xf numFmtId="0" fontId="28" fillId="10" borderId="177" applyNumberFormat="0" applyFont="0" applyAlignment="0" applyProtection="0"/>
    <xf numFmtId="0" fontId="31" fillId="0" borderId="108" applyNumberFormat="0" applyFill="0" applyAlignment="0" applyProtection="0"/>
    <xf numFmtId="0" fontId="41" fillId="13" borderId="102" applyNumberFormat="0" applyAlignment="0" applyProtection="0"/>
    <xf numFmtId="0" fontId="41" fillId="13" borderId="102" applyNumberFormat="0" applyAlignment="0" applyProtection="0"/>
    <xf numFmtId="0" fontId="72" fillId="0" borderId="138" applyBorder="0">
      <alignment horizontal="center" vertical="center" wrapText="1"/>
    </xf>
    <xf numFmtId="0" fontId="49" fillId="10" borderId="68" applyNumberFormat="0" applyFont="0" applyAlignment="0" applyProtection="0"/>
    <xf numFmtId="0" fontId="48" fillId="12" borderId="67" applyNumberFormat="0" applyAlignment="0" applyProtection="0"/>
    <xf numFmtId="0" fontId="25" fillId="8" borderId="67" applyNumberFormat="0" applyAlignment="0" applyProtection="0"/>
    <xf numFmtId="0" fontId="31" fillId="0" borderId="65" applyNumberFormat="0" applyFill="0" applyAlignment="0" applyProtection="0"/>
    <xf numFmtId="0" fontId="31" fillId="0" borderId="70" applyNumberFormat="0" applyFill="0" applyAlignment="0" applyProtection="0"/>
    <xf numFmtId="0" fontId="24" fillId="24" borderId="69" applyNumberFormat="0" applyAlignment="0" applyProtection="0"/>
    <xf numFmtId="0" fontId="8" fillId="10" borderId="68" applyNumberFormat="0" applyFont="0" applyAlignment="0" applyProtection="0"/>
    <xf numFmtId="0" fontId="41" fillId="13" borderId="67" applyNumberFormat="0" applyAlignment="0" applyProtection="0"/>
    <xf numFmtId="0" fontId="48" fillId="12" borderId="67" applyNumberFormat="0" applyAlignment="0" applyProtection="0"/>
    <xf numFmtId="0" fontId="48" fillId="24" borderId="67" applyNumberFormat="0" applyAlignment="0" applyProtection="0"/>
    <xf numFmtId="0" fontId="31" fillId="0" borderId="65" applyNumberFormat="0" applyFill="0" applyAlignment="0" applyProtection="0"/>
    <xf numFmtId="0" fontId="48" fillId="24" borderId="67" applyNumberFormat="0" applyAlignment="0" applyProtection="0"/>
    <xf numFmtId="0" fontId="49" fillId="10" borderId="68" applyNumberFormat="0" applyFont="0" applyAlignment="0" applyProtection="0"/>
    <xf numFmtId="0" fontId="29" fillId="12" borderId="66" applyNumberFormat="0" applyAlignment="0" applyProtection="0"/>
    <xf numFmtId="0" fontId="8" fillId="10" borderId="68" applyNumberFormat="0" applyFont="0" applyAlignment="0" applyProtection="0"/>
    <xf numFmtId="0" fontId="8" fillId="10" borderId="61" applyNumberFormat="0" applyFont="0" applyAlignment="0" applyProtection="0"/>
    <xf numFmtId="0" fontId="49" fillId="10" borderId="61" applyNumberFormat="0" applyFont="0" applyAlignment="0" applyProtection="0"/>
    <xf numFmtId="0" fontId="31" fillId="0" borderId="63" applyNumberFormat="0" applyFill="0" applyAlignment="0" applyProtection="0"/>
    <xf numFmtId="0" fontId="31" fillId="0" borderId="65" applyNumberFormat="0" applyFill="0" applyAlignment="0" applyProtection="0"/>
    <xf numFmtId="0" fontId="31" fillId="0" borderId="70" applyNumberFormat="0" applyFill="0" applyAlignment="0" applyProtection="0"/>
    <xf numFmtId="0" fontId="31" fillId="0" borderId="65" applyNumberFormat="0" applyFill="0" applyAlignment="0" applyProtection="0"/>
    <xf numFmtId="0" fontId="48" fillId="24" borderId="167" applyNumberFormat="0" applyAlignment="0" applyProtection="0"/>
    <xf numFmtId="0" fontId="49" fillId="10" borderId="195" applyNumberFormat="0" applyFont="0" applyAlignment="0" applyProtection="0"/>
    <xf numFmtId="0" fontId="31" fillId="0" borderId="163" applyNumberFormat="0" applyFill="0" applyAlignment="0" applyProtection="0"/>
    <xf numFmtId="0" fontId="8" fillId="10" borderId="144" applyNumberFormat="0" applyFont="0" applyAlignment="0" applyProtection="0"/>
    <xf numFmtId="0" fontId="48" fillId="12" borderId="102" applyNumberFormat="0" applyAlignment="0" applyProtection="0"/>
    <xf numFmtId="0" fontId="24" fillId="24" borderId="120" applyNumberFormat="0" applyAlignment="0" applyProtection="0"/>
    <xf numFmtId="0" fontId="31" fillId="0" borderId="158" applyNumberFormat="0" applyFill="0" applyAlignment="0" applyProtection="0"/>
    <xf numFmtId="0" fontId="24" fillId="24" borderId="155" applyNumberFormat="0" applyAlignment="0" applyProtection="0"/>
    <xf numFmtId="0" fontId="18" fillId="10" borderId="103" applyNumberFormat="0" applyFont="0" applyAlignment="0" applyProtection="0"/>
    <xf numFmtId="0" fontId="49" fillId="10" borderId="103" applyNumberFormat="0" applyFont="0" applyAlignment="0" applyProtection="0"/>
    <xf numFmtId="0" fontId="28" fillId="10" borderId="168" applyNumberFormat="0" applyFont="0" applyAlignment="0" applyProtection="0"/>
    <xf numFmtId="0" fontId="28" fillId="10" borderId="119" applyNumberFormat="0" applyFont="0" applyAlignment="0" applyProtection="0"/>
    <xf numFmtId="0" fontId="18" fillId="10" borderId="119" applyNumberFormat="0" applyFont="0" applyAlignment="0" applyProtection="0"/>
    <xf numFmtId="0" fontId="31" fillId="0" borderId="148" applyNumberFormat="0" applyFill="0" applyAlignment="0" applyProtection="0"/>
    <xf numFmtId="0" fontId="48" fillId="12" borderId="134" applyNumberFormat="0" applyAlignment="0" applyProtection="0"/>
    <xf numFmtId="0" fontId="29" fillId="24" borderId="170" applyNumberFormat="0" applyAlignment="0" applyProtection="0"/>
    <xf numFmtId="0" fontId="32" fillId="24" borderId="187" applyNumberFormat="0" applyAlignment="0" applyProtection="0"/>
    <xf numFmtId="0" fontId="25" fillId="8" borderId="167" applyNumberFormat="0" applyAlignment="0" applyProtection="0"/>
    <xf numFmtId="0" fontId="72" fillId="0" borderId="81" applyBorder="0">
      <alignment horizontal="center" vertical="center" wrapText="1"/>
    </xf>
    <xf numFmtId="0" fontId="72" fillId="0" borderId="81" applyBorder="0">
      <alignment horizontal="center" vertical="center" wrapText="1"/>
    </xf>
    <xf numFmtId="0" fontId="72" fillId="0" borderId="81" applyBorder="0">
      <alignment horizontal="center" vertical="center" wrapText="1"/>
    </xf>
    <xf numFmtId="0" fontId="72" fillId="0" borderId="81" applyBorder="0">
      <alignment horizontal="center" vertical="center" wrapText="1"/>
    </xf>
    <xf numFmtId="0" fontId="72" fillId="0" borderId="81" applyBorder="0">
      <alignment horizontal="center" vertical="center" wrapText="1"/>
    </xf>
    <xf numFmtId="0" fontId="72" fillId="0" borderId="81" applyBorder="0">
      <alignment horizontal="center" vertical="center" wrapText="1"/>
    </xf>
    <xf numFmtId="0" fontId="72" fillId="0" borderId="81" applyBorder="0">
      <alignment horizontal="center" vertical="center" wrapText="1"/>
    </xf>
    <xf numFmtId="0" fontId="72" fillId="0" borderId="81" applyBorder="0">
      <alignment horizontal="center" vertical="center" wrapText="1"/>
    </xf>
    <xf numFmtId="0" fontId="72" fillId="0" borderId="81" applyBorder="0">
      <alignment horizontal="center" vertical="center" wrapText="1"/>
    </xf>
    <xf numFmtId="0" fontId="72" fillId="0" borderId="81" applyBorder="0">
      <alignment horizontal="center" vertical="center" wrapText="1"/>
    </xf>
    <xf numFmtId="0" fontId="72" fillId="0" borderId="81" applyBorder="0">
      <alignment horizontal="center" vertical="center" wrapText="1"/>
    </xf>
    <xf numFmtId="0" fontId="72" fillId="0" borderId="81" applyBorder="0">
      <alignment horizontal="center" vertical="center" wrapText="1"/>
    </xf>
    <xf numFmtId="0" fontId="72" fillId="0" borderId="81" applyBorder="0">
      <alignment horizontal="center" vertical="center" wrapText="1"/>
    </xf>
    <xf numFmtId="0" fontId="72" fillId="0" borderId="81" applyBorder="0">
      <alignment horizontal="center" vertical="center" wrapText="1"/>
    </xf>
    <xf numFmtId="0" fontId="72" fillId="0" borderId="81" applyBorder="0">
      <alignment horizontal="center" vertical="center" wrapText="1"/>
    </xf>
    <xf numFmtId="0" fontId="72" fillId="0" borderId="81" applyBorder="0">
      <alignment horizontal="center" vertical="center" wrapText="1"/>
    </xf>
    <xf numFmtId="0" fontId="72" fillId="0" borderId="81" applyBorder="0">
      <alignment horizontal="center" vertical="center" wrapText="1"/>
    </xf>
    <xf numFmtId="0" fontId="72" fillId="0" borderId="81" applyBorder="0">
      <alignment horizontal="center" vertical="center" wrapText="1"/>
    </xf>
    <xf numFmtId="0" fontId="72" fillId="0" borderId="81" applyBorder="0">
      <alignment horizontal="center" vertical="center" wrapText="1"/>
    </xf>
    <xf numFmtId="0" fontId="72" fillId="0" borderId="81" applyBorder="0">
      <alignment horizontal="center" vertical="center" wrapText="1"/>
    </xf>
    <xf numFmtId="0" fontId="72" fillId="0" borderId="81" applyBorder="0">
      <alignment horizontal="center" vertical="center" wrapText="1"/>
    </xf>
    <xf numFmtId="0" fontId="72" fillId="0" borderId="81" applyBorder="0">
      <alignment horizontal="center" vertical="center" wrapText="1"/>
    </xf>
    <xf numFmtId="0" fontId="72" fillId="0" borderId="81" applyBorder="0">
      <alignment horizontal="center" vertical="center" wrapText="1"/>
    </xf>
    <xf numFmtId="0" fontId="72" fillId="0" borderId="81" applyBorder="0">
      <alignment horizontal="center" vertical="center" wrapText="1"/>
    </xf>
    <xf numFmtId="0" fontId="72" fillId="0" borderId="81" applyBorder="0">
      <alignment horizontal="center" vertical="center" wrapText="1"/>
    </xf>
    <xf numFmtId="0" fontId="72" fillId="0" borderId="81" applyBorder="0">
      <alignment horizontal="center" vertical="center" wrapText="1"/>
    </xf>
    <xf numFmtId="0" fontId="72" fillId="0" borderId="81" applyBorder="0">
      <alignment horizontal="center" vertical="center" wrapText="1"/>
    </xf>
    <xf numFmtId="0" fontId="72" fillId="0" borderId="81" applyBorder="0">
      <alignment horizontal="center" vertical="center" wrapText="1"/>
    </xf>
    <xf numFmtId="0" fontId="72" fillId="0" borderId="81" applyBorder="0">
      <alignment horizontal="center" vertical="center" wrapText="1"/>
    </xf>
    <xf numFmtId="0" fontId="72" fillId="0" borderId="81" applyBorder="0">
      <alignment horizontal="center" vertical="center" wrapText="1"/>
    </xf>
    <xf numFmtId="0" fontId="48" fillId="24" borderId="84" applyNumberFormat="0" applyAlignment="0" applyProtection="0"/>
    <xf numFmtId="0" fontId="48" fillId="24" borderId="84" applyNumberFormat="0" applyAlignment="0" applyProtection="0"/>
    <xf numFmtId="0" fontId="48" fillId="24" borderId="84" applyNumberFormat="0" applyAlignment="0" applyProtection="0"/>
    <xf numFmtId="0" fontId="48" fillId="24" borderId="84" applyNumberFormat="0" applyAlignment="0" applyProtection="0"/>
    <xf numFmtId="0" fontId="48" fillId="24" borderId="84" applyNumberFormat="0" applyAlignment="0" applyProtection="0"/>
    <xf numFmtId="0" fontId="48" fillId="24" borderId="84" applyNumberFormat="0" applyAlignment="0" applyProtection="0"/>
    <xf numFmtId="0" fontId="48" fillId="24" borderId="84" applyNumberFormat="0" applyAlignment="0" applyProtection="0"/>
    <xf numFmtId="0" fontId="48" fillId="24" borderId="84" applyNumberFormat="0" applyAlignment="0" applyProtection="0"/>
    <xf numFmtId="0" fontId="48" fillId="24" borderId="84" applyNumberFormat="0" applyAlignment="0" applyProtection="0"/>
    <xf numFmtId="0" fontId="48" fillId="24" borderId="84" applyNumberFormat="0" applyAlignment="0" applyProtection="0"/>
    <xf numFmtId="0" fontId="48" fillId="24" borderId="84" applyNumberFormat="0" applyAlignment="0" applyProtection="0"/>
    <xf numFmtId="0" fontId="48" fillId="24" borderId="84" applyNumberFormat="0" applyAlignment="0" applyProtection="0"/>
    <xf numFmtId="0" fontId="48" fillId="24" borderId="84" applyNumberFormat="0" applyAlignment="0" applyProtection="0"/>
    <xf numFmtId="0" fontId="48" fillId="24" borderId="84" applyNumberFormat="0" applyAlignment="0" applyProtection="0"/>
    <xf numFmtId="0" fontId="48" fillId="24" borderId="84" applyNumberFormat="0" applyAlignment="0" applyProtection="0"/>
    <xf numFmtId="0" fontId="48" fillId="24" borderId="84" applyNumberFormat="0" applyAlignment="0" applyProtection="0"/>
    <xf numFmtId="0" fontId="48" fillId="24" borderId="84" applyNumberFormat="0" applyAlignment="0" applyProtection="0"/>
    <xf numFmtId="0" fontId="48" fillId="24" borderId="84" applyNumberFormat="0" applyAlignment="0" applyProtection="0"/>
    <xf numFmtId="0" fontId="48" fillId="24" borderId="84" applyNumberFormat="0" applyAlignment="0" applyProtection="0"/>
    <xf numFmtId="0" fontId="48" fillId="24" borderId="84" applyNumberFormat="0" applyAlignment="0" applyProtection="0"/>
    <xf numFmtId="0" fontId="48" fillId="24" borderId="84" applyNumberFormat="0" applyAlignment="0" applyProtection="0"/>
    <xf numFmtId="0" fontId="48" fillId="24" borderId="84" applyNumberFormat="0" applyAlignment="0" applyProtection="0"/>
    <xf numFmtId="0" fontId="48" fillId="24" borderId="84" applyNumberFormat="0" applyAlignment="0" applyProtection="0"/>
    <xf numFmtId="0" fontId="48" fillId="24" borderId="84" applyNumberFormat="0" applyAlignment="0" applyProtection="0"/>
    <xf numFmtId="0" fontId="48" fillId="24" borderId="84" applyNumberFormat="0" applyAlignment="0" applyProtection="0"/>
    <xf numFmtId="0" fontId="48" fillId="24" borderId="84" applyNumberFormat="0" applyAlignment="0" applyProtection="0"/>
    <xf numFmtId="0" fontId="48" fillId="24" borderId="84" applyNumberFormat="0" applyAlignment="0" applyProtection="0"/>
    <xf numFmtId="0" fontId="48" fillId="24" borderId="84" applyNumberFormat="0" applyAlignment="0" applyProtection="0"/>
    <xf numFmtId="0" fontId="48" fillId="24" borderId="84" applyNumberFormat="0" applyAlignment="0" applyProtection="0"/>
    <xf numFmtId="0" fontId="48" fillId="24" borderId="84" applyNumberFormat="0" applyAlignment="0" applyProtection="0"/>
    <xf numFmtId="0" fontId="48" fillId="24" borderId="84" applyNumberFormat="0" applyAlignment="0" applyProtection="0"/>
    <xf numFmtId="0" fontId="48" fillId="24" borderId="84" applyNumberFormat="0" applyAlignment="0" applyProtection="0"/>
    <xf numFmtId="0" fontId="48" fillId="24" borderId="84" applyNumberFormat="0" applyAlignment="0" applyProtection="0"/>
    <xf numFmtId="0" fontId="48" fillId="24" borderId="84" applyNumberFormat="0" applyAlignment="0" applyProtection="0"/>
    <xf numFmtId="0" fontId="48" fillId="24" borderId="84" applyNumberFormat="0" applyAlignment="0" applyProtection="0"/>
    <xf numFmtId="0" fontId="48" fillId="24" borderId="84" applyNumberFormat="0" applyAlignment="0" applyProtection="0"/>
    <xf numFmtId="0" fontId="48" fillId="24" borderId="84" applyNumberFormat="0" applyAlignment="0" applyProtection="0"/>
    <xf numFmtId="0" fontId="48" fillId="24" borderId="84" applyNumberFormat="0" applyAlignment="0" applyProtection="0"/>
    <xf numFmtId="0" fontId="48" fillId="24" borderId="84" applyNumberFormat="0" applyAlignment="0" applyProtection="0"/>
    <xf numFmtId="0" fontId="48" fillId="24" borderId="84" applyNumberFormat="0" applyAlignment="0" applyProtection="0"/>
    <xf numFmtId="0" fontId="48" fillId="24" borderId="84" applyNumberFormat="0" applyAlignment="0" applyProtection="0"/>
    <xf numFmtId="0" fontId="48" fillId="24" borderId="84" applyNumberFormat="0" applyAlignment="0" applyProtection="0"/>
    <xf numFmtId="0" fontId="48" fillId="24" borderId="84" applyNumberFormat="0" applyAlignment="0" applyProtection="0"/>
    <xf numFmtId="0" fontId="48" fillId="24" borderId="84" applyNumberFormat="0" applyAlignment="0" applyProtection="0"/>
    <xf numFmtId="0" fontId="48" fillId="24" borderId="84" applyNumberFormat="0" applyAlignment="0" applyProtection="0"/>
    <xf numFmtId="0" fontId="48" fillId="24" borderId="84" applyNumberFormat="0" applyAlignment="0" applyProtection="0"/>
    <xf numFmtId="0" fontId="48" fillId="24" borderId="84" applyNumberFormat="0" applyAlignment="0" applyProtection="0"/>
    <xf numFmtId="0" fontId="48" fillId="24" borderId="84" applyNumberFormat="0" applyAlignment="0" applyProtection="0"/>
    <xf numFmtId="0" fontId="48" fillId="24" borderId="84" applyNumberFormat="0" applyAlignment="0" applyProtection="0"/>
    <xf numFmtId="0" fontId="48" fillId="24" borderId="84" applyNumberFormat="0" applyAlignment="0" applyProtection="0"/>
    <xf numFmtId="0" fontId="48" fillId="24" borderId="84" applyNumberFormat="0" applyAlignment="0" applyProtection="0"/>
    <xf numFmtId="0" fontId="48" fillId="24" borderId="84" applyNumberFormat="0" applyAlignment="0" applyProtection="0"/>
    <xf numFmtId="0" fontId="48" fillId="24" borderId="84" applyNumberFormat="0" applyAlignment="0" applyProtection="0"/>
    <xf numFmtId="0" fontId="48" fillId="24" borderId="84" applyNumberFormat="0" applyAlignment="0" applyProtection="0"/>
    <xf numFmtId="0" fontId="48" fillId="24" borderId="84" applyNumberFormat="0" applyAlignment="0" applyProtection="0"/>
    <xf numFmtId="0" fontId="48" fillId="24" borderId="84" applyNumberFormat="0" applyAlignment="0" applyProtection="0"/>
    <xf numFmtId="0" fontId="48" fillId="24" borderId="84" applyNumberFormat="0" applyAlignment="0" applyProtection="0"/>
    <xf numFmtId="0" fontId="48" fillId="24" borderId="84" applyNumberFormat="0" applyAlignment="0" applyProtection="0"/>
    <xf numFmtId="0" fontId="48" fillId="24" borderId="84" applyNumberFormat="0" applyAlignment="0" applyProtection="0"/>
    <xf numFmtId="0" fontId="48" fillId="24" borderId="84" applyNumberFormat="0" applyAlignment="0" applyProtection="0"/>
    <xf numFmtId="0" fontId="48" fillId="24" borderId="84" applyNumberFormat="0" applyAlignment="0" applyProtection="0"/>
    <xf numFmtId="0" fontId="48" fillId="24" borderId="84" applyNumberFormat="0" applyAlignment="0" applyProtection="0"/>
    <xf numFmtId="0" fontId="48" fillId="24" borderId="84" applyNumberFormat="0" applyAlignment="0" applyProtection="0"/>
    <xf numFmtId="0" fontId="48" fillId="24" borderId="84" applyNumberFormat="0" applyAlignment="0" applyProtection="0"/>
    <xf numFmtId="0" fontId="48" fillId="24" borderId="84" applyNumberFormat="0" applyAlignment="0" applyProtection="0"/>
    <xf numFmtId="0" fontId="48" fillId="24" borderId="84" applyNumberFormat="0" applyAlignment="0" applyProtection="0"/>
    <xf numFmtId="0" fontId="48" fillId="24" borderId="84" applyNumberFormat="0" applyAlignment="0" applyProtection="0"/>
    <xf numFmtId="0" fontId="48" fillId="24" borderId="84" applyNumberFormat="0" applyAlignment="0" applyProtection="0"/>
    <xf numFmtId="0" fontId="48" fillId="24" borderId="84" applyNumberFormat="0" applyAlignment="0" applyProtection="0"/>
    <xf numFmtId="0" fontId="48" fillId="24" borderId="84" applyNumberFormat="0" applyAlignment="0" applyProtection="0"/>
    <xf numFmtId="0" fontId="48" fillId="24" borderId="84" applyNumberFormat="0" applyAlignment="0" applyProtection="0"/>
    <xf numFmtId="0" fontId="48" fillId="24" borderId="84" applyNumberFormat="0" applyAlignment="0" applyProtection="0"/>
    <xf numFmtId="0" fontId="48" fillId="24" borderId="84" applyNumberFormat="0" applyAlignment="0" applyProtection="0"/>
    <xf numFmtId="0" fontId="48" fillId="24" borderId="84" applyNumberFormat="0" applyAlignment="0" applyProtection="0"/>
    <xf numFmtId="0" fontId="48" fillId="24" borderId="84" applyNumberFormat="0" applyAlignment="0" applyProtection="0"/>
    <xf numFmtId="0" fontId="48" fillId="24" borderId="84" applyNumberFormat="0" applyAlignment="0" applyProtection="0"/>
    <xf numFmtId="0" fontId="48" fillId="24" borderId="84" applyNumberFormat="0" applyAlignment="0" applyProtection="0"/>
    <xf numFmtId="0" fontId="48" fillId="24" borderId="84" applyNumberFormat="0" applyAlignment="0" applyProtection="0"/>
    <xf numFmtId="0" fontId="32" fillId="24" borderId="84" applyNumberFormat="0" applyAlignment="0" applyProtection="0"/>
    <xf numFmtId="0" fontId="32" fillId="24" borderId="84" applyNumberFormat="0" applyAlignment="0" applyProtection="0"/>
    <xf numFmtId="0" fontId="32" fillId="24" borderId="84" applyNumberFormat="0" applyAlignment="0" applyProtection="0"/>
    <xf numFmtId="0" fontId="32" fillId="24" borderId="84" applyNumberFormat="0" applyAlignment="0" applyProtection="0"/>
    <xf numFmtId="0" fontId="32" fillId="24" borderId="84" applyNumberFormat="0" applyAlignment="0" applyProtection="0"/>
    <xf numFmtId="0" fontId="32" fillId="24" borderId="84" applyNumberFormat="0" applyAlignment="0" applyProtection="0"/>
    <xf numFmtId="0" fontId="32" fillId="24" borderId="84" applyNumberFormat="0" applyAlignment="0" applyProtection="0"/>
    <xf numFmtId="0" fontId="32" fillId="24" borderId="84" applyNumberFormat="0" applyAlignment="0" applyProtection="0"/>
    <xf numFmtId="0" fontId="32" fillId="24" borderId="84" applyNumberFormat="0" applyAlignment="0" applyProtection="0"/>
    <xf numFmtId="0" fontId="32" fillId="24" borderId="84" applyNumberFormat="0" applyAlignment="0" applyProtection="0"/>
    <xf numFmtId="0" fontId="32" fillId="24" borderId="84" applyNumberFormat="0" applyAlignment="0" applyProtection="0"/>
    <xf numFmtId="0" fontId="32" fillId="24" borderId="84" applyNumberFormat="0" applyAlignment="0" applyProtection="0"/>
    <xf numFmtId="0" fontId="32" fillId="24" borderId="84" applyNumberFormat="0" applyAlignment="0" applyProtection="0"/>
    <xf numFmtId="0" fontId="32" fillId="24" borderId="84" applyNumberFormat="0" applyAlignment="0" applyProtection="0"/>
    <xf numFmtId="0" fontId="32" fillId="24" borderId="84" applyNumberFormat="0" applyAlignment="0" applyProtection="0"/>
    <xf numFmtId="0" fontId="32" fillId="24" borderId="84" applyNumberFormat="0" applyAlignment="0" applyProtection="0"/>
    <xf numFmtId="0" fontId="32" fillId="24" borderId="84" applyNumberFormat="0" applyAlignment="0" applyProtection="0"/>
    <xf numFmtId="0" fontId="32" fillId="24" borderId="84" applyNumberFormat="0" applyAlignment="0" applyProtection="0"/>
    <xf numFmtId="0" fontId="32" fillId="24" borderId="84" applyNumberFormat="0" applyAlignment="0" applyProtection="0"/>
    <xf numFmtId="0" fontId="32" fillId="24" borderId="84" applyNumberFormat="0" applyAlignment="0" applyProtection="0"/>
    <xf numFmtId="0" fontId="32" fillId="24" borderId="84" applyNumberFormat="0" applyAlignment="0" applyProtection="0"/>
    <xf numFmtId="0" fontId="32" fillId="24" borderId="84" applyNumberFormat="0" applyAlignment="0" applyProtection="0"/>
    <xf numFmtId="0" fontId="32" fillId="24" borderId="84" applyNumberFormat="0" applyAlignment="0" applyProtection="0"/>
    <xf numFmtId="0" fontId="32" fillId="24" borderId="84" applyNumberFormat="0" applyAlignment="0" applyProtection="0"/>
    <xf numFmtId="0" fontId="32" fillId="24" borderId="84" applyNumberFormat="0" applyAlignment="0" applyProtection="0"/>
    <xf numFmtId="0" fontId="32" fillId="24" borderId="84" applyNumberFormat="0" applyAlignment="0" applyProtection="0"/>
    <xf numFmtId="0" fontId="32" fillId="24" borderId="84" applyNumberFormat="0" applyAlignment="0" applyProtection="0"/>
    <xf numFmtId="0" fontId="32" fillId="24" borderId="84" applyNumberFormat="0" applyAlignment="0" applyProtection="0"/>
    <xf numFmtId="0" fontId="32" fillId="24" borderId="84" applyNumberFormat="0" applyAlignment="0" applyProtection="0"/>
    <xf numFmtId="0" fontId="32" fillId="24" borderId="84" applyNumberFormat="0" applyAlignment="0" applyProtection="0"/>
    <xf numFmtId="0" fontId="32" fillId="24" borderId="84" applyNumberFormat="0" applyAlignment="0" applyProtection="0"/>
    <xf numFmtId="0" fontId="32" fillId="24" borderId="84" applyNumberFormat="0" applyAlignment="0" applyProtection="0"/>
    <xf numFmtId="0" fontId="32" fillId="24" borderId="84" applyNumberFormat="0" applyAlignment="0" applyProtection="0"/>
    <xf numFmtId="0" fontId="32" fillId="24" borderId="84" applyNumberFormat="0" applyAlignment="0" applyProtection="0"/>
    <xf numFmtId="0" fontId="32" fillId="24" borderId="84" applyNumberFormat="0" applyAlignment="0" applyProtection="0"/>
    <xf numFmtId="0" fontId="32" fillId="24" borderId="84" applyNumberFormat="0" applyAlignment="0" applyProtection="0"/>
    <xf numFmtId="0" fontId="32" fillId="24" borderId="84" applyNumberFormat="0" applyAlignment="0" applyProtection="0"/>
    <xf numFmtId="0" fontId="32" fillId="24" borderId="84" applyNumberFormat="0" applyAlignment="0" applyProtection="0"/>
    <xf numFmtId="0" fontId="32" fillId="24" borderId="84" applyNumberFormat="0" applyAlignment="0" applyProtection="0"/>
    <xf numFmtId="0" fontId="32" fillId="24" borderId="84" applyNumberFormat="0" applyAlignment="0" applyProtection="0"/>
    <xf numFmtId="0" fontId="32" fillId="24" borderId="84" applyNumberFormat="0" applyAlignment="0" applyProtection="0"/>
    <xf numFmtId="0" fontId="32" fillId="24" borderId="84" applyNumberFormat="0" applyAlignment="0" applyProtection="0"/>
    <xf numFmtId="0" fontId="32" fillId="24" borderId="84" applyNumberFormat="0" applyAlignment="0" applyProtection="0"/>
    <xf numFmtId="0" fontId="32" fillId="24" borderId="84" applyNumberFormat="0" applyAlignment="0" applyProtection="0"/>
    <xf numFmtId="0" fontId="32" fillId="24" borderId="84" applyNumberFormat="0" applyAlignment="0" applyProtection="0"/>
    <xf numFmtId="0" fontId="32" fillId="24" borderId="84" applyNumberFormat="0" applyAlignment="0" applyProtection="0"/>
    <xf numFmtId="0" fontId="32" fillId="24" borderId="84" applyNumberFormat="0" applyAlignment="0" applyProtection="0"/>
    <xf numFmtId="0" fontId="32" fillId="24" borderId="84" applyNumberFormat="0" applyAlignment="0" applyProtection="0"/>
    <xf numFmtId="0" fontId="32" fillId="24" borderId="84" applyNumberFormat="0" applyAlignment="0" applyProtection="0"/>
    <xf numFmtId="0" fontId="16" fillId="24" borderId="84" applyNumberFormat="0" applyAlignment="0" applyProtection="0"/>
    <xf numFmtId="0" fontId="16" fillId="24" borderId="84" applyNumberFormat="0" applyAlignment="0" applyProtection="0"/>
    <xf numFmtId="0" fontId="16" fillId="24" borderId="84" applyNumberFormat="0" applyAlignment="0" applyProtection="0"/>
    <xf numFmtId="0" fontId="16" fillId="24" borderId="84" applyNumberFormat="0" applyAlignment="0" applyProtection="0"/>
    <xf numFmtId="0" fontId="16" fillId="24" borderId="84" applyNumberFormat="0" applyAlignment="0" applyProtection="0"/>
    <xf numFmtId="0" fontId="16" fillId="24" borderId="84" applyNumberFormat="0" applyAlignment="0" applyProtection="0"/>
    <xf numFmtId="0" fontId="16" fillId="24" borderId="84" applyNumberFormat="0" applyAlignment="0" applyProtection="0"/>
    <xf numFmtId="0" fontId="16" fillId="24" borderId="84" applyNumberFormat="0" applyAlignment="0" applyProtection="0"/>
    <xf numFmtId="0" fontId="16" fillId="24" borderId="84" applyNumberFormat="0" applyAlignment="0" applyProtection="0"/>
    <xf numFmtId="0" fontId="16" fillId="24" borderId="84" applyNumberFormat="0" applyAlignment="0" applyProtection="0"/>
    <xf numFmtId="0" fontId="16" fillId="24" borderId="84" applyNumberFormat="0" applyAlignment="0" applyProtection="0"/>
    <xf numFmtId="0" fontId="16" fillId="24" borderId="84" applyNumberFormat="0" applyAlignment="0" applyProtection="0"/>
    <xf numFmtId="0" fontId="16" fillId="24" borderId="84" applyNumberFormat="0" applyAlignment="0" applyProtection="0"/>
    <xf numFmtId="0" fontId="16" fillId="24" borderId="84" applyNumberFormat="0" applyAlignment="0" applyProtection="0"/>
    <xf numFmtId="0" fontId="16" fillId="24" borderId="84" applyNumberFormat="0" applyAlignment="0" applyProtection="0"/>
    <xf numFmtId="0" fontId="16" fillId="24" borderId="84" applyNumberFormat="0" applyAlignment="0" applyProtection="0"/>
    <xf numFmtId="0" fontId="16" fillId="24" borderId="84" applyNumberFormat="0" applyAlignment="0" applyProtection="0"/>
    <xf numFmtId="0" fontId="16" fillId="24" borderId="84" applyNumberFormat="0" applyAlignment="0" applyProtection="0"/>
    <xf numFmtId="0" fontId="16" fillId="24" borderId="84" applyNumberFormat="0" applyAlignment="0" applyProtection="0"/>
    <xf numFmtId="0" fontId="16" fillId="24" borderId="84" applyNumberFormat="0" applyAlignment="0" applyProtection="0"/>
    <xf numFmtId="0" fontId="16" fillId="24" borderId="84" applyNumberFormat="0" applyAlignment="0" applyProtection="0"/>
    <xf numFmtId="0" fontId="16" fillId="24" borderId="84" applyNumberFormat="0" applyAlignment="0" applyProtection="0"/>
    <xf numFmtId="0" fontId="16" fillId="24" borderId="84" applyNumberFormat="0" applyAlignment="0" applyProtection="0"/>
    <xf numFmtId="0" fontId="16" fillId="24" borderId="84" applyNumberFormat="0" applyAlignment="0" applyProtection="0"/>
    <xf numFmtId="0" fontId="16" fillId="24" borderId="84" applyNumberFormat="0" applyAlignment="0" applyProtection="0"/>
    <xf numFmtId="0" fontId="16" fillId="24" borderId="84" applyNumberFormat="0" applyAlignment="0" applyProtection="0"/>
    <xf numFmtId="0" fontId="16" fillId="24" borderId="84" applyNumberFormat="0" applyAlignment="0" applyProtection="0"/>
    <xf numFmtId="0" fontId="16" fillId="24" borderId="84" applyNumberFormat="0" applyAlignment="0" applyProtection="0"/>
    <xf numFmtId="0" fontId="16" fillId="24" borderId="84" applyNumberFormat="0" applyAlignment="0" applyProtection="0"/>
    <xf numFmtId="0" fontId="16" fillId="24" borderId="84" applyNumberFormat="0" applyAlignment="0" applyProtection="0"/>
    <xf numFmtId="0" fontId="16" fillId="24" borderId="84" applyNumberFormat="0" applyAlignment="0" applyProtection="0"/>
    <xf numFmtId="0" fontId="16" fillId="24" borderId="84" applyNumberFormat="0" applyAlignment="0" applyProtection="0"/>
    <xf numFmtId="0" fontId="16" fillId="24" borderId="84" applyNumberFormat="0" applyAlignment="0" applyProtection="0"/>
    <xf numFmtId="0" fontId="16" fillId="24" borderId="84" applyNumberFormat="0" applyAlignment="0" applyProtection="0"/>
    <xf numFmtId="0" fontId="16" fillId="24" borderId="84" applyNumberFormat="0" applyAlignment="0" applyProtection="0"/>
    <xf numFmtId="0" fontId="16" fillId="24" borderId="84" applyNumberFormat="0" applyAlignment="0" applyProtection="0"/>
    <xf numFmtId="0" fontId="16" fillId="24" borderId="84" applyNumberFormat="0" applyAlignment="0" applyProtection="0"/>
    <xf numFmtId="0" fontId="16" fillId="24" borderId="84" applyNumberFormat="0" applyAlignment="0" applyProtection="0"/>
    <xf numFmtId="0" fontId="16" fillId="24" borderId="84" applyNumberFormat="0" applyAlignment="0" applyProtection="0"/>
    <xf numFmtId="0" fontId="16" fillId="24" borderId="84" applyNumberFormat="0" applyAlignment="0" applyProtection="0"/>
    <xf numFmtId="0" fontId="16" fillId="24" borderId="84" applyNumberFormat="0" applyAlignment="0" applyProtection="0"/>
    <xf numFmtId="0" fontId="16" fillId="24" borderId="84" applyNumberFormat="0" applyAlignment="0" applyProtection="0"/>
    <xf numFmtId="0" fontId="16" fillId="24" borderId="84" applyNumberFormat="0" applyAlignment="0" applyProtection="0"/>
    <xf numFmtId="0" fontId="16" fillId="24" borderId="84" applyNumberFormat="0" applyAlignment="0" applyProtection="0"/>
    <xf numFmtId="0" fontId="16" fillId="24" borderId="84" applyNumberFormat="0" applyAlignment="0" applyProtection="0"/>
    <xf numFmtId="0" fontId="16" fillId="24" borderId="84" applyNumberFormat="0" applyAlignment="0" applyProtection="0"/>
    <xf numFmtId="0" fontId="16" fillId="24" borderId="84" applyNumberFormat="0" applyAlignment="0" applyProtection="0"/>
    <xf numFmtId="0" fontId="16" fillId="24" borderId="84" applyNumberFormat="0" applyAlignment="0" applyProtection="0"/>
    <xf numFmtId="0" fontId="16" fillId="24" borderId="84" applyNumberFormat="0" applyAlignment="0" applyProtection="0"/>
    <xf numFmtId="0" fontId="48" fillId="24" borderId="84" applyNumberFormat="0" applyAlignment="0" applyProtection="0"/>
    <xf numFmtId="0" fontId="48" fillId="24" borderId="84" applyNumberFormat="0" applyAlignment="0" applyProtection="0"/>
    <xf numFmtId="0" fontId="48" fillId="24" borderId="84" applyNumberFormat="0" applyAlignment="0" applyProtection="0"/>
    <xf numFmtId="0" fontId="48" fillId="24" borderId="84" applyNumberFormat="0" applyAlignment="0" applyProtection="0"/>
    <xf numFmtId="0" fontId="48" fillId="24" borderId="84" applyNumberFormat="0" applyAlignment="0" applyProtection="0"/>
    <xf numFmtId="0" fontId="48" fillId="24" borderId="84" applyNumberFormat="0" applyAlignment="0" applyProtection="0"/>
    <xf numFmtId="0" fontId="48" fillId="24" borderId="84" applyNumberFormat="0" applyAlignment="0" applyProtection="0"/>
    <xf numFmtId="0" fontId="48" fillId="24" borderId="84" applyNumberFormat="0" applyAlignment="0" applyProtection="0"/>
    <xf numFmtId="0" fontId="48" fillId="24" borderId="84" applyNumberFormat="0" applyAlignment="0" applyProtection="0"/>
    <xf numFmtId="0" fontId="48" fillId="24" borderId="84" applyNumberFormat="0" applyAlignment="0" applyProtection="0"/>
    <xf numFmtId="0" fontId="48" fillId="24" borderId="84" applyNumberFormat="0" applyAlignment="0" applyProtection="0"/>
    <xf numFmtId="0" fontId="48" fillId="24" borderId="84" applyNumberFormat="0" applyAlignment="0" applyProtection="0"/>
    <xf numFmtId="0" fontId="48" fillId="24" borderId="84" applyNumberFormat="0" applyAlignment="0" applyProtection="0"/>
    <xf numFmtId="0" fontId="48" fillId="24" borderId="84" applyNumberFormat="0" applyAlignment="0" applyProtection="0"/>
    <xf numFmtId="0" fontId="48" fillId="24" borderId="84" applyNumberFormat="0" applyAlignment="0" applyProtection="0"/>
    <xf numFmtId="0" fontId="48" fillId="24" borderId="84" applyNumberFormat="0" applyAlignment="0" applyProtection="0"/>
    <xf numFmtId="0" fontId="48" fillId="24" borderId="84" applyNumberFormat="0" applyAlignment="0" applyProtection="0"/>
    <xf numFmtId="0" fontId="48" fillId="24" borderId="84" applyNumberFormat="0" applyAlignment="0" applyProtection="0"/>
    <xf numFmtId="0" fontId="48" fillId="24" borderId="84" applyNumberFormat="0" applyAlignment="0" applyProtection="0"/>
    <xf numFmtId="0" fontId="48" fillId="24" borderId="84" applyNumberFormat="0" applyAlignment="0" applyProtection="0"/>
    <xf numFmtId="0" fontId="48" fillId="24" borderId="84" applyNumberFormat="0" applyAlignment="0" applyProtection="0"/>
    <xf numFmtId="0" fontId="48" fillId="24" borderId="84" applyNumberFormat="0" applyAlignment="0" applyProtection="0"/>
    <xf numFmtId="0" fontId="48" fillId="24" borderId="84" applyNumberFormat="0" applyAlignment="0" applyProtection="0"/>
    <xf numFmtId="0" fontId="48" fillId="24" borderId="84" applyNumberFormat="0" applyAlignment="0" applyProtection="0"/>
    <xf numFmtId="0" fontId="48" fillId="24" borderId="84" applyNumberFormat="0" applyAlignment="0" applyProtection="0"/>
    <xf numFmtId="0" fontId="48" fillId="24" borderId="84" applyNumberFormat="0" applyAlignment="0" applyProtection="0"/>
    <xf numFmtId="0" fontId="48" fillId="24" borderId="84" applyNumberFormat="0" applyAlignment="0" applyProtection="0"/>
    <xf numFmtId="0" fontId="48" fillId="24" borderId="84" applyNumberFormat="0" applyAlignment="0" applyProtection="0"/>
    <xf numFmtId="0" fontId="48" fillId="24" borderId="84" applyNumberFormat="0" applyAlignment="0" applyProtection="0"/>
    <xf numFmtId="0" fontId="48" fillId="24" borderId="84" applyNumberFormat="0" applyAlignment="0" applyProtection="0"/>
    <xf numFmtId="0" fontId="48" fillId="24" borderId="84" applyNumberFormat="0" applyAlignment="0" applyProtection="0"/>
    <xf numFmtId="0" fontId="48" fillId="24" borderId="84" applyNumberFormat="0" applyAlignment="0" applyProtection="0"/>
    <xf numFmtId="0" fontId="48" fillId="24" borderId="84" applyNumberFormat="0" applyAlignment="0" applyProtection="0"/>
    <xf numFmtId="0" fontId="48" fillId="24" borderId="84" applyNumberFormat="0" applyAlignment="0" applyProtection="0"/>
    <xf numFmtId="0" fontId="48" fillId="24" borderId="84" applyNumberFormat="0" applyAlignment="0" applyProtection="0"/>
    <xf numFmtId="0" fontId="48" fillId="24" borderId="84" applyNumberFormat="0" applyAlignment="0" applyProtection="0"/>
    <xf numFmtId="0" fontId="48" fillId="24" borderId="84" applyNumberFormat="0" applyAlignment="0" applyProtection="0"/>
    <xf numFmtId="0" fontId="48" fillId="24" borderId="84" applyNumberFormat="0" applyAlignment="0" applyProtection="0"/>
    <xf numFmtId="0" fontId="48" fillId="24" borderId="84" applyNumberFormat="0" applyAlignment="0" applyProtection="0"/>
    <xf numFmtId="0" fontId="48" fillId="24" borderId="84" applyNumberFormat="0" applyAlignment="0" applyProtection="0"/>
    <xf numFmtId="0" fontId="48" fillId="24" borderId="84" applyNumberFormat="0" applyAlignment="0" applyProtection="0"/>
    <xf numFmtId="0" fontId="48" fillId="24" borderId="84" applyNumberFormat="0" applyAlignment="0" applyProtection="0"/>
    <xf numFmtId="0" fontId="48" fillId="24" borderId="84" applyNumberFormat="0" applyAlignment="0" applyProtection="0"/>
    <xf numFmtId="0" fontId="48" fillId="24" borderId="84" applyNumberFormat="0" applyAlignment="0" applyProtection="0"/>
    <xf numFmtId="0" fontId="48" fillId="24" borderId="84" applyNumberFormat="0" applyAlignment="0" applyProtection="0"/>
    <xf numFmtId="0" fontId="48" fillId="24" borderId="84" applyNumberFormat="0" applyAlignment="0" applyProtection="0"/>
    <xf numFmtId="0" fontId="48" fillId="24" borderId="84" applyNumberFormat="0" applyAlignment="0" applyProtection="0"/>
    <xf numFmtId="0" fontId="48" fillId="24" borderId="84" applyNumberFormat="0" applyAlignment="0" applyProtection="0"/>
    <xf numFmtId="0" fontId="48" fillId="12" borderId="84" applyNumberFormat="0" applyAlignment="0" applyProtection="0"/>
    <xf numFmtId="0" fontId="48" fillId="12" borderId="84" applyNumberFormat="0" applyAlignment="0" applyProtection="0"/>
    <xf numFmtId="0" fontId="48" fillId="12" borderId="84" applyNumberFormat="0" applyAlignment="0" applyProtection="0"/>
    <xf numFmtId="0" fontId="48" fillId="12" borderId="84" applyNumberFormat="0" applyAlignment="0" applyProtection="0"/>
    <xf numFmtId="0" fontId="48" fillId="12" borderId="84" applyNumberFormat="0" applyAlignment="0" applyProtection="0"/>
    <xf numFmtId="0" fontId="48" fillId="12" borderId="84" applyNumberFormat="0" applyAlignment="0" applyProtection="0"/>
    <xf numFmtId="0" fontId="48" fillId="12" borderId="84" applyNumberFormat="0" applyAlignment="0" applyProtection="0"/>
    <xf numFmtId="0" fontId="48" fillId="12" borderId="84" applyNumberFormat="0" applyAlignment="0" applyProtection="0"/>
    <xf numFmtId="0" fontId="48" fillId="12" borderId="84" applyNumberFormat="0" applyAlignment="0" applyProtection="0"/>
    <xf numFmtId="0" fontId="48" fillId="12" borderId="84" applyNumberFormat="0" applyAlignment="0" applyProtection="0"/>
    <xf numFmtId="0" fontId="48" fillId="12" borderId="84" applyNumberFormat="0" applyAlignment="0" applyProtection="0"/>
    <xf numFmtId="0" fontId="48" fillId="12" borderId="84" applyNumberFormat="0" applyAlignment="0" applyProtection="0"/>
    <xf numFmtId="0" fontId="48" fillId="12" borderId="84" applyNumberFormat="0" applyAlignment="0" applyProtection="0"/>
    <xf numFmtId="0" fontId="48" fillId="12" borderId="84" applyNumberFormat="0" applyAlignment="0" applyProtection="0"/>
    <xf numFmtId="0" fontId="48" fillId="12" borderId="84" applyNumberFormat="0" applyAlignment="0" applyProtection="0"/>
    <xf numFmtId="0" fontId="48" fillId="12" borderId="84" applyNumberFormat="0" applyAlignment="0" applyProtection="0"/>
    <xf numFmtId="0" fontId="48" fillId="12" borderId="84" applyNumberFormat="0" applyAlignment="0" applyProtection="0"/>
    <xf numFmtId="0" fontId="48" fillId="12" borderId="84" applyNumberFormat="0" applyAlignment="0" applyProtection="0"/>
    <xf numFmtId="0" fontId="48" fillId="12" borderId="84" applyNumberFormat="0" applyAlignment="0" applyProtection="0"/>
    <xf numFmtId="0" fontId="48" fillId="12" borderId="84" applyNumberFormat="0" applyAlignment="0" applyProtection="0"/>
    <xf numFmtId="0" fontId="48" fillId="12" borderId="84" applyNumberFormat="0" applyAlignment="0" applyProtection="0"/>
    <xf numFmtId="0" fontId="48" fillId="12" borderId="84" applyNumberFormat="0" applyAlignment="0" applyProtection="0"/>
    <xf numFmtId="0" fontId="48" fillId="12" borderId="84" applyNumberFormat="0" applyAlignment="0" applyProtection="0"/>
    <xf numFmtId="0" fontId="48" fillId="12" borderId="84" applyNumberFormat="0" applyAlignment="0" applyProtection="0"/>
    <xf numFmtId="0" fontId="48" fillId="12" borderId="84" applyNumberFormat="0" applyAlignment="0" applyProtection="0"/>
    <xf numFmtId="0" fontId="48" fillId="12" borderId="84" applyNumberFormat="0" applyAlignment="0" applyProtection="0"/>
    <xf numFmtId="0" fontId="48" fillId="12" borderId="84" applyNumberFormat="0" applyAlignment="0" applyProtection="0"/>
    <xf numFmtId="0" fontId="48" fillId="12" borderId="84" applyNumberFormat="0" applyAlignment="0" applyProtection="0"/>
    <xf numFmtId="0" fontId="48" fillId="12" borderId="84" applyNumberFormat="0" applyAlignment="0" applyProtection="0"/>
    <xf numFmtId="0" fontId="48" fillId="12" borderId="84" applyNumberFormat="0" applyAlignment="0" applyProtection="0"/>
    <xf numFmtId="0" fontId="48" fillId="12" borderId="84" applyNumberFormat="0" applyAlignment="0" applyProtection="0"/>
    <xf numFmtId="0" fontId="48" fillId="12" borderId="84" applyNumberFormat="0" applyAlignment="0" applyProtection="0"/>
    <xf numFmtId="0" fontId="48" fillId="12" borderId="84" applyNumberFormat="0" applyAlignment="0" applyProtection="0"/>
    <xf numFmtId="0" fontId="48" fillId="12" borderId="84" applyNumberFormat="0" applyAlignment="0" applyProtection="0"/>
    <xf numFmtId="0" fontId="48" fillId="12" borderId="84" applyNumberFormat="0" applyAlignment="0" applyProtection="0"/>
    <xf numFmtId="0" fontId="48" fillId="12" borderId="84" applyNumberFormat="0" applyAlignment="0" applyProtection="0"/>
    <xf numFmtId="0" fontId="48" fillId="12" borderId="84" applyNumberFormat="0" applyAlignment="0" applyProtection="0"/>
    <xf numFmtId="0" fontId="48" fillId="12" borderId="84" applyNumberFormat="0" applyAlignment="0" applyProtection="0"/>
    <xf numFmtId="0" fontId="48" fillId="12" borderId="84" applyNumberFormat="0" applyAlignment="0" applyProtection="0"/>
    <xf numFmtId="0" fontId="48" fillId="12" borderId="84" applyNumberFormat="0" applyAlignment="0" applyProtection="0"/>
    <xf numFmtId="0" fontId="48" fillId="12" borderId="84" applyNumberFormat="0" applyAlignment="0" applyProtection="0"/>
    <xf numFmtId="0" fontId="48" fillId="12" borderId="84" applyNumberFormat="0" applyAlignment="0" applyProtection="0"/>
    <xf numFmtId="0" fontId="48" fillId="12" borderId="84" applyNumberFormat="0" applyAlignment="0" applyProtection="0"/>
    <xf numFmtId="0" fontId="48" fillId="12" borderId="84" applyNumberFormat="0" applyAlignment="0" applyProtection="0"/>
    <xf numFmtId="0" fontId="48" fillId="12" borderId="84" applyNumberFormat="0" applyAlignment="0" applyProtection="0"/>
    <xf numFmtId="0" fontId="48" fillId="12" borderId="84" applyNumberFormat="0" applyAlignment="0" applyProtection="0"/>
    <xf numFmtId="0" fontId="48" fillId="12" borderId="84" applyNumberFormat="0" applyAlignment="0" applyProtection="0"/>
    <xf numFmtId="0" fontId="48" fillId="12" borderId="84" applyNumberFormat="0" applyAlignment="0" applyProtection="0"/>
    <xf numFmtId="0" fontId="48" fillId="12" borderId="84" applyNumberFormat="0" applyAlignment="0" applyProtection="0"/>
    <xf numFmtId="0" fontId="48" fillId="12" borderId="84" applyNumberFormat="0" applyAlignment="0" applyProtection="0"/>
    <xf numFmtId="0" fontId="48" fillId="12" borderId="84" applyNumberFormat="0" applyAlignment="0" applyProtection="0"/>
    <xf numFmtId="0" fontId="48" fillId="12" borderId="84" applyNumberFormat="0" applyAlignment="0" applyProtection="0"/>
    <xf numFmtId="0" fontId="48" fillId="12" borderId="84" applyNumberFormat="0" applyAlignment="0" applyProtection="0"/>
    <xf numFmtId="0" fontId="48" fillId="12" borderId="84" applyNumberFormat="0" applyAlignment="0" applyProtection="0"/>
    <xf numFmtId="0" fontId="48" fillId="12" borderId="84" applyNumberFormat="0" applyAlignment="0" applyProtection="0"/>
    <xf numFmtId="0" fontId="48" fillId="12" borderId="84" applyNumberFormat="0" applyAlignment="0" applyProtection="0"/>
    <xf numFmtId="0" fontId="48" fillId="12" borderId="84" applyNumberFormat="0" applyAlignment="0" applyProtection="0"/>
    <xf numFmtId="0" fontId="48" fillId="12" borderId="84" applyNumberFormat="0" applyAlignment="0" applyProtection="0"/>
    <xf numFmtId="0" fontId="48" fillId="12" borderId="84" applyNumberFormat="0" applyAlignment="0" applyProtection="0"/>
    <xf numFmtId="0" fontId="48" fillId="12" borderId="84" applyNumberFormat="0" applyAlignment="0" applyProtection="0"/>
    <xf numFmtId="0" fontId="48" fillId="12" borderId="84" applyNumberFormat="0" applyAlignment="0" applyProtection="0"/>
    <xf numFmtId="0" fontId="48" fillId="12" borderId="84" applyNumberFormat="0" applyAlignment="0" applyProtection="0"/>
    <xf numFmtId="0" fontId="48" fillId="12" borderId="84" applyNumberFormat="0" applyAlignment="0" applyProtection="0"/>
    <xf numFmtId="0" fontId="48" fillId="12" borderId="84" applyNumberFormat="0" applyAlignment="0" applyProtection="0"/>
    <xf numFmtId="0" fontId="48" fillId="12" borderId="84" applyNumberFormat="0" applyAlignment="0" applyProtection="0"/>
    <xf numFmtId="0" fontId="48" fillId="12" borderId="84" applyNumberFormat="0" applyAlignment="0" applyProtection="0"/>
    <xf numFmtId="0" fontId="48" fillId="12" borderId="84" applyNumberFormat="0" applyAlignment="0" applyProtection="0"/>
    <xf numFmtId="0" fontId="48" fillId="12" borderId="84" applyNumberFormat="0" applyAlignment="0" applyProtection="0"/>
    <xf numFmtId="0" fontId="48" fillId="12" borderId="84" applyNumberFormat="0" applyAlignment="0" applyProtection="0"/>
    <xf numFmtId="0" fontId="48" fillId="12" borderId="84" applyNumberFormat="0" applyAlignment="0" applyProtection="0"/>
    <xf numFmtId="0" fontId="48" fillId="12" borderId="84" applyNumberFormat="0" applyAlignment="0" applyProtection="0"/>
    <xf numFmtId="0" fontId="48" fillId="12" borderId="84" applyNumberFormat="0" applyAlignment="0" applyProtection="0"/>
    <xf numFmtId="0" fontId="48" fillId="12" borderId="84" applyNumberFormat="0" applyAlignment="0" applyProtection="0"/>
    <xf numFmtId="0" fontId="48" fillId="12" borderId="84" applyNumberFormat="0" applyAlignment="0" applyProtection="0"/>
    <xf numFmtId="0" fontId="48" fillId="12" borderId="84" applyNumberFormat="0" applyAlignment="0" applyProtection="0"/>
    <xf numFmtId="0" fontId="48" fillId="12" borderId="84" applyNumberFormat="0" applyAlignment="0" applyProtection="0"/>
    <xf numFmtId="0" fontId="48" fillId="12" borderId="84" applyNumberFormat="0" applyAlignment="0" applyProtection="0"/>
    <xf numFmtId="0" fontId="16" fillId="24" borderId="84" applyNumberFormat="0" applyAlignment="0" applyProtection="0"/>
    <xf numFmtId="0" fontId="16" fillId="24" borderId="84" applyNumberFormat="0" applyAlignment="0" applyProtection="0"/>
    <xf numFmtId="0" fontId="16" fillId="24" borderId="84" applyNumberFormat="0" applyAlignment="0" applyProtection="0"/>
    <xf numFmtId="0" fontId="16" fillId="24" borderId="84" applyNumberFormat="0" applyAlignment="0" applyProtection="0"/>
    <xf numFmtId="0" fontId="16" fillId="24" borderId="84" applyNumberFormat="0" applyAlignment="0" applyProtection="0"/>
    <xf numFmtId="0" fontId="16" fillId="24" borderId="84" applyNumberFormat="0" applyAlignment="0" applyProtection="0"/>
    <xf numFmtId="0" fontId="16" fillId="24" borderId="84" applyNumberFormat="0" applyAlignment="0" applyProtection="0"/>
    <xf numFmtId="0" fontId="16" fillId="24" borderId="84" applyNumberFormat="0" applyAlignment="0" applyProtection="0"/>
    <xf numFmtId="0" fontId="16" fillId="24" borderId="84" applyNumberFormat="0" applyAlignment="0" applyProtection="0"/>
    <xf numFmtId="0" fontId="16" fillId="24" borderId="84" applyNumberFormat="0" applyAlignment="0" applyProtection="0"/>
    <xf numFmtId="0" fontId="16" fillId="24" borderId="84" applyNumberFormat="0" applyAlignment="0" applyProtection="0"/>
    <xf numFmtId="0" fontId="16" fillId="24" borderId="84" applyNumberFormat="0" applyAlignment="0" applyProtection="0"/>
    <xf numFmtId="0" fontId="16" fillId="24" borderId="84" applyNumberFormat="0" applyAlignment="0" applyProtection="0"/>
    <xf numFmtId="0" fontId="16" fillId="24" borderId="84" applyNumberFormat="0" applyAlignment="0" applyProtection="0"/>
    <xf numFmtId="0" fontId="16" fillId="24" borderId="84" applyNumberFormat="0" applyAlignment="0" applyProtection="0"/>
    <xf numFmtId="0" fontId="16" fillId="24" borderId="84" applyNumberFormat="0" applyAlignment="0" applyProtection="0"/>
    <xf numFmtId="0" fontId="16" fillId="24" borderId="84" applyNumberFormat="0" applyAlignment="0" applyProtection="0"/>
    <xf numFmtId="0" fontId="16" fillId="24" borderId="84" applyNumberFormat="0" applyAlignment="0" applyProtection="0"/>
    <xf numFmtId="0" fontId="16" fillId="24" borderId="84" applyNumberFormat="0" applyAlignment="0" applyProtection="0"/>
    <xf numFmtId="0" fontId="16" fillId="24" borderId="84" applyNumberFormat="0" applyAlignment="0" applyProtection="0"/>
    <xf numFmtId="0" fontId="16" fillId="24" borderId="84" applyNumberFormat="0" applyAlignment="0" applyProtection="0"/>
    <xf numFmtId="0" fontId="16" fillId="24" borderId="84" applyNumberFormat="0" applyAlignment="0" applyProtection="0"/>
    <xf numFmtId="0" fontId="16" fillId="24" borderId="84" applyNumberFormat="0" applyAlignment="0" applyProtection="0"/>
    <xf numFmtId="0" fontId="16" fillId="24" borderId="84" applyNumberFormat="0" applyAlignment="0" applyProtection="0"/>
    <xf numFmtId="0" fontId="16" fillId="24" borderId="84" applyNumberFormat="0" applyAlignment="0" applyProtection="0"/>
    <xf numFmtId="0" fontId="16" fillId="24" borderId="84" applyNumberFormat="0" applyAlignment="0" applyProtection="0"/>
    <xf numFmtId="0" fontId="16" fillId="24" borderId="84" applyNumberFormat="0" applyAlignment="0" applyProtection="0"/>
    <xf numFmtId="0" fontId="16" fillId="24" borderId="84" applyNumberFormat="0" applyAlignment="0" applyProtection="0"/>
    <xf numFmtId="0" fontId="16" fillId="24" borderId="84" applyNumberFormat="0" applyAlignment="0" applyProtection="0"/>
    <xf numFmtId="0" fontId="16" fillId="24" borderId="84" applyNumberFormat="0" applyAlignment="0" applyProtection="0"/>
    <xf numFmtId="0" fontId="16" fillId="24" borderId="84" applyNumberFormat="0" applyAlignment="0" applyProtection="0"/>
    <xf numFmtId="0" fontId="16" fillId="24" borderId="84" applyNumberFormat="0" applyAlignment="0" applyProtection="0"/>
    <xf numFmtId="0" fontId="16" fillId="24" borderId="84" applyNumberFormat="0" applyAlignment="0" applyProtection="0"/>
    <xf numFmtId="0" fontId="16" fillId="24" borderId="84" applyNumberFormat="0" applyAlignment="0" applyProtection="0"/>
    <xf numFmtId="0" fontId="16" fillId="24" borderId="84" applyNumberFormat="0" applyAlignment="0" applyProtection="0"/>
    <xf numFmtId="0" fontId="16" fillId="24" borderId="84" applyNumberFormat="0" applyAlignment="0" applyProtection="0"/>
    <xf numFmtId="0" fontId="16" fillId="24" borderId="84" applyNumberFormat="0" applyAlignment="0" applyProtection="0"/>
    <xf numFmtId="0" fontId="16" fillId="24" borderId="84" applyNumberFormat="0" applyAlignment="0" applyProtection="0"/>
    <xf numFmtId="0" fontId="16" fillId="24" borderId="84" applyNumberFormat="0" applyAlignment="0" applyProtection="0"/>
    <xf numFmtId="0" fontId="16" fillId="24" borderId="84" applyNumberFormat="0" applyAlignment="0" applyProtection="0"/>
    <xf numFmtId="0" fontId="16" fillId="24" borderId="84" applyNumberFormat="0" applyAlignment="0" applyProtection="0"/>
    <xf numFmtId="0" fontId="16" fillId="24" borderId="84" applyNumberFormat="0" applyAlignment="0" applyProtection="0"/>
    <xf numFmtId="0" fontId="16" fillId="24" borderId="84" applyNumberFormat="0" applyAlignment="0" applyProtection="0"/>
    <xf numFmtId="0" fontId="16" fillId="24" borderId="84" applyNumberFormat="0" applyAlignment="0" applyProtection="0"/>
    <xf numFmtId="0" fontId="16" fillId="24" borderId="84" applyNumberFormat="0" applyAlignment="0" applyProtection="0"/>
    <xf numFmtId="0" fontId="16" fillId="24" borderId="84" applyNumberFormat="0" applyAlignment="0" applyProtection="0"/>
    <xf numFmtId="0" fontId="16" fillId="24" borderId="84" applyNumberFormat="0" applyAlignment="0" applyProtection="0"/>
    <xf numFmtId="0" fontId="16" fillId="24" borderId="84" applyNumberFormat="0" applyAlignment="0" applyProtection="0"/>
    <xf numFmtId="0" fontId="16" fillId="24" borderId="84" applyNumberFormat="0" applyAlignment="0" applyProtection="0"/>
    <xf numFmtId="0" fontId="48" fillId="12" borderId="84" applyNumberFormat="0" applyAlignment="0" applyProtection="0"/>
    <xf numFmtId="0" fontId="48" fillId="12" borderId="84" applyNumberFormat="0" applyAlignment="0" applyProtection="0"/>
    <xf numFmtId="0" fontId="48" fillId="12" borderId="84" applyNumberFormat="0" applyAlignment="0" applyProtection="0"/>
    <xf numFmtId="0" fontId="48" fillId="12" borderId="84" applyNumberFormat="0" applyAlignment="0" applyProtection="0"/>
    <xf numFmtId="0" fontId="48" fillId="12" borderId="84" applyNumberFormat="0" applyAlignment="0" applyProtection="0"/>
    <xf numFmtId="0" fontId="48" fillId="12" borderId="84" applyNumberFormat="0" applyAlignment="0" applyProtection="0"/>
    <xf numFmtId="0" fontId="48" fillId="12" borderId="84" applyNumberFormat="0" applyAlignment="0" applyProtection="0"/>
    <xf numFmtId="0" fontId="48" fillId="12" borderId="84" applyNumberFormat="0" applyAlignment="0" applyProtection="0"/>
    <xf numFmtId="0" fontId="48" fillId="12" borderId="84" applyNumberFormat="0" applyAlignment="0" applyProtection="0"/>
    <xf numFmtId="0" fontId="48" fillId="12" borderId="84" applyNumberFormat="0" applyAlignment="0" applyProtection="0"/>
    <xf numFmtId="0" fontId="48" fillId="12" borderId="84" applyNumberFormat="0" applyAlignment="0" applyProtection="0"/>
    <xf numFmtId="0" fontId="48" fillId="12" borderId="84" applyNumberFormat="0" applyAlignment="0" applyProtection="0"/>
    <xf numFmtId="0" fontId="48" fillId="12" borderId="84" applyNumberFormat="0" applyAlignment="0" applyProtection="0"/>
    <xf numFmtId="0" fontId="48" fillId="12" borderId="84" applyNumberFormat="0" applyAlignment="0" applyProtection="0"/>
    <xf numFmtId="0" fontId="48" fillId="12" borderId="84" applyNumberFormat="0" applyAlignment="0" applyProtection="0"/>
    <xf numFmtId="0" fontId="48" fillId="12" borderId="84" applyNumberFormat="0" applyAlignment="0" applyProtection="0"/>
    <xf numFmtId="0" fontId="48" fillId="12" borderId="84" applyNumberFormat="0" applyAlignment="0" applyProtection="0"/>
    <xf numFmtId="0" fontId="48" fillId="12" borderId="84" applyNumberFormat="0" applyAlignment="0" applyProtection="0"/>
    <xf numFmtId="0" fontId="48" fillId="12" borderId="84" applyNumberFormat="0" applyAlignment="0" applyProtection="0"/>
    <xf numFmtId="0" fontId="48" fillId="12" borderId="84" applyNumberFormat="0" applyAlignment="0" applyProtection="0"/>
    <xf numFmtId="0" fontId="48" fillId="12" borderId="84" applyNumberFormat="0" applyAlignment="0" applyProtection="0"/>
    <xf numFmtId="0" fontId="48" fillId="12" borderId="84" applyNumberFormat="0" applyAlignment="0" applyProtection="0"/>
    <xf numFmtId="0" fontId="48" fillId="12" borderId="84" applyNumberFormat="0" applyAlignment="0" applyProtection="0"/>
    <xf numFmtId="0" fontId="48" fillId="12" borderId="84" applyNumberFormat="0" applyAlignment="0" applyProtection="0"/>
    <xf numFmtId="0" fontId="48" fillId="12" borderId="84" applyNumberFormat="0" applyAlignment="0" applyProtection="0"/>
    <xf numFmtId="0" fontId="48" fillId="12" borderId="84" applyNumberFormat="0" applyAlignment="0" applyProtection="0"/>
    <xf numFmtId="0" fontId="48" fillId="12" borderId="84" applyNumberFormat="0" applyAlignment="0" applyProtection="0"/>
    <xf numFmtId="0" fontId="48" fillId="12" borderId="84" applyNumberFormat="0" applyAlignment="0" applyProtection="0"/>
    <xf numFmtId="0" fontId="48" fillId="12" borderId="84" applyNumberFormat="0" applyAlignment="0" applyProtection="0"/>
    <xf numFmtId="0" fontId="48" fillId="12" borderId="84" applyNumberFormat="0" applyAlignment="0" applyProtection="0"/>
    <xf numFmtId="0" fontId="48" fillId="12" borderId="84" applyNumberFormat="0" applyAlignment="0" applyProtection="0"/>
    <xf numFmtId="0" fontId="48" fillId="12" borderId="84" applyNumberFormat="0" applyAlignment="0" applyProtection="0"/>
    <xf numFmtId="0" fontId="48" fillId="12" borderId="84" applyNumberFormat="0" applyAlignment="0" applyProtection="0"/>
    <xf numFmtId="0" fontId="48" fillId="12" borderId="84" applyNumberFormat="0" applyAlignment="0" applyProtection="0"/>
    <xf numFmtId="0" fontId="48" fillId="12" borderId="84" applyNumberFormat="0" applyAlignment="0" applyProtection="0"/>
    <xf numFmtId="0" fontId="48" fillId="12" borderId="84" applyNumberFormat="0" applyAlignment="0" applyProtection="0"/>
    <xf numFmtId="0" fontId="48" fillId="12" borderId="84" applyNumberFormat="0" applyAlignment="0" applyProtection="0"/>
    <xf numFmtId="0" fontId="48" fillId="12" borderId="84" applyNumberFormat="0" applyAlignment="0" applyProtection="0"/>
    <xf numFmtId="0" fontId="48" fillId="12" borderId="84" applyNumberFormat="0" applyAlignment="0" applyProtection="0"/>
    <xf numFmtId="0" fontId="48" fillId="12" borderId="84" applyNumberFormat="0" applyAlignment="0" applyProtection="0"/>
    <xf numFmtId="0" fontId="48" fillId="12" borderId="84" applyNumberFormat="0" applyAlignment="0" applyProtection="0"/>
    <xf numFmtId="0" fontId="48" fillId="12" borderId="84" applyNumberFormat="0" applyAlignment="0" applyProtection="0"/>
    <xf numFmtId="0" fontId="48" fillId="12" borderId="84" applyNumberFormat="0" applyAlignment="0" applyProtection="0"/>
    <xf numFmtId="0" fontId="48" fillId="12" borderId="84" applyNumberFormat="0" applyAlignment="0" applyProtection="0"/>
    <xf numFmtId="0" fontId="48" fillId="12" borderId="84" applyNumberFormat="0" applyAlignment="0" applyProtection="0"/>
    <xf numFmtId="0" fontId="48" fillId="12" borderId="84" applyNumberFormat="0" applyAlignment="0" applyProtection="0"/>
    <xf numFmtId="0" fontId="48" fillId="12" borderId="84" applyNumberFormat="0" applyAlignment="0" applyProtection="0"/>
    <xf numFmtId="0" fontId="48" fillId="12" borderId="84" applyNumberFormat="0" applyAlignment="0" applyProtection="0"/>
    <xf numFmtId="0" fontId="48" fillId="12" borderId="84" applyNumberFormat="0" applyAlignment="0" applyProtection="0"/>
    <xf numFmtId="0" fontId="48" fillId="12" borderId="84" applyNumberFormat="0" applyAlignment="0" applyProtection="0"/>
    <xf numFmtId="0" fontId="48" fillId="12" borderId="84" applyNumberFormat="0" applyAlignment="0" applyProtection="0"/>
    <xf numFmtId="0" fontId="48" fillId="12" borderId="84" applyNumberFormat="0" applyAlignment="0" applyProtection="0"/>
    <xf numFmtId="0" fontId="48" fillId="12" borderId="84" applyNumberFormat="0" applyAlignment="0" applyProtection="0"/>
    <xf numFmtId="0" fontId="48" fillId="12" borderId="84" applyNumberFormat="0" applyAlignment="0" applyProtection="0"/>
    <xf numFmtId="0" fontId="48" fillId="12" borderId="84" applyNumberFormat="0" applyAlignment="0" applyProtection="0"/>
    <xf numFmtId="0" fontId="48" fillId="12" borderId="84" applyNumberFormat="0" applyAlignment="0" applyProtection="0"/>
    <xf numFmtId="0" fontId="48" fillId="12" borderId="84" applyNumberFormat="0" applyAlignment="0" applyProtection="0"/>
    <xf numFmtId="0" fontId="48" fillId="12" borderId="84" applyNumberFormat="0" applyAlignment="0" applyProtection="0"/>
    <xf numFmtId="0" fontId="48" fillId="12" borderId="84" applyNumberFormat="0" applyAlignment="0" applyProtection="0"/>
    <xf numFmtId="0" fontId="48" fillId="12" borderId="84" applyNumberFormat="0" applyAlignment="0" applyProtection="0"/>
    <xf numFmtId="0" fontId="48" fillId="12" borderId="84" applyNumberFormat="0" applyAlignment="0" applyProtection="0"/>
    <xf numFmtId="0" fontId="48" fillId="12" borderId="84" applyNumberFormat="0" applyAlignment="0" applyProtection="0"/>
    <xf numFmtId="0" fontId="48" fillId="12" borderId="84" applyNumberFormat="0" applyAlignment="0" applyProtection="0"/>
    <xf numFmtId="0" fontId="48" fillId="12" borderId="84" applyNumberFormat="0" applyAlignment="0" applyProtection="0"/>
    <xf numFmtId="0" fontId="48" fillId="12" borderId="84" applyNumberFormat="0" applyAlignment="0" applyProtection="0"/>
    <xf numFmtId="0" fontId="48" fillId="12" borderId="84" applyNumberFormat="0" applyAlignment="0" applyProtection="0"/>
    <xf numFmtId="0" fontId="48" fillId="12" borderId="84" applyNumberFormat="0" applyAlignment="0" applyProtection="0"/>
    <xf numFmtId="0" fontId="48" fillId="12" borderId="84" applyNumberFormat="0" applyAlignment="0" applyProtection="0"/>
    <xf numFmtId="0" fontId="48" fillId="12" borderId="84" applyNumberFormat="0" applyAlignment="0" applyProtection="0"/>
    <xf numFmtId="0" fontId="48" fillId="12" borderId="84" applyNumberFormat="0" applyAlignment="0" applyProtection="0"/>
    <xf numFmtId="0" fontId="48" fillId="12" borderId="84" applyNumberFormat="0" applyAlignment="0" applyProtection="0"/>
    <xf numFmtId="0" fontId="48" fillId="12" borderId="84" applyNumberFormat="0" applyAlignment="0" applyProtection="0"/>
    <xf numFmtId="0" fontId="48" fillId="12" borderId="84" applyNumberFormat="0" applyAlignment="0" applyProtection="0"/>
    <xf numFmtId="0" fontId="48" fillId="12" borderId="84" applyNumberFormat="0" applyAlignment="0" applyProtection="0"/>
    <xf numFmtId="0" fontId="48" fillId="12" borderId="84" applyNumberFormat="0" applyAlignment="0" applyProtection="0"/>
    <xf numFmtId="0" fontId="48" fillId="12" borderId="84" applyNumberFormat="0" applyAlignment="0" applyProtection="0"/>
    <xf numFmtId="0" fontId="48" fillId="12" borderId="84" applyNumberFormat="0" applyAlignment="0" applyProtection="0"/>
    <xf numFmtId="0" fontId="16" fillId="24" borderId="84" applyNumberFormat="0" applyAlignment="0" applyProtection="0"/>
    <xf numFmtId="0" fontId="16" fillId="24" borderId="84" applyNumberFormat="0" applyAlignment="0" applyProtection="0"/>
    <xf numFmtId="0" fontId="16" fillId="24" borderId="84" applyNumberFormat="0" applyAlignment="0" applyProtection="0"/>
    <xf numFmtId="0" fontId="16" fillId="24" borderId="84" applyNumberFormat="0" applyAlignment="0" applyProtection="0"/>
    <xf numFmtId="0" fontId="16" fillId="24" borderId="84" applyNumberFormat="0" applyAlignment="0" applyProtection="0"/>
    <xf numFmtId="0" fontId="16" fillId="24" borderId="84" applyNumberFormat="0" applyAlignment="0" applyProtection="0"/>
    <xf numFmtId="0" fontId="16" fillId="24" borderId="84" applyNumberFormat="0" applyAlignment="0" applyProtection="0"/>
    <xf numFmtId="0" fontId="16" fillId="24" borderId="84" applyNumberFormat="0" applyAlignment="0" applyProtection="0"/>
    <xf numFmtId="0" fontId="16" fillId="24" borderId="84" applyNumberFormat="0" applyAlignment="0" applyProtection="0"/>
    <xf numFmtId="0" fontId="16" fillId="24" borderId="84" applyNumberFormat="0" applyAlignment="0" applyProtection="0"/>
    <xf numFmtId="0" fontId="16" fillId="24" borderId="84" applyNumberFormat="0" applyAlignment="0" applyProtection="0"/>
    <xf numFmtId="0" fontId="16" fillId="24" borderId="84" applyNumberFormat="0" applyAlignment="0" applyProtection="0"/>
    <xf numFmtId="0" fontId="16" fillId="24" borderId="84" applyNumberFormat="0" applyAlignment="0" applyProtection="0"/>
    <xf numFmtId="0" fontId="16" fillId="24" borderId="84" applyNumberFormat="0" applyAlignment="0" applyProtection="0"/>
    <xf numFmtId="0" fontId="16" fillId="24" borderId="84" applyNumberFormat="0" applyAlignment="0" applyProtection="0"/>
    <xf numFmtId="0" fontId="16" fillId="24" borderId="84" applyNumberFormat="0" applyAlignment="0" applyProtection="0"/>
    <xf numFmtId="0" fontId="16" fillId="24" borderId="84" applyNumberFormat="0" applyAlignment="0" applyProtection="0"/>
    <xf numFmtId="0" fontId="16" fillId="24" borderId="84" applyNumberFormat="0" applyAlignment="0" applyProtection="0"/>
    <xf numFmtId="0" fontId="16" fillId="24" borderId="84" applyNumberFormat="0" applyAlignment="0" applyProtection="0"/>
    <xf numFmtId="0" fontId="16" fillId="24" borderId="84" applyNumberFormat="0" applyAlignment="0" applyProtection="0"/>
    <xf numFmtId="0" fontId="16" fillId="24" borderId="84" applyNumberFormat="0" applyAlignment="0" applyProtection="0"/>
    <xf numFmtId="0" fontId="16" fillId="24" borderId="84" applyNumberFormat="0" applyAlignment="0" applyProtection="0"/>
    <xf numFmtId="0" fontId="16" fillId="24" borderId="84" applyNumberFormat="0" applyAlignment="0" applyProtection="0"/>
    <xf numFmtId="0" fontId="16" fillId="24" borderId="84" applyNumberFormat="0" applyAlignment="0" applyProtection="0"/>
    <xf numFmtId="0" fontId="16" fillId="24" borderId="84" applyNumberFormat="0" applyAlignment="0" applyProtection="0"/>
    <xf numFmtId="0" fontId="16" fillId="24" borderId="84" applyNumberFormat="0" applyAlignment="0" applyProtection="0"/>
    <xf numFmtId="0" fontId="16" fillId="24" borderId="84" applyNumberFormat="0" applyAlignment="0" applyProtection="0"/>
    <xf numFmtId="0" fontId="16" fillId="24" borderId="84" applyNumberFormat="0" applyAlignment="0" applyProtection="0"/>
    <xf numFmtId="0" fontId="16" fillId="24" borderId="84" applyNumberFormat="0" applyAlignment="0" applyProtection="0"/>
    <xf numFmtId="0" fontId="16" fillId="24" borderId="84" applyNumberFormat="0" applyAlignment="0" applyProtection="0"/>
    <xf numFmtId="0" fontId="16" fillId="24" borderId="84" applyNumberFormat="0" applyAlignment="0" applyProtection="0"/>
    <xf numFmtId="0" fontId="16" fillId="24" borderId="84" applyNumberFormat="0" applyAlignment="0" applyProtection="0"/>
    <xf numFmtId="0" fontId="16" fillId="24" borderId="84" applyNumberFormat="0" applyAlignment="0" applyProtection="0"/>
    <xf numFmtId="0" fontId="16" fillId="24" borderId="84" applyNumberFormat="0" applyAlignment="0" applyProtection="0"/>
    <xf numFmtId="0" fontId="16" fillId="24" borderId="84" applyNumberFormat="0" applyAlignment="0" applyProtection="0"/>
    <xf numFmtId="0" fontId="16" fillId="24" borderId="84" applyNumberFormat="0" applyAlignment="0" applyProtection="0"/>
    <xf numFmtId="0" fontId="16" fillId="24" borderId="84" applyNumberFormat="0" applyAlignment="0" applyProtection="0"/>
    <xf numFmtId="0" fontId="16" fillId="24" borderId="84" applyNumberFormat="0" applyAlignment="0" applyProtection="0"/>
    <xf numFmtId="0" fontId="16" fillId="24" borderId="84" applyNumberFormat="0" applyAlignment="0" applyProtection="0"/>
    <xf numFmtId="0" fontId="16" fillId="24" borderId="84" applyNumberFormat="0" applyAlignment="0" applyProtection="0"/>
    <xf numFmtId="0" fontId="16" fillId="24" borderId="84" applyNumberFormat="0" applyAlignment="0" applyProtection="0"/>
    <xf numFmtId="0" fontId="16" fillId="24" borderId="84" applyNumberFormat="0" applyAlignment="0" applyProtection="0"/>
    <xf numFmtId="0" fontId="16" fillId="24" borderId="84" applyNumberFormat="0" applyAlignment="0" applyProtection="0"/>
    <xf numFmtId="0" fontId="16" fillId="24" borderId="84" applyNumberFormat="0" applyAlignment="0" applyProtection="0"/>
    <xf numFmtId="0" fontId="16" fillId="24" borderId="84" applyNumberFormat="0" applyAlignment="0" applyProtection="0"/>
    <xf numFmtId="0" fontId="16" fillId="24" borderId="84" applyNumberFormat="0" applyAlignment="0" applyProtection="0"/>
    <xf numFmtId="0" fontId="16" fillId="24" borderId="84" applyNumberFormat="0" applyAlignment="0" applyProtection="0"/>
    <xf numFmtId="0" fontId="16" fillId="24" borderId="84" applyNumberFormat="0" applyAlignment="0" applyProtection="0"/>
    <xf numFmtId="0" fontId="16" fillId="24" borderId="84" applyNumberFormat="0" applyAlignment="0" applyProtection="0"/>
    <xf numFmtId="0" fontId="28" fillId="0" borderId="88"/>
    <xf numFmtId="0" fontId="28" fillId="0" borderId="88"/>
    <xf numFmtId="0" fontId="28" fillId="0" borderId="88"/>
    <xf numFmtId="0" fontId="28" fillId="0" borderId="88"/>
    <xf numFmtId="0" fontId="28" fillId="0" borderId="88"/>
    <xf numFmtId="0" fontId="28" fillId="0" borderId="88"/>
    <xf numFmtId="0" fontId="28" fillId="0" borderId="88"/>
    <xf numFmtId="0" fontId="28" fillId="0" borderId="88"/>
    <xf numFmtId="0" fontId="28" fillId="0" borderId="88"/>
    <xf numFmtId="0" fontId="28" fillId="0" borderId="88"/>
    <xf numFmtId="0" fontId="28" fillId="0" borderId="88"/>
    <xf numFmtId="0" fontId="28" fillId="0" borderId="88"/>
    <xf numFmtId="0" fontId="28" fillId="0" borderId="88"/>
    <xf numFmtId="0" fontId="28" fillId="0" borderId="88"/>
    <xf numFmtId="0" fontId="28" fillId="0" borderId="88"/>
    <xf numFmtId="0" fontId="28" fillId="0" borderId="88"/>
    <xf numFmtId="0" fontId="28" fillId="0" borderId="88"/>
    <xf numFmtId="0" fontId="28" fillId="0" borderId="88"/>
    <xf numFmtId="0" fontId="28" fillId="0" borderId="88"/>
    <xf numFmtId="0" fontId="28" fillId="0" borderId="88"/>
    <xf numFmtId="0" fontId="28" fillId="0" borderId="88"/>
    <xf numFmtId="0" fontId="28" fillId="0" borderId="88"/>
    <xf numFmtId="0" fontId="28" fillId="0" borderId="88"/>
    <xf numFmtId="0" fontId="28" fillId="0" borderId="88"/>
    <xf numFmtId="0" fontId="28" fillId="0" borderId="88"/>
    <xf numFmtId="0" fontId="28" fillId="0" borderId="88"/>
    <xf numFmtId="0" fontId="28" fillId="0" borderId="88"/>
    <xf numFmtId="0" fontId="28" fillId="0" borderId="88"/>
    <xf numFmtId="0" fontId="28" fillId="0" borderId="88"/>
    <xf numFmtId="0" fontId="28" fillId="0" borderId="88"/>
    <xf numFmtId="0" fontId="28" fillId="0" borderId="88"/>
    <xf numFmtId="0" fontId="28" fillId="0" borderId="88"/>
    <xf numFmtId="0" fontId="28" fillId="0" borderId="88"/>
    <xf numFmtId="0" fontId="28" fillId="0" borderId="88"/>
    <xf numFmtId="0" fontId="28" fillId="0" borderId="88"/>
    <xf numFmtId="0" fontId="28" fillId="0" borderId="88"/>
    <xf numFmtId="0" fontId="28" fillId="0" borderId="88"/>
    <xf numFmtId="0" fontId="28" fillId="0" borderId="88"/>
    <xf numFmtId="0" fontId="28" fillId="0" borderId="88"/>
    <xf numFmtId="0" fontId="28" fillId="0" borderId="88"/>
    <xf numFmtId="0" fontId="28" fillId="0" borderId="88"/>
    <xf numFmtId="0" fontId="28" fillId="0" borderId="88"/>
    <xf numFmtId="0" fontId="28" fillId="0" borderId="88"/>
    <xf numFmtId="0" fontId="28" fillId="0" borderId="88"/>
    <xf numFmtId="0" fontId="28" fillId="0" borderId="88"/>
    <xf numFmtId="0" fontId="8" fillId="10" borderId="168" applyNumberFormat="0" applyFont="0" applyAlignment="0" applyProtection="0"/>
    <xf numFmtId="0" fontId="25" fillId="13" borderId="84" applyNumberFormat="0" applyAlignment="0" applyProtection="0"/>
    <xf numFmtId="0" fontId="25" fillId="13" borderId="84" applyNumberFormat="0" applyAlignment="0" applyProtection="0"/>
    <xf numFmtId="0" fontId="25" fillId="13" borderId="84" applyNumberFormat="0" applyAlignment="0" applyProtection="0"/>
    <xf numFmtId="0" fontId="25" fillId="13" borderId="84" applyNumberFormat="0" applyAlignment="0" applyProtection="0"/>
    <xf numFmtId="0" fontId="25" fillId="13" borderId="84" applyNumberFormat="0" applyAlignment="0" applyProtection="0"/>
    <xf numFmtId="0" fontId="25" fillId="13" borderId="84" applyNumberFormat="0" applyAlignment="0" applyProtection="0"/>
    <xf numFmtId="0" fontId="25" fillId="13" borderId="84" applyNumberFormat="0" applyAlignment="0" applyProtection="0"/>
    <xf numFmtId="0" fontId="25" fillId="13" borderId="84" applyNumberFormat="0" applyAlignment="0" applyProtection="0"/>
    <xf numFmtId="0" fontId="25" fillId="13" borderId="84" applyNumberFormat="0" applyAlignment="0" applyProtection="0"/>
    <xf numFmtId="0" fontId="25" fillId="13" borderId="84" applyNumberFormat="0" applyAlignment="0" applyProtection="0"/>
    <xf numFmtId="0" fontId="25" fillId="13" borderId="84" applyNumberFormat="0" applyAlignment="0" applyProtection="0"/>
    <xf numFmtId="0" fontId="25" fillId="13" borderId="84" applyNumberFormat="0" applyAlignment="0" applyProtection="0"/>
    <xf numFmtId="0" fontId="25" fillId="13" borderId="84" applyNumberFormat="0" applyAlignment="0" applyProtection="0"/>
    <xf numFmtId="0" fontId="25" fillId="13" borderId="84" applyNumberFormat="0" applyAlignment="0" applyProtection="0"/>
    <xf numFmtId="0" fontId="25" fillId="13" borderId="84" applyNumberFormat="0" applyAlignment="0" applyProtection="0"/>
    <xf numFmtId="0" fontId="25" fillId="13" borderId="84" applyNumberFormat="0" applyAlignment="0" applyProtection="0"/>
    <xf numFmtId="0" fontId="25" fillId="13" borderId="84" applyNumberFormat="0" applyAlignment="0" applyProtection="0"/>
    <xf numFmtId="0" fontId="25" fillId="13" borderId="84" applyNumberFormat="0" applyAlignment="0" applyProtection="0"/>
    <xf numFmtId="0" fontId="25" fillId="13" borderId="84" applyNumberFormat="0" applyAlignment="0" applyProtection="0"/>
    <xf numFmtId="0" fontId="25" fillId="13" borderId="84" applyNumberFormat="0" applyAlignment="0" applyProtection="0"/>
    <xf numFmtId="0" fontId="25" fillId="13" borderId="84" applyNumberFormat="0" applyAlignment="0" applyProtection="0"/>
    <xf numFmtId="0" fontId="25" fillId="13" borderId="84" applyNumberFormat="0" applyAlignment="0" applyProtection="0"/>
    <xf numFmtId="0" fontId="25" fillId="13" borderId="84" applyNumberFormat="0" applyAlignment="0" applyProtection="0"/>
    <xf numFmtId="0" fontId="25" fillId="13" borderId="84" applyNumberFormat="0" applyAlignment="0" applyProtection="0"/>
    <xf numFmtId="0" fontId="25" fillId="13" borderId="84" applyNumberFormat="0" applyAlignment="0" applyProtection="0"/>
    <xf numFmtId="0" fontId="25" fillId="13" borderId="84" applyNumberFormat="0" applyAlignment="0" applyProtection="0"/>
    <xf numFmtId="0" fontId="25" fillId="13" borderId="84" applyNumberFormat="0" applyAlignment="0" applyProtection="0"/>
    <xf numFmtId="0" fontId="25" fillId="13" borderId="84" applyNumberFormat="0" applyAlignment="0" applyProtection="0"/>
    <xf numFmtId="0" fontId="25" fillId="13" borderId="84" applyNumberFormat="0" applyAlignment="0" applyProtection="0"/>
    <xf numFmtId="0" fontId="25" fillId="13" borderId="84" applyNumberFormat="0" applyAlignment="0" applyProtection="0"/>
    <xf numFmtId="0" fontId="25" fillId="13" borderId="84" applyNumberFormat="0" applyAlignment="0" applyProtection="0"/>
    <xf numFmtId="0" fontId="25" fillId="13" borderId="84" applyNumberFormat="0" applyAlignment="0" applyProtection="0"/>
    <xf numFmtId="0" fontId="25" fillId="13" borderId="84" applyNumberFormat="0" applyAlignment="0" applyProtection="0"/>
    <xf numFmtId="0" fontId="25" fillId="13" borderId="84" applyNumberFormat="0" applyAlignment="0" applyProtection="0"/>
    <xf numFmtId="0" fontId="25" fillId="13" borderId="84" applyNumberFormat="0" applyAlignment="0" applyProtection="0"/>
    <xf numFmtId="0" fontId="25" fillId="13" borderId="84" applyNumberFormat="0" applyAlignment="0" applyProtection="0"/>
    <xf numFmtId="0" fontId="25" fillId="13" borderId="84" applyNumberFormat="0" applyAlignment="0" applyProtection="0"/>
    <xf numFmtId="0" fontId="25" fillId="13" borderId="84" applyNumberFormat="0" applyAlignment="0" applyProtection="0"/>
    <xf numFmtId="0" fontId="25" fillId="13" borderId="84" applyNumberFormat="0" applyAlignment="0" applyProtection="0"/>
    <xf numFmtId="0" fontId="25" fillId="13" borderId="84" applyNumberFormat="0" applyAlignment="0" applyProtection="0"/>
    <xf numFmtId="0" fontId="25" fillId="13" borderId="84" applyNumberFormat="0" applyAlignment="0" applyProtection="0"/>
    <xf numFmtId="0" fontId="25" fillId="13" borderId="84" applyNumberFormat="0" applyAlignment="0" applyProtection="0"/>
    <xf numFmtId="0" fontId="25" fillId="13" borderId="84" applyNumberFormat="0" applyAlignment="0" applyProtection="0"/>
    <xf numFmtId="0" fontId="25" fillId="13" borderId="84" applyNumberFormat="0" applyAlignment="0" applyProtection="0"/>
    <xf numFmtId="0" fontId="25" fillId="13" borderId="84" applyNumberFormat="0" applyAlignment="0" applyProtection="0"/>
    <xf numFmtId="0" fontId="25" fillId="13" borderId="84" applyNumberFormat="0" applyAlignment="0" applyProtection="0"/>
    <xf numFmtId="0" fontId="25" fillId="13" borderId="84" applyNumberFormat="0" applyAlignment="0" applyProtection="0"/>
    <xf numFmtId="0" fontId="25" fillId="13" borderId="84" applyNumberFormat="0" applyAlignment="0" applyProtection="0"/>
    <xf numFmtId="0" fontId="25" fillId="13" borderId="84" applyNumberFormat="0" applyAlignment="0" applyProtection="0"/>
    <xf numFmtId="0" fontId="41" fillId="13" borderId="84" applyNumberFormat="0" applyAlignment="0" applyProtection="0"/>
    <xf numFmtId="0" fontId="41" fillId="13" borderId="84" applyNumberFormat="0" applyAlignment="0" applyProtection="0"/>
    <xf numFmtId="0" fontId="41" fillId="13" borderId="84" applyNumberFormat="0" applyAlignment="0" applyProtection="0"/>
    <xf numFmtId="0" fontId="41" fillId="13" borderId="84" applyNumberFormat="0" applyAlignment="0" applyProtection="0"/>
    <xf numFmtId="0" fontId="41" fillId="13" borderId="84" applyNumberFormat="0" applyAlignment="0" applyProtection="0"/>
    <xf numFmtId="0" fontId="41" fillId="13" borderId="84" applyNumberFormat="0" applyAlignment="0" applyProtection="0"/>
    <xf numFmtId="0" fontId="41" fillId="13" borderId="84" applyNumberFormat="0" applyAlignment="0" applyProtection="0"/>
    <xf numFmtId="0" fontId="41" fillId="13" borderId="84" applyNumberFormat="0" applyAlignment="0" applyProtection="0"/>
    <xf numFmtId="0" fontId="41" fillId="13" borderId="84" applyNumberFormat="0" applyAlignment="0" applyProtection="0"/>
    <xf numFmtId="0" fontId="41" fillId="13" borderId="84" applyNumberFormat="0" applyAlignment="0" applyProtection="0"/>
    <xf numFmtId="0" fontId="41" fillId="13" borderId="84" applyNumberFormat="0" applyAlignment="0" applyProtection="0"/>
    <xf numFmtId="0" fontId="41" fillId="13" borderId="84" applyNumberFormat="0" applyAlignment="0" applyProtection="0"/>
    <xf numFmtId="0" fontId="41" fillId="13" borderId="84" applyNumberFormat="0" applyAlignment="0" applyProtection="0"/>
    <xf numFmtId="0" fontId="41" fillId="13" borderId="84" applyNumberFormat="0" applyAlignment="0" applyProtection="0"/>
    <xf numFmtId="0" fontId="41" fillId="13" borderId="84" applyNumberFormat="0" applyAlignment="0" applyProtection="0"/>
    <xf numFmtId="0" fontId="41" fillId="13" borderId="84" applyNumberFormat="0" applyAlignment="0" applyProtection="0"/>
    <xf numFmtId="0" fontId="41" fillId="13" borderId="84" applyNumberFormat="0" applyAlignment="0" applyProtection="0"/>
    <xf numFmtId="0" fontId="41" fillId="13" borderId="84" applyNumberFormat="0" applyAlignment="0" applyProtection="0"/>
    <xf numFmtId="0" fontId="41" fillId="13" borderId="84" applyNumberFormat="0" applyAlignment="0" applyProtection="0"/>
    <xf numFmtId="0" fontId="41" fillId="13" borderId="84" applyNumberFormat="0" applyAlignment="0" applyProtection="0"/>
    <xf numFmtId="0" fontId="41" fillId="13" borderId="84" applyNumberFormat="0" applyAlignment="0" applyProtection="0"/>
    <xf numFmtId="0" fontId="41" fillId="13" borderId="84" applyNumberFormat="0" applyAlignment="0" applyProtection="0"/>
    <xf numFmtId="0" fontId="41" fillId="13" borderId="84" applyNumberFormat="0" applyAlignment="0" applyProtection="0"/>
    <xf numFmtId="0" fontId="41" fillId="13" borderId="84" applyNumberFormat="0" applyAlignment="0" applyProtection="0"/>
    <xf numFmtId="0" fontId="41" fillId="13" borderId="84" applyNumberFormat="0" applyAlignment="0" applyProtection="0"/>
    <xf numFmtId="0" fontId="41" fillId="13" borderId="84" applyNumberFormat="0" applyAlignment="0" applyProtection="0"/>
    <xf numFmtId="0" fontId="41" fillId="13" borderId="84" applyNumberFormat="0" applyAlignment="0" applyProtection="0"/>
    <xf numFmtId="0" fontId="41" fillId="13" borderId="84" applyNumberFormat="0" applyAlignment="0" applyProtection="0"/>
    <xf numFmtId="0" fontId="41" fillId="13" borderId="84" applyNumberFormat="0" applyAlignment="0" applyProtection="0"/>
    <xf numFmtId="0" fontId="41" fillId="13" borderId="84" applyNumberFormat="0" applyAlignment="0" applyProtection="0"/>
    <xf numFmtId="0" fontId="41" fillId="13" borderId="84" applyNumberFormat="0" applyAlignment="0" applyProtection="0"/>
    <xf numFmtId="0" fontId="41" fillId="13" borderId="84" applyNumberFormat="0" applyAlignment="0" applyProtection="0"/>
    <xf numFmtId="0" fontId="41" fillId="13" borderId="84" applyNumberFormat="0" applyAlignment="0" applyProtection="0"/>
    <xf numFmtId="0" fontId="41" fillId="13" borderId="84" applyNumberFormat="0" applyAlignment="0" applyProtection="0"/>
    <xf numFmtId="0" fontId="41" fillId="13" borderId="84" applyNumberFormat="0" applyAlignment="0" applyProtection="0"/>
    <xf numFmtId="0" fontId="41" fillId="13" borderId="84" applyNumberFormat="0" applyAlignment="0" applyProtection="0"/>
    <xf numFmtId="0" fontId="41" fillId="13" borderId="84" applyNumberFormat="0" applyAlignment="0" applyProtection="0"/>
    <xf numFmtId="0" fontId="41" fillId="13" borderId="84" applyNumberFormat="0" applyAlignment="0" applyProtection="0"/>
    <xf numFmtId="0" fontId="41" fillId="13" borderId="84" applyNumberFormat="0" applyAlignment="0" applyProtection="0"/>
    <xf numFmtId="0" fontId="41" fillId="13" borderId="84" applyNumberFormat="0" applyAlignment="0" applyProtection="0"/>
    <xf numFmtId="0" fontId="41" fillId="13" borderId="84" applyNumberFormat="0" applyAlignment="0" applyProtection="0"/>
    <xf numFmtId="0" fontId="41" fillId="13" borderId="84" applyNumberFormat="0" applyAlignment="0" applyProtection="0"/>
    <xf numFmtId="0" fontId="41" fillId="13" borderId="84" applyNumberFormat="0" applyAlignment="0" applyProtection="0"/>
    <xf numFmtId="0" fontId="41" fillId="13" borderId="84" applyNumberFormat="0" applyAlignment="0" applyProtection="0"/>
    <xf numFmtId="0" fontId="41" fillId="13" borderId="84" applyNumberFormat="0" applyAlignment="0" applyProtection="0"/>
    <xf numFmtId="0" fontId="41" fillId="13" borderId="84" applyNumberFormat="0" applyAlignment="0" applyProtection="0"/>
    <xf numFmtId="0" fontId="41" fillId="13" borderId="84" applyNumberFormat="0" applyAlignment="0" applyProtection="0"/>
    <xf numFmtId="0" fontId="41" fillId="13" borderId="84" applyNumberFormat="0" applyAlignment="0" applyProtection="0"/>
    <xf numFmtId="0" fontId="41" fillId="13" borderId="84" applyNumberFormat="0" applyAlignment="0" applyProtection="0"/>
    <xf numFmtId="0" fontId="25" fillId="13" borderId="84" applyNumberFormat="0" applyAlignment="0" applyProtection="0"/>
    <xf numFmtId="0" fontId="25" fillId="13" borderId="84" applyNumberFormat="0" applyAlignment="0" applyProtection="0"/>
    <xf numFmtId="0" fontId="25" fillId="13" borderId="84" applyNumberFormat="0" applyAlignment="0" applyProtection="0"/>
    <xf numFmtId="0" fontId="25" fillId="13" borderId="84" applyNumberFormat="0" applyAlignment="0" applyProtection="0"/>
    <xf numFmtId="0" fontId="25" fillId="13" borderId="84" applyNumberFormat="0" applyAlignment="0" applyProtection="0"/>
    <xf numFmtId="0" fontId="25" fillId="13" borderId="84" applyNumberFormat="0" applyAlignment="0" applyProtection="0"/>
    <xf numFmtId="0" fontId="25" fillId="13" borderId="84" applyNumberFormat="0" applyAlignment="0" applyProtection="0"/>
    <xf numFmtId="0" fontId="25" fillId="13" borderId="84" applyNumberFormat="0" applyAlignment="0" applyProtection="0"/>
    <xf numFmtId="0" fontId="25" fillId="13" borderId="84" applyNumberFormat="0" applyAlignment="0" applyProtection="0"/>
    <xf numFmtId="0" fontId="25" fillId="13" borderId="84" applyNumberFormat="0" applyAlignment="0" applyProtection="0"/>
    <xf numFmtId="0" fontId="25" fillId="13" borderId="84" applyNumberFormat="0" applyAlignment="0" applyProtection="0"/>
    <xf numFmtId="0" fontId="25" fillId="13" borderId="84" applyNumberFormat="0" applyAlignment="0" applyProtection="0"/>
    <xf numFmtId="0" fontId="25" fillId="13" borderId="84" applyNumberFormat="0" applyAlignment="0" applyProtection="0"/>
    <xf numFmtId="0" fontId="25" fillId="13" borderId="84" applyNumberFormat="0" applyAlignment="0" applyProtection="0"/>
    <xf numFmtId="0" fontId="25" fillId="13" borderId="84" applyNumberFormat="0" applyAlignment="0" applyProtection="0"/>
    <xf numFmtId="0" fontId="25" fillId="13" borderId="84" applyNumberFormat="0" applyAlignment="0" applyProtection="0"/>
    <xf numFmtId="0" fontId="25" fillId="13" borderId="84" applyNumberFormat="0" applyAlignment="0" applyProtection="0"/>
    <xf numFmtId="0" fontId="25" fillId="13" borderId="84" applyNumberFormat="0" applyAlignment="0" applyProtection="0"/>
    <xf numFmtId="0" fontId="25" fillId="13" borderId="84" applyNumberFormat="0" applyAlignment="0" applyProtection="0"/>
    <xf numFmtId="0" fontId="25" fillId="13" borderId="84" applyNumberFormat="0" applyAlignment="0" applyProtection="0"/>
    <xf numFmtId="0" fontId="25" fillId="13" borderId="84" applyNumberFormat="0" applyAlignment="0" applyProtection="0"/>
    <xf numFmtId="0" fontId="25" fillId="13" borderId="84" applyNumberFormat="0" applyAlignment="0" applyProtection="0"/>
    <xf numFmtId="0" fontId="25" fillId="13" borderId="84" applyNumberFormat="0" applyAlignment="0" applyProtection="0"/>
    <xf numFmtId="0" fontId="25" fillId="13" borderId="84" applyNumberFormat="0" applyAlignment="0" applyProtection="0"/>
    <xf numFmtId="0" fontId="25" fillId="13" borderId="84" applyNumberFormat="0" applyAlignment="0" applyProtection="0"/>
    <xf numFmtId="0" fontId="25" fillId="13" borderId="84" applyNumberFormat="0" applyAlignment="0" applyProtection="0"/>
    <xf numFmtId="0" fontId="25" fillId="13" borderId="84" applyNumberFormat="0" applyAlignment="0" applyProtection="0"/>
    <xf numFmtId="0" fontId="25" fillId="13" borderId="84" applyNumberFormat="0" applyAlignment="0" applyProtection="0"/>
    <xf numFmtId="0" fontId="25" fillId="13" borderId="84" applyNumberFormat="0" applyAlignment="0" applyProtection="0"/>
    <xf numFmtId="0" fontId="25" fillId="13" borderId="84" applyNumberFormat="0" applyAlignment="0" applyProtection="0"/>
    <xf numFmtId="0" fontId="25" fillId="13" borderId="84" applyNumberFormat="0" applyAlignment="0" applyProtection="0"/>
    <xf numFmtId="0" fontId="25" fillId="13" borderId="84" applyNumberFormat="0" applyAlignment="0" applyProtection="0"/>
    <xf numFmtId="0" fontId="25" fillId="13" borderId="84" applyNumberFormat="0" applyAlignment="0" applyProtection="0"/>
    <xf numFmtId="0" fontId="25" fillId="13" borderId="84" applyNumberFormat="0" applyAlignment="0" applyProtection="0"/>
    <xf numFmtId="0" fontId="25" fillId="13" borderId="84" applyNumberFormat="0" applyAlignment="0" applyProtection="0"/>
    <xf numFmtId="0" fontId="25" fillId="13" borderId="84" applyNumberFormat="0" applyAlignment="0" applyProtection="0"/>
    <xf numFmtId="0" fontId="25" fillId="13" borderId="84" applyNumberFormat="0" applyAlignment="0" applyProtection="0"/>
    <xf numFmtId="0" fontId="25" fillId="13" borderId="84" applyNumberFormat="0" applyAlignment="0" applyProtection="0"/>
    <xf numFmtId="0" fontId="25" fillId="13" borderId="84" applyNumberFormat="0" applyAlignment="0" applyProtection="0"/>
    <xf numFmtId="0" fontId="25" fillId="13" borderId="84" applyNumberFormat="0" applyAlignment="0" applyProtection="0"/>
    <xf numFmtId="0" fontId="25" fillId="13" borderId="84" applyNumberFormat="0" applyAlignment="0" applyProtection="0"/>
    <xf numFmtId="0" fontId="25" fillId="13" borderId="84" applyNumberFormat="0" applyAlignment="0" applyProtection="0"/>
    <xf numFmtId="0" fontId="25" fillId="13" borderId="84" applyNumberFormat="0" applyAlignment="0" applyProtection="0"/>
    <xf numFmtId="0" fontId="25" fillId="13" borderId="84" applyNumberFormat="0" applyAlignment="0" applyProtection="0"/>
    <xf numFmtId="0" fontId="25" fillId="13" borderId="84" applyNumberFormat="0" applyAlignment="0" applyProtection="0"/>
    <xf numFmtId="0" fontId="25" fillId="13" borderId="84" applyNumberFormat="0" applyAlignment="0" applyProtection="0"/>
    <xf numFmtId="0" fontId="25" fillId="13" borderId="84" applyNumberFormat="0" applyAlignment="0" applyProtection="0"/>
    <xf numFmtId="0" fontId="25" fillId="13" borderId="84" applyNumberFormat="0" applyAlignment="0" applyProtection="0"/>
    <xf numFmtId="0" fontId="25" fillId="13" borderId="84" applyNumberFormat="0" applyAlignment="0" applyProtection="0"/>
    <xf numFmtId="0" fontId="41" fillId="13" borderId="84" applyNumberFormat="0" applyAlignment="0" applyProtection="0"/>
    <xf numFmtId="0" fontId="41" fillId="13" borderId="84" applyNumberFormat="0" applyAlignment="0" applyProtection="0"/>
    <xf numFmtId="0" fontId="41" fillId="13" borderId="84" applyNumberFormat="0" applyAlignment="0" applyProtection="0"/>
    <xf numFmtId="0" fontId="41" fillId="13" borderId="84" applyNumberFormat="0" applyAlignment="0" applyProtection="0"/>
    <xf numFmtId="0" fontId="41" fillId="13" borderId="84" applyNumberFormat="0" applyAlignment="0" applyProtection="0"/>
    <xf numFmtId="0" fontId="41" fillId="13" borderId="84" applyNumberFormat="0" applyAlignment="0" applyProtection="0"/>
    <xf numFmtId="0" fontId="41" fillId="13" borderId="84" applyNumberFormat="0" applyAlignment="0" applyProtection="0"/>
    <xf numFmtId="0" fontId="41" fillId="13" borderId="84" applyNumberFormat="0" applyAlignment="0" applyProtection="0"/>
    <xf numFmtId="0" fontId="41" fillId="13" borderId="84" applyNumberFormat="0" applyAlignment="0" applyProtection="0"/>
    <xf numFmtId="0" fontId="41" fillId="13" borderId="84" applyNumberFormat="0" applyAlignment="0" applyProtection="0"/>
    <xf numFmtId="0" fontId="41" fillId="13" borderId="84" applyNumberFormat="0" applyAlignment="0" applyProtection="0"/>
    <xf numFmtId="0" fontId="41" fillId="13" borderId="84" applyNumberFormat="0" applyAlignment="0" applyProtection="0"/>
    <xf numFmtId="0" fontId="41" fillId="13" borderId="84" applyNumberFormat="0" applyAlignment="0" applyProtection="0"/>
    <xf numFmtId="0" fontId="41" fillId="13" borderId="84" applyNumberFormat="0" applyAlignment="0" applyProtection="0"/>
    <xf numFmtId="0" fontId="41" fillId="13" borderId="84" applyNumberFormat="0" applyAlignment="0" applyProtection="0"/>
    <xf numFmtId="0" fontId="41" fillId="13" borderId="84" applyNumberFormat="0" applyAlignment="0" applyProtection="0"/>
    <xf numFmtId="0" fontId="41" fillId="13" borderId="84" applyNumberFormat="0" applyAlignment="0" applyProtection="0"/>
    <xf numFmtId="0" fontId="41" fillId="13" borderId="84" applyNumberFormat="0" applyAlignment="0" applyProtection="0"/>
    <xf numFmtId="0" fontId="41" fillId="13" borderId="84" applyNumberFormat="0" applyAlignment="0" applyProtection="0"/>
    <xf numFmtId="0" fontId="41" fillId="13" borderId="84" applyNumberFormat="0" applyAlignment="0" applyProtection="0"/>
    <xf numFmtId="0" fontId="41" fillId="13" borderId="84" applyNumberFormat="0" applyAlignment="0" applyProtection="0"/>
    <xf numFmtId="0" fontId="41" fillId="13" borderId="84" applyNumberFormat="0" applyAlignment="0" applyProtection="0"/>
    <xf numFmtId="0" fontId="41" fillId="13" borderId="84" applyNumberFormat="0" applyAlignment="0" applyProtection="0"/>
    <xf numFmtId="0" fontId="41" fillId="13" borderId="84" applyNumberFormat="0" applyAlignment="0" applyProtection="0"/>
    <xf numFmtId="0" fontId="41" fillId="13" borderId="84" applyNumberFormat="0" applyAlignment="0" applyProtection="0"/>
    <xf numFmtId="0" fontId="41" fillId="13" borderId="84" applyNumberFormat="0" applyAlignment="0" applyProtection="0"/>
    <xf numFmtId="0" fontId="41" fillId="13" borderId="84" applyNumberFormat="0" applyAlignment="0" applyProtection="0"/>
    <xf numFmtId="0" fontId="41" fillId="13" borderId="84" applyNumberFormat="0" applyAlignment="0" applyProtection="0"/>
    <xf numFmtId="0" fontId="41" fillId="13" borderId="84" applyNumberFormat="0" applyAlignment="0" applyProtection="0"/>
    <xf numFmtId="0" fontId="41" fillId="13" borderId="84" applyNumberFormat="0" applyAlignment="0" applyProtection="0"/>
    <xf numFmtId="0" fontId="41" fillId="13" borderId="84" applyNumberFormat="0" applyAlignment="0" applyProtection="0"/>
    <xf numFmtId="0" fontId="41" fillId="13" borderId="84" applyNumberFormat="0" applyAlignment="0" applyProtection="0"/>
    <xf numFmtId="0" fontId="41" fillId="13" borderId="84" applyNumberFormat="0" applyAlignment="0" applyProtection="0"/>
    <xf numFmtId="0" fontId="41" fillId="13" borderId="84" applyNumberFormat="0" applyAlignment="0" applyProtection="0"/>
    <xf numFmtId="0" fontId="41" fillId="13" borderId="84" applyNumberFormat="0" applyAlignment="0" applyProtection="0"/>
    <xf numFmtId="0" fontId="41" fillId="13" borderId="84" applyNumberFormat="0" applyAlignment="0" applyProtection="0"/>
    <xf numFmtId="0" fontId="41" fillId="13" borderId="84" applyNumberFormat="0" applyAlignment="0" applyProtection="0"/>
    <xf numFmtId="0" fontId="41" fillId="13" borderId="84" applyNumberFormat="0" applyAlignment="0" applyProtection="0"/>
    <xf numFmtId="0" fontId="41" fillId="13" borderId="84" applyNumberFormat="0" applyAlignment="0" applyProtection="0"/>
    <xf numFmtId="0" fontId="41" fillId="13" borderId="84" applyNumberFormat="0" applyAlignment="0" applyProtection="0"/>
    <xf numFmtId="0" fontId="41" fillId="13" borderId="84" applyNumberFormat="0" applyAlignment="0" applyProtection="0"/>
    <xf numFmtId="0" fontId="41" fillId="13" borderId="84" applyNumberFormat="0" applyAlignment="0" applyProtection="0"/>
    <xf numFmtId="0" fontId="41" fillId="13" borderId="84" applyNumberFormat="0" applyAlignment="0" applyProtection="0"/>
    <xf numFmtId="0" fontId="41" fillId="13" borderId="84" applyNumberFormat="0" applyAlignment="0" applyProtection="0"/>
    <xf numFmtId="0" fontId="41" fillId="13" borderId="84" applyNumberFormat="0" applyAlignment="0" applyProtection="0"/>
    <xf numFmtId="0" fontId="41" fillId="13" borderId="84" applyNumberFormat="0" applyAlignment="0" applyProtection="0"/>
    <xf numFmtId="0" fontId="41" fillId="13" borderId="84" applyNumberFormat="0" applyAlignment="0" applyProtection="0"/>
    <xf numFmtId="0" fontId="41" fillId="13" borderId="84" applyNumberFormat="0" applyAlignment="0" applyProtection="0"/>
    <xf numFmtId="0" fontId="41" fillId="13" borderId="84" applyNumberFormat="0" applyAlignment="0" applyProtection="0"/>
    <xf numFmtId="0" fontId="25" fillId="13" borderId="84" applyNumberFormat="0" applyAlignment="0" applyProtection="0"/>
    <xf numFmtId="0" fontId="25" fillId="13" borderId="84" applyNumberFormat="0" applyAlignment="0" applyProtection="0"/>
    <xf numFmtId="0" fontId="25" fillId="13" borderId="84" applyNumberFormat="0" applyAlignment="0" applyProtection="0"/>
    <xf numFmtId="0" fontId="25" fillId="13" borderId="84" applyNumberFormat="0" applyAlignment="0" applyProtection="0"/>
    <xf numFmtId="0" fontId="25" fillId="13" borderId="84" applyNumberFormat="0" applyAlignment="0" applyProtection="0"/>
    <xf numFmtId="0" fontId="25" fillId="13" borderId="84" applyNumberFormat="0" applyAlignment="0" applyProtection="0"/>
    <xf numFmtId="0" fontId="25" fillId="13" borderId="84" applyNumberFormat="0" applyAlignment="0" applyProtection="0"/>
    <xf numFmtId="0" fontId="25" fillId="13" borderId="84" applyNumberFormat="0" applyAlignment="0" applyProtection="0"/>
    <xf numFmtId="0" fontId="25" fillId="13" borderId="84" applyNumberFormat="0" applyAlignment="0" applyProtection="0"/>
    <xf numFmtId="0" fontId="25" fillId="13" borderId="84" applyNumberFormat="0" applyAlignment="0" applyProtection="0"/>
    <xf numFmtId="0" fontId="25" fillId="13" borderId="84" applyNumberFormat="0" applyAlignment="0" applyProtection="0"/>
    <xf numFmtId="0" fontId="25" fillId="13" borderId="84" applyNumberFormat="0" applyAlignment="0" applyProtection="0"/>
    <xf numFmtId="0" fontId="25" fillId="13" borderId="84" applyNumberFormat="0" applyAlignment="0" applyProtection="0"/>
    <xf numFmtId="0" fontId="25" fillId="13" borderId="84" applyNumberFormat="0" applyAlignment="0" applyProtection="0"/>
    <xf numFmtId="0" fontId="25" fillId="13" borderId="84" applyNumberFormat="0" applyAlignment="0" applyProtection="0"/>
    <xf numFmtId="0" fontId="25" fillId="13" borderId="84" applyNumberFormat="0" applyAlignment="0" applyProtection="0"/>
    <xf numFmtId="0" fontId="25" fillId="13" borderId="84" applyNumberFormat="0" applyAlignment="0" applyProtection="0"/>
    <xf numFmtId="0" fontId="25" fillId="13" borderId="84" applyNumberFormat="0" applyAlignment="0" applyProtection="0"/>
    <xf numFmtId="0" fontId="25" fillId="13" borderId="84" applyNumberFormat="0" applyAlignment="0" applyProtection="0"/>
    <xf numFmtId="0" fontId="25" fillId="13" borderId="84" applyNumberFormat="0" applyAlignment="0" applyProtection="0"/>
    <xf numFmtId="0" fontId="25" fillId="13" borderId="84" applyNumberFormat="0" applyAlignment="0" applyProtection="0"/>
    <xf numFmtId="0" fontId="25" fillId="13" borderId="84" applyNumberFormat="0" applyAlignment="0" applyProtection="0"/>
    <xf numFmtId="0" fontId="25" fillId="13" borderId="84" applyNumberFormat="0" applyAlignment="0" applyProtection="0"/>
    <xf numFmtId="0" fontId="25" fillId="13" borderId="84" applyNumberFormat="0" applyAlignment="0" applyProtection="0"/>
    <xf numFmtId="0" fontId="25" fillId="13" borderId="84" applyNumberFormat="0" applyAlignment="0" applyProtection="0"/>
    <xf numFmtId="0" fontId="25" fillId="13" borderId="84" applyNumberFormat="0" applyAlignment="0" applyProtection="0"/>
    <xf numFmtId="0" fontId="25" fillId="13" borderId="84" applyNumberFormat="0" applyAlignment="0" applyProtection="0"/>
    <xf numFmtId="0" fontId="25" fillId="13" borderId="84" applyNumberFormat="0" applyAlignment="0" applyProtection="0"/>
    <xf numFmtId="0" fontId="25" fillId="13" borderId="84" applyNumberFormat="0" applyAlignment="0" applyProtection="0"/>
    <xf numFmtId="0" fontId="25" fillId="13" borderId="84" applyNumberFormat="0" applyAlignment="0" applyProtection="0"/>
    <xf numFmtId="0" fontId="25" fillId="13" borderId="84" applyNumberFormat="0" applyAlignment="0" applyProtection="0"/>
    <xf numFmtId="0" fontId="25" fillId="13" borderId="84" applyNumberFormat="0" applyAlignment="0" applyProtection="0"/>
    <xf numFmtId="0" fontId="25" fillId="13" borderId="84" applyNumberFormat="0" applyAlignment="0" applyProtection="0"/>
    <xf numFmtId="0" fontId="25" fillId="13" borderId="84" applyNumberFormat="0" applyAlignment="0" applyProtection="0"/>
    <xf numFmtId="0" fontId="25" fillId="13" borderId="84" applyNumberFormat="0" applyAlignment="0" applyProtection="0"/>
    <xf numFmtId="0" fontId="25" fillId="13" borderId="84" applyNumberFormat="0" applyAlignment="0" applyProtection="0"/>
    <xf numFmtId="0" fontId="25" fillId="13" borderId="84" applyNumberFormat="0" applyAlignment="0" applyProtection="0"/>
    <xf numFmtId="0" fontId="25" fillId="13" borderId="84" applyNumberFormat="0" applyAlignment="0" applyProtection="0"/>
    <xf numFmtId="0" fontId="25" fillId="13" borderId="84" applyNumberFormat="0" applyAlignment="0" applyProtection="0"/>
    <xf numFmtId="0" fontId="25" fillId="13" borderId="84" applyNumberFormat="0" applyAlignment="0" applyProtection="0"/>
    <xf numFmtId="0" fontId="25" fillId="13" borderId="84" applyNumberFormat="0" applyAlignment="0" applyProtection="0"/>
    <xf numFmtId="0" fontId="25" fillId="13" borderId="84" applyNumberFormat="0" applyAlignment="0" applyProtection="0"/>
    <xf numFmtId="0" fontId="25" fillId="13" borderId="84" applyNumberFormat="0" applyAlignment="0" applyProtection="0"/>
    <xf numFmtId="0" fontId="25" fillId="13" borderId="84" applyNumberFormat="0" applyAlignment="0" applyProtection="0"/>
    <xf numFmtId="0" fontId="25" fillId="13" borderId="84" applyNumberFormat="0" applyAlignment="0" applyProtection="0"/>
    <xf numFmtId="0" fontId="25" fillId="13" borderId="84" applyNumberFormat="0" applyAlignment="0" applyProtection="0"/>
    <xf numFmtId="0" fontId="25" fillId="13" borderId="84" applyNumberFormat="0" applyAlignment="0" applyProtection="0"/>
    <xf numFmtId="0" fontId="25" fillId="13" borderId="84" applyNumberFormat="0" applyAlignment="0" applyProtection="0"/>
    <xf numFmtId="0" fontId="25" fillId="13" borderId="84" applyNumberFormat="0" applyAlignment="0" applyProtection="0"/>
    <xf numFmtId="0" fontId="25" fillId="8" borderId="84" applyNumberFormat="0" applyAlignment="0" applyProtection="0"/>
    <xf numFmtId="0" fontId="25" fillId="8" borderId="84" applyNumberFormat="0" applyAlignment="0" applyProtection="0"/>
    <xf numFmtId="0" fontId="25" fillId="8" borderId="84" applyNumberFormat="0" applyAlignment="0" applyProtection="0"/>
    <xf numFmtId="0" fontId="25" fillId="8" borderId="84" applyNumberFormat="0" applyAlignment="0" applyProtection="0"/>
    <xf numFmtId="0" fontId="25" fillId="8" borderId="84" applyNumberFormat="0" applyAlignment="0" applyProtection="0"/>
    <xf numFmtId="0" fontId="25" fillId="8" borderId="84" applyNumberFormat="0" applyAlignment="0" applyProtection="0"/>
    <xf numFmtId="0" fontId="25" fillId="8" borderId="84" applyNumberFormat="0" applyAlignment="0" applyProtection="0"/>
    <xf numFmtId="0" fontId="25" fillId="8" borderId="84" applyNumberFormat="0" applyAlignment="0" applyProtection="0"/>
    <xf numFmtId="0" fontId="25" fillId="8" borderId="84" applyNumberFormat="0" applyAlignment="0" applyProtection="0"/>
    <xf numFmtId="0" fontId="25" fillId="8" borderId="84" applyNumberFormat="0" applyAlignment="0" applyProtection="0"/>
    <xf numFmtId="0" fontId="25" fillId="8" borderId="84" applyNumberFormat="0" applyAlignment="0" applyProtection="0"/>
    <xf numFmtId="0" fontId="25" fillId="8" borderId="84" applyNumberFormat="0" applyAlignment="0" applyProtection="0"/>
    <xf numFmtId="0" fontId="25" fillId="8" borderId="84" applyNumberFormat="0" applyAlignment="0" applyProtection="0"/>
    <xf numFmtId="0" fontId="25" fillId="8" borderId="84" applyNumberFormat="0" applyAlignment="0" applyProtection="0"/>
    <xf numFmtId="0" fontId="25" fillId="8" borderId="84" applyNumberFormat="0" applyAlignment="0" applyProtection="0"/>
    <xf numFmtId="0" fontId="25" fillId="8" borderId="84" applyNumberFormat="0" applyAlignment="0" applyProtection="0"/>
    <xf numFmtId="0" fontId="25" fillId="8" borderId="84" applyNumberFormat="0" applyAlignment="0" applyProtection="0"/>
    <xf numFmtId="0" fontId="25" fillId="8" borderId="84" applyNumberFormat="0" applyAlignment="0" applyProtection="0"/>
    <xf numFmtId="0" fontId="25" fillId="8" borderId="84" applyNumberFormat="0" applyAlignment="0" applyProtection="0"/>
    <xf numFmtId="0" fontId="25" fillId="8" borderId="84" applyNumberFormat="0" applyAlignment="0" applyProtection="0"/>
    <xf numFmtId="0" fontId="25" fillId="8" borderId="84" applyNumberFormat="0" applyAlignment="0" applyProtection="0"/>
    <xf numFmtId="0" fontId="25" fillId="8" borderId="84" applyNumberFormat="0" applyAlignment="0" applyProtection="0"/>
    <xf numFmtId="0" fontId="25" fillId="8" borderId="84" applyNumberFormat="0" applyAlignment="0" applyProtection="0"/>
    <xf numFmtId="0" fontId="25" fillId="8" borderId="84" applyNumberFormat="0" applyAlignment="0" applyProtection="0"/>
    <xf numFmtId="0" fontId="25" fillId="8" borderId="84" applyNumberFormat="0" applyAlignment="0" applyProtection="0"/>
    <xf numFmtId="0" fontId="25" fillId="8" borderId="84" applyNumberFormat="0" applyAlignment="0" applyProtection="0"/>
    <xf numFmtId="0" fontId="25" fillId="8" borderId="84" applyNumberFormat="0" applyAlignment="0" applyProtection="0"/>
    <xf numFmtId="0" fontId="25" fillId="8" borderId="84" applyNumberFormat="0" applyAlignment="0" applyProtection="0"/>
    <xf numFmtId="0" fontId="25" fillId="8" borderId="84" applyNumberFormat="0" applyAlignment="0" applyProtection="0"/>
    <xf numFmtId="0" fontId="25" fillId="8" borderId="84" applyNumberFormat="0" applyAlignment="0" applyProtection="0"/>
    <xf numFmtId="0" fontId="25" fillId="8" borderId="84" applyNumberFormat="0" applyAlignment="0" applyProtection="0"/>
    <xf numFmtId="0" fontId="25" fillId="8" borderId="84" applyNumberFormat="0" applyAlignment="0" applyProtection="0"/>
    <xf numFmtId="0" fontId="25" fillId="8" borderId="84" applyNumberFormat="0" applyAlignment="0" applyProtection="0"/>
    <xf numFmtId="0" fontId="25" fillId="8" borderId="84" applyNumberFormat="0" applyAlignment="0" applyProtection="0"/>
    <xf numFmtId="0" fontId="25" fillId="8" borderId="84" applyNumberFormat="0" applyAlignment="0" applyProtection="0"/>
    <xf numFmtId="0" fontId="25" fillId="8" borderId="84" applyNumberFormat="0" applyAlignment="0" applyProtection="0"/>
    <xf numFmtId="0" fontId="25" fillId="8" borderId="84" applyNumberFormat="0" applyAlignment="0" applyProtection="0"/>
    <xf numFmtId="0" fontId="25" fillId="8" borderId="84" applyNumberFormat="0" applyAlignment="0" applyProtection="0"/>
    <xf numFmtId="0" fontId="25" fillId="8" borderId="84" applyNumberFormat="0" applyAlignment="0" applyProtection="0"/>
    <xf numFmtId="0" fontId="25" fillId="8" borderId="84" applyNumberFormat="0" applyAlignment="0" applyProtection="0"/>
    <xf numFmtId="0" fontId="25" fillId="8" borderId="84" applyNumberFormat="0" applyAlignment="0" applyProtection="0"/>
    <xf numFmtId="0" fontId="25" fillId="8" borderId="84" applyNumberFormat="0" applyAlignment="0" applyProtection="0"/>
    <xf numFmtId="0" fontId="25" fillId="8" borderId="84" applyNumberFormat="0" applyAlignment="0" applyProtection="0"/>
    <xf numFmtId="0" fontId="25" fillId="8" borderId="84" applyNumberFormat="0" applyAlignment="0" applyProtection="0"/>
    <xf numFmtId="0" fontId="25" fillId="8" borderId="84" applyNumberFormat="0" applyAlignment="0" applyProtection="0"/>
    <xf numFmtId="0" fontId="25" fillId="8" borderId="84" applyNumberFormat="0" applyAlignment="0" applyProtection="0"/>
    <xf numFmtId="0" fontId="25" fillId="8" borderId="84" applyNumberFormat="0" applyAlignment="0" applyProtection="0"/>
    <xf numFmtId="0" fontId="25" fillId="8" borderId="84" applyNumberFormat="0" applyAlignment="0" applyProtection="0"/>
    <xf numFmtId="0" fontId="25" fillId="8" borderId="84" applyNumberFormat="0" applyAlignment="0" applyProtection="0"/>
    <xf numFmtId="0" fontId="25" fillId="8" borderId="84" applyNumberFormat="0" applyAlignment="0" applyProtection="0"/>
    <xf numFmtId="0" fontId="25" fillId="8" borderId="84" applyNumberFormat="0" applyAlignment="0" applyProtection="0"/>
    <xf numFmtId="0" fontId="25" fillId="8" borderId="84" applyNumberFormat="0" applyAlignment="0" applyProtection="0"/>
    <xf numFmtId="0" fontId="25" fillId="8" borderId="84" applyNumberFormat="0" applyAlignment="0" applyProtection="0"/>
    <xf numFmtId="0" fontId="25" fillId="8" borderId="84" applyNumberFormat="0" applyAlignment="0" applyProtection="0"/>
    <xf numFmtId="0" fontId="25" fillId="8" borderId="84" applyNumberFormat="0" applyAlignment="0" applyProtection="0"/>
    <xf numFmtId="0" fontId="25" fillId="8" borderId="84" applyNumberFormat="0" applyAlignment="0" applyProtection="0"/>
    <xf numFmtId="0" fontId="25" fillId="8" borderId="84" applyNumberFormat="0" applyAlignment="0" applyProtection="0"/>
    <xf numFmtId="0" fontId="25" fillId="8" borderId="84" applyNumberFormat="0" applyAlignment="0" applyProtection="0"/>
    <xf numFmtId="0" fontId="25" fillId="8" borderId="84" applyNumberFormat="0" applyAlignment="0" applyProtection="0"/>
    <xf numFmtId="0" fontId="25" fillId="8" borderId="84" applyNumberFormat="0" applyAlignment="0" applyProtection="0"/>
    <xf numFmtId="0" fontId="25" fillId="8" borderId="84" applyNumberFormat="0" applyAlignment="0" applyProtection="0"/>
    <xf numFmtId="0" fontId="25" fillId="8" borderId="84" applyNumberFormat="0" applyAlignment="0" applyProtection="0"/>
    <xf numFmtId="0" fontId="25" fillId="8" borderId="84" applyNumberFormat="0" applyAlignment="0" applyProtection="0"/>
    <xf numFmtId="0" fontId="25" fillId="8" borderId="84" applyNumberFormat="0" applyAlignment="0" applyProtection="0"/>
    <xf numFmtId="0" fontId="25" fillId="8" borderId="84" applyNumberFormat="0" applyAlignment="0" applyProtection="0"/>
    <xf numFmtId="0" fontId="25" fillId="8" borderId="84" applyNumberFormat="0" applyAlignment="0" applyProtection="0"/>
    <xf numFmtId="0" fontId="25" fillId="8" borderId="84" applyNumberFormat="0" applyAlignment="0" applyProtection="0"/>
    <xf numFmtId="0" fontId="25" fillId="8" borderId="84" applyNumberFormat="0" applyAlignment="0" applyProtection="0"/>
    <xf numFmtId="0" fontId="25" fillId="8" borderId="84" applyNumberFormat="0" applyAlignment="0" applyProtection="0"/>
    <xf numFmtId="0" fontId="25" fillId="8" borderId="84" applyNumberFormat="0" applyAlignment="0" applyProtection="0"/>
    <xf numFmtId="0" fontId="25" fillId="8" borderId="84" applyNumberFormat="0" applyAlignment="0" applyProtection="0"/>
    <xf numFmtId="0" fontId="25" fillId="8" borderId="84" applyNumberFormat="0" applyAlignment="0" applyProtection="0"/>
    <xf numFmtId="0" fontId="25" fillId="8" borderId="84" applyNumberFormat="0" applyAlignment="0" applyProtection="0"/>
    <xf numFmtId="0" fontId="25" fillId="8" borderId="84" applyNumberFormat="0" applyAlignment="0" applyProtection="0"/>
    <xf numFmtId="0" fontId="25" fillId="8" borderId="84" applyNumberFormat="0" applyAlignment="0" applyProtection="0"/>
    <xf numFmtId="0" fontId="25" fillId="8" borderId="84" applyNumberFormat="0" applyAlignment="0" applyProtection="0"/>
    <xf numFmtId="0" fontId="25" fillId="8" borderId="84" applyNumberFormat="0" applyAlignment="0" applyProtection="0"/>
    <xf numFmtId="0" fontId="84" fillId="73" borderId="88"/>
    <xf numFmtId="0" fontId="84" fillId="73" borderId="88"/>
    <xf numFmtId="0" fontId="84" fillId="73" borderId="88"/>
    <xf numFmtId="0" fontId="84" fillId="73" borderId="88"/>
    <xf numFmtId="0" fontId="84" fillId="73" borderId="88"/>
    <xf numFmtId="0" fontId="84" fillId="73" borderId="88"/>
    <xf numFmtId="0" fontId="84" fillId="73" borderId="88"/>
    <xf numFmtId="0" fontId="84" fillId="73" borderId="88"/>
    <xf numFmtId="0" fontId="84" fillId="73" borderId="88"/>
    <xf numFmtId="0" fontId="84" fillId="73" borderId="88"/>
    <xf numFmtId="0" fontId="84" fillId="73" borderId="88"/>
    <xf numFmtId="0" fontId="84" fillId="73" borderId="88"/>
    <xf numFmtId="0" fontId="84" fillId="73" borderId="88"/>
    <xf numFmtId="0" fontId="84" fillId="73" borderId="88"/>
    <xf numFmtId="0" fontId="84" fillId="73" borderId="88"/>
    <xf numFmtId="0" fontId="84" fillId="73" borderId="88"/>
    <xf numFmtId="0" fontId="84" fillId="73" borderId="88"/>
    <xf numFmtId="0" fontId="84" fillId="73" borderId="88"/>
    <xf numFmtId="0" fontId="84" fillId="73" borderId="88"/>
    <xf numFmtId="0" fontId="84" fillId="73" borderId="88"/>
    <xf numFmtId="0" fontId="84" fillId="73" borderId="88"/>
    <xf numFmtId="0" fontId="84" fillId="73" borderId="88"/>
    <xf numFmtId="0" fontId="84" fillId="73" borderId="88"/>
    <xf numFmtId="0" fontId="84" fillId="73" borderId="88"/>
    <xf numFmtId="0" fontId="84" fillId="73" borderId="88"/>
    <xf numFmtId="0" fontId="84" fillId="73" borderId="88"/>
    <xf numFmtId="0" fontId="84" fillId="73" borderId="88"/>
    <xf numFmtId="0" fontId="84" fillId="73" borderId="88"/>
    <xf numFmtId="0" fontId="84" fillId="73" borderId="88"/>
    <xf numFmtId="0" fontId="84" fillId="73" borderId="88"/>
    <xf numFmtId="0" fontId="84" fillId="73" borderId="88"/>
    <xf numFmtId="0" fontId="84" fillId="73" borderId="88"/>
    <xf numFmtId="0" fontId="84" fillId="73" borderId="88"/>
    <xf numFmtId="0" fontId="84" fillId="73" borderId="88"/>
    <xf numFmtId="0" fontId="84" fillId="73" borderId="88"/>
    <xf numFmtId="0" fontId="84" fillId="73" borderId="88"/>
    <xf numFmtId="0" fontId="84" fillId="73" borderId="88"/>
    <xf numFmtId="0" fontId="84" fillId="73" borderId="88"/>
    <xf numFmtId="0" fontId="84" fillId="73" borderId="88"/>
    <xf numFmtId="0" fontId="84" fillId="73" borderId="88"/>
    <xf numFmtId="0" fontId="84" fillId="73" borderId="88"/>
    <xf numFmtId="0" fontId="84" fillId="73" borderId="88"/>
    <xf numFmtId="0" fontId="84" fillId="73" borderId="88"/>
    <xf numFmtId="0" fontId="84" fillId="73" borderId="88"/>
    <xf numFmtId="0" fontId="84" fillId="73" borderId="88"/>
    <xf numFmtId="0" fontId="72" fillId="0" borderId="89" applyBorder="0">
      <alignment horizontal="center" vertical="center" wrapText="1"/>
    </xf>
    <xf numFmtId="0" fontId="72" fillId="0" borderId="89" applyBorder="0">
      <alignment horizontal="center" vertical="center" wrapText="1"/>
    </xf>
    <xf numFmtId="0" fontId="72" fillId="0" borderId="89" applyBorder="0">
      <alignment horizontal="center" vertical="center" wrapText="1"/>
    </xf>
    <xf numFmtId="0" fontId="72" fillId="0" borderId="89" applyBorder="0">
      <alignment horizontal="center" vertical="center" wrapText="1"/>
    </xf>
    <xf numFmtId="0" fontId="72" fillId="0" borderId="89" applyBorder="0">
      <alignment horizontal="center" vertical="center" wrapText="1"/>
    </xf>
    <xf numFmtId="0" fontId="72" fillId="0" borderId="89" applyBorder="0">
      <alignment horizontal="center" vertical="center" wrapText="1"/>
    </xf>
    <xf numFmtId="0" fontId="72" fillId="0" borderId="89" applyBorder="0">
      <alignment horizontal="center" vertical="center" wrapText="1"/>
    </xf>
    <xf numFmtId="0" fontId="72" fillId="0" borderId="89" applyBorder="0">
      <alignment horizontal="center" vertical="center" wrapText="1"/>
    </xf>
    <xf numFmtId="0" fontId="72" fillId="0" borderId="89" applyBorder="0">
      <alignment horizontal="center" vertical="center" wrapText="1"/>
    </xf>
    <xf numFmtId="0" fontId="72" fillId="0" borderId="89" applyBorder="0">
      <alignment horizontal="center" vertical="center" wrapText="1"/>
    </xf>
    <xf numFmtId="0" fontId="72" fillId="0" borderId="89" applyBorder="0">
      <alignment horizontal="center" vertical="center" wrapText="1"/>
    </xf>
    <xf numFmtId="0" fontId="72" fillId="0" borderId="89" applyBorder="0">
      <alignment horizontal="center" vertical="center" wrapText="1"/>
    </xf>
    <xf numFmtId="0" fontId="72" fillId="0" borderId="89" applyBorder="0">
      <alignment horizontal="center" vertical="center" wrapText="1"/>
    </xf>
    <xf numFmtId="0" fontId="72" fillId="0" borderId="89" applyBorder="0">
      <alignment horizontal="center" vertical="center" wrapText="1"/>
    </xf>
    <xf numFmtId="0" fontId="72" fillId="0" borderId="89" applyBorder="0">
      <alignment horizontal="center" vertical="center" wrapText="1"/>
    </xf>
    <xf numFmtId="0" fontId="72" fillId="0" borderId="89" applyBorder="0">
      <alignment horizontal="center" vertical="center" wrapText="1"/>
    </xf>
    <xf numFmtId="0" fontId="72" fillId="0" borderId="89" applyBorder="0">
      <alignment horizontal="center" vertical="center" wrapText="1"/>
    </xf>
    <xf numFmtId="0" fontId="72" fillId="0" borderId="89" applyBorder="0">
      <alignment horizontal="center" vertical="center" wrapText="1"/>
    </xf>
    <xf numFmtId="0" fontId="72" fillId="0" borderId="89" applyBorder="0">
      <alignment horizontal="center" vertical="center" wrapText="1"/>
    </xf>
    <xf numFmtId="0" fontId="72" fillId="0" borderId="89" applyBorder="0">
      <alignment horizontal="center" vertical="center" wrapText="1"/>
    </xf>
    <xf numFmtId="0" fontId="72" fillId="0" borderId="89" applyBorder="0">
      <alignment horizontal="center" vertical="center" wrapText="1"/>
    </xf>
    <xf numFmtId="0" fontId="72" fillId="0" borderId="89" applyBorder="0">
      <alignment horizontal="center" vertical="center" wrapText="1"/>
    </xf>
    <xf numFmtId="0" fontId="72" fillId="0" borderId="89" applyBorder="0">
      <alignment horizontal="center" vertical="center" wrapText="1"/>
    </xf>
    <xf numFmtId="0" fontId="72" fillId="0" borderId="89" applyBorder="0">
      <alignment horizontal="center" vertical="center" wrapText="1"/>
    </xf>
    <xf numFmtId="0" fontId="72" fillId="0" borderId="89" applyBorder="0">
      <alignment horizontal="center" vertical="center" wrapText="1"/>
    </xf>
    <xf numFmtId="0" fontId="72" fillId="0" borderId="89" applyBorder="0">
      <alignment horizontal="center" vertical="center" wrapText="1"/>
    </xf>
    <xf numFmtId="0" fontId="72" fillId="0" borderId="89" applyBorder="0">
      <alignment horizontal="center" vertical="center" wrapText="1"/>
    </xf>
    <xf numFmtId="0" fontId="72" fillId="0" borderId="89" applyBorder="0">
      <alignment horizontal="center" vertical="center" wrapText="1"/>
    </xf>
    <xf numFmtId="0" fontId="72" fillId="0" borderId="89" applyBorder="0">
      <alignment horizontal="center" vertical="center" wrapText="1"/>
    </xf>
    <xf numFmtId="0" fontId="72" fillId="0" borderId="89" applyBorder="0">
      <alignment horizontal="center" vertical="center" wrapText="1"/>
    </xf>
    <xf numFmtId="0" fontId="72" fillId="0" borderId="89" applyBorder="0">
      <alignment horizontal="center" vertical="center" wrapText="1"/>
    </xf>
    <xf numFmtId="0" fontId="72" fillId="0" borderId="89" applyBorder="0">
      <alignment horizontal="center" vertical="center" wrapText="1"/>
    </xf>
    <xf numFmtId="0" fontId="72" fillId="0" borderId="89" applyBorder="0">
      <alignment horizontal="center" vertical="center" wrapText="1"/>
    </xf>
    <xf numFmtId="0" fontId="72" fillId="0" borderId="89" applyBorder="0">
      <alignment horizontal="center" vertical="center" wrapText="1"/>
    </xf>
    <xf numFmtId="0" fontId="72" fillId="0" borderId="89" applyBorder="0">
      <alignment horizontal="center" vertical="center" wrapText="1"/>
    </xf>
    <xf numFmtId="0" fontId="72" fillId="0" borderId="89" applyBorder="0">
      <alignment horizontal="center" vertical="center" wrapText="1"/>
    </xf>
    <xf numFmtId="0" fontId="72" fillId="0" borderId="89" applyBorder="0">
      <alignment horizontal="center" vertical="center" wrapText="1"/>
    </xf>
    <xf numFmtId="0" fontId="72" fillId="0" borderId="89" applyBorder="0">
      <alignment horizontal="center" vertical="center" wrapText="1"/>
    </xf>
    <xf numFmtId="0" fontId="72" fillId="0" borderId="89" applyBorder="0">
      <alignment horizontal="center" vertical="center" wrapText="1"/>
    </xf>
    <xf numFmtId="0" fontId="72" fillId="0" borderId="89" applyBorder="0">
      <alignment horizontal="center" vertical="center" wrapText="1"/>
    </xf>
    <xf numFmtId="0" fontId="72" fillId="0" borderId="89" applyBorder="0">
      <alignment horizontal="center" vertical="center" wrapText="1"/>
    </xf>
    <xf numFmtId="0" fontId="72" fillId="0" borderId="89" applyBorder="0">
      <alignment horizontal="center" vertical="center" wrapText="1"/>
    </xf>
    <xf numFmtId="0" fontId="72" fillId="0" borderId="89" applyBorder="0">
      <alignment horizontal="center" vertical="center" wrapText="1"/>
    </xf>
    <xf numFmtId="0" fontId="72" fillId="0" borderId="89" applyBorder="0">
      <alignment horizontal="center" vertical="center" wrapText="1"/>
    </xf>
    <xf numFmtId="0" fontId="72" fillId="0" borderId="89" applyBorder="0">
      <alignment horizontal="center" vertical="center" wrapText="1"/>
    </xf>
    <xf numFmtId="0" fontId="72" fillId="0" borderId="89" applyBorder="0">
      <alignment horizontal="center" vertical="center" wrapText="1"/>
    </xf>
    <xf numFmtId="0" fontId="72" fillId="0" borderId="89" applyBorder="0">
      <alignment horizontal="center" vertical="center" wrapText="1"/>
    </xf>
    <xf numFmtId="0" fontId="72" fillId="0" borderId="89" applyBorder="0">
      <alignment horizontal="center" vertical="center" wrapText="1"/>
    </xf>
    <xf numFmtId="0" fontId="72" fillId="0" borderId="89" applyBorder="0">
      <alignment horizontal="center" vertical="center" wrapText="1"/>
    </xf>
    <xf numFmtId="0" fontId="72" fillId="0" borderId="89" applyBorder="0">
      <alignment horizontal="center" vertical="center" wrapText="1"/>
    </xf>
    <xf numFmtId="0" fontId="72" fillId="0" borderId="89" applyBorder="0">
      <alignment horizontal="center" vertical="center" wrapText="1"/>
    </xf>
    <xf numFmtId="0" fontId="72" fillId="0" borderId="89" applyBorder="0">
      <alignment horizontal="center" vertical="center" wrapText="1"/>
    </xf>
    <xf numFmtId="0" fontId="72" fillId="0" borderId="89" applyBorder="0">
      <alignment horizontal="center" vertical="center" wrapText="1"/>
    </xf>
    <xf numFmtId="0" fontId="72" fillId="0" borderId="89" applyBorder="0">
      <alignment horizontal="center" vertical="center" wrapText="1"/>
    </xf>
    <xf numFmtId="0" fontId="72" fillId="0" borderId="89" applyBorder="0">
      <alignment horizontal="center" vertical="center" wrapText="1"/>
    </xf>
    <xf numFmtId="0" fontId="72" fillId="0" borderId="89" applyBorder="0">
      <alignment horizontal="center" vertical="center" wrapText="1"/>
    </xf>
    <xf numFmtId="0" fontId="72" fillId="0" borderId="89" applyBorder="0">
      <alignment horizontal="center" vertical="center" wrapText="1"/>
    </xf>
    <xf numFmtId="0" fontId="72" fillId="0" borderId="89" applyBorder="0">
      <alignment horizontal="center" vertical="center" wrapText="1"/>
    </xf>
    <xf numFmtId="0" fontId="72" fillId="0" borderId="89" applyBorder="0">
      <alignment horizontal="center" vertical="center" wrapText="1"/>
    </xf>
    <xf numFmtId="0" fontId="72" fillId="0" borderId="89" applyBorder="0">
      <alignment horizontal="center" vertical="center" wrapText="1"/>
    </xf>
    <xf numFmtId="0" fontId="29" fillId="12" borderId="170" applyNumberFormat="0" applyAlignment="0" applyProtection="0"/>
    <xf numFmtId="0" fontId="25" fillId="8" borderId="167" applyNumberFormat="0" applyAlignment="0" applyProtection="0"/>
    <xf numFmtId="0" fontId="31" fillId="0" borderId="184" applyNumberFormat="0" applyFill="0" applyAlignment="0" applyProtection="0"/>
    <xf numFmtId="0" fontId="31" fillId="0" borderId="185" applyNumberFormat="0" applyFill="0" applyAlignment="0" applyProtection="0"/>
    <xf numFmtId="0" fontId="25" fillId="8" borderId="118" applyNumberFormat="0" applyAlignment="0" applyProtection="0"/>
    <xf numFmtId="0" fontId="29" fillId="24" borderId="117" applyNumberFormat="0" applyAlignment="0" applyProtection="0"/>
    <xf numFmtId="0" fontId="28" fillId="0" borderId="180"/>
    <xf numFmtId="0" fontId="49" fillId="10" borderId="85" applyNumberFormat="0" applyFont="0" applyAlignment="0" applyProtection="0"/>
    <xf numFmtId="0" fontId="48" fillId="12" borderId="84" applyNumberFormat="0" applyAlignment="0" applyProtection="0"/>
    <xf numFmtId="0" fontId="25" fillId="8" borderId="84" applyNumberFormat="0" applyAlignment="0" applyProtection="0"/>
    <xf numFmtId="0" fontId="31" fillId="0" borderId="90" applyNumberFormat="0" applyFill="0" applyAlignment="0" applyProtection="0"/>
    <xf numFmtId="0" fontId="31" fillId="0" borderId="87" applyNumberFormat="0" applyFill="0" applyAlignment="0" applyProtection="0"/>
    <xf numFmtId="0" fontId="24" fillId="24" borderId="86" applyNumberFormat="0" applyAlignment="0" applyProtection="0"/>
    <xf numFmtId="0" fontId="8" fillId="10" borderId="85" applyNumberFormat="0" applyFont="0" applyAlignment="0" applyProtection="0"/>
    <xf numFmtId="0" fontId="41" fillId="13" borderId="84" applyNumberFormat="0" applyAlignment="0" applyProtection="0"/>
    <xf numFmtId="0" fontId="48" fillId="12" borderId="84" applyNumberFormat="0" applyAlignment="0" applyProtection="0"/>
    <xf numFmtId="0" fontId="48" fillId="24" borderId="84" applyNumberFormat="0" applyAlignment="0" applyProtection="0"/>
    <xf numFmtId="0" fontId="31" fillId="0" borderId="90" applyNumberFormat="0" applyFill="0" applyAlignment="0" applyProtection="0"/>
    <xf numFmtId="0" fontId="48" fillId="24" borderId="84" applyNumberFormat="0" applyAlignment="0" applyProtection="0"/>
    <xf numFmtId="0" fontId="49" fillId="10" borderId="85" applyNumberFormat="0" applyFont="0" applyAlignment="0" applyProtection="0"/>
    <xf numFmtId="0" fontId="29" fillId="12" borderId="91" applyNumberFormat="0" applyAlignment="0" applyProtection="0"/>
    <xf numFmtId="0" fontId="8" fillId="10" borderId="85" applyNumberFormat="0" applyFont="0" applyAlignment="0" applyProtection="0"/>
    <xf numFmtId="0" fontId="8" fillId="10" borderId="85" applyNumberFormat="0" applyFont="0" applyAlignment="0" applyProtection="0"/>
    <xf numFmtId="0" fontId="49" fillId="10" borderId="85" applyNumberFormat="0" applyFont="0" applyAlignment="0" applyProtection="0"/>
    <xf numFmtId="0" fontId="31" fillId="0" borderId="87" applyNumberFormat="0" applyFill="0" applyAlignment="0" applyProtection="0"/>
    <xf numFmtId="0" fontId="31" fillId="0" borderId="90" applyNumberFormat="0" applyFill="0" applyAlignment="0" applyProtection="0"/>
    <xf numFmtId="0" fontId="31" fillId="0" borderId="87" applyNumberFormat="0" applyFill="0" applyAlignment="0" applyProtection="0"/>
    <xf numFmtId="0" fontId="31" fillId="0" borderId="90" applyNumberFormat="0" applyFill="0" applyAlignment="0" applyProtection="0"/>
    <xf numFmtId="0" fontId="49" fillId="10" borderId="177" applyNumberFormat="0" applyFont="0" applyAlignment="0" applyProtection="0"/>
    <xf numFmtId="0" fontId="16" fillId="24" borderId="134" applyNumberFormat="0" applyAlignment="0" applyProtection="0"/>
    <xf numFmtId="0" fontId="28" fillId="0" borderId="191"/>
    <xf numFmtId="0" fontId="31" fillId="0" borderId="200" applyNumberFormat="0" applyFill="0" applyAlignment="0" applyProtection="0"/>
    <xf numFmtId="0" fontId="31" fillId="0" borderId="171" applyNumberFormat="0" applyFill="0" applyAlignment="0" applyProtection="0"/>
    <xf numFmtId="0" fontId="41" fillId="13" borderId="194" applyNumberFormat="0" applyAlignment="0" applyProtection="0"/>
    <xf numFmtId="0" fontId="28" fillId="0" borderId="149"/>
    <xf numFmtId="0" fontId="84" fillId="0" borderId="149"/>
    <xf numFmtId="0" fontId="31" fillId="0" borderId="185" applyNumberFormat="0" applyFill="0" applyAlignment="0" applyProtection="0"/>
    <xf numFmtId="0" fontId="16" fillId="24" borderId="102" applyNumberFormat="0" applyAlignment="0" applyProtection="0"/>
    <xf numFmtId="0" fontId="41" fillId="13" borderId="187" applyNumberFormat="0" applyAlignment="0" applyProtection="0"/>
    <xf numFmtId="0" fontId="8" fillId="10" borderId="177" applyNumberFormat="0" applyFont="0" applyAlignment="0" applyProtection="0"/>
    <xf numFmtId="0" fontId="29" fillId="24" borderId="146" applyNumberFormat="0" applyAlignment="0" applyProtection="0"/>
    <xf numFmtId="0" fontId="18" fillId="10" borderId="195" applyNumberFormat="0" applyFont="0" applyAlignment="0" applyProtection="0"/>
    <xf numFmtId="0" fontId="28" fillId="10" borderId="177" applyNumberFormat="0" applyFont="0" applyAlignment="0" applyProtection="0"/>
    <xf numFmtId="0" fontId="25" fillId="8" borderId="134" applyNumberFormat="0" applyAlignment="0" applyProtection="0"/>
    <xf numFmtId="0" fontId="49" fillId="10" borderId="177" applyNumberFormat="0" applyFont="0" applyAlignment="0" applyProtection="0"/>
    <xf numFmtId="0" fontId="48" fillId="12" borderId="194" applyNumberFormat="0" applyAlignment="0" applyProtection="0"/>
    <xf numFmtId="0" fontId="31" fillId="0" borderId="171" applyNumberFormat="0" applyFill="0" applyAlignment="0" applyProtection="0"/>
    <xf numFmtId="0" fontId="28" fillId="0" borderId="124"/>
    <xf numFmtId="0" fontId="31" fillId="0" borderId="197" applyNumberFormat="0" applyFill="0" applyAlignment="0" applyProtection="0"/>
    <xf numFmtId="0" fontId="48" fillId="24" borderId="167" applyNumberFormat="0" applyAlignment="0" applyProtection="0"/>
    <xf numFmtId="0" fontId="8" fillId="10" borderId="188" applyNumberFormat="0" applyFont="0" applyAlignment="0" applyProtection="0"/>
    <xf numFmtId="0" fontId="8" fillId="10" borderId="188" applyNumberFormat="0" applyFont="0" applyAlignment="0" applyProtection="0"/>
    <xf numFmtId="0" fontId="31" fillId="0" borderId="137" applyNumberFormat="0" applyFill="0" applyAlignment="0" applyProtection="0"/>
    <xf numFmtId="0" fontId="31" fillId="0" borderId="123" applyNumberFormat="0" applyFill="0" applyAlignment="0" applyProtection="0"/>
    <xf numFmtId="0" fontId="31" fillId="0" borderId="148" applyNumberFormat="0" applyFill="0" applyAlignment="0" applyProtection="0"/>
    <xf numFmtId="0" fontId="25" fillId="13" borderId="160" applyNumberFormat="0" applyAlignment="0" applyProtection="0"/>
    <xf numFmtId="0" fontId="25" fillId="13" borderId="167" applyNumberFormat="0" applyAlignment="0" applyProtection="0"/>
    <xf numFmtId="0" fontId="31" fillId="0" borderId="172" applyNumberFormat="0" applyFill="0" applyAlignment="0" applyProtection="0"/>
    <xf numFmtId="0" fontId="49" fillId="10" borderId="168" applyNumberFormat="0" applyFont="0" applyAlignment="0" applyProtection="0"/>
    <xf numFmtId="0" fontId="48" fillId="12" borderId="143" applyNumberFormat="0" applyAlignment="0" applyProtection="0"/>
    <xf numFmtId="0" fontId="31" fillId="0" borderId="121" applyNumberFormat="0" applyFill="0" applyAlignment="0" applyProtection="0"/>
    <xf numFmtId="0" fontId="29" fillId="24" borderId="117" applyNumberFormat="0" applyAlignment="0" applyProtection="0"/>
    <xf numFmtId="0" fontId="8" fillId="10" borderId="168" applyNumberFormat="0" applyFont="0" applyAlignment="0" applyProtection="0"/>
    <xf numFmtId="0" fontId="41" fillId="13" borderId="134" applyNumberFormat="0" applyAlignment="0" applyProtection="0"/>
    <xf numFmtId="0" fontId="28" fillId="10" borderId="135" applyNumberFormat="0" applyFont="0" applyAlignment="0" applyProtection="0"/>
    <xf numFmtId="0" fontId="72" fillId="0" borderId="106" applyBorder="0">
      <alignment horizontal="center" vertical="center" wrapText="1"/>
    </xf>
    <xf numFmtId="0" fontId="25" fillId="13" borderId="143" applyNumberFormat="0" applyAlignment="0" applyProtection="0"/>
    <xf numFmtId="0" fontId="25" fillId="8" borderId="118" applyNumberFormat="0" applyAlignment="0" applyProtection="0"/>
    <xf numFmtId="0" fontId="31" fillId="0" borderId="121" applyNumberFormat="0" applyFill="0" applyAlignment="0" applyProtection="0"/>
    <xf numFmtId="0" fontId="48" fillId="12" borderId="118" applyNumberFormat="0" applyAlignment="0" applyProtection="0"/>
    <xf numFmtId="0" fontId="41" fillId="13" borderId="167" applyNumberFormat="0" applyAlignment="0" applyProtection="0"/>
    <xf numFmtId="0" fontId="18" fillId="10" borderId="177" applyNumberFormat="0" applyFont="0" applyAlignment="0" applyProtection="0"/>
    <xf numFmtId="0" fontId="25" fillId="13" borderId="102" applyNumberFormat="0" applyAlignment="0" applyProtection="0"/>
    <xf numFmtId="0" fontId="29" fillId="24" borderId="146" applyNumberFormat="0" applyAlignment="0" applyProtection="0"/>
    <xf numFmtId="0" fontId="72" fillId="0" borderId="141" applyBorder="0">
      <alignment horizontal="center" vertical="center" wrapText="1"/>
    </xf>
    <xf numFmtId="0" fontId="25" fillId="13" borderId="118" applyNumberFormat="0" applyAlignment="0" applyProtection="0"/>
    <xf numFmtId="0" fontId="28" fillId="10" borderId="119" applyNumberFormat="0" applyFont="0" applyAlignment="0" applyProtection="0"/>
    <xf numFmtId="0" fontId="28" fillId="10" borderId="119" applyNumberFormat="0" applyFont="0" applyAlignment="0" applyProtection="0"/>
    <xf numFmtId="0" fontId="29" fillId="24" borderId="117" applyNumberFormat="0" applyAlignment="0" applyProtection="0"/>
    <xf numFmtId="0" fontId="31" fillId="0" borderId="123" applyNumberFormat="0" applyFill="0" applyAlignment="0" applyProtection="0"/>
    <xf numFmtId="0" fontId="49" fillId="10" borderId="195" applyNumberFormat="0" applyFont="0" applyAlignment="0" applyProtection="0"/>
    <xf numFmtId="0" fontId="16" fillId="24" borderId="203" applyNumberFormat="0" applyAlignment="0" applyProtection="0"/>
    <xf numFmtId="0" fontId="31" fillId="0" borderId="172" applyNumberFormat="0" applyFill="0" applyAlignment="0" applyProtection="0"/>
    <xf numFmtId="0" fontId="48" fillId="24" borderId="95" applyNumberFormat="0" applyAlignment="0" applyProtection="0"/>
    <xf numFmtId="0" fontId="48" fillId="24" borderId="95" applyNumberFormat="0" applyAlignment="0" applyProtection="0"/>
    <xf numFmtId="0" fontId="48" fillId="24" borderId="95" applyNumberFormat="0" applyAlignment="0" applyProtection="0"/>
    <xf numFmtId="0" fontId="48" fillId="24" borderId="95" applyNumberFormat="0" applyAlignment="0" applyProtection="0"/>
    <xf numFmtId="0" fontId="48" fillId="24" borderId="95" applyNumberFormat="0" applyAlignment="0" applyProtection="0"/>
    <xf numFmtId="0" fontId="48" fillId="24" borderId="95" applyNumberFormat="0" applyAlignment="0" applyProtection="0"/>
    <xf numFmtId="0" fontId="48" fillId="24" borderId="95" applyNumberFormat="0" applyAlignment="0" applyProtection="0"/>
    <xf numFmtId="0" fontId="48" fillId="24" borderId="95" applyNumberFormat="0" applyAlignment="0" applyProtection="0"/>
    <xf numFmtId="0" fontId="48" fillId="24" borderId="95" applyNumberFormat="0" applyAlignment="0" applyProtection="0"/>
    <xf numFmtId="0" fontId="48" fillId="24" borderId="95" applyNumberFormat="0" applyAlignment="0" applyProtection="0"/>
    <xf numFmtId="0" fontId="48" fillId="24" borderId="95" applyNumberFormat="0" applyAlignment="0" applyProtection="0"/>
    <xf numFmtId="0" fontId="48" fillId="24" borderId="95" applyNumberFormat="0" applyAlignment="0" applyProtection="0"/>
    <xf numFmtId="0" fontId="48" fillId="24" borderId="95" applyNumberFormat="0" applyAlignment="0" applyProtection="0"/>
    <xf numFmtId="0" fontId="48" fillId="24" borderId="95" applyNumberFormat="0" applyAlignment="0" applyProtection="0"/>
    <xf numFmtId="0" fontId="48" fillId="24" borderId="95" applyNumberFormat="0" applyAlignment="0" applyProtection="0"/>
    <xf numFmtId="0" fontId="48" fillId="24" borderId="95" applyNumberFormat="0" applyAlignment="0" applyProtection="0"/>
    <xf numFmtId="0" fontId="48" fillId="24" borderId="95" applyNumberFormat="0" applyAlignment="0" applyProtection="0"/>
    <xf numFmtId="0" fontId="48" fillId="24" borderId="95" applyNumberFormat="0" applyAlignment="0" applyProtection="0"/>
    <xf numFmtId="0" fontId="48" fillId="24" borderId="95" applyNumberFormat="0" applyAlignment="0" applyProtection="0"/>
    <xf numFmtId="0" fontId="48" fillId="24" borderId="95" applyNumberFormat="0" applyAlignment="0" applyProtection="0"/>
    <xf numFmtId="0" fontId="48" fillId="24" borderId="95" applyNumberFormat="0" applyAlignment="0" applyProtection="0"/>
    <xf numFmtId="0" fontId="48" fillId="24" borderId="95" applyNumberFormat="0" applyAlignment="0" applyProtection="0"/>
    <xf numFmtId="0" fontId="48" fillId="24" borderId="95" applyNumberFormat="0" applyAlignment="0" applyProtection="0"/>
    <xf numFmtId="0" fontId="48" fillId="24" borderId="95" applyNumberFormat="0" applyAlignment="0" applyProtection="0"/>
    <xf numFmtId="0" fontId="48" fillId="24" borderId="95" applyNumberFormat="0" applyAlignment="0" applyProtection="0"/>
    <xf numFmtId="0" fontId="48" fillId="24" borderId="95" applyNumberFormat="0" applyAlignment="0" applyProtection="0"/>
    <xf numFmtId="0" fontId="48" fillId="24" borderId="95" applyNumberFormat="0" applyAlignment="0" applyProtection="0"/>
    <xf numFmtId="0" fontId="48" fillId="24" borderId="95" applyNumberFormat="0" applyAlignment="0" applyProtection="0"/>
    <xf numFmtId="0" fontId="48" fillId="24" borderId="95" applyNumberFormat="0" applyAlignment="0" applyProtection="0"/>
    <xf numFmtId="0" fontId="48" fillId="24" borderId="95" applyNumberFormat="0" applyAlignment="0" applyProtection="0"/>
    <xf numFmtId="0" fontId="48" fillId="24" borderId="95" applyNumberFormat="0" applyAlignment="0" applyProtection="0"/>
    <xf numFmtId="0" fontId="48" fillId="24" borderId="95" applyNumberFormat="0" applyAlignment="0" applyProtection="0"/>
    <xf numFmtId="0" fontId="48" fillId="24" borderId="95" applyNumberFormat="0" applyAlignment="0" applyProtection="0"/>
    <xf numFmtId="0" fontId="48" fillId="24" borderId="95" applyNumberFormat="0" applyAlignment="0" applyProtection="0"/>
    <xf numFmtId="0" fontId="48" fillId="24" borderId="95" applyNumberFormat="0" applyAlignment="0" applyProtection="0"/>
    <xf numFmtId="0" fontId="48" fillId="24" borderId="95" applyNumberFormat="0" applyAlignment="0" applyProtection="0"/>
    <xf numFmtId="0" fontId="48" fillId="24" borderId="95" applyNumberFormat="0" applyAlignment="0" applyProtection="0"/>
    <xf numFmtId="0" fontId="48" fillId="24" borderId="95" applyNumberFormat="0" applyAlignment="0" applyProtection="0"/>
    <xf numFmtId="0" fontId="48" fillId="24" borderId="95" applyNumberFormat="0" applyAlignment="0" applyProtection="0"/>
    <xf numFmtId="0" fontId="48" fillId="24" borderId="95" applyNumberFormat="0" applyAlignment="0" applyProtection="0"/>
    <xf numFmtId="0" fontId="48" fillId="24" borderId="95" applyNumberFormat="0" applyAlignment="0" applyProtection="0"/>
    <xf numFmtId="0" fontId="48" fillId="24" borderId="95" applyNumberFormat="0" applyAlignment="0" applyProtection="0"/>
    <xf numFmtId="0" fontId="48" fillId="24" borderId="95" applyNumberFormat="0" applyAlignment="0" applyProtection="0"/>
    <xf numFmtId="0" fontId="48" fillId="24" borderId="95" applyNumberFormat="0" applyAlignment="0" applyProtection="0"/>
    <xf numFmtId="0" fontId="48" fillId="24" borderId="95" applyNumberFormat="0" applyAlignment="0" applyProtection="0"/>
    <xf numFmtId="0" fontId="48" fillId="24" borderId="95" applyNumberFormat="0" applyAlignment="0" applyProtection="0"/>
    <xf numFmtId="0" fontId="48" fillId="24" borderId="95" applyNumberFormat="0" applyAlignment="0" applyProtection="0"/>
    <xf numFmtId="0" fontId="48" fillId="24" borderId="95" applyNumberFormat="0" applyAlignment="0" applyProtection="0"/>
    <xf numFmtId="0" fontId="48" fillId="24" borderId="95" applyNumberFormat="0" applyAlignment="0" applyProtection="0"/>
    <xf numFmtId="0" fontId="48" fillId="24" borderId="95" applyNumberFormat="0" applyAlignment="0" applyProtection="0"/>
    <xf numFmtId="0" fontId="48" fillId="24" borderId="95" applyNumberFormat="0" applyAlignment="0" applyProtection="0"/>
    <xf numFmtId="0" fontId="48" fillId="24" borderId="95" applyNumberFormat="0" applyAlignment="0" applyProtection="0"/>
    <xf numFmtId="0" fontId="48" fillId="24" borderId="95" applyNumberFormat="0" applyAlignment="0" applyProtection="0"/>
    <xf numFmtId="0" fontId="48" fillId="24" borderId="95" applyNumberFormat="0" applyAlignment="0" applyProtection="0"/>
    <xf numFmtId="0" fontId="48" fillId="24" borderId="95" applyNumberFormat="0" applyAlignment="0" applyProtection="0"/>
    <xf numFmtId="0" fontId="48" fillId="24" borderId="95" applyNumberFormat="0" applyAlignment="0" applyProtection="0"/>
    <xf numFmtId="0" fontId="48" fillId="24" borderId="95" applyNumberFormat="0" applyAlignment="0" applyProtection="0"/>
    <xf numFmtId="0" fontId="48" fillId="24" borderId="95" applyNumberFormat="0" applyAlignment="0" applyProtection="0"/>
    <xf numFmtId="0" fontId="48" fillId="24" borderId="95" applyNumberFormat="0" applyAlignment="0" applyProtection="0"/>
    <xf numFmtId="0" fontId="48" fillId="24" borderId="95" applyNumberFormat="0" applyAlignment="0" applyProtection="0"/>
    <xf numFmtId="0" fontId="48" fillId="24" borderId="95" applyNumberFormat="0" applyAlignment="0" applyProtection="0"/>
    <xf numFmtId="0" fontId="48" fillId="24" borderId="95" applyNumberFormat="0" applyAlignment="0" applyProtection="0"/>
    <xf numFmtId="0" fontId="48" fillId="24" borderId="95" applyNumberFormat="0" applyAlignment="0" applyProtection="0"/>
    <xf numFmtId="0" fontId="48" fillId="24" borderId="95" applyNumberFormat="0" applyAlignment="0" applyProtection="0"/>
    <xf numFmtId="0" fontId="48" fillId="24" borderId="95" applyNumberFormat="0" applyAlignment="0" applyProtection="0"/>
    <xf numFmtId="0" fontId="48" fillId="24" borderId="95" applyNumberFormat="0" applyAlignment="0" applyProtection="0"/>
    <xf numFmtId="0" fontId="48" fillId="24" borderId="95" applyNumberFormat="0" applyAlignment="0" applyProtection="0"/>
    <xf numFmtId="0" fontId="48" fillId="24" borderId="95" applyNumberFormat="0" applyAlignment="0" applyProtection="0"/>
    <xf numFmtId="0" fontId="48" fillId="24" borderId="95" applyNumberFormat="0" applyAlignment="0" applyProtection="0"/>
    <xf numFmtId="0" fontId="48" fillId="24" borderId="95" applyNumberFormat="0" applyAlignment="0" applyProtection="0"/>
    <xf numFmtId="0" fontId="48" fillId="24" borderId="95" applyNumberFormat="0" applyAlignment="0" applyProtection="0"/>
    <xf numFmtId="0" fontId="48" fillId="24" borderId="95" applyNumberFormat="0" applyAlignment="0" applyProtection="0"/>
    <xf numFmtId="0" fontId="48" fillId="24" borderId="95" applyNumberFormat="0" applyAlignment="0" applyProtection="0"/>
    <xf numFmtId="0" fontId="48" fillId="24" borderId="95" applyNumberFormat="0" applyAlignment="0" applyProtection="0"/>
    <xf numFmtId="0" fontId="48" fillId="24" borderId="95" applyNumberFormat="0" applyAlignment="0" applyProtection="0"/>
    <xf numFmtId="0" fontId="48" fillId="24" borderId="95" applyNumberFormat="0" applyAlignment="0" applyProtection="0"/>
    <xf numFmtId="0" fontId="48" fillId="24" borderId="95" applyNumberFormat="0" applyAlignment="0" applyProtection="0"/>
    <xf numFmtId="0" fontId="48" fillId="24" borderId="95" applyNumberFormat="0" applyAlignment="0" applyProtection="0"/>
    <xf numFmtId="0" fontId="32" fillId="24" borderId="95" applyNumberFormat="0" applyAlignment="0" applyProtection="0"/>
    <xf numFmtId="0" fontId="32" fillId="24" borderId="95" applyNumberFormat="0" applyAlignment="0" applyProtection="0"/>
    <xf numFmtId="0" fontId="32" fillId="24" borderId="95" applyNumberFormat="0" applyAlignment="0" applyProtection="0"/>
    <xf numFmtId="0" fontId="32" fillId="24" borderId="95" applyNumberFormat="0" applyAlignment="0" applyProtection="0"/>
    <xf numFmtId="0" fontId="32" fillId="24" borderId="95" applyNumberFormat="0" applyAlignment="0" applyProtection="0"/>
    <xf numFmtId="0" fontId="32" fillId="24" borderId="95" applyNumberFormat="0" applyAlignment="0" applyProtection="0"/>
    <xf numFmtId="0" fontId="32" fillId="24" borderId="95" applyNumberFormat="0" applyAlignment="0" applyProtection="0"/>
    <xf numFmtId="0" fontId="32" fillId="24" borderId="95" applyNumberFormat="0" applyAlignment="0" applyProtection="0"/>
    <xf numFmtId="0" fontId="32" fillId="24" borderId="95" applyNumberFormat="0" applyAlignment="0" applyProtection="0"/>
    <xf numFmtId="0" fontId="32" fillId="24" borderId="95" applyNumberFormat="0" applyAlignment="0" applyProtection="0"/>
    <xf numFmtId="0" fontId="32" fillId="24" borderId="95" applyNumberFormat="0" applyAlignment="0" applyProtection="0"/>
    <xf numFmtId="0" fontId="32" fillId="24" borderId="95" applyNumberFormat="0" applyAlignment="0" applyProtection="0"/>
    <xf numFmtId="0" fontId="32" fillId="24" borderId="95" applyNumberFormat="0" applyAlignment="0" applyProtection="0"/>
    <xf numFmtId="0" fontId="32" fillId="24" borderId="95" applyNumberFormat="0" applyAlignment="0" applyProtection="0"/>
    <xf numFmtId="0" fontId="32" fillId="24" borderId="95" applyNumberFormat="0" applyAlignment="0" applyProtection="0"/>
    <xf numFmtId="0" fontId="32" fillId="24" borderId="95" applyNumberFormat="0" applyAlignment="0" applyProtection="0"/>
    <xf numFmtId="0" fontId="32" fillId="24" borderId="95" applyNumberFormat="0" applyAlignment="0" applyProtection="0"/>
    <xf numFmtId="0" fontId="32" fillId="24" borderId="95" applyNumberFormat="0" applyAlignment="0" applyProtection="0"/>
    <xf numFmtId="0" fontId="32" fillId="24" borderId="95" applyNumberFormat="0" applyAlignment="0" applyProtection="0"/>
    <xf numFmtId="0" fontId="32" fillId="24" borderId="95" applyNumberFormat="0" applyAlignment="0" applyProtection="0"/>
    <xf numFmtId="0" fontId="32" fillId="24" borderId="95" applyNumberFormat="0" applyAlignment="0" applyProtection="0"/>
    <xf numFmtId="0" fontId="32" fillId="24" borderId="95" applyNumberFormat="0" applyAlignment="0" applyProtection="0"/>
    <xf numFmtId="0" fontId="32" fillId="24" borderId="95" applyNumberFormat="0" applyAlignment="0" applyProtection="0"/>
    <xf numFmtId="0" fontId="32" fillId="24" borderId="95" applyNumberFormat="0" applyAlignment="0" applyProtection="0"/>
    <xf numFmtId="0" fontId="32" fillId="24" borderId="95" applyNumberFormat="0" applyAlignment="0" applyProtection="0"/>
    <xf numFmtId="0" fontId="32" fillId="24" borderId="95" applyNumberFormat="0" applyAlignment="0" applyProtection="0"/>
    <xf numFmtId="0" fontId="32" fillId="24" borderId="95" applyNumberFormat="0" applyAlignment="0" applyProtection="0"/>
    <xf numFmtId="0" fontId="32" fillId="24" borderId="95" applyNumberFormat="0" applyAlignment="0" applyProtection="0"/>
    <xf numFmtId="0" fontId="32" fillId="24" borderId="95" applyNumberFormat="0" applyAlignment="0" applyProtection="0"/>
    <xf numFmtId="0" fontId="32" fillId="24" borderId="95" applyNumberFormat="0" applyAlignment="0" applyProtection="0"/>
    <xf numFmtId="0" fontId="32" fillId="24" borderId="95" applyNumberFormat="0" applyAlignment="0" applyProtection="0"/>
    <xf numFmtId="0" fontId="32" fillId="24" borderId="95" applyNumberFormat="0" applyAlignment="0" applyProtection="0"/>
    <xf numFmtId="0" fontId="32" fillId="24" borderId="95" applyNumberFormat="0" applyAlignment="0" applyProtection="0"/>
    <xf numFmtId="0" fontId="32" fillId="24" borderId="95" applyNumberFormat="0" applyAlignment="0" applyProtection="0"/>
    <xf numFmtId="0" fontId="32" fillId="24" borderId="95" applyNumberFormat="0" applyAlignment="0" applyProtection="0"/>
    <xf numFmtId="0" fontId="32" fillId="24" borderId="95" applyNumberFormat="0" applyAlignment="0" applyProtection="0"/>
    <xf numFmtId="0" fontId="32" fillId="24" borderId="95" applyNumberFormat="0" applyAlignment="0" applyProtection="0"/>
    <xf numFmtId="0" fontId="32" fillId="24" borderId="95" applyNumberFormat="0" applyAlignment="0" applyProtection="0"/>
    <xf numFmtId="0" fontId="32" fillId="24" borderId="95" applyNumberFormat="0" applyAlignment="0" applyProtection="0"/>
    <xf numFmtId="0" fontId="32" fillId="24" borderId="95" applyNumberFormat="0" applyAlignment="0" applyProtection="0"/>
    <xf numFmtId="0" fontId="32" fillId="24" borderId="95" applyNumberFormat="0" applyAlignment="0" applyProtection="0"/>
    <xf numFmtId="0" fontId="32" fillId="24" borderId="95" applyNumberFormat="0" applyAlignment="0" applyProtection="0"/>
    <xf numFmtId="0" fontId="32" fillId="24" borderId="95" applyNumberFormat="0" applyAlignment="0" applyProtection="0"/>
    <xf numFmtId="0" fontId="32" fillId="24" borderId="95" applyNumberFormat="0" applyAlignment="0" applyProtection="0"/>
    <xf numFmtId="0" fontId="32" fillId="24" borderId="95" applyNumberFormat="0" applyAlignment="0" applyProtection="0"/>
    <xf numFmtId="0" fontId="32" fillId="24" borderId="95" applyNumberFormat="0" applyAlignment="0" applyProtection="0"/>
    <xf numFmtId="0" fontId="32" fillId="24" borderId="95" applyNumberFormat="0" applyAlignment="0" applyProtection="0"/>
    <xf numFmtId="0" fontId="32" fillId="24" borderId="95" applyNumberFormat="0" applyAlignment="0" applyProtection="0"/>
    <xf numFmtId="0" fontId="32" fillId="24" borderId="95" applyNumberFormat="0" applyAlignment="0" applyProtection="0"/>
    <xf numFmtId="0" fontId="16" fillId="24" borderId="95" applyNumberFormat="0" applyAlignment="0" applyProtection="0"/>
    <xf numFmtId="0" fontId="16" fillId="24" borderId="95" applyNumberFormat="0" applyAlignment="0" applyProtection="0"/>
    <xf numFmtId="0" fontId="16" fillId="24" borderId="95" applyNumberFormat="0" applyAlignment="0" applyProtection="0"/>
    <xf numFmtId="0" fontId="16" fillId="24" borderId="95" applyNumberFormat="0" applyAlignment="0" applyProtection="0"/>
    <xf numFmtId="0" fontId="16" fillId="24" borderId="95" applyNumberFormat="0" applyAlignment="0" applyProtection="0"/>
    <xf numFmtId="0" fontId="16" fillId="24" borderId="95" applyNumberFormat="0" applyAlignment="0" applyProtection="0"/>
    <xf numFmtId="0" fontId="16" fillId="24" borderId="95" applyNumberFormat="0" applyAlignment="0" applyProtection="0"/>
    <xf numFmtId="0" fontId="16" fillId="24" borderId="95" applyNumberFormat="0" applyAlignment="0" applyProtection="0"/>
    <xf numFmtId="0" fontId="16" fillId="24" borderId="95" applyNumberFormat="0" applyAlignment="0" applyProtection="0"/>
    <xf numFmtId="0" fontId="16" fillId="24" borderId="95" applyNumberFormat="0" applyAlignment="0" applyProtection="0"/>
    <xf numFmtId="0" fontId="16" fillId="24" borderId="95" applyNumberFormat="0" applyAlignment="0" applyProtection="0"/>
    <xf numFmtId="0" fontId="16" fillId="24" borderId="95" applyNumberFormat="0" applyAlignment="0" applyProtection="0"/>
    <xf numFmtId="0" fontId="16" fillId="24" borderId="95" applyNumberFormat="0" applyAlignment="0" applyProtection="0"/>
    <xf numFmtId="0" fontId="16" fillId="24" borderId="95" applyNumberFormat="0" applyAlignment="0" applyProtection="0"/>
    <xf numFmtId="0" fontId="16" fillId="24" borderId="95" applyNumberFormat="0" applyAlignment="0" applyProtection="0"/>
    <xf numFmtId="0" fontId="16" fillId="24" borderId="95" applyNumberFormat="0" applyAlignment="0" applyProtection="0"/>
    <xf numFmtId="0" fontId="16" fillId="24" borderId="95" applyNumberFormat="0" applyAlignment="0" applyProtection="0"/>
    <xf numFmtId="0" fontId="16" fillId="24" borderId="95" applyNumberFormat="0" applyAlignment="0" applyProtection="0"/>
    <xf numFmtId="0" fontId="16" fillId="24" borderId="95" applyNumberFormat="0" applyAlignment="0" applyProtection="0"/>
    <xf numFmtId="0" fontId="16" fillId="24" borderId="95" applyNumberFormat="0" applyAlignment="0" applyProtection="0"/>
    <xf numFmtId="0" fontId="16" fillId="24" borderId="95" applyNumberFormat="0" applyAlignment="0" applyProtection="0"/>
    <xf numFmtId="0" fontId="16" fillId="24" borderId="95" applyNumberFormat="0" applyAlignment="0" applyProtection="0"/>
    <xf numFmtId="0" fontId="16" fillId="24" borderId="95" applyNumberFormat="0" applyAlignment="0" applyProtection="0"/>
    <xf numFmtId="0" fontId="16" fillId="24" borderId="95" applyNumberFormat="0" applyAlignment="0" applyProtection="0"/>
    <xf numFmtId="0" fontId="16" fillId="24" borderId="95" applyNumberFormat="0" applyAlignment="0" applyProtection="0"/>
    <xf numFmtId="0" fontId="16" fillId="24" borderId="95" applyNumberFormat="0" applyAlignment="0" applyProtection="0"/>
    <xf numFmtId="0" fontId="16" fillId="24" borderId="95" applyNumberFormat="0" applyAlignment="0" applyProtection="0"/>
    <xf numFmtId="0" fontId="16" fillId="24" borderId="95" applyNumberFormat="0" applyAlignment="0" applyProtection="0"/>
    <xf numFmtId="0" fontId="16" fillId="24" borderId="95" applyNumberFormat="0" applyAlignment="0" applyProtection="0"/>
    <xf numFmtId="0" fontId="16" fillId="24" borderId="95" applyNumberFormat="0" applyAlignment="0" applyProtection="0"/>
    <xf numFmtId="0" fontId="16" fillId="24" borderId="95" applyNumberFormat="0" applyAlignment="0" applyProtection="0"/>
    <xf numFmtId="0" fontId="16" fillId="24" borderId="95" applyNumberFormat="0" applyAlignment="0" applyProtection="0"/>
    <xf numFmtId="0" fontId="16" fillId="24" borderId="95" applyNumberFormat="0" applyAlignment="0" applyProtection="0"/>
    <xf numFmtId="0" fontId="16" fillId="24" borderId="95" applyNumberFormat="0" applyAlignment="0" applyProtection="0"/>
    <xf numFmtId="0" fontId="16" fillId="24" borderId="95" applyNumberFormat="0" applyAlignment="0" applyProtection="0"/>
    <xf numFmtId="0" fontId="16" fillId="24" borderId="95" applyNumberFormat="0" applyAlignment="0" applyProtection="0"/>
    <xf numFmtId="0" fontId="16" fillId="24" borderId="95" applyNumberFormat="0" applyAlignment="0" applyProtection="0"/>
    <xf numFmtId="0" fontId="16" fillId="24" borderId="95" applyNumberFormat="0" applyAlignment="0" applyProtection="0"/>
    <xf numFmtId="0" fontId="16" fillId="24" borderId="95" applyNumberFormat="0" applyAlignment="0" applyProtection="0"/>
    <xf numFmtId="0" fontId="16" fillId="24" borderId="95" applyNumberFormat="0" applyAlignment="0" applyProtection="0"/>
    <xf numFmtId="0" fontId="16" fillId="24" borderId="95" applyNumberFormat="0" applyAlignment="0" applyProtection="0"/>
    <xf numFmtId="0" fontId="16" fillId="24" borderId="95" applyNumberFormat="0" applyAlignment="0" applyProtection="0"/>
    <xf numFmtId="0" fontId="16" fillId="24" borderId="95" applyNumberFormat="0" applyAlignment="0" applyProtection="0"/>
    <xf numFmtId="0" fontId="16" fillId="24" borderId="95" applyNumberFormat="0" applyAlignment="0" applyProtection="0"/>
    <xf numFmtId="0" fontId="16" fillId="24" borderId="95" applyNumberFormat="0" applyAlignment="0" applyProtection="0"/>
    <xf numFmtId="0" fontId="16" fillId="24" borderId="95" applyNumberFormat="0" applyAlignment="0" applyProtection="0"/>
    <xf numFmtId="0" fontId="16" fillId="24" borderId="95" applyNumberFormat="0" applyAlignment="0" applyProtection="0"/>
    <xf numFmtId="0" fontId="16" fillId="24" borderId="95" applyNumberFormat="0" applyAlignment="0" applyProtection="0"/>
    <xf numFmtId="0" fontId="16" fillId="24" borderId="95" applyNumberFormat="0" applyAlignment="0" applyProtection="0"/>
    <xf numFmtId="0" fontId="48" fillId="24" borderId="95" applyNumberFormat="0" applyAlignment="0" applyProtection="0"/>
    <xf numFmtId="0" fontId="48" fillId="24" borderId="95" applyNumberFormat="0" applyAlignment="0" applyProtection="0"/>
    <xf numFmtId="0" fontId="48" fillId="24" borderId="95" applyNumberFormat="0" applyAlignment="0" applyProtection="0"/>
    <xf numFmtId="0" fontId="48" fillId="24" borderId="95" applyNumberFormat="0" applyAlignment="0" applyProtection="0"/>
    <xf numFmtId="0" fontId="48" fillId="24" borderId="95" applyNumberFormat="0" applyAlignment="0" applyProtection="0"/>
    <xf numFmtId="0" fontId="48" fillId="24" borderId="95" applyNumberFormat="0" applyAlignment="0" applyProtection="0"/>
    <xf numFmtId="0" fontId="48" fillId="24" borderId="95" applyNumberFormat="0" applyAlignment="0" applyProtection="0"/>
    <xf numFmtId="0" fontId="48" fillId="24" borderId="95" applyNumberFormat="0" applyAlignment="0" applyProtection="0"/>
    <xf numFmtId="0" fontId="48" fillId="24" borderId="95" applyNumberFormat="0" applyAlignment="0" applyProtection="0"/>
    <xf numFmtId="0" fontId="48" fillId="24" borderId="95" applyNumberFormat="0" applyAlignment="0" applyProtection="0"/>
    <xf numFmtId="0" fontId="48" fillId="24" borderId="95" applyNumberFormat="0" applyAlignment="0" applyProtection="0"/>
    <xf numFmtId="0" fontId="48" fillId="24" borderId="95" applyNumberFormat="0" applyAlignment="0" applyProtection="0"/>
    <xf numFmtId="0" fontId="48" fillId="24" borderId="95" applyNumberFormat="0" applyAlignment="0" applyProtection="0"/>
    <xf numFmtId="0" fontId="48" fillId="24" borderId="95" applyNumberFormat="0" applyAlignment="0" applyProtection="0"/>
    <xf numFmtId="0" fontId="48" fillId="24" borderId="95" applyNumberFormat="0" applyAlignment="0" applyProtection="0"/>
    <xf numFmtId="0" fontId="48" fillId="24" borderId="95" applyNumberFormat="0" applyAlignment="0" applyProtection="0"/>
    <xf numFmtId="0" fontId="48" fillId="24" borderId="95" applyNumberFormat="0" applyAlignment="0" applyProtection="0"/>
    <xf numFmtId="0" fontId="48" fillId="24" borderId="95" applyNumberFormat="0" applyAlignment="0" applyProtection="0"/>
    <xf numFmtId="0" fontId="48" fillId="24" borderId="95" applyNumberFormat="0" applyAlignment="0" applyProtection="0"/>
    <xf numFmtId="0" fontId="48" fillId="24" borderId="95" applyNumberFormat="0" applyAlignment="0" applyProtection="0"/>
    <xf numFmtId="0" fontId="48" fillId="24" borderId="95" applyNumberFormat="0" applyAlignment="0" applyProtection="0"/>
    <xf numFmtId="0" fontId="48" fillId="24" borderId="95" applyNumberFormat="0" applyAlignment="0" applyProtection="0"/>
    <xf numFmtId="0" fontId="48" fillId="24" borderId="95" applyNumberFormat="0" applyAlignment="0" applyProtection="0"/>
    <xf numFmtId="0" fontId="48" fillId="24" borderId="95" applyNumberFormat="0" applyAlignment="0" applyProtection="0"/>
    <xf numFmtId="0" fontId="48" fillId="24" borderId="95" applyNumberFormat="0" applyAlignment="0" applyProtection="0"/>
    <xf numFmtId="0" fontId="48" fillId="24" borderId="95" applyNumberFormat="0" applyAlignment="0" applyProtection="0"/>
    <xf numFmtId="0" fontId="48" fillId="24" borderId="95" applyNumberFormat="0" applyAlignment="0" applyProtection="0"/>
    <xf numFmtId="0" fontId="48" fillId="24" borderId="95" applyNumberFormat="0" applyAlignment="0" applyProtection="0"/>
    <xf numFmtId="0" fontId="48" fillId="24" borderId="95" applyNumberFormat="0" applyAlignment="0" applyProtection="0"/>
    <xf numFmtId="0" fontId="48" fillId="24" borderId="95" applyNumberFormat="0" applyAlignment="0" applyProtection="0"/>
    <xf numFmtId="0" fontId="48" fillId="24" borderId="95" applyNumberFormat="0" applyAlignment="0" applyProtection="0"/>
    <xf numFmtId="0" fontId="48" fillId="24" borderId="95" applyNumberFormat="0" applyAlignment="0" applyProtection="0"/>
    <xf numFmtId="0" fontId="48" fillId="24" borderId="95" applyNumberFormat="0" applyAlignment="0" applyProtection="0"/>
    <xf numFmtId="0" fontId="48" fillId="24" borderId="95" applyNumberFormat="0" applyAlignment="0" applyProtection="0"/>
    <xf numFmtId="0" fontId="48" fillId="24" borderId="95" applyNumberFormat="0" applyAlignment="0" applyProtection="0"/>
    <xf numFmtId="0" fontId="48" fillId="24" borderId="95" applyNumberFormat="0" applyAlignment="0" applyProtection="0"/>
    <xf numFmtId="0" fontId="48" fillId="24" borderId="95" applyNumberFormat="0" applyAlignment="0" applyProtection="0"/>
    <xf numFmtId="0" fontId="48" fillId="24" borderId="95" applyNumberFormat="0" applyAlignment="0" applyProtection="0"/>
    <xf numFmtId="0" fontId="48" fillId="24" borderId="95" applyNumberFormat="0" applyAlignment="0" applyProtection="0"/>
    <xf numFmtId="0" fontId="48" fillId="24" borderId="95" applyNumberFormat="0" applyAlignment="0" applyProtection="0"/>
    <xf numFmtId="0" fontId="48" fillId="24" borderId="95" applyNumberFormat="0" applyAlignment="0" applyProtection="0"/>
    <xf numFmtId="0" fontId="48" fillId="24" borderId="95" applyNumberFormat="0" applyAlignment="0" applyProtection="0"/>
    <xf numFmtId="0" fontId="48" fillId="24" borderId="95" applyNumberFormat="0" applyAlignment="0" applyProtection="0"/>
    <xf numFmtId="0" fontId="48" fillId="24" borderId="95" applyNumberFormat="0" applyAlignment="0" applyProtection="0"/>
    <xf numFmtId="0" fontId="48" fillId="24" borderId="95" applyNumberFormat="0" applyAlignment="0" applyProtection="0"/>
    <xf numFmtId="0" fontId="48" fillId="24" borderId="95" applyNumberFormat="0" applyAlignment="0" applyProtection="0"/>
    <xf numFmtId="0" fontId="48" fillId="24" borderId="95" applyNumberFormat="0" applyAlignment="0" applyProtection="0"/>
    <xf numFmtId="0" fontId="48" fillId="24" borderId="95" applyNumberFormat="0" applyAlignment="0" applyProtection="0"/>
    <xf numFmtId="0" fontId="48" fillId="12" borderId="95" applyNumberFormat="0" applyAlignment="0" applyProtection="0"/>
    <xf numFmtId="0" fontId="48" fillId="12" borderId="95" applyNumberFormat="0" applyAlignment="0" applyProtection="0"/>
    <xf numFmtId="0" fontId="48" fillId="12" borderId="95" applyNumberFormat="0" applyAlignment="0" applyProtection="0"/>
    <xf numFmtId="0" fontId="48" fillId="12" borderId="95" applyNumberFormat="0" applyAlignment="0" applyProtection="0"/>
    <xf numFmtId="0" fontId="48" fillId="12" borderId="95" applyNumberFormat="0" applyAlignment="0" applyProtection="0"/>
    <xf numFmtId="0" fontId="48" fillId="12" borderId="95" applyNumberFormat="0" applyAlignment="0" applyProtection="0"/>
    <xf numFmtId="0" fontId="48" fillId="12" borderId="95" applyNumberFormat="0" applyAlignment="0" applyProtection="0"/>
    <xf numFmtId="0" fontId="48" fillId="12" borderId="95" applyNumberFormat="0" applyAlignment="0" applyProtection="0"/>
    <xf numFmtId="0" fontId="48" fillId="12" borderId="95" applyNumberFormat="0" applyAlignment="0" applyProtection="0"/>
    <xf numFmtId="0" fontId="48" fillId="12" borderId="95" applyNumberFormat="0" applyAlignment="0" applyProtection="0"/>
    <xf numFmtId="0" fontId="48" fillId="12" borderId="95" applyNumberFormat="0" applyAlignment="0" applyProtection="0"/>
    <xf numFmtId="0" fontId="48" fillId="12" borderId="95" applyNumberFormat="0" applyAlignment="0" applyProtection="0"/>
    <xf numFmtId="0" fontId="48" fillId="12" borderId="95" applyNumberFormat="0" applyAlignment="0" applyProtection="0"/>
    <xf numFmtId="0" fontId="48" fillId="12" borderId="95" applyNumberFormat="0" applyAlignment="0" applyProtection="0"/>
    <xf numFmtId="0" fontId="48" fillId="12" borderId="95" applyNumberFormat="0" applyAlignment="0" applyProtection="0"/>
    <xf numFmtId="0" fontId="48" fillId="12" borderId="95" applyNumberFormat="0" applyAlignment="0" applyProtection="0"/>
    <xf numFmtId="0" fontId="48" fillId="12" borderId="95" applyNumberFormat="0" applyAlignment="0" applyProtection="0"/>
    <xf numFmtId="0" fontId="48" fillId="12" borderId="95" applyNumberFormat="0" applyAlignment="0" applyProtection="0"/>
    <xf numFmtId="0" fontId="48" fillId="12" borderId="95" applyNumberFormat="0" applyAlignment="0" applyProtection="0"/>
    <xf numFmtId="0" fontId="48" fillId="12" borderId="95" applyNumberFormat="0" applyAlignment="0" applyProtection="0"/>
    <xf numFmtId="0" fontId="48" fillId="12" borderId="95" applyNumberFormat="0" applyAlignment="0" applyProtection="0"/>
    <xf numFmtId="0" fontId="48" fillId="12" borderId="95" applyNumberFormat="0" applyAlignment="0" applyProtection="0"/>
    <xf numFmtId="0" fontId="48" fillId="12" borderId="95" applyNumberFormat="0" applyAlignment="0" applyProtection="0"/>
    <xf numFmtId="0" fontId="48" fillId="12" borderId="95" applyNumberFormat="0" applyAlignment="0" applyProtection="0"/>
    <xf numFmtId="0" fontId="48" fillId="12" borderId="95" applyNumberFormat="0" applyAlignment="0" applyProtection="0"/>
    <xf numFmtId="0" fontId="48" fillId="12" borderId="95" applyNumberFormat="0" applyAlignment="0" applyProtection="0"/>
    <xf numFmtId="0" fontId="48" fillId="12" borderId="95" applyNumberFormat="0" applyAlignment="0" applyProtection="0"/>
    <xf numFmtId="0" fontId="48" fillId="12" borderId="95" applyNumberFormat="0" applyAlignment="0" applyProtection="0"/>
    <xf numFmtId="0" fontId="48" fillId="12" borderId="95" applyNumberFormat="0" applyAlignment="0" applyProtection="0"/>
    <xf numFmtId="0" fontId="48" fillId="12" borderId="95" applyNumberFormat="0" applyAlignment="0" applyProtection="0"/>
    <xf numFmtId="0" fontId="48" fillId="12" borderId="95" applyNumberFormat="0" applyAlignment="0" applyProtection="0"/>
    <xf numFmtId="0" fontId="48" fillId="12" borderId="95" applyNumberFormat="0" applyAlignment="0" applyProtection="0"/>
    <xf numFmtId="0" fontId="48" fillId="12" borderId="95" applyNumberFormat="0" applyAlignment="0" applyProtection="0"/>
    <xf numFmtId="0" fontId="48" fillId="12" borderId="95" applyNumberFormat="0" applyAlignment="0" applyProtection="0"/>
    <xf numFmtId="0" fontId="48" fillId="12" borderId="95" applyNumberFormat="0" applyAlignment="0" applyProtection="0"/>
    <xf numFmtId="0" fontId="48" fillId="12" borderId="95" applyNumberFormat="0" applyAlignment="0" applyProtection="0"/>
    <xf numFmtId="0" fontId="48" fillId="12" borderId="95" applyNumberFormat="0" applyAlignment="0" applyProtection="0"/>
    <xf numFmtId="0" fontId="48" fillId="12" borderId="95" applyNumberFormat="0" applyAlignment="0" applyProtection="0"/>
    <xf numFmtId="0" fontId="48" fillId="12" borderId="95" applyNumberFormat="0" applyAlignment="0" applyProtection="0"/>
    <xf numFmtId="0" fontId="48" fillId="12" borderId="95" applyNumberFormat="0" applyAlignment="0" applyProtection="0"/>
    <xf numFmtId="0" fontId="48" fillId="12" borderId="95" applyNumberFormat="0" applyAlignment="0" applyProtection="0"/>
    <xf numFmtId="0" fontId="48" fillId="12" borderId="95" applyNumberFormat="0" applyAlignment="0" applyProtection="0"/>
    <xf numFmtId="0" fontId="48" fillId="12" borderId="95" applyNumberFormat="0" applyAlignment="0" applyProtection="0"/>
    <xf numFmtId="0" fontId="48" fillId="12" borderId="95" applyNumberFormat="0" applyAlignment="0" applyProtection="0"/>
    <xf numFmtId="0" fontId="48" fillId="12" borderId="95" applyNumberFormat="0" applyAlignment="0" applyProtection="0"/>
    <xf numFmtId="0" fontId="48" fillId="12" borderId="95" applyNumberFormat="0" applyAlignment="0" applyProtection="0"/>
    <xf numFmtId="0" fontId="48" fillId="12" borderId="95" applyNumberFormat="0" applyAlignment="0" applyProtection="0"/>
    <xf numFmtId="0" fontId="48" fillId="12" borderId="95" applyNumberFormat="0" applyAlignment="0" applyProtection="0"/>
    <xf numFmtId="0" fontId="48" fillId="12" borderId="95" applyNumberFormat="0" applyAlignment="0" applyProtection="0"/>
    <xf numFmtId="0" fontId="48" fillId="12" borderId="95" applyNumberFormat="0" applyAlignment="0" applyProtection="0"/>
    <xf numFmtId="0" fontId="48" fillId="12" borderId="95" applyNumberFormat="0" applyAlignment="0" applyProtection="0"/>
    <xf numFmtId="0" fontId="48" fillId="12" borderId="95" applyNumberFormat="0" applyAlignment="0" applyProtection="0"/>
    <xf numFmtId="0" fontId="48" fillId="12" borderId="95" applyNumberFormat="0" applyAlignment="0" applyProtection="0"/>
    <xf numFmtId="0" fontId="48" fillId="12" borderId="95" applyNumberFormat="0" applyAlignment="0" applyProtection="0"/>
    <xf numFmtId="0" fontId="48" fillId="12" borderId="95" applyNumberFormat="0" applyAlignment="0" applyProtection="0"/>
    <xf numFmtId="0" fontId="48" fillId="12" borderId="95" applyNumberFormat="0" applyAlignment="0" applyProtection="0"/>
    <xf numFmtId="0" fontId="48" fillId="12" borderId="95" applyNumberFormat="0" applyAlignment="0" applyProtection="0"/>
    <xf numFmtId="0" fontId="48" fillId="12" borderId="95" applyNumberFormat="0" applyAlignment="0" applyProtection="0"/>
    <xf numFmtId="0" fontId="48" fillId="12" borderId="95" applyNumberFormat="0" applyAlignment="0" applyProtection="0"/>
    <xf numFmtId="0" fontId="48" fillId="12" borderId="95" applyNumberFormat="0" applyAlignment="0" applyProtection="0"/>
    <xf numFmtId="0" fontId="48" fillId="12" borderId="95" applyNumberFormat="0" applyAlignment="0" applyProtection="0"/>
    <xf numFmtId="0" fontId="48" fillId="12" borderId="95" applyNumberFormat="0" applyAlignment="0" applyProtection="0"/>
    <xf numFmtId="0" fontId="48" fillId="12" borderId="95" applyNumberFormat="0" applyAlignment="0" applyProtection="0"/>
    <xf numFmtId="0" fontId="48" fillId="12" borderId="95" applyNumberFormat="0" applyAlignment="0" applyProtection="0"/>
    <xf numFmtId="0" fontId="48" fillId="12" borderId="95" applyNumberFormat="0" applyAlignment="0" applyProtection="0"/>
    <xf numFmtId="0" fontId="48" fillId="12" borderId="95" applyNumberFormat="0" applyAlignment="0" applyProtection="0"/>
    <xf numFmtId="0" fontId="48" fillId="12" borderId="95" applyNumberFormat="0" applyAlignment="0" applyProtection="0"/>
    <xf numFmtId="0" fontId="48" fillId="12" borderId="95" applyNumberFormat="0" applyAlignment="0" applyProtection="0"/>
    <xf numFmtId="0" fontId="48" fillId="12" borderId="95" applyNumberFormat="0" applyAlignment="0" applyProtection="0"/>
    <xf numFmtId="0" fontId="48" fillId="12" borderId="95" applyNumberFormat="0" applyAlignment="0" applyProtection="0"/>
    <xf numFmtId="0" fontId="48" fillId="12" borderId="95" applyNumberFormat="0" applyAlignment="0" applyProtection="0"/>
    <xf numFmtId="0" fontId="48" fillId="12" borderId="95" applyNumberFormat="0" applyAlignment="0" applyProtection="0"/>
    <xf numFmtId="0" fontId="48" fillId="12" borderId="95" applyNumberFormat="0" applyAlignment="0" applyProtection="0"/>
    <xf numFmtId="0" fontId="48" fillId="12" borderId="95" applyNumberFormat="0" applyAlignment="0" applyProtection="0"/>
    <xf numFmtId="0" fontId="48" fillId="12" borderId="95" applyNumberFormat="0" applyAlignment="0" applyProtection="0"/>
    <xf numFmtId="0" fontId="48" fillId="12" borderId="95" applyNumberFormat="0" applyAlignment="0" applyProtection="0"/>
    <xf numFmtId="0" fontId="48" fillId="12" borderId="95" applyNumberFormat="0" applyAlignment="0" applyProtection="0"/>
    <xf numFmtId="0" fontId="16" fillId="24" borderId="95" applyNumberFormat="0" applyAlignment="0" applyProtection="0"/>
    <xf numFmtId="0" fontId="16" fillId="24" borderId="95" applyNumberFormat="0" applyAlignment="0" applyProtection="0"/>
    <xf numFmtId="0" fontId="16" fillId="24" borderId="95" applyNumberFormat="0" applyAlignment="0" applyProtection="0"/>
    <xf numFmtId="0" fontId="16" fillId="24" borderId="95" applyNumberFormat="0" applyAlignment="0" applyProtection="0"/>
    <xf numFmtId="0" fontId="16" fillId="24" borderId="95" applyNumberFormat="0" applyAlignment="0" applyProtection="0"/>
    <xf numFmtId="0" fontId="16" fillId="24" borderId="95" applyNumberFormat="0" applyAlignment="0" applyProtection="0"/>
    <xf numFmtId="0" fontId="16" fillId="24" borderId="95" applyNumberFormat="0" applyAlignment="0" applyProtection="0"/>
    <xf numFmtId="0" fontId="16" fillId="24" borderId="95" applyNumberFormat="0" applyAlignment="0" applyProtection="0"/>
    <xf numFmtId="0" fontId="16" fillId="24" borderId="95" applyNumberFormat="0" applyAlignment="0" applyProtection="0"/>
    <xf numFmtId="0" fontId="16" fillId="24" borderId="95" applyNumberFormat="0" applyAlignment="0" applyProtection="0"/>
    <xf numFmtId="0" fontId="16" fillId="24" borderId="95" applyNumberFormat="0" applyAlignment="0" applyProtection="0"/>
    <xf numFmtId="0" fontId="16" fillId="24" borderId="95" applyNumberFormat="0" applyAlignment="0" applyProtection="0"/>
    <xf numFmtId="0" fontId="16" fillId="24" borderId="95" applyNumberFormat="0" applyAlignment="0" applyProtection="0"/>
    <xf numFmtId="0" fontId="16" fillId="24" borderId="95" applyNumberFormat="0" applyAlignment="0" applyProtection="0"/>
    <xf numFmtId="0" fontId="16" fillId="24" borderId="95" applyNumberFormat="0" applyAlignment="0" applyProtection="0"/>
    <xf numFmtId="0" fontId="16" fillId="24" borderId="95" applyNumberFormat="0" applyAlignment="0" applyProtection="0"/>
    <xf numFmtId="0" fontId="16" fillId="24" borderId="95" applyNumberFormat="0" applyAlignment="0" applyProtection="0"/>
    <xf numFmtId="0" fontId="16" fillId="24" borderId="95" applyNumberFormat="0" applyAlignment="0" applyProtection="0"/>
    <xf numFmtId="0" fontId="16" fillId="24" borderId="95" applyNumberFormat="0" applyAlignment="0" applyProtection="0"/>
    <xf numFmtId="0" fontId="16" fillId="24" borderId="95" applyNumberFormat="0" applyAlignment="0" applyProtection="0"/>
    <xf numFmtId="0" fontId="16" fillId="24" borderId="95" applyNumberFormat="0" applyAlignment="0" applyProtection="0"/>
    <xf numFmtId="0" fontId="16" fillId="24" borderId="95" applyNumberFormat="0" applyAlignment="0" applyProtection="0"/>
    <xf numFmtId="0" fontId="16" fillId="24" borderId="95" applyNumberFormat="0" applyAlignment="0" applyProtection="0"/>
    <xf numFmtId="0" fontId="16" fillId="24" borderId="95" applyNumberFormat="0" applyAlignment="0" applyProtection="0"/>
    <xf numFmtId="0" fontId="16" fillId="24" borderId="95" applyNumberFormat="0" applyAlignment="0" applyProtection="0"/>
    <xf numFmtId="0" fontId="16" fillId="24" borderId="95" applyNumberFormat="0" applyAlignment="0" applyProtection="0"/>
    <xf numFmtId="0" fontId="16" fillId="24" borderId="95" applyNumberFormat="0" applyAlignment="0" applyProtection="0"/>
    <xf numFmtId="0" fontId="16" fillId="24" borderId="95" applyNumberFormat="0" applyAlignment="0" applyProtection="0"/>
    <xf numFmtId="0" fontId="16" fillId="24" borderId="95" applyNumberFormat="0" applyAlignment="0" applyProtection="0"/>
    <xf numFmtId="0" fontId="16" fillId="24" borderId="95" applyNumberFormat="0" applyAlignment="0" applyProtection="0"/>
    <xf numFmtId="0" fontId="16" fillId="24" borderId="95" applyNumberFormat="0" applyAlignment="0" applyProtection="0"/>
    <xf numFmtId="0" fontId="16" fillId="24" borderId="95" applyNumberFormat="0" applyAlignment="0" applyProtection="0"/>
    <xf numFmtId="0" fontId="16" fillId="24" borderId="95" applyNumberFormat="0" applyAlignment="0" applyProtection="0"/>
    <xf numFmtId="0" fontId="16" fillId="24" borderId="95" applyNumberFormat="0" applyAlignment="0" applyProtection="0"/>
    <xf numFmtId="0" fontId="16" fillId="24" borderId="95" applyNumberFormat="0" applyAlignment="0" applyProtection="0"/>
    <xf numFmtId="0" fontId="16" fillId="24" borderId="95" applyNumberFormat="0" applyAlignment="0" applyProtection="0"/>
    <xf numFmtId="0" fontId="16" fillId="24" borderId="95" applyNumberFormat="0" applyAlignment="0" applyProtection="0"/>
    <xf numFmtId="0" fontId="16" fillId="24" borderId="95" applyNumberFormat="0" applyAlignment="0" applyProtection="0"/>
    <xf numFmtId="0" fontId="16" fillId="24" borderId="95" applyNumberFormat="0" applyAlignment="0" applyProtection="0"/>
    <xf numFmtId="0" fontId="16" fillId="24" borderId="95" applyNumberFormat="0" applyAlignment="0" applyProtection="0"/>
    <xf numFmtId="0" fontId="16" fillId="24" borderId="95" applyNumberFormat="0" applyAlignment="0" applyProtection="0"/>
    <xf numFmtId="0" fontId="16" fillId="24" borderId="95" applyNumberFormat="0" applyAlignment="0" applyProtection="0"/>
    <xf numFmtId="0" fontId="16" fillId="24" borderId="95" applyNumberFormat="0" applyAlignment="0" applyProtection="0"/>
    <xf numFmtId="0" fontId="16" fillId="24" borderId="95" applyNumberFormat="0" applyAlignment="0" applyProtection="0"/>
    <xf numFmtId="0" fontId="16" fillId="24" borderId="95" applyNumberFormat="0" applyAlignment="0" applyProtection="0"/>
    <xf numFmtId="0" fontId="16" fillId="24" borderId="95" applyNumberFormat="0" applyAlignment="0" applyProtection="0"/>
    <xf numFmtId="0" fontId="16" fillId="24" borderId="95" applyNumberFormat="0" applyAlignment="0" applyProtection="0"/>
    <xf numFmtId="0" fontId="16" fillId="24" borderId="95" applyNumberFormat="0" applyAlignment="0" applyProtection="0"/>
    <xf numFmtId="0" fontId="16" fillId="24" borderId="95" applyNumberFormat="0" applyAlignment="0" applyProtection="0"/>
    <xf numFmtId="0" fontId="48" fillId="12" borderId="95" applyNumberFormat="0" applyAlignment="0" applyProtection="0"/>
    <xf numFmtId="0" fontId="48" fillId="12" borderId="95" applyNumberFormat="0" applyAlignment="0" applyProtection="0"/>
    <xf numFmtId="0" fontId="48" fillId="12" borderId="95" applyNumberFormat="0" applyAlignment="0" applyProtection="0"/>
    <xf numFmtId="0" fontId="48" fillId="12" borderId="95" applyNumberFormat="0" applyAlignment="0" applyProtection="0"/>
    <xf numFmtId="0" fontId="48" fillId="12" borderId="95" applyNumberFormat="0" applyAlignment="0" applyProtection="0"/>
    <xf numFmtId="0" fontId="48" fillId="12" borderId="95" applyNumberFormat="0" applyAlignment="0" applyProtection="0"/>
    <xf numFmtId="0" fontId="48" fillId="12" borderId="95" applyNumberFormat="0" applyAlignment="0" applyProtection="0"/>
    <xf numFmtId="0" fontId="48" fillId="12" borderId="95" applyNumberFormat="0" applyAlignment="0" applyProtection="0"/>
    <xf numFmtId="0" fontId="48" fillId="12" borderId="95" applyNumberFormat="0" applyAlignment="0" applyProtection="0"/>
    <xf numFmtId="0" fontId="48" fillId="12" borderId="95" applyNumberFormat="0" applyAlignment="0" applyProtection="0"/>
    <xf numFmtId="0" fontId="48" fillId="12" borderId="95" applyNumberFormat="0" applyAlignment="0" applyProtection="0"/>
    <xf numFmtId="0" fontId="48" fillId="12" borderId="95" applyNumberFormat="0" applyAlignment="0" applyProtection="0"/>
    <xf numFmtId="0" fontId="48" fillId="12" borderId="95" applyNumberFormat="0" applyAlignment="0" applyProtection="0"/>
    <xf numFmtId="0" fontId="48" fillId="12" borderId="95" applyNumberFormat="0" applyAlignment="0" applyProtection="0"/>
    <xf numFmtId="0" fontId="48" fillId="12" borderId="95" applyNumberFormat="0" applyAlignment="0" applyProtection="0"/>
    <xf numFmtId="0" fontId="48" fillId="12" borderId="95" applyNumberFormat="0" applyAlignment="0" applyProtection="0"/>
    <xf numFmtId="0" fontId="48" fillId="12" borderId="95" applyNumberFormat="0" applyAlignment="0" applyProtection="0"/>
    <xf numFmtId="0" fontId="48" fillId="12" borderId="95" applyNumberFormat="0" applyAlignment="0" applyProtection="0"/>
    <xf numFmtId="0" fontId="48" fillId="12" borderId="95" applyNumberFormat="0" applyAlignment="0" applyProtection="0"/>
    <xf numFmtId="0" fontId="48" fillId="12" borderId="95" applyNumberFormat="0" applyAlignment="0" applyProtection="0"/>
    <xf numFmtId="0" fontId="48" fillId="12" borderId="95" applyNumberFormat="0" applyAlignment="0" applyProtection="0"/>
    <xf numFmtId="0" fontId="48" fillId="12" borderId="95" applyNumberFormat="0" applyAlignment="0" applyProtection="0"/>
    <xf numFmtId="0" fontId="48" fillId="12" borderId="95" applyNumberFormat="0" applyAlignment="0" applyProtection="0"/>
    <xf numFmtId="0" fontId="48" fillId="12" borderId="95" applyNumberFormat="0" applyAlignment="0" applyProtection="0"/>
    <xf numFmtId="0" fontId="48" fillId="12" borderId="95" applyNumberFormat="0" applyAlignment="0" applyProtection="0"/>
    <xf numFmtId="0" fontId="48" fillId="12" borderId="95" applyNumberFormat="0" applyAlignment="0" applyProtection="0"/>
    <xf numFmtId="0" fontId="48" fillId="12" borderId="95" applyNumberFormat="0" applyAlignment="0" applyProtection="0"/>
    <xf numFmtId="0" fontId="48" fillId="12" borderId="95" applyNumberFormat="0" applyAlignment="0" applyProtection="0"/>
    <xf numFmtId="0" fontId="48" fillId="12" borderId="95" applyNumberFormat="0" applyAlignment="0" applyProtection="0"/>
    <xf numFmtId="0" fontId="48" fillId="12" borderId="95" applyNumberFormat="0" applyAlignment="0" applyProtection="0"/>
    <xf numFmtId="0" fontId="48" fillId="12" borderId="95" applyNumberFormat="0" applyAlignment="0" applyProtection="0"/>
    <xf numFmtId="0" fontId="48" fillId="12" borderId="95" applyNumberFormat="0" applyAlignment="0" applyProtection="0"/>
    <xf numFmtId="0" fontId="48" fillId="12" borderId="95" applyNumberFormat="0" applyAlignment="0" applyProtection="0"/>
    <xf numFmtId="0" fontId="48" fillId="12" borderId="95" applyNumberFormat="0" applyAlignment="0" applyProtection="0"/>
    <xf numFmtId="0" fontId="48" fillId="12" borderId="95" applyNumberFormat="0" applyAlignment="0" applyProtection="0"/>
    <xf numFmtId="0" fontId="48" fillId="12" borderId="95" applyNumberFormat="0" applyAlignment="0" applyProtection="0"/>
    <xf numFmtId="0" fontId="48" fillId="12" borderId="95" applyNumberFormat="0" applyAlignment="0" applyProtection="0"/>
    <xf numFmtId="0" fontId="48" fillId="12" borderId="95" applyNumberFormat="0" applyAlignment="0" applyProtection="0"/>
    <xf numFmtId="0" fontId="48" fillId="12" borderId="95" applyNumberFormat="0" applyAlignment="0" applyProtection="0"/>
    <xf numFmtId="0" fontId="48" fillId="12" borderId="95" applyNumberFormat="0" applyAlignment="0" applyProtection="0"/>
    <xf numFmtId="0" fontId="48" fillId="12" borderId="95" applyNumberFormat="0" applyAlignment="0" applyProtection="0"/>
    <xf numFmtId="0" fontId="48" fillId="12" borderId="95" applyNumberFormat="0" applyAlignment="0" applyProtection="0"/>
    <xf numFmtId="0" fontId="48" fillId="12" borderId="95" applyNumberFormat="0" applyAlignment="0" applyProtection="0"/>
    <xf numFmtId="0" fontId="48" fillId="12" borderId="95" applyNumberFormat="0" applyAlignment="0" applyProtection="0"/>
    <xf numFmtId="0" fontId="48" fillId="12" borderId="95" applyNumberFormat="0" applyAlignment="0" applyProtection="0"/>
    <xf numFmtId="0" fontId="48" fillId="12" borderId="95" applyNumberFormat="0" applyAlignment="0" applyProtection="0"/>
    <xf numFmtId="0" fontId="48" fillId="12" borderId="95" applyNumberFormat="0" applyAlignment="0" applyProtection="0"/>
    <xf numFmtId="0" fontId="48" fillId="12" borderId="95" applyNumberFormat="0" applyAlignment="0" applyProtection="0"/>
    <xf numFmtId="0" fontId="48" fillId="12" borderId="95" applyNumberFormat="0" applyAlignment="0" applyProtection="0"/>
    <xf numFmtId="0" fontId="48" fillId="12" borderId="95" applyNumberFormat="0" applyAlignment="0" applyProtection="0"/>
    <xf numFmtId="0" fontId="48" fillId="12" borderId="95" applyNumberFormat="0" applyAlignment="0" applyProtection="0"/>
    <xf numFmtId="0" fontId="48" fillId="12" borderId="95" applyNumberFormat="0" applyAlignment="0" applyProtection="0"/>
    <xf numFmtId="0" fontId="48" fillId="12" borderId="95" applyNumberFormat="0" applyAlignment="0" applyProtection="0"/>
    <xf numFmtId="0" fontId="48" fillId="12" borderId="95" applyNumberFormat="0" applyAlignment="0" applyProtection="0"/>
    <xf numFmtId="0" fontId="48" fillId="12" borderId="95" applyNumberFormat="0" applyAlignment="0" applyProtection="0"/>
    <xf numFmtId="0" fontId="48" fillId="12" borderId="95" applyNumberFormat="0" applyAlignment="0" applyProtection="0"/>
    <xf numFmtId="0" fontId="48" fillId="12" borderId="95" applyNumberFormat="0" applyAlignment="0" applyProtection="0"/>
    <xf numFmtId="0" fontId="48" fillId="12" borderId="95" applyNumberFormat="0" applyAlignment="0" applyProtection="0"/>
    <xf numFmtId="0" fontId="48" fillId="12" borderId="95" applyNumberFormat="0" applyAlignment="0" applyProtection="0"/>
    <xf numFmtId="0" fontId="48" fillId="12" borderId="95" applyNumberFormat="0" applyAlignment="0" applyProtection="0"/>
    <xf numFmtId="0" fontId="48" fillId="12" borderId="95" applyNumberFormat="0" applyAlignment="0" applyProtection="0"/>
    <xf numFmtId="0" fontId="48" fillId="12" borderId="95" applyNumberFormat="0" applyAlignment="0" applyProtection="0"/>
    <xf numFmtId="0" fontId="48" fillId="12" borderId="95" applyNumberFormat="0" applyAlignment="0" applyProtection="0"/>
    <xf numFmtId="0" fontId="48" fillId="12" borderId="95" applyNumberFormat="0" applyAlignment="0" applyProtection="0"/>
    <xf numFmtId="0" fontId="48" fillId="12" borderId="95" applyNumberFormat="0" applyAlignment="0" applyProtection="0"/>
    <xf numFmtId="0" fontId="48" fillId="12" borderId="95" applyNumberFormat="0" applyAlignment="0" applyProtection="0"/>
    <xf numFmtId="0" fontId="48" fillId="12" borderId="95" applyNumberFormat="0" applyAlignment="0" applyProtection="0"/>
    <xf numFmtId="0" fontId="48" fillId="12" borderId="95" applyNumberFormat="0" applyAlignment="0" applyProtection="0"/>
    <xf numFmtId="0" fontId="48" fillId="12" borderId="95" applyNumberFormat="0" applyAlignment="0" applyProtection="0"/>
    <xf numFmtId="0" fontId="48" fillId="12" borderId="95" applyNumberFormat="0" applyAlignment="0" applyProtection="0"/>
    <xf numFmtId="0" fontId="48" fillId="12" borderId="95" applyNumberFormat="0" applyAlignment="0" applyProtection="0"/>
    <xf numFmtId="0" fontId="48" fillId="12" borderId="95" applyNumberFormat="0" applyAlignment="0" applyProtection="0"/>
    <xf numFmtId="0" fontId="48" fillId="12" borderId="95" applyNumberFormat="0" applyAlignment="0" applyProtection="0"/>
    <xf numFmtId="0" fontId="48" fillId="12" borderId="95" applyNumberFormat="0" applyAlignment="0" applyProtection="0"/>
    <xf numFmtId="0" fontId="48" fillId="12" borderId="95" applyNumberFormat="0" applyAlignment="0" applyProtection="0"/>
    <xf numFmtId="0" fontId="48" fillId="12" borderId="95" applyNumberFormat="0" applyAlignment="0" applyProtection="0"/>
    <xf numFmtId="0" fontId="48" fillId="12" borderId="95" applyNumberFormat="0" applyAlignment="0" applyProtection="0"/>
    <xf numFmtId="0" fontId="16" fillId="24" borderId="95" applyNumberFormat="0" applyAlignment="0" applyProtection="0"/>
    <xf numFmtId="0" fontId="16" fillId="24" borderId="95" applyNumberFormat="0" applyAlignment="0" applyProtection="0"/>
    <xf numFmtId="0" fontId="16" fillId="24" borderId="95" applyNumberFormat="0" applyAlignment="0" applyProtection="0"/>
    <xf numFmtId="0" fontId="16" fillId="24" borderId="95" applyNumberFormat="0" applyAlignment="0" applyProtection="0"/>
    <xf numFmtId="0" fontId="16" fillId="24" borderId="95" applyNumberFormat="0" applyAlignment="0" applyProtection="0"/>
    <xf numFmtId="0" fontId="16" fillId="24" borderId="95" applyNumberFormat="0" applyAlignment="0" applyProtection="0"/>
    <xf numFmtId="0" fontId="16" fillId="24" borderId="95" applyNumberFormat="0" applyAlignment="0" applyProtection="0"/>
    <xf numFmtId="0" fontId="16" fillId="24" borderId="95" applyNumberFormat="0" applyAlignment="0" applyProtection="0"/>
    <xf numFmtId="0" fontId="16" fillId="24" borderId="95" applyNumberFormat="0" applyAlignment="0" applyProtection="0"/>
    <xf numFmtId="0" fontId="16" fillId="24" borderId="95" applyNumberFormat="0" applyAlignment="0" applyProtection="0"/>
    <xf numFmtId="0" fontId="16" fillId="24" borderId="95" applyNumberFormat="0" applyAlignment="0" applyProtection="0"/>
    <xf numFmtId="0" fontId="16" fillId="24" borderId="95" applyNumberFormat="0" applyAlignment="0" applyProtection="0"/>
    <xf numFmtId="0" fontId="16" fillId="24" borderId="95" applyNumberFormat="0" applyAlignment="0" applyProtection="0"/>
    <xf numFmtId="0" fontId="16" fillId="24" borderId="95" applyNumberFormat="0" applyAlignment="0" applyProtection="0"/>
    <xf numFmtId="0" fontId="16" fillId="24" borderId="95" applyNumberFormat="0" applyAlignment="0" applyProtection="0"/>
    <xf numFmtId="0" fontId="16" fillId="24" borderId="95" applyNumberFormat="0" applyAlignment="0" applyProtection="0"/>
    <xf numFmtId="0" fontId="16" fillId="24" borderId="95" applyNumberFormat="0" applyAlignment="0" applyProtection="0"/>
    <xf numFmtId="0" fontId="16" fillId="24" borderId="95" applyNumberFormat="0" applyAlignment="0" applyProtection="0"/>
    <xf numFmtId="0" fontId="16" fillId="24" borderId="95" applyNumberFormat="0" applyAlignment="0" applyProtection="0"/>
    <xf numFmtId="0" fontId="16" fillId="24" borderId="95" applyNumberFormat="0" applyAlignment="0" applyProtection="0"/>
    <xf numFmtId="0" fontId="16" fillId="24" borderId="95" applyNumberFormat="0" applyAlignment="0" applyProtection="0"/>
    <xf numFmtId="0" fontId="16" fillId="24" borderId="95" applyNumberFormat="0" applyAlignment="0" applyProtection="0"/>
    <xf numFmtId="0" fontId="16" fillId="24" borderId="95" applyNumberFormat="0" applyAlignment="0" applyProtection="0"/>
    <xf numFmtId="0" fontId="16" fillId="24" borderId="95" applyNumberFormat="0" applyAlignment="0" applyProtection="0"/>
    <xf numFmtId="0" fontId="16" fillId="24" borderId="95" applyNumberFormat="0" applyAlignment="0" applyProtection="0"/>
    <xf numFmtId="0" fontId="16" fillId="24" borderId="95" applyNumberFormat="0" applyAlignment="0" applyProtection="0"/>
    <xf numFmtId="0" fontId="16" fillId="24" borderId="95" applyNumberFormat="0" applyAlignment="0" applyProtection="0"/>
    <xf numFmtId="0" fontId="16" fillId="24" borderId="95" applyNumberFormat="0" applyAlignment="0" applyProtection="0"/>
    <xf numFmtId="0" fontId="16" fillId="24" borderId="95" applyNumberFormat="0" applyAlignment="0" applyProtection="0"/>
    <xf numFmtId="0" fontId="16" fillId="24" borderId="95" applyNumberFormat="0" applyAlignment="0" applyProtection="0"/>
    <xf numFmtId="0" fontId="16" fillId="24" borderId="95" applyNumberFormat="0" applyAlignment="0" applyProtection="0"/>
    <xf numFmtId="0" fontId="16" fillId="24" borderId="95" applyNumberFormat="0" applyAlignment="0" applyProtection="0"/>
    <xf numFmtId="0" fontId="16" fillId="24" borderId="95" applyNumberFormat="0" applyAlignment="0" applyProtection="0"/>
    <xf numFmtId="0" fontId="16" fillId="24" borderId="95" applyNumberFormat="0" applyAlignment="0" applyProtection="0"/>
    <xf numFmtId="0" fontId="16" fillId="24" borderId="95" applyNumberFormat="0" applyAlignment="0" applyProtection="0"/>
    <xf numFmtId="0" fontId="16" fillId="24" borderId="95" applyNumberFormat="0" applyAlignment="0" applyProtection="0"/>
    <xf numFmtId="0" fontId="16" fillId="24" borderId="95" applyNumberFormat="0" applyAlignment="0" applyProtection="0"/>
    <xf numFmtId="0" fontId="16" fillId="24" borderId="95" applyNumberFormat="0" applyAlignment="0" applyProtection="0"/>
    <xf numFmtId="0" fontId="16" fillId="24" borderId="95" applyNumberFormat="0" applyAlignment="0" applyProtection="0"/>
    <xf numFmtId="0" fontId="16" fillId="24" borderId="95" applyNumberFormat="0" applyAlignment="0" applyProtection="0"/>
    <xf numFmtId="0" fontId="16" fillId="24" borderId="95" applyNumberFormat="0" applyAlignment="0" applyProtection="0"/>
    <xf numFmtId="0" fontId="16" fillId="24" borderId="95" applyNumberFormat="0" applyAlignment="0" applyProtection="0"/>
    <xf numFmtId="0" fontId="16" fillId="24" borderId="95" applyNumberFormat="0" applyAlignment="0" applyProtection="0"/>
    <xf numFmtId="0" fontId="16" fillId="24" borderId="95" applyNumberFormat="0" applyAlignment="0" applyProtection="0"/>
    <xf numFmtId="0" fontId="16" fillId="24" borderId="95" applyNumberFormat="0" applyAlignment="0" applyProtection="0"/>
    <xf numFmtId="0" fontId="16" fillId="24" borderId="95" applyNumberFormat="0" applyAlignment="0" applyProtection="0"/>
    <xf numFmtId="0" fontId="16" fillId="24" borderId="95" applyNumberFormat="0" applyAlignment="0" applyProtection="0"/>
    <xf numFmtId="0" fontId="16" fillId="24" borderId="95" applyNumberFormat="0" applyAlignment="0" applyProtection="0"/>
    <xf numFmtId="0" fontId="16" fillId="24" borderId="95" applyNumberFormat="0" applyAlignment="0" applyProtection="0"/>
    <xf numFmtId="0" fontId="84" fillId="0" borderId="124"/>
    <xf numFmtId="0" fontId="28" fillId="0" borderId="99"/>
    <xf numFmtId="0" fontId="28" fillId="0" borderId="99"/>
    <xf numFmtId="0" fontId="28" fillId="0" borderId="99"/>
    <xf numFmtId="0" fontId="28" fillId="0" borderId="99"/>
    <xf numFmtId="0" fontId="28" fillId="0" borderId="99"/>
    <xf numFmtId="0" fontId="28" fillId="0" borderId="99"/>
    <xf numFmtId="0" fontId="28" fillId="0" borderId="99"/>
    <xf numFmtId="0" fontId="28" fillId="0" borderId="99"/>
    <xf numFmtId="0" fontId="28" fillId="0" borderId="99"/>
    <xf numFmtId="0" fontId="28" fillId="0" borderId="99"/>
    <xf numFmtId="0" fontId="28" fillId="0" borderId="99"/>
    <xf numFmtId="0" fontId="28" fillId="0" borderId="99"/>
    <xf numFmtId="0" fontId="28" fillId="0" borderId="99"/>
    <xf numFmtId="0" fontId="28" fillId="0" borderId="99"/>
    <xf numFmtId="0" fontId="28" fillId="0" borderId="99"/>
    <xf numFmtId="0" fontId="28" fillId="0" borderId="99"/>
    <xf numFmtId="0" fontId="28" fillId="0" borderId="99"/>
    <xf numFmtId="0" fontId="28" fillId="0" borderId="99"/>
    <xf numFmtId="0" fontId="28" fillId="0" borderId="99"/>
    <xf numFmtId="0" fontId="28" fillId="0" borderId="99"/>
    <xf numFmtId="0" fontId="28" fillId="0" borderId="99"/>
    <xf numFmtId="0" fontId="28" fillId="0" borderId="99"/>
    <xf numFmtId="0" fontId="28" fillId="0" borderId="99"/>
    <xf numFmtId="0" fontId="28" fillId="0" borderId="99"/>
    <xf numFmtId="0" fontId="28" fillId="0" borderId="99"/>
    <xf numFmtId="0" fontId="28" fillId="0" borderId="99"/>
    <xf numFmtId="0" fontId="28" fillId="0" borderId="99"/>
    <xf numFmtId="0" fontId="28" fillId="0" borderId="99"/>
    <xf numFmtId="0" fontId="28" fillId="0" borderId="99"/>
    <xf numFmtId="0" fontId="28" fillId="0" borderId="99"/>
    <xf numFmtId="0" fontId="28" fillId="0" borderId="99"/>
    <xf numFmtId="0" fontId="28" fillId="0" borderId="99"/>
    <xf numFmtId="0" fontId="28" fillId="0" borderId="99"/>
    <xf numFmtId="0" fontId="28" fillId="0" borderId="99"/>
    <xf numFmtId="0" fontId="28" fillId="0" borderId="99"/>
    <xf numFmtId="0" fontId="28" fillId="0" borderId="99"/>
    <xf numFmtId="0" fontId="28" fillId="0" borderId="99"/>
    <xf numFmtId="0" fontId="28" fillId="0" borderId="99"/>
    <xf numFmtId="0" fontId="28" fillId="0" borderId="99"/>
    <xf numFmtId="0" fontId="28" fillId="0" borderId="99"/>
    <xf numFmtId="0" fontId="28" fillId="0" borderId="99"/>
    <xf numFmtId="0" fontId="28" fillId="0" borderId="99"/>
    <xf numFmtId="0" fontId="28" fillId="0" borderId="99"/>
    <xf numFmtId="0" fontId="28" fillId="0" borderId="99"/>
    <xf numFmtId="0" fontId="28" fillId="0" borderId="99"/>
    <xf numFmtId="0" fontId="25" fillId="13" borderId="95" applyNumberFormat="0" applyAlignment="0" applyProtection="0"/>
    <xf numFmtId="0" fontId="25" fillId="13" borderId="95" applyNumberFormat="0" applyAlignment="0" applyProtection="0"/>
    <xf numFmtId="0" fontId="25" fillId="13" borderId="95" applyNumberFormat="0" applyAlignment="0" applyProtection="0"/>
    <xf numFmtId="0" fontId="25" fillId="13" borderId="95" applyNumberFormat="0" applyAlignment="0" applyProtection="0"/>
    <xf numFmtId="0" fontId="25" fillId="13" borderId="95" applyNumberFormat="0" applyAlignment="0" applyProtection="0"/>
    <xf numFmtId="0" fontId="25" fillId="13" borderId="95" applyNumberFormat="0" applyAlignment="0" applyProtection="0"/>
    <xf numFmtId="0" fontId="25" fillId="13" borderId="95" applyNumberFormat="0" applyAlignment="0" applyProtection="0"/>
    <xf numFmtId="0" fontId="25" fillId="13" borderId="95" applyNumberFormat="0" applyAlignment="0" applyProtection="0"/>
    <xf numFmtId="0" fontId="25" fillId="13" borderId="95" applyNumberFormat="0" applyAlignment="0" applyProtection="0"/>
    <xf numFmtId="0" fontId="25" fillId="13" borderId="95" applyNumberFormat="0" applyAlignment="0" applyProtection="0"/>
    <xf numFmtId="0" fontId="25" fillId="13" borderId="95" applyNumberFormat="0" applyAlignment="0" applyProtection="0"/>
    <xf numFmtId="0" fontId="25" fillId="13" borderId="95" applyNumberFormat="0" applyAlignment="0" applyProtection="0"/>
    <xf numFmtId="0" fontId="25" fillId="13" borderId="95" applyNumberFormat="0" applyAlignment="0" applyProtection="0"/>
    <xf numFmtId="0" fontId="25" fillId="13" borderId="95" applyNumberFormat="0" applyAlignment="0" applyProtection="0"/>
    <xf numFmtId="0" fontId="25" fillId="13" borderId="95" applyNumberFormat="0" applyAlignment="0" applyProtection="0"/>
    <xf numFmtId="0" fontId="25" fillId="13" borderId="95" applyNumberFormat="0" applyAlignment="0" applyProtection="0"/>
    <xf numFmtId="0" fontId="25" fillId="13" borderId="95" applyNumberFormat="0" applyAlignment="0" applyProtection="0"/>
    <xf numFmtId="0" fontId="25" fillId="13" borderId="95" applyNumberFormat="0" applyAlignment="0" applyProtection="0"/>
    <xf numFmtId="0" fontId="25" fillId="13" borderId="95" applyNumberFormat="0" applyAlignment="0" applyProtection="0"/>
    <xf numFmtId="0" fontId="25" fillId="13" borderId="95" applyNumberFormat="0" applyAlignment="0" applyProtection="0"/>
    <xf numFmtId="0" fontId="25" fillId="13" borderId="95" applyNumberFormat="0" applyAlignment="0" applyProtection="0"/>
    <xf numFmtId="0" fontId="25" fillId="13" borderId="95" applyNumberFormat="0" applyAlignment="0" applyProtection="0"/>
    <xf numFmtId="0" fontId="25" fillId="13" borderId="95" applyNumberFormat="0" applyAlignment="0" applyProtection="0"/>
    <xf numFmtId="0" fontId="25" fillId="13" borderId="95" applyNumberFormat="0" applyAlignment="0" applyProtection="0"/>
    <xf numFmtId="0" fontId="25" fillId="13" borderId="95" applyNumberFormat="0" applyAlignment="0" applyProtection="0"/>
    <xf numFmtId="0" fontId="25" fillId="13" borderId="95" applyNumberFormat="0" applyAlignment="0" applyProtection="0"/>
    <xf numFmtId="0" fontId="25" fillId="13" borderId="95" applyNumberFormat="0" applyAlignment="0" applyProtection="0"/>
    <xf numFmtId="0" fontId="25" fillId="13" borderId="95" applyNumberFormat="0" applyAlignment="0" applyProtection="0"/>
    <xf numFmtId="0" fontId="25" fillId="13" borderId="95" applyNumberFormat="0" applyAlignment="0" applyProtection="0"/>
    <xf numFmtId="0" fontId="25" fillId="13" borderId="95" applyNumberFormat="0" applyAlignment="0" applyProtection="0"/>
    <xf numFmtId="0" fontId="25" fillId="13" borderId="95" applyNumberFormat="0" applyAlignment="0" applyProtection="0"/>
    <xf numFmtId="0" fontId="25" fillId="13" borderId="95" applyNumberFormat="0" applyAlignment="0" applyProtection="0"/>
    <xf numFmtId="0" fontId="25" fillId="13" borderId="95" applyNumberFormat="0" applyAlignment="0" applyProtection="0"/>
    <xf numFmtId="0" fontId="25" fillId="13" borderId="95" applyNumberFormat="0" applyAlignment="0" applyProtection="0"/>
    <xf numFmtId="0" fontId="25" fillId="13" borderId="95" applyNumberFormat="0" applyAlignment="0" applyProtection="0"/>
    <xf numFmtId="0" fontId="25" fillId="13" borderId="95" applyNumberFormat="0" applyAlignment="0" applyProtection="0"/>
    <xf numFmtId="0" fontId="25" fillId="13" borderId="95" applyNumberFormat="0" applyAlignment="0" applyProtection="0"/>
    <xf numFmtId="0" fontId="25" fillId="13" borderId="95" applyNumberFormat="0" applyAlignment="0" applyProtection="0"/>
    <xf numFmtId="0" fontId="25" fillId="13" borderId="95" applyNumberFormat="0" applyAlignment="0" applyProtection="0"/>
    <xf numFmtId="0" fontId="25" fillId="13" borderId="95" applyNumberFormat="0" applyAlignment="0" applyProtection="0"/>
    <xf numFmtId="0" fontId="25" fillId="13" borderId="95" applyNumberFormat="0" applyAlignment="0" applyProtection="0"/>
    <xf numFmtId="0" fontId="25" fillId="13" borderId="95" applyNumberFormat="0" applyAlignment="0" applyProtection="0"/>
    <xf numFmtId="0" fontId="25" fillId="13" borderId="95" applyNumberFormat="0" applyAlignment="0" applyProtection="0"/>
    <xf numFmtId="0" fontId="25" fillId="13" borderId="95" applyNumberFormat="0" applyAlignment="0" applyProtection="0"/>
    <xf numFmtId="0" fontId="25" fillId="13" borderId="95" applyNumberFormat="0" applyAlignment="0" applyProtection="0"/>
    <xf numFmtId="0" fontId="25" fillId="13" borderId="95" applyNumberFormat="0" applyAlignment="0" applyProtection="0"/>
    <xf numFmtId="0" fontId="25" fillId="13" borderId="95" applyNumberFormat="0" applyAlignment="0" applyProtection="0"/>
    <xf numFmtId="0" fontId="25" fillId="13" borderId="95" applyNumberFormat="0" applyAlignment="0" applyProtection="0"/>
    <xf numFmtId="0" fontId="25" fillId="13" borderId="95" applyNumberFormat="0" applyAlignment="0" applyProtection="0"/>
    <xf numFmtId="0" fontId="41" fillId="13" borderId="95" applyNumberFormat="0" applyAlignment="0" applyProtection="0"/>
    <xf numFmtId="0" fontId="41" fillId="13" borderId="95" applyNumberFormat="0" applyAlignment="0" applyProtection="0"/>
    <xf numFmtId="0" fontId="41" fillId="13" borderId="95" applyNumberFormat="0" applyAlignment="0" applyProtection="0"/>
    <xf numFmtId="0" fontId="41" fillId="13" borderId="95" applyNumberFormat="0" applyAlignment="0" applyProtection="0"/>
    <xf numFmtId="0" fontId="41" fillId="13" borderId="95" applyNumberFormat="0" applyAlignment="0" applyProtection="0"/>
    <xf numFmtId="0" fontId="41" fillId="13" borderId="95" applyNumberFormat="0" applyAlignment="0" applyProtection="0"/>
    <xf numFmtId="0" fontId="41" fillId="13" borderId="95" applyNumberFormat="0" applyAlignment="0" applyProtection="0"/>
    <xf numFmtId="0" fontId="41" fillId="13" borderId="95" applyNumberFormat="0" applyAlignment="0" applyProtection="0"/>
    <xf numFmtId="0" fontId="41" fillId="13" borderId="95" applyNumberFormat="0" applyAlignment="0" applyProtection="0"/>
    <xf numFmtId="0" fontId="41" fillId="13" borderId="95" applyNumberFormat="0" applyAlignment="0" applyProtection="0"/>
    <xf numFmtId="0" fontId="41" fillId="13" borderId="95" applyNumberFormat="0" applyAlignment="0" applyProtection="0"/>
    <xf numFmtId="0" fontId="41" fillId="13" borderId="95" applyNumberFormat="0" applyAlignment="0" applyProtection="0"/>
    <xf numFmtId="0" fontId="41" fillId="13" borderId="95" applyNumberFormat="0" applyAlignment="0" applyProtection="0"/>
    <xf numFmtId="0" fontId="41" fillId="13" borderId="95" applyNumberFormat="0" applyAlignment="0" applyProtection="0"/>
    <xf numFmtId="0" fontId="41" fillId="13" borderId="95" applyNumberFormat="0" applyAlignment="0" applyProtection="0"/>
    <xf numFmtId="0" fontId="41" fillId="13" borderId="95" applyNumberFormat="0" applyAlignment="0" applyProtection="0"/>
    <xf numFmtId="0" fontId="41" fillId="13" borderId="95" applyNumberFormat="0" applyAlignment="0" applyProtection="0"/>
    <xf numFmtId="0" fontId="41" fillId="13" borderId="95" applyNumberFormat="0" applyAlignment="0" applyProtection="0"/>
    <xf numFmtId="0" fontId="41" fillId="13" borderId="95" applyNumberFormat="0" applyAlignment="0" applyProtection="0"/>
    <xf numFmtId="0" fontId="41" fillId="13" borderId="95" applyNumberFormat="0" applyAlignment="0" applyProtection="0"/>
    <xf numFmtId="0" fontId="41" fillId="13" borderId="95" applyNumberFormat="0" applyAlignment="0" applyProtection="0"/>
    <xf numFmtId="0" fontId="41" fillId="13" borderId="95" applyNumberFormat="0" applyAlignment="0" applyProtection="0"/>
    <xf numFmtId="0" fontId="41" fillId="13" borderId="95" applyNumberFormat="0" applyAlignment="0" applyProtection="0"/>
    <xf numFmtId="0" fontId="41" fillId="13" borderId="95" applyNumberFormat="0" applyAlignment="0" applyProtection="0"/>
    <xf numFmtId="0" fontId="41" fillId="13" borderId="95" applyNumberFormat="0" applyAlignment="0" applyProtection="0"/>
    <xf numFmtId="0" fontId="41" fillId="13" borderId="95" applyNumberFormat="0" applyAlignment="0" applyProtection="0"/>
    <xf numFmtId="0" fontId="41" fillId="13" borderId="95" applyNumberFormat="0" applyAlignment="0" applyProtection="0"/>
    <xf numFmtId="0" fontId="41" fillId="13" borderId="95" applyNumberFormat="0" applyAlignment="0" applyProtection="0"/>
    <xf numFmtId="0" fontId="41" fillId="13" borderId="95" applyNumberFormat="0" applyAlignment="0" applyProtection="0"/>
    <xf numFmtId="0" fontId="41" fillId="13" borderId="95" applyNumberFormat="0" applyAlignment="0" applyProtection="0"/>
    <xf numFmtId="0" fontId="41" fillId="13" borderId="95" applyNumberFormat="0" applyAlignment="0" applyProtection="0"/>
    <xf numFmtId="0" fontId="41" fillId="13" borderId="95" applyNumberFormat="0" applyAlignment="0" applyProtection="0"/>
    <xf numFmtId="0" fontId="41" fillId="13" borderId="95" applyNumberFormat="0" applyAlignment="0" applyProtection="0"/>
    <xf numFmtId="0" fontId="41" fillId="13" borderId="95" applyNumberFormat="0" applyAlignment="0" applyProtection="0"/>
    <xf numFmtId="0" fontId="41" fillId="13" borderId="95" applyNumberFormat="0" applyAlignment="0" applyProtection="0"/>
    <xf numFmtId="0" fontId="41" fillId="13" borderId="95" applyNumberFormat="0" applyAlignment="0" applyProtection="0"/>
    <xf numFmtId="0" fontId="41" fillId="13" borderId="95" applyNumberFormat="0" applyAlignment="0" applyProtection="0"/>
    <xf numFmtId="0" fontId="41" fillId="13" borderId="95" applyNumberFormat="0" applyAlignment="0" applyProtection="0"/>
    <xf numFmtId="0" fontId="41" fillId="13" borderId="95" applyNumberFormat="0" applyAlignment="0" applyProtection="0"/>
    <xf numFmtId="0" fontId="41" fillId="13" borderId="95" applyNumberFormat="0" applyAlignment="0" applyProtection="0"/>
    <xf numFmtId="0" fontId="41" fillId="13" borderId="95" applyNumberFormat="0" applyAlignment="0" applyProtection="0"/>
    <xf numFmtId="0" fontId="41" fillId="13" borderId="95" applyNumberFormat="0" applyAlignment="0" applyProtection="0"/>
    <xf numFmtId="0" fontId="41" fillId="13" borderId="95" applyNumberFormat="0" applyAlignment="0" applyProtection="0"/>
    <xf numFmtId="0" fontId="41" fillId="13" borderId="95" applyNumberFormat="0" applyAlignment="0" applyProtection="0"/>
    <xf numFmtId="0" fontId="41" fillId="13" borderId="95" applyNumberFormat="0" applyAlignment="0" applyProtection="0"/>
    <xf numFmtId="0" fontId="41" fillId="13" borderId="95" applyNumberFormat="0" applyAlignment="0" applyProtection="0"/>
    <xf numFmtId="0" fontId="41" fillId="13" borderId="95" applyNumberFormat="0" applyAlignment="0" applyProtection="0"/>
    <xf numFmtId="0" fontId="41" fillId="13" borderId="95" applyNumberFormat="0" applyAlignment="0" applyProtection="0"/>
    <xf numFmtId="0" fontId="41" fillId="13" borderId="95" applyNumberFormat="0" applyAlignment="0" applyProtection="0"/>
    <xf numFmtId="0" fontId="25" fillId="13" borderId="95" applyNumberFormat="0" applyAlignment="0" applyProtection="0"/>
    <xf numFmtId="0" fontId="25" fillId="13" borderId="95" applyNumberFormat="0" applyAlignment="0" applyProtection="0"/>
    <xf numFmtId="0" fontId="25" fillId="13" borderId="95" applyNumberFormat="0" applyAlignment="0" applyProtection="0"/>
    <xf numFmtId="0" fontId="25" fillId="13" borderId="95" applyNumberFormat="0" applyAlignment="0" applyProtection="0"/>
    <xf numFmtId="0" fontId="25" fillId="13" borderId="95" applyNumberFormat="0" applyAlignment="0" applyProtection="0"/>
    <xf numFmtId="0" fontId="25" fillId="13" borderId="95" applyNumberFormat="0" applyAlignment="0" applyProtection="0"/>
    <xf numFmtId="0" fontId="25" fillId="13" borderId="95" applyNumberFormat="0" applyAlignment="0" applyProtection="0"/>
    <xf numFmtId="0" fontId="25" fillId="13" borderId="95" applyNumberFormat="0" applyAlignment="0" applyProtection="0"/>
    <xf numFmtId="0" fontId="25" fillId="13" borderId="95" applyNumberFormat="0" applyAlignment="0" applyProtection="0"/>
    <xf numFmtId="0" fontId="25" fillId="13" borderId="95" applyNumberFormat="0" applyAlignment="0" applyProtection="0"/>
    <xf numFmtId="0" fontId="25" fillId="13" borderId="95" applyNumberFormat="0" applyAlignment="0" applyProtection="0"/>
    <xf numFmtId="0" fontId="25" fillId="13" borderId="95" applyNumberFormat="0" applyAlignment="0" applyProtection="0"/>
    <xf numFmtId="0" fontId="25" fillId="13" borderId="95" applyNumberFormat="0" applyAlignment="0" applyProtection="0"/>
    <xf numFmtId="0" fontId="25" fillId="13" borderId="95" applyNumberFormat="0" applyAlignment="0" applyProtection="0"/>
    <xf numFmtId="0" fontId="25" fillId="13" borderId="95" applyNumberFormat="0" applyAlignment="0" applyProtection="0"/>
    <xf numFmtId="0" fontId="25" fillId="13" borderId="95" applyNumberFormat="0" applyAlignment="0" applyProtection="0"/>
    <xf numFmtId="0" fontId="25" fillId="13" borderId="95" applyNumberFormat="0" applyAlignment="0" applyProtection="0"/>
    <xf numFmtId="0" fontId="25" fillId="13" borderId="95" applyNumberFormat="0" applyAlignment="0" applyProtection="0"/>
    <xf numFmtId="0" fontId="25" fillId="13" borderId="95" applyNumberFormat="0" applyAlignment="0" applyProtection="0"/>
    <xf numFmtId="0" fontId="25" fillId="13" borderId="95" applyNumberFormat="0" applyAlignment="0" applyProtection="0"/>
    <xf numFmtId="0" fontId="25" fillId="13" borderId="95" applyNumberFormat="0" applyAlignment="0" applyProtection="0"/>
    <xf numFmtId="0" fontId="25" fillId="13" borderId="95" applyNumberFormat="0" applyAlignment="0" applyProtection="0"/>
    <xf numFmtId="0" fontId="25" fillId="13" borderId="95" applyNumberFormat="0" applyAlignment="0" applyProtection="0"/>
    <xf numFmtId="0" fontId="25" fillId="13" borderId="95" applyNumberFormat="0" applyAlignment="0" applyProtection="0"/>
    <xf numFmtId="0" fontId="25" fillId="13" borderId="95" applyNumberFormat="0" applyAlignment="0" applyProtection="0"/>
    <xf numFmtId="0" fontId="25" fillId="13" borderId="95" applyNumberFormat="0" applyAlignment="0" applyProtection="0"/>
    <xf numFmtId="0" fontId="25" fillId="13" borderId="95" applyNumberFormat="0" applyAlignment="0" applyProtection="0"/>
    <xf numFmtId="0" fontId="25" fillId="13" borderId="95" applyNumberFormat="0" applyAlignment="0" applyProtection="0"/>
    <xf numFmtId="0" fontId="25" fillId="13" borderId="95" applyNumberFormat="0" applyAlignment="0" applyProtection="0"/>
    <xf numFmtId="0" fontId="25" fillId="13" borderId="95" applyNumberFormat="0" applyAlignment="0" applyProtection="0"/>
    <xf numFmtId="0" fontId="25" fillId="13" borderId="95" applyNumberFormat="0" applyAlignment="0" applyProtection="0"/>
    <xf numFmtId="0" fontId="25" fillId="13" borderId="95" applyNumberFormat="0" applyAlignment="0" applyProtection="0"/>
    <xf numFmtId="0" fontId="25" fillId="13" borderId="95" applyNumberFormat="0" applyAlignment="0" applyProtection="0"/>
    <xf numFmtId="0" fontId="25" fillId="13" borderId="95" applyNumberFormat="0" applyAlignment="0" applyProtection="0"/>
    <xf numFmtId="0" fontId="25" fillId="13" borderId="95" applyNumberFormat="0" applyAlignment="0" applyProtection="0"/>
    <xf numFmtId="0" fontId="25" fillId="13" borderId="95" applyNumberFormat="0" applyAlignment="0" applyProtection="0"/>
    <xf numFmtId="0" fontId="25" fillId="13" borderId="95" applyNumberFormat="0" applyAlignment="0" applyProtection="0"/>
    <xf numFmtId="0" fontId="25" fillId="13" borderId="95" applyNumberFormat="0" applyAlignment="0" applyProtection="0"/>
    <xf numFmtId="0" fontId="25" fillId="13" borderId="95" applyNumberFormat="0" applyAlignment="0" applyProtection="0"/>
    <xf numFmtId="0" fontId="25" fillId="13" borderId="95" applyNumberFormat="0" applyAlignment="0" applyProtection="0"/>
    <xf numFmtId="0" fontId="25" fillId="13" borderId="95" applyNumberFormat="0" applyAlignment="0" applyProtection="0"/>
    <xf numFmtId="0" fontId="25" fillId="13" borderId="95" applyNumberFormat="0" applyAlignment="0" applyProtection="0"/>
    <xf numFmtId="0" fontId="25" fillId="13" borderId="95" applyNumberFormat="0" applyAlignment="0" applyProtection="0"/>
    <xf numFmtId="0" fontId="25" fillId="13" borderId="95" applyNumberFormat="0" applyAlignment="0" applyProtection="0"/>
    <xf numFmtId="0" fontId="25" fillId="13" borderId="95" applyNumberFormat="0" applyAlignment="0" applyProtection="0"/>
    <xf numFmtId="0" fontId="25" fillId="13" borderId="95" applyNumberFormat="0" applyAlignment="0" applyProtection="0"/>
    <xf numFmtId="0" fontId="25" fillId="13" borderId="95" applyNumberFormat="0" applyAlignment="0" applyProtection="0"/>
    <xf numFmtId="0" fontId="25" fillId="13" borderId="95" applyNumberFormat="0" applyAlignment="0" applyProtection="0"/>
    <xf numFmtId="0" fontId="25" fillId="13" borderId="95" applyNumberFormat="0" applyAlignment="0" applyProtection="0"/>
    <xf numFmtId="0" fontId="41" fillId="13" borderId="95" applyNumberFormat="0" applyAlignment="0" applyProtection="0"/>
    <xf numFmtId="0" fontId="41" fillId="13" borderId="95" applyNumberFormat="0" applyAlignment="0" applyProtection="0"/>
    <xf numFmtId="0" fontId="41" fillId="13" borderId="95" applyNumberFormat="0" applyAlignment="0" applyProtection="0"/>
    <xf numFmtId="0" fontId="41" fillId="13" borderId="95" applyNumberFormat="0" applyAlignment="0" applyProtection="0"/>
    <xf numFmtId="0" fontId="41" fillId="13" borderId="95" applyNumberFormat="0" applyAlignment="0" applyProtection="0"/>
    <xf numFmtId="0" fontId="41" fillId="13" borderId="95" applyNumberFormat="0" applyAlignment="0" applyProtection="0"/>
    <xf numFmtId="0" fontId="41" fillId="13" borderId="95" applyNumberFormat="0" applyAlignment="0" applyProtection="0"/>
    <xf numFmtId="0" fontId="41" fillId="13" borderId="95" applyNumberFormat="0" applyAlignment="0" applyProtection="0"/>
    <xf numFmtId="0" fontId="41" fillId="13" borderId="95" applyNumberFormat="0" applyAlignment="0" applyProtection="0"/>
    <xf numFmtId="0" fontId="41" fillId="13" borderId="95" applyNumberFormat="0" applyAlignment="0" applyProtection="0"/>
    <xf numFmtId="0" fontId="41" fillId="13" borderId="95" applyNumberFormat="0" applyAlignment="0" applyProtection="0"/>
    <xf numFmtId="0" fontId="41" fillId="13" borderId="95" applyNumberFormat="0" applyAlignment="0" applyProtection="0"/>
    <xf numFmtId="0" fontId="41" fillId="13" borderId="95" applyNumberFormat="0" applyAlignment="0" applyProtection="0"/>
    <xf numFmtId="0" fontId="41" fillId="13" borderId="95" applyNumberFormat="0" applyAlignment="0" applyProtection="0"/>
    <xf numFmtId="0" fontId="41" fillId="13" borderId="95" applyNumberFormat="0" applyAlignment="0" applyProtection="0"/>
    <xf numFmtId="0" fontId="41" fillId="13" borderId="95" applyNumberFormat="0" applyAlignment="0" applyProtection="0"/>
    <xf numFmtId="0" fontId="41" fillId="13" borderId="95" applyNumberFormat="0" applyAlignment="0" applyProtection="0"/>
    <xf numFmtId="0" fontId="41" fillId="13" borderId="95" applyNumberFormat="0" applyAlignment="0" applyProtection="0"/>
    <xf numFmtId="0" fontId="41" fillId="13" borderId="95" applyNumberFormat="0" applyAlignment="0" applyProtection="0"/>
    <xf numFmtId="0" fontId="41" fillId="13" borderId="95" applyNumberFormat="0" applyAlignment="0" applyProtection="0"/>
    <xf numFmtId="0" fontId="41" fillId="13" borderId="95" applyNumberFormat="0" applyAlignment="0" applyProtection="0"/>
    <xf numFmtId="0" fontId="41" fillId="13" borderId="95" applyNumberFormat="0" applyAlignment="0" applyProtection="0"/>
    <xf numFmtId="0" fontId="41" fillId="13" borderId="95" applyNumberFormat="0" applyAlignment="0" applyProtection="0"/>
    <xf numFmtId="0" fontId="41" fillId="13" borderId="95" applyNumberFormat="0" applyAlignment="0" applyProtection="0"/>
    <xf numFmtId="0" fontId="41" fillId="13" borderId="95" applyNumberFormat="0" applyAlignment="0" applyProtection="0"/>
    <xf numFmtId="0" fontId="41" fillId="13" borderId="95" applyNumberFormat="0" applyAlignment="0" applyProtection="0"/>
    <xf numFmtId="0" fontId="41" fillId="13" borderId="95" applyNumberFormat="0" applyAlignment="0" applyProtection="0"/>
    <xf numFmtId="0" fontId="41" fillId="13" borderId="95" applyNumberFormat="0" applyAlignment="0" applyProtection="0"/>
    <xf numFmtId="0" fontId="41" fillId="13" borderId="95" applyNumberFormat="0" applyAlignment="0" applyProtection="0"/>
    <xf numFmtId="0" fontId="41" fillId="13" borderId="95" applyNumberFormat="0" applyAlignment="0" applyProtection="0"/>
    <xf numFmtId="0" fontId="41" fillId="13" borderId="95" applyNumberFormat="0" applyAlignment="0" applyProtection="0"/>
    <xf numFmtId="0" fontId="41" fillId="13" borderId="95" applyNumberFormat="0" applyAlignment="0" applyProtection="0"/>
    <xf numFmtId="0" fontId="41" fillId="13" borderId="95" applyNumberFormat="0" applyAlignment="0" applyProtection="0"/>
    <xf numFmtId="0" fontId="41" fillId="13" borderId="95" applyNumberFormat="0" applyAlignment="0" applyProtection="0"/>
    <xf numFmtId="0" fontId="41" fillId="13" borderId="95" applyNumberFormat="0" applyAlignment="0" applyProtection="0"/>
    <xf numFmtId="0" fontId="41" fillId="13" borderId="95" applyNumberFormat="0" applyAlignment="0" applyProtection="0"/>
    <xf numFmtId="0" fontId="41" fillId="13" borderId="95" applyNumberFormat="0" applyAlignment="0" applyProtection="0"/>
    <xf numFmtId="0" fontId="41" fillId="13" borderId="95" applyNumberFormat="0" applyAlignment="0" applyProtection="0"/>
    <xf numFmtId="0" fontId="41" fillId="13" borderId="95" applyNumberFormat="0" applyAlignment="0" applyProtection="0"/>
    <xf numFmtId="0" fontId="41" fillId="13" borderId="95" applyNumberFormat="0" applyAlignment="0" applyProtection="0"/>
    <xf numFmtId="0" fontId="41" fillId="13" borderId="95" applyNumberFormat="0" applyAlignment="0" applyProtection="0"/>
    <xf numFmtId="0" fontId="41" fillId="13" borderId="95" applyNumberFormat="0" applyAlignment="0" applyProtection="0"/>
    <xf numFmtId="0" fontId="41" fillId="13" borderId="95" applyNumberFormat="0" applyAlignment="0" applyProtection="0"/>
    <xf numFmtId="0" fontId="41" fillId="13" borderId="95" applyNumberFormat="0" applyAlignment="0" applyProtection="0"/>
    <xf numFmtId="0" fontId="41" fillId="13" borderId="95" applyNumberFormat="0" applyAlignment="0" applyProtection="0"/>
    <xf numFmtId="0" fontId="41" fillId="13" borderId="95" applyNumberFormat="0" applyAlignment="0" applyProtection="0"/>
    <xf numFmtId="0" fontId="41" fillId="13" borderId="95" applyNumberFormat="0" applyAlignment="0" applyProtection="0"/>
    <xf numFmtId="0" fontId="41" fillId="13" borderId="95" applyNumberFormat="0" applyAlignment="0" applyProtection="0"/>
    <xf numFmtId="0" fontId="41" fillId="13" borderId="95" applyNumberFormat="0" applyAlignment="0" applyProtection="0"/>
    <xf numFmtId="0" fontId="25" fillId="13" borderId="95" applyNumberFormat="0" applyAlignment="0" applyProtection="0"/>
    <xf numFmtId="0" fontId="25" fillId="13" borderId="95" applyNumberFormat="0" applyAlignment="0" applyProtection="0"/>
    <xf numFmtId="0" fontId="25" fillId="13" borderId="95" applyNumberFormat="0" applyAlignment="0" applyProtection="0"/>
    <xf numFmtId="0" fontId="25" fillId="13" borderId="95" applyNumberFormat="0" applyAlignment="0" applyProtection="0"/>
    <xf numFmtId="0" fontId="25" fillId="13" borderId="95" applyNumberFormat="0" applyAlignment="0" applyProtection="0"/>
    <xf numFmtId="0" fontId="25" fillId="13" borderId="95" applyNumberFormat="0" applyAlignment="0" applyProtection="0"/>
    <xf numFmtId="0" fontId="25" fillId="13" borderId="95" applyNumberFormat="0" applyAlignment="0" applyProtection="0"/>
    <xf numFmtId="0" fontId="25" fillId="13" borderId="95" applyNumberFormat="0" applyAlignment="0" applyProtection="0"/>
    <xf numFmtId="0" fontId="25" fillId="13" borderId="95" applyNumberFormat="0" applyAlignment="0" applyProtection="0"/>
    <xf numFmtId="0" fontId="25" fillId="13" borderId="95" applyNumberFormat="0" applyAlignment="0" applyProtection="0"/>
    <xf numFmtId="0" fontId="25" fillId="13" borderId="95" applyNumberFormat="0" applyAlignment="0" applyProtection="0"/>
    <xf numFmtId="0" fontId="25" fillId="13" borderId="95" applyNumberFormat="0" applyAlignment="0" applyProtection="0"/>
    <xf numFmtId="0" fontId="25" fillId="13" borderId="95" applyNumberFormat="0" applyAlignment="0" applyProtection="0"/>
    <xf numFmtId="0" fontId="25" fillId="13" borderId="95" applyNumberFormat="0" applyAlignment="0" applyProtection="0"/>
    <xf numFmtId="0" fontId="25" fillId="13" borderId="95" applyNumberFormat="0" applyAlignment="0" applyProtection="0"/>
    <xf numFmtId="0" fontId="25" fillId="13" borderId="95" applyNumberFormat="0" applyAlignment="0" applyProtection="0"/>
    <xf numFmtId="0" fontId="25" fillId="13" borderId="95" applyNumberFormat="0" applyAlignment="0" applyProtection="0"/>
    <xf numFmtId="0" fontId="25" fillId="13" borderId="95" applyNumberFormat="0" applyAlignment="0" applyProtection="0"/>
    <xf numFmtId="0" fontId="25" fillId="13" borderId="95" applyNumberFormat="0" applyAlignment="0" applyProtection="0"/>
    <xf numFmtId="0" fontId="25" fillId="13" borderId="95" applyNumberFormat="0" applyAlignment="0" applyProtection="0"/>
    <xf numFmtId="0" fontId="25" fillId="13" borderId="95" applyNumberFormat="0" applyAlignment="0" applyProtection="0"/>
    <xf numFmtId="0" fontId="25" fillId="13" borderId="95" applyNumberFormat="0" applyAlignment="0" applyProtection="0"/>
    <xf numFmtId="0" fontId="25" fillId="13" borderId="95" applyNumberFormat="0" applyAlignment="0" applyProtection="0"/>
    <xf numFmtId="0" fontId="25" fillId="13" borderId="95" applyNumberFormat="0" applyAlignment="0" applyProtection="0"/>
    <xf numFmtId="0" fontId="25" fillId="13" borderId="95" applyNumberFormat="0" applyAlignment="0" applyProtection="0"/>
    <xf numFmtId="0" fontId="25" fillId="13" borderId="95" applyNumberFormat="0" applyAlignment="0" applyProtection="0"/>
    <xf numFmtId="0" fontId="25" fillId="13" borderId="95" applyNumberFormat="0" applyAlignment="0" applyProtection="0"/>
    <xf numFmtId="0" fontId="25" fillId="13" borderId="95" applyNumberFormat="0" applyAlignment="0" applyProtection="0"/>
    <xf numFmtId="0" fontId="25" fillId="13" borderId="95" applyNumberFormat="0" applyAlignment="0" applyProtection="0"/>
    <xf numFmtId="0" fontId="25" fillId="13" borderId="95" applyNumberFormat="0" applyAlignment="0" applyProtection="0"/>
    <xf numFmtId="0" fontId="25" fillId="13" borderId="95" applyNumberFormat="0" applyAlignment="0" applyProtection="0"/>
    <xf numFmtId="0" fontId="25" fillId="13" borderId="95" applyNumberFormat="0" applyAlignment="0" applyProtection="0"/>
    <xf numFmtId="0" fontId="25" fillId="13" borderId="95" applyNumberFormat="0" applyAlignment="0" applyProtection="0"/>
    <xf numFmtId="0" fontId="25" fillId="13" borderId="95" applyNumberFormat="0" applyAlignment="0" applyProtection="0"/>
    <xf numFmtId="0" fontId="25" fillId="13" borderId="95" applyNumberFormat="0" applyAlignment="0" applyProtection="0"/>
    <xf numFmtId="0" fontId="25" fillId="13" borderId="95" applyNumberFormat="0" applyAlignment="0" applyProtection="0"/>
    <xf numFmtId="0" fontId="25" fillId="13" borderId="95" applyNumberFormat="0" applyAlignment="0" applyProtection="0"/>
    <xf numFmtId="0" fontId="25" fillId="13" borderId="95" applyNumberFormat="0" applyAlignment="0" applyProtection="0"/>
    <xf numFmtId="0" fontId="25" fillId="13" borderId="95" applyNumberFormat="0" applyAlignment="0" applyProtection="0"/>
    <xf numFmtId="0" fontId="25" fillId="13" borderId="95" applyNumberFormat="0" applyAlignment="0" applyProtection="0"/>
    <xf numFmtId="0" fontId="25" fillId="13" borderId="95" applyNumberFormat="0" applyAlignment="0" applyProtection="0"/>
    <xf numFmtId="0" fontId="25" fillId="13" borderId="95" applyNumberFormat="0" applyAlignment="0" applyProtection="0"/>
    <xf numFmtId="0" fontId="25" fillId="13" borderId="95" applyNumberFormat="0" applyAlignment="0" applyProtection="0"/>
    <xf numFmtId="0" fontId="25" fillId="13" borderId="95" applyNumberFormat="0" applyAlignment="0" applyProtection="0"/>
    <xf numFmtId="0" fontId="25" fillId="13" borderId="95" applyNumberFormat="0" applyAlignment="0" applyProtection="0"/>
    <xf numFmtId="0" fontId="25" fillId="13" borderId="95" applyNumberFormat="0" applyAlignment="0" applyProtection="0"/>
    <xf numFmtId="0" fontId="25" fillId="13" borderId="95" applyNumberFormat="0" applyAlignment="0" applyProtection="0"/>
    <xf numFmtId="0" fontId="25" fillId="13" borderId="95" applyNumberFormat="0" applyAlignment="0" applyProtection="0"/>
    <xf numFmtId="0" fontId="25" fillId="13" borderId="95" applyNumberFormat="0" applyAlignment="0" applyProtection="0"/>
    <xf numFmtId="0" fontId="25" fillId="8" borderId="95" applyNumberFormat="0" applyAlignment="0" applyProtection="0"/>
    <xf numFmtId="0" fontId="25" fillId="8" borderId="95" applyNumberFormat="0" applyAlignment="0" applyProtection="0"/>
    <xf numFmtId="0" fontId="25" fillId="8" borderId="95" applyNumberFormat="0" applyAlignment="0" applyProtection="0"/>
    <xf numFmtId="0" fontId="25" fillId="8" borderId="95" applyNumberFormat="0" applyAlignment="0" applyProtection="0"/>
    <xf numFmtId="0" fontId="25" fillId="8" borderId="95" applyNumberFormat="0" applyAlignment="0" applyProtection="0"/>
    <xf numFmtId="0" fontId="25" fillId="8" borderId="95" applyNumberFormat="0" applyAlignment="0" applyProtection="0"/>
    <xf numFmtId="0" fontId="25" fillId="8" borderId="95" applyNumberFormat="0" applyAlignment="0" applyProtection="0"/>
    <xf numFmtId="0" fontId="25" fillId="8" borderId="95" applyNumberFormat="0" applyAlignment="0" applyProtection="0"/>
    <xf numFmtId="0" fontId="25" fillId="8" borderId="95" applyNumberFormat="0" applyAlignment="0" applyProtection="0"/>
    <xf numFmtId="0" fontId="25" fillId="8" borderId="95" applyNumberFormat="0" applyAlignment="0" applyProtection="0"/>
    <xf numFmtId="0" fontId="25" fillId="8" borderId="95" applyNumberFormat="0" applyAlignment="0" applyProtection="0"/>
    <xf numFmtId="0" fontId="25" fillId="8" borderId="95" applyNumberFormat="0" applyAlignment="0" applyProtection="0"/>
    <xf numFmtId="0" fontId="25" fillId="8" borderId="95" applyNumberFormat="0" applyAlignment="0" applyProtection="0"/>
    <xf numFmtId="0" fontId="25" fillId="8" borderId="95" applyNumberFormat="0" applyAlignment="0" applyProtection="0"/>
    <xf numFmtId="0" fontId="25" fillId="8" borderId="95" applyNumberFormat="0" applyAlignment="0" applyProtection="0"/>
    <xf numFmtId="0" fontId="25" fillId="8" borderId="95" applyNumberFormat="0" applyAlignment="0" applyProtection="0"/>
    <xf numFmtId="0" fontId="25" fillId="8" borderId="95" applyNumberFormat="0" applyAlignment="0" applyProtection="0"/>
    <xf numFmtId="0" fontId="25" fillId="8" borderId="95" applyNumberFormat="0" applyAlignment="0" applyProtection="0"/>
    <xf numFmtId="0" fontId="25" fillId="8" borderId="95" applyNumberFormat="0" applyAlignment="0" applyProtection="0"/>
    <xf numFmtId="0" fontId="25" fillId="8" borderId="95" applyNumberFormat="0" applyAlignment="0" applyProtection="0"/>
    <xf numFmtId="0" fontId="25" fillId="8" borderId="95" applyNumberFormat="0" applyAlignment="0" applyProtection="0"/>
    <xf numFmtId="0" fontId="25" fillId="8" borderId="95" applyNumberFormat="0" applyAlignment="0" applyProtection="0"/>
    <xf numFmtId="0" fontId="25" fillId="8" borderId="95" applyNumberFormat="0" applyAlignment="0" applyProtection="0"/>
    <xf numFmtId="0" fontId="25" fillId="8" borderId="95" applyNumberFormat="0" applyAlignment="0" applyProtection="0"/>
    <xf numFmtId="0" fontId="25" fillId="8" borderId="95" applyNumberFormat="0" applyAlignment="0" applyProtection="0"/>
    <xf numFmtId="0" fontId="25" fillId="8" borderId="95" applyNumberFormat="0" applyAlignment="0" applyProtection="0"/>
    <xf numFmtId="0" fontId="25" fillId="8" borderId="95" applyNumberFormat="0" applyAlignment="0" applyProtection="0"/>
    <xf numFmtId="0" fontId="25" fillId="8" borderId="95" applyNumberFormat="0" applyAlignment="0" applyProtection="0"/>
    <xf numFmtId="0" fontId="25" fillId="8" borderId="95" applyNumberFormat="0" applyAlignment="0" applyProtection="0"/>
    <xf numFmtId="0" fontId="25" fillId="8" borderId="95" applyNumberFormat="0" applyAlignment="0" applyProtection="0"/>
    <xf numFmtId="0" fontId="25" fillId="8" borderId="95" applyNumberFormat="0" applyAlignment="0" applyProtection="0"/>
    <xf numFmtId="0" fontId="25" fillId="8" borderId="95" applyNumberFormat="0" applyAlignment="0" applyProtection="0"/>
    <xf numFmtId="0" fontId="25" fillId="8" borderId="95" applyNumberFormat="0" applyAlignment="0" applyProtection="0"/>
    <xf numFmtId="0" fontId="25" fillId="8" borderId="95" applyNumberFormat="0" applyAlignment="0" applyProtection="0"/>
    <xf numFmtId="0" fontId="25" fillId="8" borderId="95" applyNumberFormat="0" applyAlignment="0" applyProtection="0"/>
    <xf numFmtId="0" fontId="25" fillId="8" borderId="95" applyNumberFormat="0" applyAlignment="0" applyProtection="0"/>
    <xf numFmtId="0" fontId="25" fillId="8" borderId="95" applyNumberFormat="0" applyAlignment="0" applyProtection="0"/>
    <xf numFmtId="0" fontId="25" fillId="8" borderId="95" applyNumberFormat="0" applyAlignment="0" applyProtection="0"/>
    <xf numFmtId="0" fontId="25" fillId="8" borderId="95" applyNumberFormat="0" applyAlignment="0" applyProtection="0"/>
    <xf numFmtId="0" fontId="25" fillId="8" borderId="95" applyNumberFormat="0" applyAlignment="0" applyProtection="0"/>
    <xf numFmtId="0" fontId="25" fillId="8" borderId="95" applyNumberFormat="0" applyAlignment="0" applyProtection="0"/>
    <xf numFmtId="0" fontId="25" fillId="8" borderId="95" applyNumberFormat="0" applyAlignment="0" applyProtection="0"/>
    <xf numFmtId="0" fontId="25" fillId="8" borderId="95" applyNumberFormat="0" applyAlignment="0" applyProtection="0"/>
    <xf numFmtId="0" fontId="25" fillId="8" borderId="95" applyNumberFormat="0" applyAlignment="0" applyProtection="0"/>
    <xf numFmtId="0" fontId="25" fillId="8" borderId="95" applyNumberFormat="0" applyAlignment="0" applyProtection="0"/>
    <xf numFmtId="0" fontId="25" fillId="8" borderId="95" applyNumberFormat="0" applyAlignment="0" applyProtection="0"/>
    <xf numFmtId="0" fontId="25" fillId="8" borderId="95" applyNumberFormat="0" applyAlignment="0" applyProtection="0"/>
    <xf numFmtId="0" fontId="25" fillId="8" borderId="95" applyNumberFormat="0" applyAlignment="0" applyProtection="0"/>
    <xf numFmtId="0" fontId="25" fillId="8" borderId="95" applyNumberFormat="0" applyAlignment="0" applyProtection="0"/>
    <xf numFmtId="0" fontId="25" fillId="8" borderId="95" applyNumberFormat="0" applyAlignment="0" applyProtection="0"/>
    <xf numFmtId="0" fontId="25" fillId="8" borderId="95" applyNumberFormat="0" applyAlignment="0" applyProtection="0"/>
    <xf numFmtId="0" fontId="25" fillId="8" borderId="95" applyNumberFormat="0" applyAlignment="0" applyProtection="0"/>
    <xf numFmtId="0" fontId="25" fillId="8" borderId="95" applyNumberFormat="0" applyAlignment="0" applyProtection="0"/>
    <xf numFmtId="0" fontId="25" fillId="8" borderId="95" applyNumberFormat="0" applyAlignment="0" applyProtection="0"/>
    <xf numFmtId="0" fontId="25" fillId="8" borderId="95" applyNumberFormat="0" applyAlignment="0" applyProtection="0"/>
    <xf numFmtId="0" fontId="25" fillId="8" borderId="95" applyNumberFormat="0" applyAlignment="0" applyProtection="0"/>
    <xf numFmtId="0" fontId="25" fillId="8" borderId="95" applyNumberFormat="0" applyAlignment="0" applyProtection="0"/>
    <xf numFmtId="0" fontId="25" fillId="8" borderId="95" applyNumberFormat="0" applyAlignment="0" applyProtection="0"/>
    <xf numFmtId="0" fontId="25" fillId="8" borderId="95" applyNumberFormat="0" applyAlignment="0" applyProtection="0"/>
    <xf numFmtId="0" fontId="25" fillId="8" borderId="95" applyNumberFormat="0" applyAlignment="0" applyProtection="0"/>
    <xf numFmtId="0" fontId="25" fillId="8" borderId="95" applyNumberFormat="0" applyAlignment="0" applyProtection="0"/>
    <xf numFmtId="0" fontId="25" fillId="8" borderId="95" applyNumberFormat="0" applyAlignment="0" applyProtection="0"/>
    <xf numFmtId="0" fontId="25" fillId="8" borderId="95" applyNumberFormat="0" applyAlignment="0" applyProtection="0"/>
    <xf numFmtId="0" fontId="25" fillId="8" borderId="95" applyNumberFormat="0" applyAlignment="0" applyProtection="0"/>
    <xf numFmtId="0" fontId="25" fillId="8" borderId="95" applyNumberFormat="0" applyAlignment="0" applyProtection="0"/>
    <xf numFmtId="0" fontId="25" fillId="8" borderId="95" applyNumberFormat="0" applyAlignment="0" applyProtection="0"/>
    <xf numFmtId="0" fontId="25" fillId="8" borderId="95" applyNumberFormat="0" applyAlignment="0" applyProtection="0"/>
    <xf numFmtId="0" fontId="25" fillId="8" borderId="95" applyNumberFormat="0" applyAlignment="0" applyProtection="0"/>
    <xf numFmtId="0" fontId="25" fillId="8" borderId="95" applyNumberFormat="0" applyAlignment="0" applyProtection="0"/>
    <xf numFmtId="0" fontId="25" fillId="8" borderId="95" applyNumberFormat="0" applyAlignment="0" applyProtection="0"/>
    <xf numFmtId="0" fontId="25" fillId="8" borderId="95" applyNumberFormat="0" applyAlignment="0" applyProtection="0"/>
    <xf numFmtId="0" fontId="25" fillId="8" borderId="95" applyNumberFormat="0" applyAlignment="0" applyProtection="0"/>
    <xf numFmtId="0" fontId="25" fillId="8" borderId="95" applyNumberFormat="0" applyAlignment="0" applyProtection="0"/>
    <xf numFmtId="0" fontId="25" fillId="8" borderId="95" applyNumberFormat="0" applyAlignment="0" applyProtection="0"/>
    <xf numFmtId="0" fontId="25" fillId="8" borderId="95" applyNumberFormat="0" applyAlignment="0" applyProtection="0"/>
    <xf numFmtId="0" fontId="25" fillId="8" borderId="95" applyNumberFormat="0" applyAlignment="0" applyProtection="0"/>
    <xf numFmtId="0" fontId="25" fillId="8" borderId="95" applyNumberFormat="0" applyAlignment="0" applyProtection="0"/>
    <xf numFmtId="0" fontId="84" fillId="73" borderId="99"/>
    <xf numFmtId="0" fontId="84" fillId="73" borderId="99"/>
    <xf numFmtId="0" fontId="84" fillId="73" borderId="99"/>
    <xf numFmtId="0" fontId="84" fillId="73" borderId="99"/>
    <xf numFmtId="0" fontId="84" fillId="73" borderId="99"/>
    <xf numFmtId="0" fontId="84" fillId="73" borderId="99"/>
    <xf numFmtId="0" fontId="84" fillId="73" borderId="99"/>
    <xf numFmtId="0" fontId="84" fillId="73" borderId="99"/>
    <xf numFmtId="0" fontId="84" fillId="73" borderId="99"/>
    <xf numFmtId="0" fontId="84" fillId="73" borderId="99"/>
    <xf numFmtId="0" fontId="84" fillId="73" borderId="99"/>
    <xf numFmtId="0" fontId="84" fillId="73" borderId="99"/>
    <xf numFmtId="0" fontId="84" fillId="73" borderId="99"/>
    <xf numFmtId="0" fontId="84" fillId="73" borderId="99"/>
    <xf numFmtId="0" fontId="84" fillId="73" borderId="99"/>
    <xf numFmtId="0" fontId="84" fillId="73" borderId="99"/>
    <xf numFmtId="0" fontId="84" fillId="73" borderId="99"/>
    <xf numFmtId="0" fontId="84" fillId="73" borderId="99"/>
    <xf numFmtId="0" fontId="84" fillId="73" borderId="99"/>
    <xf numFmtId="0" fontId="84" fillId="73" borderId="99"/>
    <xf numFmtId="0" fontId="84" fillId="73" borderId="99"/>
    <xf numFmtId="0" fontId="84" fillId="73" borderId="99"/>
    <xf numFmtId="0" fontId="84" fillId="73" borderId="99"/>
    <xf numFmtId="0" fontId="84" fillId="73" borderId="99"/>
    <xf numFmtId="0" fontId="84" fillId="73" borderId="99"/>
    <xf numFmtId="0" fontId="84" fillId="73" borderId="99"/>
    <xf numFmtId="0" fontId="84" fillId="73" borderId="99"/>
    <xf numFmtId="0" fontId="84" fillId="73" borderId="99"/>
    <xf numFmtId="0" fontId="84" fillId="73" borderId="99"/>
    <xf numFmtId="0" fontId="84" fillId="73" borderId="99"/>
    <xf numFmtId="0" fontId="84" fillId="73" borderId="99"/>
    <xf numFmtId="0" fontId="84" fillId="73" borderId="99"/>
    <xf numFmtId="0" fontId="84" fillId="73" borderId="99"/>
    <xf numFmtId="0" fontId="84" fillId="73" borderId="99"/>
    <xf numFmtId="0" fontId="84" fillId="73" borderId="99"/>
    <xf numFmtId="0" fontId="84" fillId="73" borderId="99"/>
    <xf numFmtId="0" fontId="84" fillId="73" borderId="99"/>
    <xf numFmtId="0" fontId="84" fillId="73" borderId="99"/>
    <xf numFmtId="0" fontId="84" fillId="73" borderId="99"/>
    <xf numFmtId="0" fontId="84" fillId="73" borderId="99"/>
    <xf numFmtId="0" fontId="84" fillId="73" borderId="99"/>
    <xf numFmtId="0" fontId="84" fillId="73" borderId="99"/>
    <xf numFmtId="0" fontId="84" fillId="73" borderId="99"/>
    <xf numFmtId="0" fontId="84" fillId="73" borderId="99"/>
    <xf numFmtId="0" fontId="84" fillId="73" borderId="99"/>
    <xf numFmtId="0" fontId="72" fillId="0" borderId="81" applyBorder="0">
      <alignment horizontal="center" vertical="center" wrapText="1"/>
    </xf>
    <xf numFmtId="0" fontId="72" fillId="0" borderId="81" applyBorder="0">
      <alignment horizontal="center" vertical="center" wrapText="1"/>
    </xf>
    <xf numFmtId="0" fontId="72" fillId="0" borderId="81" applyBorder="0">
      <alignment horizontal="center" vertical="center" wrapText="1"/>
    </xf>
    <xf numFmtId="0" fontId="72" fillId="0" borderId="81" applyBorder="0">
      <alignment horizontal="center" vertical="center" wrapText="1"/>
    </xf>
    <xf numFmtId="0" fontId="72" fillId="0" borderId="81" applyBorder="0">
      <alignment horizontal="center" vertical="center" wrapText="1"/>
    </xf>
    <xf numFmtId="0" fontId="72" fillId="0" borderId="81" applyBorder="0">
      <alignment horizontal="center" vertical="center" wrapText="1"/>
    </xf>
    <xf numFmtId="0" fontId="72" fillId="0" borderId="81" applyBorder="0">
      <alignment horizontal="center" vertical="center" wrapText="1"/>
    </xf>
    <xf numFmtId="0" fontId="72" fillId="0" borderId="81" applyBorder="0">
      <alignment horizontal="center" vertical="center" wrapText="1"/>
    </xf>
    <xf numFmtId="0" fontId="72" fillId="0" borderId="81" applyBorder="0">
      <alignment horizontal="center" vertical="center" wrapText="1"/>
    </xf>
    <xf numFmtId="0" fontId="72" fillId="0" borderId="81" applyBorder="0">
      <alignment horizontal="center" vertical="center" wrapText="1"/>
    </xf>
    <xf numFmtId="0" fontId="72" fillId="0" borderId="81" applyBorder="0">
      <alignment horizontal="center" vertical="center" wrapText="1"/>
    </xf>
    <xf numFmtId="0" fontId="72" fillId="0" borderId="81" applyBorder="0">
      <alignment horizontal="center" vertical="center" wrapText="1"/>
    </xf>
    <xf numFmtId="0" fontId="72" fillId="0" borderId="81" applyBorder="0">
      <alignment horizontal="center" vertical="center" wrapText="1"/>
    </xf>
    <xf numFmtId="0" fontId="72" fillId="0" borderId="81" applyBorder="0">
      <alignment horizontal="center" vertical="center" wrapText="1"/>
    </xf>
    <xf numFmtId="0" fontId="72" fillId="0" borderId="81" applyBorder="0">
      <alignment horizontal="center" vertical="center" wrapText="1"/>
    </xf>
    <xf numFmtId="0" fontId="72" fillId="0" borderId="81" applyBorder="0">
      <alignment horizontal="center" vertical="center" wrapText="1"/>
    </xf>
    <xf numFmtId="0" fontId="72" fillId="0" borderId="81" applyBorder="0">
      <alignment horizontal="center" vertical="center" wrapText="1"/>
    </xf>
    <xf numFmtId="0" fontId="72" fillId="0" borderId="81" applyBorder="0">
      <alignment horizontal="center" vertical="center" wrapText="1"/>
    </xf>
    <xf numFmtId="0" fontId="72" fillId="0" borderId="81" applyBorder="0">
      <alignment horizontal="center" vertical="center" wrapText="1"/>
    </xf>
    <xf numFmtId="0" fontId="72" fillId="0" borderId="81" applyBorder="0">
      <alignment horizontal="center" vertical="center" wrapText="1"/>
    </xf>
    <xf numFmtId="0" fontId="72" fillId="0" borderId="81" applyBorder="0">
      <alignment horizontal="center" vertical="center" wrapText="1"/>
    </xf>
    <xf numFmtId="0" fontId="72" fillId="0" borderId="81" applyBorder="0">
      <alignment horizontal="center" vertical="center" wrapText="1"/>
    </xf>
    <xf numFmtId="0" fontId="72" fillId="0" borderId="81" applyBorder="0">
      <alignment horizontal="center" vertical="center" wrapText="1"/>
    </xf>
    <xf numFmtId="0" fontId="72" fillId="0" borderId="81" applyBorder="0">
      <alignment horizontal="center" vertical="center" wrapText="1"/>
    </xf>
    <xf numFmtId="0" fontId="72" fillId="0" borderId="81" applyBorder="0">
      <alignment horizontal="center" vertical="center" wrapText="1"/>
    </xf>
    <xf numFmtId="0" fontId="72" fillId="0" borderId="81" applyBorder="0">
      <alignment horizontal="center" vertical="center" wrapText="1"/>
    </xf>
    <xf numFmtId="0" fontId="72" fillId="0" borderId="81" applyBorder="0">
      <alignment horizontal="center" vertical="center" wrapText="1"/>
    </xf>
    <xf numFmtId="0" fontId="72" fillId="0" borderId="81" applyBorder="0">
      <alignment horizontal="center" vertical="center" wrapText="1"/>
    </xf>
    <xf numFmtId="0" fontId="72" fillId="0" borderId="81" applyBorder="0">
      <alignment horizontal="center" vertical="center" wrapText="1"/>
    </xf>
    <xf numFmtId="0" fontId="72" fillId="0" borderId="81" applyBorder="0">
      <alignment horizontal="center" vertical="center" wrapText="1"/>
    </xf>
    <xf numFmtId="0" fontId="72" fillId="0" borderId="81" applyBorder="0">
      <alignment horizontal="center" vertical="center" wrapText="1"/>
    </xf>
    <xf numFmtId="0" fontId="72" fillId="0" borderId="81" applyBorder="0">
      <alignment horizontal="center" vertical="center" wrapText="1"/>
    </xf>
    <xf numFmtId="0" fontId="72" fillId="0" borderId="81" applyBorder="0">
      <alignment horizontal="center" vertical="center" wrapText="1"/>
    </xf>
    <xf numFmtId="0" fontId="72" fillId="0" borderId="81" applyBorder="0">
      <alignment horizontal="center" vertical="center" wrapText="1"/>
    </xf>
    <xf numFmtId="0" fontId="72" fillId="0" borderId="81" applyBorder="0">
      <alignment horizontal="center" vertical="center" wrapText="1"/>
    </xf>
    <xf numFmtId="0" fontId="72" fillId="0" borderId="81" applyBorder="0">
      <alignment horizontal="center" vertical="center" wrapText="1"/>
    </xf>
    <xf numFmtId="0" fontId="72" fillId="0" borderId="81" applyBorder="0">
      <alignment horizontal="center" vertical="center" wrapText="1"/>
    </xf>
    <xf numFmtId="0" fontId="72" fillId="0" borderId="81" applyBorder="0">
      <alignment horizontal="center" vertical="center" wrapText="1"/>
    </xf>
    <xf numFmtId="0" fontId="72" fillId="0" borderId="81" applyBorder="0">
      <alignment horizontal="center" vertical="center" wrapText="1"/>
    </xf>
    <xf numFmtId="0" fontId="72" fillId="0" borderId="81" applyBorder="0">
      <alignment horizontal="center" vertical="center" wrapText="1"/>
    </xf>
    <xf numFmtId="0" fontId="72" fillId="0" borderId="81" applyBorder="0">
      <alignment horizontal="center" vertical="center" wrapText="1"/>
    </xf>
    <xf numFmtId="0" fontId="72" fillId="0" borderId="81" applyBorder="0">
      <alignment horizontal="center" vertical="center" wrapText="1"/>
    </xf>
    <xf numFmtId="0" fontId="72" fillId="0" borderId="81" applyBorder="0">
      <alignment horizontal="center" vertical="center" wrapText="1"/>
    </xf>
    <xf numFmtId="0" fontId="72" fillId="0" borderId="81" applyBorder="0">
      <alignment horizontal="center" vertical="center" wrapText="1"/>
    </xf>
    <xf numFmtId="0" fontId="72" fillId="0" borderId="81" applyBorder="0">
      <alignment horizontal="center" vertical="center" wrapText="1"/>
    </xf>
    <xf numFmtId="0" fontId="72" fillId="0" borderId="81" applyBorder="0">
      <alignment horizontal="center" vertical="center" wrapText="1"/>
    </xf>
    <xf numFmtId="0" fontId="72" fillId="0" borderId="81" applyBorder="0">
      <alignment horizontal="center" vertical="center" wrapText="1"/>
    </xf>
    <xf numFmtId="0" fontId="72" fillId="0" borderId="81" applyBorder="0">
      <alignment horizontal="center" vertical="center" wrapText="1"/>
    </xf>
    <xf numFmtId="0" fontId="72" fillId="0" borderId="81" applyBorder="0">
      <alignment horizontal="center" vertical="center" wrapText="1"/>
    </xf>
    <xf numFmtId="0" fontId="72" fillId="0" borderId="81" applyBorder="0">
      <alignment horizontal="center" vertical="center" wrapText="1"/>
    </xf>
    <xf numFmtId="0" fontId="72" fillId="0" borderId="81" applyBorder="0">
      <alignment horizontal="center" vertical="center" wrapText="1"/>
    </xf>
    <xf numFmtId="0" fontId="72" fillId="0" borderId="81" applyBorder="0">
      <alignment horizontal="center" vertical="center" wrapText="1"/>
    </xf>
    <xf numFmtId="0" fontId="72" fillId="0" borderId="81" applyBorder="0">
      <alignment horizontal="center" vertical="center" wrapText="1"/>
    </xf>
    <xf numFmtId="0" fontId="72" fillId="0" borderId="81" applyBorder="0">
      <alignment horizontal="center" vertical="center" wrapText="1"/>
    </xf>
    <xf numFmtId="0" fontId="72" fillId="0" borderId="81" applyBorder="0">
      <alignment horizontal="center" vertical="center" wrapText="1"/>
    </xf>
    <xf numFmtId="0" fontId="72" fillId="0" borderId="81" applyBorder="0">
      <alignment horizontal="center" vertical="center" wrapText="1"/>
    </xf>
    <xf numFmtId="0" fontId="72" fillId="0" borderId="81" applyBorder="0">
      <alignment horizontal="center" vertical="center" wrapText="1"/>
    </xf>
    <xf numFmtId="0" fontId="72" fillId="0" borderId="81" applyBorder="0">
      <alignment horizontal="center" vertical="center" wrapText="1"/>
    </xf>
    <xf numFmtId="0" fontId="72" fillId="0" borderId="81" applyBorder="0">
      <alignment horizontal="center" vertical="center" wrapText="1"/>
    </xf>
    <xf numFmtId="0" fontId="72" fillId="0" borderId="81" applyBorder="0">
      <alignment horizontal="center" vertical="center" wrapText="1"/>
    </xf>
    <xf numFmtId="0" fontId="31" fillId="0" borderId="192" applyNumberFormat="0" applyFill="0" applyAlignment="0" applyProtection="0"/>
    <xf numFmtId="0" fontId="31" fillId="0" borderId="200" applyNumberFormat="0" applyFill="0" applyAlignment="0" applyProtection="0"/>
    <xf numFmtId="0" fontId="29" fillId="24" borderId="193" applyNumberFormat="0" applyAlignment="0" applyProtection="0"/>
    <xf numFmtId="0" fontId="28" fillId="10" borderId="195" applyNumberFormat="0" applyFont="0" applyAlignment="0" applyProtection="0"/>
    <xf numFmtId="0" fontId="24" fillId="24" borderId="205" applyNumberFormat="0" applyAlignment="0" applyProtection="0"/>
    <xf numFmtId="0" fontId="29" fillId="24" borderId="146" applyNumberFormat="0" applyAlignment="0" applyProtection="0"/>
    <xf numFmtId="0" fontId="31" fillId="0" borderId="151" applyNumberFormat="0" applyFill="0" applyAlignment="0" applyProtection="0"/>
    <xf numFmtId="0" fontId="31" fillId="0" borderId="151" applyNumberFormat="0" applyFill="0" applyAlignment="0" applyProtection="0"/>
    <xf numFmtId="0" fontId="18" fillId="10" borderId="188" applyNumberFormat="0" applyFont="0" applyAlignment="0" applyProtection="0"/>
    <xf numFmtId="0" fontId="49" fillId="10" borderId="103" applyNumberFormat="0" applyFont="0" applyAlignment="0" applyProtection="0"/>
    <xf numFmtId="0" fontId="48" fillId="12" borderId="102" applyNumberFormat="0" applyAlignment="0" applyProtection="0"/>
    <xf numFmtId="0" fontId="25" fillId="8" borderId="102" applyNumberFormat="0" applyAlignment="0" applyProtection="0"/>
    <xf numFmtId="0" fontId="31" fillId="0" borderId="100" applyNumberFormat="0" applyFill="0" applyAlignment="0" applyProtection="0"/>
    <xf numFmtId="0" fontId="31" fillId="0" borderId="105" applyNumberFormat="0" applyFill="0" applyAlignment="0" applyProtection="0"/>
    <xf numFmtId="0" fontId="24" fillId="24" borderId="104" applyNumberFormat="0" applyAlignment="0" applyProtection="0"/>
    <xf numFmtId="0" fontId="8" fillId="10" borderId="103" applyNumberFormat="0" applyFont="0" applyAlignment="0" applyProtection="0"/>
    <xf numFmtId="0" fontId="41" fillId="13" borderId="102" applyNumberFormat="0" applyAlignment="0" applyProtection="0"/>
    <xf numFmtId="0" fontId="48" fillId="12" borderId="102" applyNumberFormat="0" applyAlignment="0" applyProtection="0"/>
    <xf numFmtId="0" fontId="48" fillId="24" borderId="102" applyNumberFormat="0" applyAlignment="0" applyProtection="0"/>
    <xf numFmtId="0" fontId="31" fillId="0" borderId="100" applyNumberFormat="0" applyFill="0" applyAlignment="0" applyProtection="0"/>
    <xf numFmtId="0" fontId="48" fillId="24" borderId="102" applyNumberFormat="0" applyAlignment="0" applyProtection="0"/>
    <xf numFmtId="0" fontId="49" fillId="10" borderId="103" applyNumberFormat="0" applyFont="0" applyAlignment="0" applyProtection="0"/>
    <xf numFmtId="0" fontId="29" fillId="12" borderId="101" applyNumberFormat="0" applyAlignment="0" applyProtection="0"/>
    <xf numFmtId="0" fontId="8" fillId="10" borderId="103" applyNumberFormat="0" applyFont="0" applyAlignment="0" applyProtection="0"/>
    <xf numFmtId="0" fontId="8" fillId="10" borderId="96" applyNumberFormat="0" applyFont="0" applyAlignment="0" applyProtection="0"/>
    <xf numFmtId="0" fontId="49" fillId="10" borderId="96" applyNumberFormat="0" applyFont="0" applyAlignment="0" applyProtection="0"/>
    <xf numFmtId="0" fontId="31" fillId="0" borderId="98" applyNumberFormat="0" applyFill="0" applyAlignment="0" applyProtection="0"/>
    <xf numFmtId="0" fontId="31" fillId="0" borderId="100" applyNumberFormat="0" applyFill="0" applyAlignment="0" applyProtection="0"/>
    <xf numFmtId="0" fontId="31" fillId="0" borderId="105" applyNumberFormat="0" applyFill="0" applyAlignment="0" applyProtection="0"/>
    <xf numFmtId="0" fontId="31" fillId="0" borderId="100" applyNumberFormat="0" applyFill="0" applyAlignment="0" applyProtection="0"/>
    <xf numFmtId="0" fontId="25" fillId="13" borderId="194" applyNumberFormat="0" applyAlignment="0" applyProtection="0"/>
    <xf numFmtId="0" fontId="31" fillId="0" borderId="140" applyNumberFormat="0" applyFill="0" applyAlignment="0" applyProtection="0"/>
    <xf numFmtId="0" fontId="24" fillId="24" borderId="196" applyNumberFormat="0" applyAlignment="0" applyProtection="0"/>
    <xf numFmtId="0" fontId="48" fillId="12" borderId="167" applyNumberFormat="0" applyAlignment="0" applyProtection="0"/>
    <xf numFmtId="0" fontId="31" fillId="0" borderId="185" applyNumberFormat="0" applyFill="0" applyAlignment="0" applyProtection="0"/>
    <xf numFmtId="0" fontId="31" fillId="0" borderId="184" applyNumberFormat="0" applyFill="0" applyAlignment="0" applyProtection="0"/>
    <xf numFmtId="0" fontId="31" fillId="0" borderId="137" applyNumberFormat="0" applyFill="0" applyAlignment="0" applyProtection="0"/>
    <xf numFmtId="0" fontId="29" fillId="24" borderId="146" applyNumberFormat="0" applyAlignment="0" applyProtection="0"/>
    <xf numFmtId="0" fontId="24" fillId="24" borderId="162" applyNumberFormat="0" applyAlignment="0" applyProtection="0"/>
    <xf numFmtId="0" fontId="72" fillId="0" borderId="109" applyBorder="0">
      <alignment horizontal="center" vertical="center" wrapText="1"/>
    </xf>
    <xf numFmtId="0" fontId="28" fillId="10" borderId="154" applyNumberFormat="0" applyFont="0" applyAlignment="0" applyProtection="0"/>
    <xf numFmtId="0" fontId="48" fillId="12" borderId="194" applyNumberFormat="0" applyAlignment="0" applyProtection="0"/>
    <xf numFmtId="0" fontId="25" fillId="13" borderId="118" applyNumberFormat="0" applyAlignment="0" applyProtection="0"/>
    <xf numFmtId="0" fontId="72" fillId="0" borderId="109" applyBorder="0">
      <alignment horizontal="center" vertical="center" wrapText="1"/>
    </xf>
    <xf numFmtId="0" fontId="72" fillId="0" borderId="109" applyBorder="0">
      <alignment horizontal="center" vertical="center" wrapText="1"/>
    </xf>
    <xf numFmtId="0" fontId="72" fillId="0" borderId="109" applyBorder="0">
      <alignment horizontal="center" vertical="center" wrapText="1"/>
    </xf>
    <xf numFmtId="0" fontId="72" fillId="0" borderId="109" applyBorder="0">
      <alignment horizontal="center" vertical="center" wrapText="1"/>
    </xf>
    <xf numFmtId="0" fontId="72" fillId="0" borderId="109" applyBorder="0">
      <alignment horizontal="center" vertical="center" wrapText="1"/>
    </xf>
    <xf numFmtId="0" fontId="72" fillId="0" borderId="109" applyBorder="0">
      <alignment horizontal="center" vertical="center" wrapText="1"/>
    </xf>
    <xf numFmtId="0" fontId="72" fillId="0" borderId="109" applyBorder="0">
      <alignment horizontal="center" vertical="center" wrapText="1"/>
    </xf>
    <xf numFmtId="0" fontId="72" fillId="0" borderId="109" applyBorder="0">
      <alignment horizontal="center" vertical="center" wrapText="1"/>
    </xf>
    <xf numFmtId="0" fontId="72" fillId="0" borderId="109" applyBorder="0">
      <alignment horizontal="center" vertical="center" wrapText="1"/>
    </xf>
    <xf numFmtId="0" fontId="72" fillId="0" borderId="109" applyBorder="0">
      <alignment horizontal="center" vertical="center" wrapText="1"/>
    </xf>
    <xf numFmtId="0" fontId="72" fillId="0" borderId="109" applyBorder="0">
      <alignment horizontal="center" vertical="center" wrapText="1"/>
    </xf>
    <xf numFmtId="0" fontId="72" fillId="0" borderId="109" applyBorder="0">
      <alignment horizontal="center" vertical="center" wrapText="1"/>
    </xf>
    <xf numFmtId="0" fontId="72" fillId="0" borderId="109" applyBorder="0">
      <alignment horizontal="center" vertical="center" wrapText="1"/>
    </xf>
    <xf numFmtId="0" fontId="72" fillId="0" borderId="109" applyBorder="0">
      <alignment horizontal="center" vertical="center" wrapText="1"/>
    </xf>
    <xf numFmtId="0" fontId="72" fillId="0" borderId="109" applyBorder="0">
      <alignment horizontal="center" vertical="center" wrapText="1"/>
    </xf>
    <xf numFmtId="0" fontId="72" fillId="0" borderId="109" applyBorder="0">
      <alignment horizontal="center" vertical="center" wrapText="1"/>
    </xf>
    <xf numFmtId="0" fontId="72" fillId="0" borderId="109" applyBorder="0">
      <alignment horizontal="center" vertical="center" wrapText="1"/>
    </xf>
    <xf numFmtId="0" fontId="72" fillId="0" borderId="109" applyBorder="0">
      <alignment horizontal="center" vertical="center" wrapText="1"/>
    </xf>
    <xf numFmtId="0" fontId="72" fillId="0" borderId="109" applyBorder="0">
      <alignment horizontal="center" vertical="center" wrapText="1"/>
    </xf>
    <xf numFmtId="0" fontId="72" fillId="0" borderId="109" applyBorder="0">
      <alignment horizontal="center" vertical="center" wrapText="1"/>
    </xf>
    <xf numFmtId="0" fontId="72" fillId="0" borderId="109" applyBorder="0">
      <alignment horizontal="center" vertical="center" wrapText="1"/>
    </xf>
    <xf numFmtId="0" fontId="72" fillId="0" borderId="109" applyBorder="0">
      <alignment horizontal="center" vertical="center" wrapText="1"/>
    </xf>
    <xf numFmtId="0" fontId="72" fillId="0" borderId="109" applyBorder="0">
      <alignment horizontal="center" vertical="center" wrapText="1"/>
    </xf>
    <xf numFmtId="0" fontId="72" fillId="0" borderId="109" applyBorder="0">
      <alignment horizontal="center" vertical="center" wrapText="1"/>
    </xf>
    <xf numFmtId="0" fontId="72" fillId="0" borderId="109" applyBorder="0">
      <alignment horizontal="center" vertical="center" wrapText="1"/>
    </xf>
    <xf numFmtId="0" fontId="72" fillId="0" borderId="109" applyBorder="0">
      <alignment horizontal="center" vertical="center" wrapText="1"/>
    </xf>
    <xf numFmtId="0" fontId="72" fillId="0" borderId="109" applyBorder="0">
      <alignment horizontal="center" vertical="center" wrapText="1"/>
    </xf>
    <xf numFmtId="0" fontId="72" fillId="0" borderId="109" applyBorder="0">
      <alignment horizontal="center" vertical="center" wrapText="1"/>
    </xf>
    <xf numFmtId="0" fontId="72" fillId="0" borderId="109" applyBorder="0">
      <alignment horizontal="center" vertical="center" wrapText="1"/>
    </xf>
    <xf numFmtId="0" fontId="72" fillId="0" borderId="109" applyBorder="0">
      <alignment horizontal="center" vertical="center" wrapText="1"/>
    </xf>
    <xf numFmtId="0" fontId="48" fillId="24" borderId="111" applyNumberFormat="0" applyAlignment="0" applyProtection="0"/>
    <xf numFmtId="0" fontId="48" fillId="24" borderId="111" applyNumberFormat="0" applyAlignment="0" applyProtection="0"/>
    <xf numFmtId="0" fontId="48" fillId="24" borderId="111" applyNumberFormat="0" applyAlignment="0" applyProtection="0"/>
    <xf numFmtId="0" fontId="48" fillId="24" borderId="111" applyNumberFormat="0" applyAlignment="0" applyProtection="0"/>
    <xf numFmtId="0" fontId="48" fillId="24" borderId="111" applyNumberFormat="0" applyAlignment="0" applyProtection="0"/>
    <xf numFmtId="0" fontId="48" fillId="24" borderId="111" applyNumberFormat="0" applyAlignment="0" applyProtection="0"/>
    <xf numFmtId="0" fontId="48" fillId="24" borderId="111" applyNumberFormat="0" applyAlignment="0" applyProtection="0"/>
    <xf numFmtId="0" fontId="48" fillId="24" borderId="111" applyNumberFormat="0" applyAlignment="0" applyProtection="0"/>
    <xf numFmtId="0" fontId="48" fillId="24" borderId="111" applyNumberFormat="0" applyAlignment="0" applyProtection="0"/>
    <xf numFmtId="0" fontId="48" fillId="24" borderId="111" applyNumberFormat="0" applyAlignment="0" applyProtection="0"/>
    <xf numFmtId="0" fontId="48" fillId="24" borderId="111" applyNumberFormat="0" applyAlignment="0" applyProtection="0"/>
    <xf numFmtId="0" fontId="48" fillId="24" borderId="111" applyNumberFormat="0" applyAlignment="0" applyProtection="0"/>
    <xf numFmtId="0" fontId="48" fillId="24" borderId="111" applyNumberFormat="0" applyAlignment="0" applyProtection="0"/>
    <xf numFmtId="0" fontId="48" fillId="24" borderId="111" applyNumberFormat="0" applyAlignment="0" applyProtection="0"/>
    <xf numFmtId="0" fontId="48" fillId="24" borderId="111" applyNumberFormat="0" applyAlignment="0" applyProtection="0"/>
    <xf numFmtId="0" fontId="48" fillId="24" borderId="111" applyNumberFormat="0" applyAlignment="0" applyProtection="0"/>
    <xf numFmtId="0" fontId="48" fillId="24" borderId="111" applyNumberFormat="0" applyAlignment="0" applyProtection="0"/>
    <xf numFmtId="0" fontId="48" fillId="24" borderId="111" applyNumberFormat="0" applyAlignment="0" applyProtection="0"/>
    <xf numFmtId="0" fontId="48" fillId="24" borderId="111" applyNumberFormat="0" applyAlignment="0" applyProtection="0"/>
    <xf numFmtId="0" fontId="48" fillId="24" borderId="111" applyNumberFormat="0" applyAlignment="0" applyProtection="0"/>
    <xf numFmtId="0" fontId="48" fillId="24" borderId="111" applyNumberFormat="0" applyAlignment="0" applyProtection="0"/>
    <xf numFmtId="0" fontId="48" fillId="24" borderId="111" applyNumberFormat="0" applyAlignment="0" applyProtection="0"/>
    <xf numFmtId="0" fontId="48" fillId="24" borderId="111" applyNumberFormat="0" applyAlignment="0" applyProtection="0"/>
    <xf numFmtId="0" fontId="48" fillId="24" borderId="111" applyNumberFormat="0" applyAlignment="0" applyProtection="0"/>
    <xf numFmtId="0" fontId="48" fillId="24" borderId="111" applyNumberFormat="0" applyAlignment="0" applyProtection="0"/>
    <xf numFmtId="0" fontId="48" fillId="24" borderId="111" applyNumberFormat="0" applyAlignment="0" applyProtection="0"/>
    <xf numFmtId="0" fontId="48" fillId="24" borderId="111" applyNumberFormat="0" applyAlignment="0" applyProtection="0"/>
    <xf numFmtId="0" fontId="48" fillId="24" borderId="111" applyNumberFormat="0" applyAlignment="0" applyProtection="0"/>
    <xf numFmtId="0" fontId="48" fillId="24" borderId="111" applyNumberFormat="0" applyAlignment="0" applyProtection="0"/>
    <xf numFmtId="0" fontId="48" fillId="24" borderId="111" applyNumberFormat="0" applyAlignment="0" applyProtection="0"/>
    <xf numFmtId="0" fontId="48" fillId="24" borderId="111" applyNumberFormat="0" applyAlignment="0" applyProtection="0"/>
    <xf numFmtId="0" fontId="48" fillId="24" borderId="111" applyNumberFormat="0" applyAlignment="0" applyProtection="0"/>
    <xf numFmtId="0" fontId="48" fillId="24" borderId="111" applyNumberFormat="0" applyAlignment="0" applyProtection="0"/>
    <xf numFmtId="0" fontId="48" fillId="24" borderId="111" applyNumberFormat="0" applyAlignment="0" applyProtection="0"/>
    <xf numFmtId="0" fontId="48" fillId="24" borderId="111" applyNumberFormat="0" applyAlignment="0" applyProtection="0"/>
    <xf numFmtId="0" fontId="48" fillId="24" borderId="111" applyNumberFormat="0" applyAlignment="0" applyProtection="0"/>
    <xf numFmtId="0" fontId="48" fillId="24" borderId="111" applyNumberFormat="0" applyAlignment="0" applyProtection="0"/>
    <xf numFmtId="0" fontId="48" fillId="24" borderId="111" applyNumberFormat="0" applyAlignment="0" applyProtection="0"/>
    <xf numFmtId="0" fontId="48" fillId="24" borderId="111" applyNumberFormat="0" applyAlignment="0" applyProtection="0"/>
    <xf numFmtId="0" fontId="48" fillId="24" borderId="111" applyNumberFormat="0" applyAlignment="0" applyProtection="0"/>
    <xf numFmtId="0" fontId="48" fillId="24" borderId="111" applyNumberFormat="0" applyAlignment="0" applyProtection="0"/>
    <xf numFmtId="0" fontId="48" fillId="24" borderId="111" applyNumberFormat="0" applyAlignment="0" applyProtection="0"/>
    <xf numFmtId="0" fontId="48" fillId="24" borderId="111" applyNumberFormat="0" applyAlignment="0" applyProtection="0"/>
    <xf numFmtId="0" fontId="48" fillId="24" borderId="111" applyNumberFormat="0" applyAlignment="0" applyProtection="0"/>
    <xf numFmtId="0" fontId="48" fillId="24" borderId="111" applyNumberFormat="0" applyAlignment="0" applyProtection="0"/>
    <xf numFmtId="0" fontId="48" fillId="24" borderId="111" applyNumberFormat="0" applyAlignment="0" applyProtection="0"/>
    <xf numFmtId="0" fontId="48" fillId="24" borderId="111" applyNumberFormat="0" applyAlignment="0" applyProtection="0"/>
    <xf numFmtId="0" fontId="48" fillId="24" borderId="111" applyNumberFormat="0" applyAlignment="0" applyProtection="0"/>
    <xf numFmtId="0" fontId="48" fillId="24" borderId="111" applyNumberFormat="0" applyAlignment="0" applyProtection="0"/>
    <xf numFmtId="0" fontId="48" fillId="24" borderId="111" applyNumberFormat="0" applyAlignment="0" applyProtection="0"/>
    <xf numFmtId="0" fontId="48" fillId="24" borderId="111" applyNumberFormat="0" applyAlignment="0" applyProtection="0"/>
    <xf numFmtId="0" fontId="48" fillId="24" borderId="111" applyNumberFormat="0" applyAlignment="0" applyProtection="0"/>
    <xf numFmtId="0" fontId="48" fillId="24" borderId="111" applyNumberFormat="0" applyAlignment="0" applyProtection="0"/>
    <xf numFmtId="0" fontId="48" fillId="24" borderId="111" applyNumberFormat="0" applyAlignment="0" applyProtection="0"/>
    <xf numFmtId="0" fontId="48" fillId="24" borderId="111" applyNumberFormat="0" applyAlignment="0" applyProtection="0"/>
    <xf numFmtId="0" fontId="48" fillId="24" borderId="111" applyNumberFormat="0" applyAlignment="0" applyProtection="0"/>
    <xf numFmtId="0" fontId="48" fillId="24" borderId="111" applyNumberFormat="0" applyAlignment="0" applyProtection="0"/>
    <xf numFmtId="0" fontId="48" fillId="24" borderId="111" applyNumberFormat="0" applyAlignment="0" applyProtection="0"/>
    <xf numFmtId="0" fontId="48" fillId="24" borderId="111" applyNumberFormat="0" applyAlignment="0" applyProtection="0"/>
    <xf numFmtId="0" fontId="48" fillId="24" borderId="111" applyNumberFormat="0" applyAlignment="0" applyProtection="0"/>
    <xf numFmtId="0" fontId="48" fillId="24" borderId="111" applyNumberFormat="0" applyAlignment="0" applyProtection="0"/>
    <xf numFmtId="0" fontId="48" fillId="24" borderId="111" applyNumberFormat="0" applyAlignment="0" applyProtection="0"/>
    <xf numFmtId="0" fontId="48" fillId="24" borderId="111" applyNumberFormat="0" applyAlignment="0" applyProtection="0"/>
    <xf numFmtId="0" fontId="48" fillId="24" borderId="111" applyNumberFormat="0" applyAlignment="0" applyProtection="0"/>
    <xf numFmtId="0" fontId="48" fillId="24" borderId="111" applyNumberFormat="0" applyAlignment="0" applyProtection="0"/>
    <xf numFmtId="0" fontId="48" fillId="24" borderId="111" applyNumberFormat="0" applyAlignment="0" applyProtection="0"/>
    <xf numFmtId="0" fontId="48" fillId="24" borderId="111" applyNumberFormat="0" applyAlignment="0" applyProtection="0"/>
    <xf numFmtId="0" fontId="48" fillId="24" borderId="111" applyNumberFormat="0" applyAlignment="0" applyProtection="0"/>
    <xf numFmtId="0" fontId="48" fillId="24" borderId="111" applyNumberFormat="0" applyAlignment="0" applyProtection="0"/>
    <xf numFmtId="0" fontId="48" fillId="24" borderId="111" applyNumberFormat="0" applyAlignment="0" applyProtection="0"/>
    <xf numFmtId="0" fontId="48" fillId="24" borderId="111" applyNumberFormat="0" applyAlignment="0" applyProtection="0"/>
    <xf numFmtId="0" fontId="48" fillId="24" borderId="111" applyNumberFormat="0" applyAlignment="0" applyProtection="0"/>
    <xf numFmtId="0" fontId="48" fillId="24" borderId="111" applyNumberFormat="0" applyAlignment="0" applyProtection="0"/>
    <xf numFmtId="0" fontId="48" fillId="24" borderId="111" applyNumberFormat="0" applyAlignment="0" applyProtection="0"/>
    <xf numFmtId="0" fontId="48" fillId="24" borderId="111" applyNumberFormat="0" applyAlignment="0" applyProtection="0"/>
    <xf numFmtId="0" fontId="48" fillId="24" borderId="111" applyNumberFormat="0" applyAlignment="0" applyProtection="0"/>
    <xf numFmtId="0" fontId="48" fillId="24" borderId="111" applyNumberFormat="0" applyAlignment="0" applyProtection="0"/>
    <xf numFmtId="0" fontId="48" fillId="24" borderId="111" applyNumberFormat="0" applyAlignment="0" applyProtection="0"/>
    <xf numFmtId="0" fontId="32" fillId="24" borderId="111" applyNumberFormat="0" applyAlignment="0" applyProtection="0"/>
    <xf numFmtId="0" fontId="32" fillId="24" borderId="111" applyNumberFormat="0" applyAlignment="0" applyProtection="0"/>
    <xf numFmtId="0" fontId="32" fillId="24" borderId="111" applyNumberFormat="0" applyAlignment="0" applyProtection="0"/>
    <xf numFmtId="0" fontId="32" fillId="24" borderId="111" applyNumberFormat="0" applyAlignment="0" applyProtection="0"/>
    <xf numFmtId="0" fontId="32" fillId="24" borderId="111" applyNumberFormat="0" applyAlignment="0" applyProtection="0"/>
    <xf numFmtId="0" fontId="32" fillId="24" borderId="111" applyNumberFormat="0" applyAlignment="0" applyProtection="0"/>
    <xf numFmtId="0" fontId="32" fillId="24" borderId="111" applyNumberFormat="0" applyAlignment="0" applyProtection="0"/>
    <xf numFmtId="0" fontId="32" fillId="24" borderId="111" applyNumberFormat="0" applyAlignment="0" applyProtection="0"/>
    <xf numFmtId="0" fontId="32" fillId="24" borderId="111" applyNumberFormat="0" applyAlignment="0" applyProtection="0"/>
    <xf numFmtId="0" fontId="32" fillId="24" borderId="111" applyNumberFormat="0" applyAlignment="0" applyProtection="0"/>
    <xf numFmtId="0" fontId="32" fillId="24" borderId="111" applyNumberFormat="0" applyAlignment="0" applyProtection="0"/>
    <xf numFmtId="0" fontId="32" fillId="24" borderId="111" applyNumberFormat="0" applyAlignment="0" applyProtection="0"/>
    <xf numFmtId="0" fontId="32" fillId="24" borderId="111" applyNumberFormat="0" applyAlignment="0" applyProtection="0"/>
    <xf numFmtId="0" fontId="32" fillId="24" borderId="111" applyNumberFormat="0" applyAlignment="0" applyProtection="0"/>
    <xf numFmtId="0" fontId="32" fillId="24" borderId="111" applyNumberFormat="0" applyAlignment="0" applyProtection="0"/>
    <xf numFmtId="0" fontId="32" fillId="24" borderId="111" applyNumberFormat="0" applyAlignment="0" applyProtection="0"/>
    <xf numFmtId="0" fontId="32" fillId="24" borderId="111" applyNumberFormat="0" applyAlignment="0" applyProtection="0"/>
    <xf numFmtId="0" fontId="32" fillId="24" borderId="111" applyNumberFormat="0" applyAlignment="0" applyProtection="0"/>
    <xf numFmtId="0" fontId="32" fillId="24" borderId="111" applyNumberFormat="0" applyAlignment="0" applyProtection="0"/>
    <xf numFmtId="0" fontId="32" fillId="24" borderId="111" applyNumberFormat="0" applyAlignment="0" applyProtection="0"/>
    <xf numFmtId="0" fontId="32" fillId="24" borderId="111" applyNumberFormat="0" applyAlignment="0" applyProtection="0"/>
    <xf numFmtId="0" fontId="32" fillId="24" borderId="111" applyNumberFormat="0" applyAlignment="0" applyProtection="0"/>
    <xf numFmtId="0" fontId="32" fillId="24" borderId="111" applyNumberFormat="0" applyAlignment="0" applyProtection="0"/>
    <xf numFmtId="0" fontId="32" fillId="24" borderId="111" applyNumberFormat="0" applyAlignment="0" applyProtection="0"/>
    <xf numFmtId="0" fontId="32" fillId="24" borderId="111" applyNumberFormat="0" applyAlignment="0" applyProtection="0"/>
    <xf numFmtId="0" fontId="32" fillId="24" borderId="111" applyNumberFormat="0" applyAlignment="0" applyProtection="0"/>
    <xf numFmtId="0" fontId="32" fillId="24" borderId="111" applyNumberFormat="0" applyAlignment="0" applyProtection="0"/>
    <xf numFmtId="0" fontId="32" fillId="24" borderId="111" applyNumberFormat="0" applyAlignment="0" applyProtection="0"/>
    <xf numFmtId="0" fontId="32" fillId="24" borderId="111" applyNumberFormat="0" applyAlignment="0" applyProtection="0"/>
    <xf numFmtId="0" fontId="32" fillId="24" borderId="111" applyNumberFormat="0" applyAlignment="0" applyProtection="0"/>
    <xf numFmtId="0" fontId="32" fillId="24" borderId="111" applyNumberFormat="0" applyAlignment="0" applyProtection="0"/>
    <xf numFmtId="0" fontId="32" fillId="24" borderId="111" applyNumberFormat="0" applyAlignment="0" applyProtection="0"/>
    <xf numFmtId="0" fontId="32" fillId="24" borderId="111" applyNumberFormat="0" applyAlignment="0" applyProtection="0"/>
    <xf numFmtId="0" fontId="32" fillId="24" borderId="111" applyNumberFormat="0" applyAlignment="0" applyProtection="0"/>
    <xf numFmtId="0" fontId="32" fillId="24" borderId="111" applyNumberFormat="0" applyAlignment="0" applyProtection="0"/>
    <xf numFmtId="0" fontId="32" fillId="24" borderId="111" applyNumberFormat="0" applyAlignment="0" applyProtection="0"/>
    <xf numFmtId="0" fontId="32" fillId="24" borderId="111" applyNumberFormat="0" applyAlignment="0" applyProtection="0"/>
    <xf numFmtId="0" fontId="32" fillId="24" borderId="111" applyNumberFormat="0" applyAlignment="0" applyProtection="0"/>
    <xf numFmtId="0" fontId="32" fillId="24" borderId="111" applyNumberFormat="0" applyAlignment="0" applyProtection="0"/>
    <xf numFmtId="0" fontId="32" fillId="24" borderId="111" applyNumberFormat="0" applyAlignment="0" applyProtection="0"/>
    <xf numFmtId="0" fontId="32" fillId="24" borderId="111" applyNumberFormat="0" applyAlignment="0" applyProtection="0"/>
    <xf numFmtId="0" fontId="32" fillId="24" borderId="111" applyNumberFormat="0" applyAlignment="0" applyProtection="0"/>
    <xf numFmtId="0" fontId="32" fillId="24" borderId="111" applyNumberFormat="0" applyAlignment="0" applyProtection="0"/>
    <xf numFmtId="0" fontId="32" fillId="24" borderId="111" applyNumberFormat="0" applyAlignment="0" applyProtection="0"/>
    <xf numFmtId="0" fontId="32" fillId="24" borderId="111" applyNumberFormat="0" applyAlignment="0" applyProtection="0"/>
    <xf numFmtId="0" fontId="32" fillId="24" borderId="111" applyNumberFormat="0" applyAlignment="0" applyProtection="0"/>
    <xf numFmtId="0" fontId="32" fillId="24" borderId="111" applyNumberFormat="0" applyAlignment="0" applyProtection="0"/>
    <xf numFmtId="0" fontId="32" fillId="24" borderId="111" applyNumberFormat="0" applyAlignment="0" applyProtection="0"/>
    <xf numFmtId="0" fontId="32" fillId="24" borderId="111" applyNumberFormat="0" applyAlignment="0" applyProtection="0"/>
    <xf numFmtId="0" fontId="16" fillId="24" borderId="111" applyNumberFormat="0" applyAlignment="0" applyProtection="0"/>
    <xf numFmtId="0" fontId="16" fillId="24" borderId="111" applyNumberFormat="0" applyAlignment="0" applyProtection="0"/>
    <xf numFmtId="0" fontId="16" fillId="24" borderId="111" applyNumberFormat="0" applyAlignment="0" applyProtection="0"/>
    <xf numFmtId="0" fontId="16" fillId="24" borderId="111" applyNumberFormat="0" applyAlignment="0" applyProtection="0"/>
    <xf numFmtId="0" fontId="16" fillId="24" borderId="111" applyNumberFormat="0" applyAlignment="0" applyProtection="0"/>
    <xf numFmtId="0" fontId="16" fillId="24" borderId="111" applyNumberFormat="0" applyAlignment="0" applyProtection="0"/>
    <xf numFmtId="0" fontId="16" fillId="24" borderId="111" applyNumberFormat="0" applyAlignment="0" applyProtection="0"/>
    <xf numFmtId="0" fontId="16" fillId="24" borderId="111" applyNumberFormat="0" applyAlignment="0" applyProtection="0"/>
    <xf numFmtId="0" fontId="16" fillId="24" borderId="111" applyNumberFormat="0" applyAlignment="0" applyProtection="0"/>
    <xf numFmtId="0" fontId="16" fillId="24" borderId="111" applyNumberFormat="0" applyAlignment="0" applyProtection="0"/>
    <xf numFmtId="0" fontId="16" fillId="24" borderId="111" applyNumberFormat="0" applyAlignment="0" applyProtection="0"/>
    <xf numFmtId="0" fontId="16" fillId="24" borderId="111" applyNumberFormat="0" applyAlignment="0" applyProtection="0"/>
    <xf numFmtId="0" fontId="16" fillId="24" borderId="111" applyNumberFormat="0" applyAlignment="0" applyProtection="0"/>
    <xf numFmtId="0" fontId="16" fillId="24" borderId="111" applyNumberFormat="0" applyAlignment="0" applyProtection="0"/>
    <xf numFmtId="0" fontId="16" fillId="24" borderId="111" applyNumberFormat="0" applyAlignment="0" applyProtection="0"/>
    <xf numFmtId="0" fontId="16" fillId="24" borderId="111" applyNumberFormat="0" applyAlignment="0" applyProtection="0"/>
    <xf numFmtId="0" fontId="16" fillId="24" borderId="111" applyNumberFormat="0" applyAlignment="0" applyProtection="0"/>
    <xf numFmtId="0" fontId="16" fillId="24" borderId="111" applyNumberFormat="0" applyAlignment="0" applyProtection="0"/>
    <xf numFmtId="0" fontId="16" fillId="24" borderId="111" applyNumberFormat="0" applyAlignment="0" applyProtection="0"/>
    <xf numFmtId="0" fontId="16" fillId="24" borderId="111" applyNumberFormat="0" applyAlignment="0" applyProtection="0"/>
    <xf numFmtId="0" fontId="16" fillId="24" borderId="111" applyNumberFormat="0" applyAlignment="0" applyProtection="0"/>
    <xf numFmtId="0" fontId="16" fillId="24" borderId="111" applyNumberFormat="0" applyAlignment="0" applyProtection="0"/>
    <xf numFmtId="0" fontId="16" fillId="24" borderId="111" applyNumberFormat="0" applyAlignment="0" applyProtection="0"/>
    <xf numFmtId="0" fontId="16" fillId="24" borderId="111" applyNumberFormat="0" applyAlignment="0" applyProtection="0"/>
    <xf numFmtId="0" fontId="16" fillId="24" borderId="111" applyNumberFormat="0" applyAlignment="0" applyProtection="0"/>
    <xf numFmtId="0" fontId="16" fillId="24" borderId="111" applyNumberFormat="0" applyAlignment="0" applyProtection="0"/>
    <xf numFmtId="0" fontId="16" fillId="24" borderId="111" applyNumberFormat="0" applyAlignment="0" applyProtection="0"/>
    <xf numFmtId="0" fontId="16" fillId="24" borderId="111" applyNumberFormat="0" applyAlignment="0" applyProtection="0"/>
    <xf numFmtId="0" fontId="16" fillId="24" borderId="111" applyNumberFormat="0" applyAlignment="0" applyProtection="0"/>
    <xf numFmtId="0" fontId="16" fillId="24" borderId="111" applyNumberFormat="0" applyAlignment="0" applyProtection="0"/>
    <xf numFmtId="0" fontId="16" fillId="24" borderId="111" applyNumberFormat="0" applyAlignment="0" applyProtection="0"/>
    <xf numFmtId="0" fontId="16" fillId="24" borderId="111" applyNumberFormat="0" applyAlignment="0" applyProtection="0"/>
    <xf numFmtId="0" fontId="16" fillId="24" borderId="111" applyNumberFormat="0" applyAlignment="0" applyProtection="0"/>
    <xf numFmtId="0" fontId="16" fillId="24" borderId="111" applyNumberFormat="0" applyAlignment="0" applyProtection="0"/>
    <xf numFmtId="0" fontId="16" fillId="24" borderId="111" applyNumberFormat="0" applyAlignment="0" applyProtection="0"/>
    <xf numFmtId="0" fontId="16" fillId="24" borderId="111" applyNumberFormat="0" applyAlignment="0" applyProtection="0"/>
    <xf numFmtId="0" fontId="16" fillId="24" borderId="111" applyNumberFormat="0" applyAlignment="0" applyProtection="0"/>
    <xf numFmtId="0" fontId="16" fillId="24" borderId="111" applyNumberFormat="0" applyAlignment="0" applyProtection="0"/>
    <xf numFmtId="0" fontId="16" fillId="24" borderId="111" applyNumberFormat="0" applyAlignment="0" applyProtection="0"/>
    <xf numFmtId="0" fontId="16" fillId="24" borderId="111" applyNumberFormat="0" applyAlignment="0" applyProtection="0"/>
    <xf numFmtId="0" fontId="16" fillId="24" borderId="111" applyNumberFormat="0" applyAlignment="0" applyProtection="0"/>
    <xf numFmtId="0" fontId="16" fillId="24" borderId="111" applyNumberFormat="0" applyAlignment="0" applyProtection="0"/>
    <xf numFmtId="0" fontId="16" fillId="24" borderId="111" applyNumberFormat="0" applyAlignment="0" applyProtection="0"/>
    <xf numFmtId="0" fontId="16" fillId="24" borderId="111" applyNumberFormat="0" applyAlignment="0" applyProtection="0"/>
    <xf numFmtId="0" fontId="16" fillId="24" borderId="111" applyNumberFormat="0" applyAlignment="0" applyProtection="0"/>
    <xf numFmtId="0" fontId="16" fillId="24" borderId="111" applyNumberFormat="0" applyAlignment="0" applyProtection="0"/>
    <xf numFmtId="0" fontId="16" fillId="24" borderId="111" applyNumberFormat="0" applyAlignment="0" applyProtection="0"/>
    <xf numFmtId="0" fontId="16" fillId="24" borderId="111" applyNumberFormat="0" applyAlignment="0" applyProtection="0"/>
    <xf numFmtId="0" fontId="16" fillId="24" borderId="111" applyNumberFormat="0" applyAlignment="0" applyProtection="0"/>
    <xf numFmtId="0" fontId="48" fillId="24" borderId="111" applyNumberFormat="0" applyAlignment="0" applyProtection="0"/>
    <xf numFmtId="0" fontId="48" fillId="24" borderId="111" applyNumberFormat="0" applyAlignment="0" applyProtection="0"/>
    <xf numFmtId="0" fontId="48" fillId="24" borderId="111" applyNumberFormat="0" applyAlignment="0" applyProtection="0"/>
    <xf numFmtId="0" fontId="48" fillId="24" borderId="111" applyNumberFormat="0" applyAlignment="0" applyProtection="0"/>
    <xf numFmtId="0" fontId="48" fillId="24" borderId="111" applyNumberFormat="0" applyAlignment="0" applyProtection="0"/>
    <xf numFmtId="0" fontId="48" fillId="24" borderId="111" applyNumberFormat="0" applyAlignment="0" applyProtection="0"/>
    <xf numFmtId="0" fontId="48" fillId="24" borderId="111" applyNumberFormat="0" applyAlignment="0" applyProtection="0"/>
    <xf numFmtId="0" fontId="48" fillId="24" borderId="111" applyNumberFormat="0" applyAlignment="0" applyProtection="0"/>
    <xf numFmtId="0" fontId="48" fillId="24" borderId="111" applyNumberFormat="0" applyAlignment="0" applyProtection="0"/>
    <xf numFmtId="0" fontId="48" fillId="24" borderId="111" applyNumberFormat="0" applyAlignment="0" applyProtection="0"/>
    <xf numFmtId="0" fontId="48" fillId="24" borderId="111" applyNumberFormat="0" applyAlignment="0" applyProtection="0"/>
    <xf numFmtId="0" fontId="48" fillId="24" borderId="111" applyNumberFormat="0" applyAlignment="0" applyProtection="0"/>
    <xf numFmtId="0" fontId="48" fillId="24" borderId="111" applyNumberFormat="0" applyAlignment="0" applyProtection="0"/>
    <xf numFmtId="0" fontId="48" fillId="24" borderId="111" applyNumberFormat="0" applyAlignment="0" applyProtection="0"/>
    <xf numFmtId="0" fontId="48" fillId="24" borderId="111" applyNumberFormat="0" applyAlignment="0" applyProtection="0"/>
    <xf numFmtId="0" fontId="48" fillId="24" borderId="111" applyNumberFormat="0" applyAlignment="0" applyProtection="0"/>
    <xf numFmtId="0" fontId="48" fillId="24" borderId="111" applyNumberFormat="0" applyAlignment="0" applyProtection="0"/>
    <xf numFmtId="0" fontId="48" fillId="24" borderId="111" applyNumberFormat="0" applyAlignment="0" applyProtection="0"/>
    <xf numFmtId="0" fontId="48" fillId="24" borderId="111" applyNumberFormat="0" applyAlignment="0" applyProtection="0"/>
    <xf numFmtId="0" fontId="48" fillId="24" borderId="111" applyNumberFormat="0" applyAlignment="0" applyProtection="0"/>
    <xf numFmtId="0" fontId="48" fillId="24" borderId="111" applyNumberFormat="0" applyAlignment="0" applyProtection="0"/>
    <xf numFmtId="0" fontId="48" fillId="24" borderId="111" applyNumberFormat="0" applyAlignment="0" applyProtection="0"/>
    <xf numFmtId="0" fontId="48" fillId="24" borderId="111" applyNumberFormat="0" applyAlignment="0" applyProtection="0"/>
    <xf numFmtId="0" fontId="48" fillId="24" borderId="111" applyNumberFormat="0" applyAlignment="0" applyProtection="0"/>
    <xf numFmtId="0" fontId="48" fillId="24" borderId="111" applyNumberFormat="0" applyAlignment="0" applyProtection="0"/>
    <xf numFmtId="0" fontId="48" fillId="24" borderId="111" applyNumberFormat="0" applyAlignment="0" applyProtection="0"/>
    <xf numFmtId="0" fontId="48" fillId="24" borderId="111" applyNumberFormat="0" applyAlignment="0" applyProtection="0"/>
    <xf numFmtId="0" fontId="48" fillId="24" borderId="111" applyNumberFormat="0" applyAlignment="0" applyProtection="0"/>
    <xf numFmtId="0" fontId="48" fillId="24" borderId="111" applyNumberFormat="0" applyAlignment="0" applyProtection="0"/>
    <xf numFmtId="0" fontId="48" fillId="24" borderId="111" applyNumberFormat="0" applyAlignment="0" applyProtection="0"/>
    <xf numFmtId="0" fontId="48" fillId="24" borderId="111" applyNumberFormat="0" applyAlignment="0" applyProtection="0"/>
    <xf numFmtId="0" fontId="48" fillId="24" borderId="111" applyNumberFormat="0" applyAlignment="0" applyProtection="0"/>
    <xf numFmtId="0" fontId="48" fillId="24" borderId="111" applyNumberFormat="0" applyAlignment="0" applyProtection="0"/>
    <xf numFmtId="0" fontId="48" fillId="24" borderId="111" applyNumberFormat="0" applyAlignment="0" applyProtection="0"/>
    <xf numFmtId="0" fontId="48" fillId="24" borderId="111" applyNumberFormat="0" applyAlignment="0" applyProtection="0"/>
    <xf numFmtId="0" fontId="48" fillId="24" borderId="111" applyNumberFormat="0" applyAlignment="0" applyProtection="0"/>
    <xf numFmtId="0" fontId="48" fillId="24" borderId="111" applyNumberFormat="0" applyAlignment="0" applyProtection="0"/>
    <xf numFmtId="0" fontId="48" fillId="24" borderId="111" applyNumberFormat="0" applyAlignment="0" applyProtection="0"/>
    <xf numFmtId="0" fontId="48" fillId="24" borderId="111" applyNumberFormat="0" applyAlignment="0" applyProtection="0"/>
    <xf numFmtId="0" fontId="48" fillId="24" borderId="111" applyNumberFormat="0" applyAlignment="0" applyProtection="0"/>
    <xf numFmtId="0" fontId="48" fillId="24" borderId="111" applyNumberFormat="0" applyAlignment="0" applyProtection="0"/>
    <xf numFmtId="0" fontId="48" fillId="24" borderId="111" applyNumberFormat="0" applyAlignment="0" applyProtection="0"/>
    <xf numFmtId="0" fontId="48" fillId="24" borderId="111" applyNumberFormat="0" applyAlignment="0" applyProtection="0"/>
    <xf numFmtId="0" fontId="48" fillId="24" borderId="111" applyNumberFormat="0" applyAlignment="0" applyProtection="0"/>
    <xf numFmtId="0" fontId="48" fillId="24" borderId="111" applyNumberFormat="0" applyAlignment="0" applyProtection="0"/>
    <xf numFmtId="0" fontId="48" fillId="24" borderId="111" applyNumberFormat="0" applyAlignment="0" applyProtection="0"/>
    <xf numFmtId="0" fontId="48" fillId="24" borderId="111" applyNumberFormat="0" applyAlignment="0" applyProtection="0"/>
    <xf numFmtId="0" fontId="48" fillId="24" borderId="111" applyNumberFormat="0" applyAlignment="0" applyProtection="0"/>
    <xf numFmtId="0" fontId="48" fillId="12" borderId="111" applyNumberFormat="0" applyAlignment="0" applyProtection="0"/>
    <xf numFmtId="0" fontId="48" fillId="12" borderId="111" applyNumberFormat="0" applyAlignment="0" applyProtection="0"/>
    <xf numFmtId="0" fontId="48" fillId="12" borderId="111" applyNumberFormat="0" applyAlignment="0" applyProtection="0"/>
    <xf numFmtId="0" fontId="48" fillId="12" borderId="111" applyNumberFormat="0" applyAlignment="0" applyProtection="0"/>
    <xf numFmtId="0" fontId="48" fillId="12" borderId="111" applyNumberFormat="0" applyAlignment="0" applyProtection="0"/>
    <xf numFmtId="0" fontId="48" fillId="12" borderId="111" applyNumberFormat="0" applyAlignment="0" applyProtection="0"/>
    <xf numFmtId="0" fontId="48" fillId="12" borderId="111" applyNumberFormat="0" applyAlignment="0" applyProtection="0"/>
    <xf numFmtId="0" fontId="48" fillId="12" borderId="111" applyNumberFormat="0" applyAlignment="0" applyProtection="0"/>
    <xf numFmtId="0" fontId="48" fillId="12" borderId="111" applyNumberFormat="0" applyAlignment="0" applyProtection="0"/>
    <xf numFmtId="0" fontId="48" fillId="12" borderId="111" applyNumberFormat="0" applyAlignment="0" applyProtection="0"/>
    <xf numFmtId="0" fontId="48" fillId="12" borderId="111" applyNumberFormat="0" applyAlignment="0" applyProtection="0"/>
    <xf numFmtId="0" fontId="48" fillId="12" borderId="111" applyNumberFormat="0" applyAlignment="0" applyProtection="0"/>
    <xf numFmtId="0" fontId="48" fillId="12" borderId="111" applyNumberFormat="0" applyAlignment="0" applyProtection="0"/>
    <xf numFmtId="0" fontId="48" fillId="12" borderId="111" applyNumberFormat="0" applyAlignment="0" applyProtection="0"/>
    <xf numFmtId="0" fontId="48" fillId="12" borderId="111" applyNumberFormat="0" applyAlignment="0" applyProtection="0"/>
    <xf numFmtId="0" fontId="48" fillId="12" borderId="111" applyNumberFormat="0" applyAlignment="0" applyProtection="0"/>
    <xf numFmtId="0" fontId="48" fillId="12" borderId="111" applyNumberFormat="0" applyAlignment="0" applyProtection="0"/>
    <xf numFmtId="0" fontId="48" fillId="12" borderId="111" applyNumberFormat="0" applyAlignment="0" applyProtection="0"/>
    <xf numFmtId="0" fontId="48" fillId="12" borderId="111" applyNumberFormat="0" applyAlignment="0" applyProtection="0"/>
    <xf numFmtId="0" fontId="48" fillId="12" borderId="111" applyNumberFormat="0" applyAlignment="0" applyProtection="0"/>
    <xf numFmtId="0" fontId="48" fillId="12" borderId="111" applyNumberFormat="0" applyAlignment="0" applyProtection="0"/>
    <xf numFmtId="0" fontId="48" fillId="12" borderId="111" applyNumberFormat="0" applyAlignment="0" applyProtection="0"/>
    <xf numFmtId="0" fontId="48" fillId="12" borderId="111" applyNumberFormat="0" applyAlignment="0" applyProtection="0"/>
    <xf numFmtId="0" fontId="48" fillId="12" borderId="111" applyNumberFormat="0" applyAlignment="0" applyProtection="0"/>
    <xf numFmtId="0" fontId="48" fillId="12" borderId="111" applyNumberFormat="0" applyAlignment="0" applyProtection="0"/>
    <xf numFmtId="0" fontId="48" fillId="12" borderId="111" applyNumberFormat="0" applyAlignment="0" applyProtection="0"/>
    <xf numFmtId="0" fontId="48" fillId="12" borderId="111" applyNumberFormat="0" applyAlignment="0" applyProtection="0"/>
    <xf numFmtId="0" fontId="48" fillId="12" borderId="111" applyNumberFormat="0" applyAlignment="0" applyProtection="0"/>
    <xf numFmtId="0" fontId="48" fillId="12" borderId="111" applyNumberFormat="0" applyAlignment="0" applyProtection="0"/>
    <xf numFmtId="0" fontId="48" fillId="12" borderId="111" applyNumberFormat="0" applyAlignment="0" applyProtection="0"/>
    <xf numFmtId="0" fontId="48" fillId="12" borderId="111" applyNumberFormat="0" applyAlignment="0" applyProtection="0"/>
    <xf numFmtId="0" fontId="48" fillId="12" borderId="111" applyNumberFormat="0" applyAlignment="0" applyProtection="0"/>
    <xf numFmtId="0" fontId="48" fillId="12" borderId="111" applyNumberFormat="0" applyAlignment="0" applyProtection="0"/>
    <xf numFmtId="0" fontId="48" fillId="12" borderId="111" applyNumberFormat="0" applyAlignment="0" applyProtection="0"/>
    <xf numFmtId="0" fontId="48" fillId="12" borderId="111" applyNumberFormat="0" applyAlignment="0" applyProtection="0"/>
    <xf numFmtId="0" fontId="48" fillId="12" borderId="111" applyNumberFormat="0" applyAlignment="0" applyProtection="0"/>
    <xf numFmtId="0" fontId="48" fillId="12" borderId="111" applyNumberFormat="0" applyAlignment="0" applyProtection="0"/>
    <xf numFmtId="0" fontId="48" fillId="12" borderId="111" applyNumberFormat="0" applyAlignment="0" applyProtection="0"/>
    <xf numFmtId="0" fontId="48" fillId="12" borderId="111" applyNumberFormat="0" applyAlignment="0" applyProtection="0"/>
    <xf numFmtId="0" fontId="48" fillId="12" borderId="111" applyNumberFormat="0" applyAlignment="0" applyProtection="0"/>
    <xf numFmtId="0" fontId="48" fillId="12" borderId="111" applyNumberFormat="0" applyAlignment="0" applyProtection="0"/>
    <xf numFmtId="0" fontId="48" fillId="12" borderId="111" applyNumberFormat="0" applyAlignment="0" applyProtection="0"/>
    <xf numFmtId="0" fontId="48" fillId="12" borderId="111" applyNumberFormat="0" applyAlignment="0" applyProtection="0"/>
    <xf numFmtId="0" fontId="48" fillId="12" borderId="111" applyNumberFormat="0" applyAlignment="0" applyProtection="0"/>
    <xf numFmtId="0" fontId="48" fillId="12" borderId="111" applyNumberFormat="0" applyAlignment="0" applyProtection="0"/>
    <xf numFmtId="0" fontId="48" fillId="12" borderId="111" applyNumberFormat="0" applyAlignment="0" applyProtection="0"/>
    <xf numFmtId="0" fontId="48" fillId="12" borderId="111" applyNumberFormat="0" applyAlignment="0" applyProtection="0"/>
    <xf numFmtId="0" fontId="48" fillId="12" borderId="111" applyNumberFormat="0" applyAlignment="0" applyProtection="0"/>
    <xf numFmtId="0" fontId="48" fillId="12" borderId="111" applyNumberFormat="0" applyAlignment="0" applyProtection="0"/>
    <xf numFmtId="0" fontId="48" fillId="12" borderId="111" applyNumberFormat="0" applyAlignment="0" applyProtection="0"/>
    <xf numFmtId="0" fontId="48" fillId="12" borderId="111" applyNumberFormat="0" applyAlignment="0" applyProtection="0"/>
    <xf numFmtId="0" fontId="48" fillId="12" borderId="111" applyNumberFormat="0" applyAlignment="0" applyProtection="0"/>
    <xf numFmtId="0" fontId="48" fillId="12" borderId="111" applyNumberFormat="0" applyAlignment="0" applyProtection="0"/>
    <xf numFmtId="0" fontId="48" fillId="12" borderId="111" applyNumberFormat="0" applyAlignment="0" applyProtection="0"/>
    <xf numFmtId="0" fontId="48" fillId="12" borderId="111" applyNumberFormat="0" applyAlignment="0" applyProtection="0"/>
    <xf numFmtId="0" fontId="48" fillId="12" borderId="111" applyNumberFormat="0" applyAlignment="0" applyProtection="0"/>
    <xf numFmtId="0" fontId="48" fillId="12" borderId="111" applyNumberFormat="0" applyAlignment="0" applyProtection="0"/>
    <xf numFmtId="0" fontId="48" fillId="12" borderId="111" applyNumberFormat="0" applyAlignment="0" applyProtection="0"/>
    <xf numFmtId="0" fontId="48" fillId="12" borderId="111" applyNumberFormat="0" applyAlignment="0" applyProtection="0"/>
    <xf numFmtId="0" fontId="48" fillId="12" borderId="111" applyNumberFormat="0" applyAlignment="0" applyProtection="0"/>
    <xf numFmtId="0" fontId="48" fillId="12" borderId="111" applyNumberFormat="0" applyAlignment="0" applyProtection="0"/>
    <xf numFmtId="0" fontId="48" fillId="12" borderId="111" applyNumberFormat="0" applyAlignment="0" applyProtection="0"/>
    <xf numFmtId="0" fontId="48" fillId="12" borderId="111" applyNumberFormat="0" applyAlignment="0" applyProtection="0"/>
    <xf numFmtId="0" fontId="48" fillId="12" borderId="111" applyNumberFormat="0" applyAlignment="0" applyProtection="0"/>
    <xf numFmtId="0" fontId="48" fillId="12" borderId="111" applyNumberFormat="0" applyAlignment="0" applyProtection="0"/>
    <xf numFmtId="0" fontId="48" fillId="12" borderId="111" applyNumberFormat="0" applyAlignment="0" applyProtection="0"/>
    <xf numFmtId="0" fontId="48" fillId="12" borderId="111" applyNumberFormat="0" applyAlignment="0" applyProtection="0"/>
    <xf numFmtId="0" fontId="48" fillId="12" borderId="111" applyNumberFormat="0" applyAlignment="0" applyProtection="0"/>
    <xf numFmtId="0" fontId="48" fillId="12" borderId="111" applyNumberFormat="0" applyAlignment="0" applyProtection="0"/>
    <xf numFmtId="0" fontId="48" fillId="12" borderId="111" applyNumberFormat="0" applyAlignment="0" applyProtection="0"/>
    <xf numFmtId="0" fontId="48" fillId="12" borderId="111" applyNumberFormat="0" applyAlignment="0" applyProtection="0"/>
    <xf numFmtId="0" fontId="48" fillId="12" borderId="111" applyNumberFormat="0" applyAlignment="0" applyProtection="0"/>
    <xf numFmtId="0" fontId="48" fillId="12" borderId="111" applyNumberFormat="0" applyAlignment="0" applyProtection="0"/>
    <xf numFmtId="0" fontId="48" fillId="12" borderId="111" applyNumberFormat="0" applyAlignment="0" applyProtection="0"/>
    <xf numFmtId="0" fontId="48" fillId="12" borderId="111" applyNumberFormat="0" applyAlignment="0" applyProtection="0"/>
    <xf numFmtId="0" fontId="48" fillId="12" borderId="111" applyNumberFormat="0" applyAlignment="0" applyProtection="0"/>
    <xf numFmtId="0" fontId="48" fillId="12" borderId="111" applyNumberFormat="0" applyAlignment="0" applyProtection="0"/>
    <xf numFmtId="0" fontId="16" fillId="24" borderId="111" applyNumberFormat="0" applyAlignment="0" applyProtection="0"/>
    <xf numFmtId="0" fontId="16" fillId="24" borderId="111" applyNumberFormat="0" applyAlignment="0" applyProtection="0"/>
    <xf numFmtId="0" fontId="16" fillId="24" borderId="111" applyNumberFormat="0" applyAlignment="0" applyProtection="0"/>
    <xf numFmtId="0" fontId="16" fillId="24" borderId="111" applyNumberFormat="0" applyAlignment="0" applyProtection="0"/>
    <xf numFmtId="0" fontId="16" fillId="24" borderId="111" applyNumberFormat="0" applyAlignment="0" applyProtection="0"/>
    <xf numFmtId="0" fontId="16" fillId="24" borderId="111" applyNumberFormat="0" applyAlignment="0" applyProtection="0"/>
    <xf numFmtId="0" fontId="16" fillId="24" borderId="111" applyNumberFormat="0" applyAlignment="0" applyProtection="0"/>
    <xf numFmtId="0" fontId="16" fillId="24" borderId="111" applyNumberFormat="0" applyAlignment="0" applyProtection="0"/>
    <xf numFmtId="0" fontId="16" fillId="24" borderId="111" applyNumberFormat="0" applyAlignment="0" applyProtection="0"/>
    <xf numFmtId="0" fontId="16" fillId="24" borderId="111" applyNumberFormat="0" applyAlignment="0" applyProtection="0"/>
    <xf numFmtId="0" fontId="16" fillId="24" borderId="111" applyNumberFormat="0" applyAlignment="0" applyProtection="0"/>
    <xf numFmtId="0" fontId="16" fillId="24" borderId="111" applyNumberFormat="0" applyAlignment="0" applyProtection="0"/>
    <xf numFmtId="0" fontId="16" fillId="24" borderId="111" applyNumberFormat="0" applyAlignment="0" applyProtection="0"/>
    <xf numFmtId="0" fontId="16" fillId="24" borderId="111" applyNumberFormat="0" applyAlignment="0" applyProtection="0"/>
    <xf numFmtId="0" fontId="16" fillId="24" borderId="111" applyNumberFormat="0" applyAlignment="0" applyProtection="0"/>
    <xf numFmtId="0" fontId="16" fillId="24" borderId="111" applyNumberFormat="0" applyAlignment="0" applyProtection="0"/>
    <xf numFmtId="0" fontId="16" fillId="24" borderId="111" applyNumberFormat="0" applyAlignment="0" applyProtection="0"/>
    <xf numFmtId="0" fontId="16" fillId="24" borderId="111" applyNumberFormat="0" applyAlignment="0" applyProtection="0"/>
    <xf numFmtId="0" fontId="16" fillId="24" borderId="111" applyNumberFormat="0" applyAlignment="0" applyProtection="0"/>
    <xf numFmtId="0" fontId="16" fillId="24" borderId="111" applyNumberFormat="0" applyAlignment="0" applyProtection="0"/>
    <xf numFmtId="0" fontId="16" fillId="24" borderId="111" applyNumberFormat="0" applyAlignment="0" applyProtection="0"/>
    <xf numFmtId="0" fontId="16" fillId="24" borderId="111" applyNumberFormat="0" applyAlignment="0" applyProtection="0"/>
    <xf numFmtId="0" fontId="16" fillId="24" borderId="111" applyNumberFormat="0" applyAlignment="0" applyProtection="0"/>
    <xf numFmtId="0" fontId="16" fillId="24" borderId="111" applyNumberFormat="0" applyAlignment="0" applyProtection="0"/>
    <xf numFmtId="0" fontId="16" fillId="24" borderId="111" applyNumberFormat="0" applyAlignment="0" applyProtection="0"/>
    <xf numFmtId="0" fontId="16" fillId="24" borderId="111" applyNumberFormat="0" applyAlignment="0" applyProtection="0"/>
    <xf numFmtId="0" fontId="16" fillId="24" borderId="111" applyNumberFormat="0" applyAlignment="0" applyProtection="0"/>
    <xf numFmtId="0" fontId="16" fillId="24" borderId="111" applyNumberFormat="0" applyAlignment="0" applyProtection="0"/>
    <xf numFmtId="0" fontId="16" fillId="24" borderId="111" applyNumberFormat="0" applyAlignment="0" applyProtection="0"/>
    <xf numFmtId="0" fontId="16" fillId="24" borderId="111" applyNumberFormat="0" applyAlignment="0" applyProtection="0"/>
    <xf numFmtId="0" fontId="16" fillId="24" borderId="111" applyNumberFormat="0" applyAlignment="0" applyProtection="0"/>
    <xf numFmtId="0" fontId="16" fillId="24" borderId="111" applyNumberFormat="0" applyAlignment="0" applyProtection="0"/>
    <xf numFmtId="0" fontId="16" fillId="24" borderId="111" applyNumberFormat="0" applyAlignment="0" applyProtection="0"/>
    <xf numFmtId="0" fontId="16" fillId="24" borderId="111" applyNumberFormat="0" applyAlignment="0" applyProtection="0"/>
    <xf numFmtId="0" fontId="16" fillId="24" borderId="111" applyNumberFormat="0" applyAlignment="0" applyProtection="0"/>
    <xf numFmtId="0" fontId="16" fillId="24" borderId="111" applyNumberFormat="0" applyAlignment="0" applyProtection="0"/>
    <xf numFmtId="0" fontId="16" fillId="24" borderId="111" applyNumberFormat="0" applyAlignment="0" applyProtection="0"/>
    <xf numFmtId="0" fontId="16" fillId="24" borderId="111" applyNumberFormat="0" applyAlignment="0" applyProtection="0"/>
    <xf numFmtId="0" fontId="16" fillId="24" borderId="111" applyNumberFormat="0" applyAlignment="0" applyProtection="0"/>
    <xf numFmtId="0" fontId="16" fillId="24" borderId="111" applyNumberFormat="0" applyAlignment="0" applyProtection="0"/>
    <xf numFmtId="0" fontId="16" fillId="24" borderId="111" applyNumberFormat="0" applyAlignment="0" applyProtection="0"/>
    <xf numFmtId="0" fontId="16" fillId="24" borderId="111" applyNumberFormat="0" applyAlignment="0" applyProtection="0"/>
    <xf numFmtId="0" fontId="16" fillId="24" borderId="111" applyNumberFormat="0" applyAlignment="0" applyProtection="0"/>
    <xf numFmtId="0" fontId="16" fillId="24" borderId="111" applyNumberFormat="0" applyAlignment="0" applyProtection="0"/>
    <xf numFmtId="0" fontId="16" fillId="24" borderId="111" applyNumberFormat="0" applyAlignment="0" applyProtection="0"/>
    <xf numFmtId="0" fontId="16" fillId="24" borderId="111" applyNumberFormat="0" applyAlignment="0" applyProtection="0"/>
    <xf numFmtId="0" fontId="16" fillId="24" borderId="111" applyNumberFormat="0" applyAlignment="0" applyProtection="0"/>
    <xf numFmtId="0" fontId="16" fillId="24" borderId="111" applyNumberFormat="0" applyAlignment="0" applyProtection="0"/>
    <xf numFmtId="0" fontId="16" fillId="24" borderId="111" applyNumberFormat="0" applyAlignment="0" applyProtection="0"/>
    <xf numFmtId="0" fontId="48" fillId="12" borderId="111" applyNumberFormat="0" applyAlignment="0" applyProtection="0"/>
    <xf numFmtId="0" fontId="48" fillId="12" borderId="111" applyNumberFormat="0" applyAlignment="0" applyProtection="0"/>
    <xf numFmtId="0" fontId="48" fillId="12" borderId="111" applyNumberFormat="0" applyAlignment="0" applyProtection="0"/>
    <xf numFmtId="0" fontId="48" fillId="12" borderId="111" applyNumberFormat="0" applyAlignment="0" applyProtection="0"/>
    <xf numFmtId="0" fontId="48" fillId="12" borderId="111" applyNumberFormat="0" applyAlignment="0" applyProtection="0"/>
    <xf numFmtId="0" fontId="48" fillId="12" borderId="111" applyNumberFormat="0" applyAlignment="0" applyProtection="0"/>
    <xf numFmtId="0" fontId="48" fillId="12" borderId="111" applyNumberFormat="0" applyAlignment="0" applyProtection="0"/>
    <xf numFmtId="0" fontId="48" fillId="12" borderId="111" applyNumberFormat="0" applyAlignment="0" applyProtection="0"/>
    <xf numFmtId="0" fontId="48" fillId="12" borderId="111" applyNumberFormat="0" applyAlignment="0" applyProtection="0"/>
    <xf numFmtId="0" fontId="48" fillId="12" borderId="111" applyNumberFormat="0" applyAlignment="0" applyProtection="0"/>
    <xf numFmtId="0" fontId="48" fillId="12" borderId="111" applyNumberFormat="0" applyAlignment="0" applyProtection="0"/>
    <xf numFmtId="0" fontId="48" fillId="12" borderId="111" applyNumberFormat="0" applyAlignment="0" applyProtection="0"/>
    <xf numFmtId="0" fontId="48" fillId="12" borderId="111" applyNumberFormat="0" applyAlignment="0" applyProtection="0"/>
    <xf numFmtId="0" fontId="48" fillId="12" borderId="111" applyNumberFormat="0" applyAlignment="0" applyProtection="0"/>
    <xf numFmtId="0" fontId="48" fillId="12" borderId="111" applyNumberFormat="0" applyAlignment="0" applyProtection="0"/>
    <xf numFmtId="0" fontId="48" fillId="12" borderId="111" applyNumberFormat="0" applyAlignment="0" applyProtection="0"/>
    <xf numFmtId="0" fontId="48" fillId="12" borderId="111" applyNumberFormat="0" applyAlignment="0" applyProtection="0"/>
    <xf numFmtId="0" fontId="48" fillId="12" borderId="111" applyNumberFormat="0" applyAlignment="0" applyProtection="0"/>
    <xf numFmtId="0" fontId="48" fillId="12" borderId="111" applyNumberFormat="0" applyAlignment="0" applyProtection="0"/>
    <xf numFmtId="0" fontId="48" fillId="12" borderId="111" applyNumberFormat="0" applyAlignment="0" applyProtection="0"/>
    <xf numFmtId="0" fontId="48" fillId="12" borderId="111" applyNumberFormat="0" applyAlignment="0" applyProtection="0"/>
    <xf numFmtId="0" fontId="48" fillId="12" borderId="111" applyNumberFormat="0" applyAlignment="0" applyProtection="0"/>
    <xf numFmtId="0" fontId="48" fillId="12" borderId="111" applyNumberFormat="0" applyAlignment="0" applyProtection="0"/>
    <xf numFmtId="0" fontId="48" fillId="12" borderId="111" applyNumberFormat="0" applyAlignment="0" applyProtection="0"/>
    <xf numFmtId="0" fontId="48" fillId="12" borderId="111" applyNumberFormat="0" applyAlignment="0" applyProtection="0"/>
    <xf numFmtId="0" fontId="48" fillId="12" borderId="111" applyNumberFormat="0" applyAlignment="0" applyProtection="0"/>
    <xf numFmtId="0" fontId="48" fillId="12" borderId="111" applyNumberFormat="0" applyAlignment="0" applyProtection="0"/>
    <xf numFmtId="0" fontId="48" fillId="12" borderId="111" applyNumberFormat="0" applyAlignment="0" applyProtection="0"/>
    <xf numFmtId="0" fontId="48" fillId="12" borderId="111" applyNumberFormat="0" applyAlignment="0" applyProtection="0"/>
    <xf numFmtId="0" fontId="48" fillId="12" borderId="111" applyNumberFormat="0" applyAlignment="0" applyProtection="0"/>
    <xf numFmtId="0" fontId="48" fillId="12" borderId="111" applyNumberFormat="0" applyAlignment="0" applyProtection="0"/>
    <xf numFmtId="0" fontId="48" fillId="12" borderId="111" applyNumberFormat="0" applyAlignment="0" applyProtection="0"/>
    <xf numFmtId="0" fontId="48" fillId="12" borderId="111" applyNumberFormat="0" applyAlignment="0" applyProtection="0"/>
    <xf numFmtId="0" fontId="48" fillId="12" borderId="111" applyNumberFormat="0" applyAlignment="0" applyProtection="0"/>
    <xf numFmtId="0" fontId="48" fillId="12" borderId="111" applyNumberFormat="0" applyAlignment="0" applyProtection="0"/>
    <xf numFmtId="0" fontId="48" fillId="12" borderId="111" applyNumberFormat="0" applyAlignment="0" applyProtection="0"/>
    <xf numFmtId="0" fontId="48" fillId="12" borderId="111" applyNumberFormat="0" applyAlignment="0" applyProtection="0"/>
    <xf numFmtId="0" fontId="48" fillId="12" borderId="111" applyNumberFormat="0" applyAlignment="0" applyProtection="0"/>
    <xf numFmtId="0" fontId="48" fillId="12" borderId="111" applyNumberFormat="0" applyAlignment="0" applyProtection="0"/>
    <xf numFmtId="0" fontId="48" fillId="12" borderId="111" applyNumberFormat="0" applyAlignment="0" applyProtection="0"/>
    <xf numFmtId="0" fontId="48" fillId="12" borderId="111" applyNumberFormat="0" applyAlignment="0" applyProtection="0"/>
    <xf numFmtId="0" fontId="48" fillId="12" borderId="111" applyNumberFormat="0" applyAlignment="0" applyProtection="0"/>
    <xf numFmtId="0" fontId="48" fillId="12" borderId="111" applyNumberFormat="0" applyAlignment="0" applyProtection="0"/>
    <xf numFmtId="0" fontId="48" fillId="12" borderId="111" applyNumberFormat="0" applyAlignment="0" applyProtection="0"/>
    <xf numFmtId="0" fontId="48" fillId="12" borderId="111" applyNumberFormat="0" applyAlignment="0" applyProtection="0"/>
    <xf numFmtId="0" fontId="48" fillId="12" borderId="111" applyNumberFormat="0" applyAlignment="0" applyProtection="0"/>
    <xf numFmtId="0" fontId="48" fillId="12" borderId="111" applyNumberFormat="0" applyAlignment="0" applyProtection="0"/>
    <xf numFmtId="0" fontId="48" fillId="12" borderId="111" applyNumberFormat="0" applyAlignment="0" applyProtection="0"/>
    <xf numFmtId="0" fontId="48" fillId="12" borderId="111" applyNumberFormat="0" applyAlignment="0" applyProtection="0"/>
    <xf numFmtId="0" fontId="48" fillId="12" borderId="111" applyNumberFormat="0" applyAlignment="0" applyProtection="0"/>
    <xf numFmtId="0" fontId="48" fillId="12" borderId="111" applyNumberFormat="0" applyAlignment="0" applyProtection="0"/>
    <xf numFmtId="0" fontId="48" fillId="12" borderId="111" applyNumberFormat="0" applyAlignment="0" applyProtection="0"/>
    <xf numFmtId="0" fontId="48" fillId="12" borderId="111" applyNumberFormat="0" applyAlignment="0" applyProtection="0"/>
    <xf numFmtId="0" fontId="48" fillId="12" borderId="111" applyNumberFormat="0" applyAlignment="0" applyProtection="0"/>
    <xf numFmtId="0" fontId="48" fillId="12" borderId="111" applyNumberFormat="0" applyAlignment="0" applyProtection="0"/>
    <xf numFmtId="0" fontId="48" fillId="12" borderId="111" applyNumberFormat="0" applyAlignment="0" applyProtection="0"/>
    <xf numFmtId="0" fontId="48" fillId="12" borderId="111" applyNumberFormat="0" applyAlignment="0" applyProtection="0"/>
    <xf numFmtId="0" fontId="48" fillId="12" borderId="111" applyNumberFormat="0" applyAlignment="0" applyProtection="0"/>
    <xf numFmtId="0" fontId="48" fillId="12" borderId="111" applyNumberFormat="0" applyAlignment="0" applyProtection="0"/>
    <xf numFmtId="0" fontId="48" fillId="12" borderId="111" applyNumberFormat="0" applyAlignment="0" applyProtection="0"/>
    <xf numFmtId="0" fontId="48" fillId="12" borderId="111" applyNumberFormat="0" applyAlignment="0" applyProtection="0"/>
    <xf numFmtId="0" fontId="48" fillId="12" borderId="111" applyNumberFormat="0" applyAlignment="0" applyProtection="0"/>
    <xf numFmtId="0" fontId="48" fillId="12" borderId="111" applyNumberFormat="0" applyAlignment="0" applyProtection="0"/>
    <xf numFmtId="0" fontId="48" fillId="12" borderId="111" applyNumberFormat="0" applyAlignment="0" applyProtection="0"/>
    <xf numFmtId="0" fontId="48" fillId="12" borderId="111" applyNumberFormat="0" applyAlignment="0" applyProtection="0"/>
    <xf numFmtId="0" fontId="48" fillId="12" borderId="111" applyNumberFormat="0" applyAlignment="0" applyProtection="0"/>
    <xf numFmtId="0" fontId="48" fillId="12" borderId="111" applyNumberFormat="0" applyAlignment="0" applyProtection="0"/>
    <xf numFmtId="0" fontId="48" fillId="12" borderId="111" applyNumberFormat="0" applyAlignment="0" applyProtection="0"/>
    <xf numFmtId="0" fontId="48" fillId="12" borderId="111" applyNumberFormat="0" applyAlignment="0" applyProtection="0"/>
    <xf numFmtId="0" fontId="48" fillId="12" borderId="111" applyNumberFormat="0" applyAlignment="0" applyProtection="0"/>
    <xf numFmtId="0" fontId="48" fillId="12" borderId="111" applyNumberFormat="0" applyAlignment="0" applyProtection="0"/>
    <xf numFmtId="0" fontId="48" fillId="12" borderId="111" applyNumberFormat="0" applyAlignment="0" applyProtection="0"/>
    <xf numFmtId="0" fontId="48" fillId="12" borderId="111" applyNumberFormat="0" applyAlignment="0" applyProtection="0"/>
    <xf numFmtId="0" fontId="48" fillId="12" borderId="111" applyNumberFormat="0" applyAlignment="0" applyProtection="0"/>
    <xf numFmtId="0" fontId="48" fillId="12" borderId="111" applyNumberFormat="0" applyAlignment="0" applyProtection="0"/>
    <xf numFmtId="0" fontId="48" fillId="12" borderId="111" applyNumberFormat="0" applyAlignment="0" applyProtection="0"/>
    <xf numFmtId="0" fontId="48" fillId="12" borderId="111" applyNumberFormat="0" applyAlignment="0" applyProtection="0"/>
    <xf numFmtId="0" fontId="16" fillId="24" borderId="111" applyNumberFormat="0" applyAlignment="0" applyProtection="0"/>
    <xf numFmtId="0" fontId="16" fillId="24" borderId="111" applyNumberFormat="0" applyAlignment="0" applyProtection="0"/>
    <xf numFmtId="0" fontId="16" fillId="24" borderId="111" applyNumberFormat="0" applyAlignment="0" applyProtection="0"/>
    <xf numFmtId="0" fontId="16" fillId="24" borderId="111" applyNumberFormat="0" applyAlignment="0" applyProtection="0"/>
    <xf numFmtId="0" fontId="16" fillId="24" borderId="111" applyNumberFormat="0" applyAlignment="0" applyProtection="0"/>
    <xf numFmtId="0" fontId="16" fillId="24" borderId="111" applyNumberFormat="0" applyAlignment="0" applyProtection="0"/>
    <xf numFmtId="0" fontId="16" fillId="24" borderId="111" applyNumberFormat="0" applyAlignment="0" applyProtection="0"/>
    <xf numFmtId="0" fontId="16" fillId="24" borderId="111" applyNumberFormat="0" applyAlignment="0" applyProtection="0"/>
    <xf numFmtId="0" fontId="16" fillId="24" borderId="111" applyNumberFormat="0" applyAlignment="0" applyProtection="0"/>
    <xf numFmtId="0" fontId="16" fillId="24" borderId="111" applyNumberFormat="0" applyAlignment="0" applyProtection="0"/>
    <xf numFmtId="0" fontId="16" fillId="24" borderId="111" applyNumberFormat="0" applyAlignment="0" applyProtection="0"/>
    <xf numFmtId="0" fontId="16" fillId="24" borderId="111" applyNumberFormat="0" applyAlignment="0" applyProtection="0"/>
    <xf numFmtId="0" fontId="16" fillId="24" borderId="111" applyNumberFormat="0" applyAlignment="0" applyProtection="0"/>
    <xf numFmtId="0" fontId="16" fillId="24" borderId="111" applyNumberFormat="0" applyAlignment="0" applyProtection="0"/>
    <xf numFmtId="0" fontId="16" fillId="24" borderId="111" applyNumberFormat="0" applyAlignment="0" applyProtection="0"/>
    <xf numFmtId="0" fontId="16" fillId="24" borderId="111" applyNumberFormat="0" applyAlignment="0" applyProtection="0"/>
    <xf numFmtId="0" fontId="16" fillId="24" borderId="111" applyNumberFormat="0" applyAlignment="0" applyProtection="0"/>
    <xf numFmtId="0" fontId="16" fillId="24" borderId="111" applyNumberFormat="0" applyAlignment="0" applyProtection="0"/>
    <xf numFmtId="0" fontId="16" fillId="24" borderId="111" applyNumberFormat="0" applyAlignment="0" applyProtection="0"/>
    <xf numFmtId="0" fontId="16" fillId="24" borderId="111" applyNumberFormat="0" applyAlignment="0" applyProtection="0"/>
    <xf numFmtId="0" fontId="16" fillId="24" borderId="111" applyNumberFormat="0" applyAlignment="0" applyProtection="0"/>
    <xf numFmtId="0" fontId="16" fillId="24" borderId="111" applyNumberFormat="0" applyAlignment="0" applyProtection="0"/>
    <xf numFmtId="0" fontId="16" fillId="24" borderId="111" applyNumberFormat="0" applyAlignment="0" applyProtection="0"/>
    <xf numFmtId="0" fontId="16" fillId="24" borderId="111" applyNumberFormat="0" applyAlignment="0" applyProtection="0"/>
    <xf numFmtId="0" fontId="16" fillId="24" borderId="111" applyNumberFormat="0" applyAlignment="0" applyProtection="0"/>
    <xf numFmtId="0" fontId="16" fillId="24" borderId="111" applyNumberFormat="0" applyAlignment="0" applyProtection="0"/>
    <xf numFmtId="0" fontId="16" fillId="24" borderId="111" applyNumberFormat="0" applyAlignment="0" applyProtection="0"/>
    <xf numFmtId="0" fontId="16" fillId="24" borderId="111" applyNumberFormat="0" applyAlignment="0" applyProtection="0"/>
    <xf numFmtId="0" fontId="16" fillId="24" borderId="111" applyNumberFormat="0" applyAlignment="0" applyProtection="0"/>
    <xf numFmtId="0" fontId="16" fillId="24" borderId="111" applyNumberFormat="0" applyAlignment="0" applyProtection="0"/>
    <xf numFmtId="0" fontId="16" fillId="24" borderId="111" applyNumberFormat="0" applyAlignment="0" applyProtection="0"/>
    <xf numFmtId="0" fontId="16" fillId="24" borderId="111" applyNumberFormat="0" applyAlignment="0" applyProtection="0"/>
    <xf numFmtId="0" fontId="16" fillId="24" borderId="111" applyNumberFormat="0" applyAlignment="0" applyProtection="0"/>
    <xf numFmtId="0" fontId="16" fillId="24" borderId="111" applyNumberFormat="0" applyAlignment="0" applyProtection="0"/>
    <xf numFmtId="0" fontId="16" fillId="24" borderId="111" applyNumberFormat="0" applyAlignment="0" applyProtection="0"/>
    <xf numFmtId="0" fontId="16" fillId="24" borderId="111" applyNumberFormat="0" applyAlignment="0" applyProtection="0"/>
    <xf numFmtId="0" fontId="16" fillId="24" borderId="111" applyNumberFormat="0" applyAlignment="0" applyProtection="0"/>
    <xf numFmtId="0" fontId="16" fillId="24" borderId="111" applyNumberFormat="0" applyAlignment="0" applyProtection="0"/>
    <xf numFmtId="0" fontId="16" fillId="24" borderId="111" applyNumberFormat="0" applyAlignment="0" applyProtection="0"/>
    <xf numFmtId="0" fontId="16" fillId="24" borderId="111" applyNumberFormat="0" applyAlignment="0" applyProtection="0"/>
    <xf numFmtId="0" fontId="16" fillId="24" borderId="111" applyNumberFormat="0" applyAlignment="0" applyProtection="0"/>
    <xf numFmtId="0" fontId="16" fillId="24" borderId="111" applyNumberFormat="0" applyAlignment="0" applyProtection="0"/>
    <xf numFmtId="0" fontId="16" fillId="24" borderId="111" applyNumberFormat="0" applyAlignment="0" applyProtection="0"/>
    <xf numFmtId="0" fontId="16" fillId="24" borderId="111" applyNumberFormat="0" applyAlignment="0" applyProtection="0"/>
    <xf numFmtId="0" fontId="16" fillId="24" borderId="111" applyNumberFormat="0" applyAlignment="0" applyProtection="0"/>
    <xf numFmtId="0" fontId="16" fillId="24" borderId="111" applyNumberFormat="0" applyAlignment="0" applyProtection="0"/>
    <xf numFmtId="0" fontId="16" fillId="24" borderId="111" applyNumberFormat="0" applyAlignment="0" applyProtection="0"/>
    <xf numFmtId="0" fontId="16" fillId="24" borderId="111" applyNumberFormat="0" applyAlignment="0" applyProtection="0"/>
    <xf numFmtId="0" fontId="16" fillId="24" borderId="111" applyNumberFormat="0" applyAlignment="0" applyProtection="0"/>
    <xf numFmtId="0" fontId="49" fillId="10" borderId="154" applyNumberFormat="0" applyFont="0" applyAlignment="0" applyProtection="0"/>
    <xf numFmtId="0" fontId="28" fillId="0" borderId="115"/>
    <xf numFmtId="0" fontId="28" fillId="0" borderId="115"/>
    <xf numFmtId="0" fontId="28" fillId="0" borderId="115"/>
    <xf numFmtId="0" fontId="28" fillId="0" borderId="115"/>
    <xf numFmtId="0" fontId="28" fillId="0" borderId="115"/>
    <xf numFmtId="0" fontId="28" fillId="0" borderId="115"/>
    <xf numFmtId="0" fontId="28" fillId="0" borderId="115"/>
    <xf numFmtId="0" fontId="28" fillId="0" borderId="115"/>
    <xf numFmtId="0" fontId="28" fillId="0" borderId="115"/>
    <xf numFmtId="0" fontId="28" fillId="0" borderId="115"/>
    <xf numFmtId="0" fontId="28" fillId="0" borderId="115"/>
    <xf numFmtId="0" fontId="28" fillId="0" borderId="115"/>
    <xf numFmtId="0" fontId="28" fillId="0" borderId="115"/>
    <xf numFmtId="0" fontId="28" fillId="0" borderId="115"/>
    <xf numFmtId="0" fontId="28" fillId="0" borderId="115"/>
    <xf numFmtId="0" fontId="28" fillId="0" borderId="115"/>
    <xf numFmtId="0" fontId="28" fillId="0" borderId="115"/>
    <xf numFmtId="0" fontId="28" fillId="0" borderId="115"/>
    <xf numFmtId="0" fontId="28" fillId="0" borderId="115"/>
    <xf numFmtId="0" fontId="28" fillId="0" borderId="115"/>
    <xf numFmtId="0" fontId="28" fillId="0" borderId="115"/>
    <xf numFmtId="0" fontId="28" fillId="0" borderId="115"/>
    <xf numFmtId="0" fontId="28" fillId="0" borderId="115"/>
    <xf numFmtId="0" fontId="28" fillId="0" borderId="115"/>
    <xf numFmtId="0" fontId="28" fillId="0" borderId="115"/>
    <xf numFmtId="0" fontId="28" fillId="0" borderId="115"/>
    <xf numFmtId="0" fontId="28" fillId="0" borderId="115"/>
    <xf numFmtId="0" fontId="28" fillId="0" borderId="115"/>
    <xf numFmtId="0" fontId="28" fillId="0" borderId="115"/>
    <xf numFmtId="0" fontId="28" fillId="0" borderId="115"/>
    <xf numFmtId="0" fontId="28" fillId="0" borderId="115"/>
    <xf numFmtId="0" fontId="28" fillId="0" borderId="115"/>
    <xf numFmtId="0" fontId="28" fillId="0" borderId="115"/>
    <xf numFmtId="0" fontId="28" fillId="0" borderId="115"/>
    <xf numFmtId="0" fontId="28" fillId="0" borderId="115"/>
    <xf numFmtId="0" fontId="28" fillId="0" borderId="115"/>
    <xf numFmtId="0" fontId="28" fillId="0" borderId="115"/>
    <xf numFmtId="0" fontId="28" fillId="0" borderId="115"/>
    <xf numFmtId="0" fontId="28" fillId="0" borderId="115"/>
    <xf numFmtId="0" fontId="28" fillId="0" borderId="115"/>
    <xf numFmtId="0" fontId="28" fillId="0" borderId="115"/>
    <xf numFmtId="0" fontId="28" fillId="0" borderId="115"/>
    <xf numFmtId="0" fontId="28" fillId="0" borderId="115"/>
    <xf numFmtId="0" fontId="28" fillId="0" borderId="115"/>
    <xf numFmtId="0" fontId="28" fillId="0" borderId="115"/>
    <xf numFmtId="0" fontId="25" fillId="13" borderId="111" applyNumberFormat="0" applyAlignment="0" applyProtection="0"/>
    <xf numFmtId="0" fontId="25" fillId="13" borderId="111" applyNumberFormat="0" applyAlignment="0" applyProtection="0"/>
    <xf numFmtId="0" fontId="25" fillId="13" borderId="111" applyNumberFormat="0" applyAlignment="0" applyProtection="0"/>
    <xf numFmtId="0" fontId="25" fillId="13" borderId="111" applyNumberFormat="0" applyAlignment="0" applyProtection="0"/>
    <xf numFmtId="0" fontId="25" fillId="13" borderId="111" applyNumberFormat="0" applyAlignment="0" applyProtection="0"/>
    <xf numFmtId="0" fontId="25" fillId="13" borderId="111" applyNumberFormat="0" applyAlignment="0" applyProtection="0"/>
    <xf numFmtId="0" fontId="25" fillId="13" borderId="111" applyNumberFormat="0" applyAlignment="0" applyProtection="0"/>
    <xf numFmtId="0" fontId="25" fillId="13" borderId="111" applyNumberFormat="0" applyAlignment="0" applyProtection="0"/>
    <xf numFmtId="0" fontId="25" fillId="13" borderId="111" applyNumberFormat="0" applyAlignment="0" applyProtection="0"/>
    <xf numFmtId="0" fontId="25" fillId="13" borderId="111" applyNumberFormat="0" applyAlignment="0" applyProtection="0"/>
    <xf numFmtId="0" fontId="25" fillId="13" borderId="111" applyNumberFormat="0" applyAlignment="0" applyProtection="0"/>
    <xf numFmtId="0" fontId="25" fillId="13" borderId="111" applyNumberFormat="0" applyAlignment="0" applyProtection="0"/>
    <xf numFmtId="0" fontId="25" fillId="13" borderId="111" applyNumberFormat="0" applyAlignment="0" applyProtection="0"/>
    <xf numFmtId="0" fontId="25" fillId="13" borderId="111" applyNumberFormat="0" applyAlignment="0" applyProtection="0"/>
    <xf numFmtId="0" fontId="25" fillId="13" borderId="111" applyNumberFormat="0" applyAlignment="0" applyProtection="0"/>
    <xf numFmtId="0" fontId="25" fillId="13" borderId="111" applyNumberFormat="0" applyAlignment="0" applyProtection="0"/>
    <xf numFmtId="0" fontId="25" fillId="13" borderId="111" applyNumberFormat="0" applyAlignment="0" applyProtection="0"/>
    <xf numFmtId="0" fontId="25" fillId="13" borderId="111" applyNumberFormat="0" applyAlignment="0" applyProtection="0"/>
    <xf numFmtId="0" fontId="25" fillId="13" borderId="111" applyNumberFormat="0" applyAlignment="0" applyProtection="0"/>
    <xf numFmtId="0" fontId="25" fillId="13" borderId="111" applyNumberFormat="0" applyAlignment="0" applyProtection="0"/>
    <xf numFmtId="0" fontId="25" fillId="13" borderId="111" applyNumberFormat="0" applyAlignment="0" applyProtection="0"/>
    <xf numFmtId="0" fontId="25" fillId="13" borderId="111" applyNumberFormat="0" applyAlignment="0" applyProtection="0"/>
    <xf numFmtId="0" fontId="25" fillId="13" borderId="111" applyNumberFormat="0" applyAlignment="0" applyProtection="0"/>
    <xf numFmtId="0" fontId="25" fillId="13" borderId="111" applyNumberFormat="0" applyAlignment="0" applyProtection="0"/>
    <xf numFmtId="0" fontId="25" fillId="13" borderId="111" applyNumberFormat="0" applyAlignment="0" applyProtection="0"/>
    <xf numFmtId="0" fontId="25" fillId="13" borderId="111" applyNumberFormat="0" applyAlignment="0" applyProtection="0"/>
    <xf numFmtId="0" fontId="25" fillId="13" borderId="111" applyNumberFormat="0" applyAlignment="0" applyProtection="0"/>
    <xf numFmtId="0" fontId="25" fillId="13" borderId="111" applyNumberFormat="0" applyAlignment="0" applyProtection="0"/>
    <xf numFmtId="0" fontId="25" fillId="13" borderId="111" applyNumberFormat="0" applyAlignment="0" applyProtection="0"/>
    <xf numFmtId="0" fontId="25" fillId="13" borderId="111" applyNumberFormat="0" applyAlignment="0" applyProtection="0"/>
    <xf numFmtId="0" fontId="25" fillId="13" borderId="111" applyNumberFormat="0" applyAlignment="0" applyProtection="0"/>
    <xf numFmtId="0" fontId="25" fillId="13" borderId="111" applyNumberFormat="0" applyAlignment="0" applyProtection="0"/>
    <xf numFmtId="0" fontId="25" fillId="13" borderId="111" applyNumberFormat="0" applyAlignment="0" applyProtection="0"/>
    <xf numFmtId="0" fontId="25" fillId="13" borderId="111" applyNumberFormat="0" applyAlignment="0" applyProtection="0"/>
    <xf numFmtId="0" fontId="25" fillId="13" borderId="111" applyNumberFormat="0" applyAlignment="0" applyProtection="0"/>
    <xf numFmtId="0" fontId="25" fillId="13" borderId="111" applyNumberFormat="0" applyAlignment="0" applyProtection="0"/>
    <xf numFmtId="0" fontId="25" fillId="13" borderId="111" applyNumberFormat="0" applyAlignment="0" applyProtection="0"/>
    <xf numFmtId="0" fontId="25" fillId="13" borderId="111" applyNumberFormat="0" applyAlignment="0" applyProtection="0"/>
    <xf numFmtId="0" fontId="25" fillId="13" borderId="111" applyNumberFormat="0" applyAlignment="0" applyProtection="0"/>
    <xf numFmtId="0" fontId="25" fillId="13" borderId="111" applyNumberFormat="0" applyAlignment="0" applyProtection="0"/>
    <xf numFmtId="0" fontId="25" fillId="13" borderId="111" applyNumberFormat="0" applyAlignment="0" applyProtection="0"/>
    <xf numFmtId="0" fontId="25" fillId="13" borderId="111" applyNumberFormat="0" applyAlignment="0" applyProtection="0"/>
    <xf numFmtId="0" fontId="25" fillId="13" borderId="111" applyNumberFormat="0" applyAlignment="0" applyProtection="0"/>
    <xf numFmtId="0" fontId="25" fillId="13" borderId="111" applyNumberFormat="0" applyAlignment="0" applyProtection="0"/>
    <xf numFmtId="0" fontId="25" fillId="13" borderId="111" applyNumberFormat="0" applyAlignment="0" applyProtection="0"/>
    <xf numFmtId="0" fontId="25" fillId="13" borderId="111" applyNumberFormat="0" applyAlignment="0" applyProtection="0"/>
    <xf numFmtId="0" fontId="25" fillId="13" borderId="111" applyNumberFormat="0" applyAlignment="0" applyProtection="0"/>
    <xf numFmtId="0" fontId="25" fillId="13" borderId="111" applyNumberFormat="0" applyAlignment="0" applyProtection="0"/>
    <xf numFmtId="0" fontId="25" fillId="13" borderId="111" applyNumberFormat="0" applyAlignment="0" applyProtection="0"/>
    <xf numFmtId="0" fontId="41" fillId="13" borderId="111" applyNumberFormat="0" applyAlignment="0" applyProtection="0"/>
    <xf numFmtId="0" fontId="41" fillId="13" borderId="111" applyNumberFormat="0" applyAlignment="0" applyProtection="0"/>
    <xf numFmtId="0" fontId="41" fillId="13" borderId="111" applyNumberFormat="0" applyAlignment="0" applyProtection="0"/>
    <xf numFmtId="0" fontId="41" fillId="13" borderId="111" applyNumberFormat="0" applyAlignment="0" applyProtection="0"/>
    <xf numFmtId="0" fontId="41" fillId="13" borderId="111" applyNumberFormat="0" applyAlignment="0" applyProtection="0"/>
    <xf numFmtId="0" fontId="41" fillId="13" borderId="111" applyNumberFormat="0" applyAlignment="0" applyProtection="0"/>
    <xf numFmtId="0" fontId="41" fillId="13" borderId="111" applyNumberFormat="0" applyAlignment="0" applyProtection="0"/>
    <xf numFmtId="0" fontId="41" fillId="13" borderId="111" applyNumberFormat="0" applyAlignment="0" applyProtection="0"/>
    <xf numFmtId="0" fontId="41" fillId="13" borderId="111" applyNumberFormat="0" applyAlignment="0" applyProtection="0"/>
    <xf numFmtId="0" fontId="41" fillId="13" borderId="111" applyNumberFormat="0" applyAlignment="0" applyProtection="0"/>
    <xf numFmtId="0" fontId="41" fillId="13" borderId="111" applyNumberFormat="0" applyAlignment="0" applyProtection="0"/>
    <xf numFmtId="0" fontId="41" fillId="13" borderId="111" applyNumberFormat="0" applyAlignment="0" applyProtection="0"/>
    <xf numFmtId="0" fontId="41" fillId="13" borderId="111" applyNumberFormat="0" applyAlignment="0" applyProtection="0"/>
    <xf numFmtId="0" fontId="41" fillId="13" borderId="111" applyNumberFormat="0" applyAlignment="0" applyProtection="0"/>
    <xf numFmtId="0" fontId="41" fillId="13" borderId="111" applyNumberFormat="0" applyAlignment="0" applyProtection="0"/>
    <xf numFmtId="0" fontId="41" fillId="13" borderId="111" applyNumberFormat="0" applyAlignment="0" applyProtection="0"/>
    <xf numFmtId="0" fontId="41" fillId="13" borderId="111" applyNumberFormat="0" applyAlignment="0" applyProtection="0"/>
    <xf numFmtId="0" fontId="41" fillId="13" borderId="111" applyNumberFormat="0" applyAlignment="0" applyProtection="0"/>
    <xf numFmtId="0" fontId="41" fillId="13" borderId="111" applyNumberFormat="0" applyAlignment="0" applyProtection="0"/>
    <xf numFmtId="0" fontId="41" fillId="13" borderId="111" applyNumberFormat="0" applyAlignment="0" applyProtection="0"/>
    <xf numFmtId="0" fontId="41" fillId="13" borderId="111" applyNumberFormat="0" applyAlignment="0" applyProtection="0"/>
    <xf numFmtId="0" fontId="41" fillId="13" borderId="111" applyNumberFormat="0" applyAlignment="0" applyProtection="0"/>
    <xf numFmtId="0" fontId="41" fillId="13" borderId="111" applyNumberFormat="0" applyAlignment="0" applyProtection="0"/>
    <xf numFmtId="0" fontId="41" fillId="13" borderId="111" applyNumberFormat="0" applyAlignment="0" applyProtection="0"/>
    <xf numFmtId="0" fontId="41" fillId="13" borderId="111" applyNumberFormat="0" applyAlignment="0" applyProtection="0"/>
    <xf numFmtId="0" fontId="41" fillId="13" borderId="111" applyNumberFormat="0" applyAlignment="0" applyProtection="0"/>
    <xf numFmtId="0" fontId="41" fillId="13" borderId="111" applyNumberFormat="0" applyAlignment="0" applyProtection="0"/>
    <xf numFmtId="0" fontId="41" fillId="13" borderId="111" applyNumberFormat="0" applyAlignment="0" applyProtection="0"/>
    <xf numFmtId="0" fontId="41" fillId="13" borderId="111" applyNumberFormat="0" applyAlignment="0" applyProtection="0"/>
    <xf numFmtId="0" fontId="41" fillId="13" borderId="111" applyNumberFormat="0" applyAlignment="0" applyProtection="0"/>
    <xf numFmtId="0" fontId="41" fillId="13" borderId="111" applyNumberFormat="0" applyAlignment="0" applyProtection="0"/>
    <xf numFmtId="0" fontId="41" fillId="13" borderId="111" applyNumberFormat="0" applyAlignment="0" applyProtection="0"/>
    <xf numFmtId="0" fontId="41" fillId="13" borderId="111" applyNumberFormat="0" applyAlignment="0" applyProtection="0"/>
    <xf numFmtId="0" fontId="41" fillId="13" borderId="111" applyNumberFormat="0" applyAlignment="0" applyProtection="0"/>
    <xf numFmtId="0" fontId="41" fillId="13" borderId="111" applyNumberFormat="0" applyAlignment="0" applyProtection="0"/>
    <xf numFmtId="0" fontId="41" fillId="13" borderId="111" applyNumberFormat="0" applyAlignment="0" applyProtection="0"/>
    <xf numFmtId="0" fontId="41" fillId="13" borderId="111" applyNumberFormat="0" applyAlignment="0" applyProtection="0"/>
    <xf numFmtId="0" fontId="41" fillId="13" borderId="111" applyNumberFormat="0" applyAlignment="0" applyProtection="0"/>
    <xf numFmtId="0" fontId="41" fillId="13" borderId="111" applyNumberFormat="0" applyAlignment="0" applyProtection="0"/>
    <xf numFmtId="0" fontId="41" fillId="13" borderId="111" applyNumberFormat="0" applyAlignment="0" applyProtection="0"/>
    <xf numFmtId="0" fontId="41" fillId="13" borderId="111" applyNumberFormat="0" applyAlignment="0" applyProtection="0"/>
    <xf numFmtId="0" fontId="41" fillId="13" borderId="111" applyNumberFormat="0" applyAlignment="0" applyProtection="0"/>
    <xf numFmtId="0" fontId="41" fillId="13" borderId="111" applyNumberFormat="0" applyAlignment="0" applyProtection="0"/>
    <xf numFmtId="0" fontId="41" fillId="13" borderId="111" applyNumberFormat="0" applyAlignment="0" applyProtection="0"/>
    <xf numFmtId="0" fontId="41" fillId="13" borderId="111" applyNumberFormat="0" applyAlignment="0" applyProtection="0"/>
    <xf numFmtId="0" fontId="41" fillId="13" borderId="111" applyNumberFormat="0" applyAlignment="0" applyProtection="0"/>
    <xf numFmtId="0" fontId="41" fillId="13" borderId="111" applyNumberFormat="0" applyAlignment="0" applyProtection="0"/>
    <xf numFmtId="0" fontId="41" fillId="13" borderId="111" applyNumberFormat="0" applyAlignment="0" applyProtection="0"/>
    <xf numFmtId="0" fontId="41" fillId="13" borderId="111" applyNumberFormat="0" applyAlignment="0" applyProtection="0"/>
    <xf numFmtId="0" fontId="25" fillId="13" borderId="111" applyNumberFormat="0" applyAlignment="0" applyProtection="0"/>
    <xf numFmtId="0" fontId="25" fillId="13" borderId="111" applyNumberFormat="0" applyAlignment="0" applyProtection="0"/>
    <xf numFmtId="0" fontId="25" fillId="13" borderId="111" applyNumberFormat="0" applyAlignment="0" applyProtection="0"/>
    <xf numFmtId="0" fontId="25" fillId="13" borderId="111" applyNumberFormat="0" applyAlignment="0" applyProtection="0"/>
    <xf numFmtId="0" fontId="25" fillId="13" borderId="111" applyNumberFormat="0" applyAlignment="0" applyProtection="0"/>
    <xf numFmtId="0" fontId="25" fillId="13" borderId="111" applyNumberFormat="0" applyAlignment="0" applyProtection="0"/>
    <xf numFmtId="0" fontId="25" fillId="13" borderId="111" applyNumberFormat="0" applyAlignment="0" applyProtection="0"/>
    <xf numFmtId="0" fontId="25" fillId="13" borderId="111" applyNumberFormat="0" applyAlignment="0" applyProtection="0"/>
    <xf numFmtId="0" fontId="25" fillId="13" borderId="111" applyNumberFormat="0" applyAlignment="0" applyProtection="0"/>
    <xf numFmtId="0" fontId="25" fillId="13" borderId="111" applyNumberFormat="0" applyAlignment="0" applyProtection="0"/>
    <xf numFmtId="0" fontId="25" fillId="13" borderId="111" applyNumberFormat="0" applyAlignment="0" applyProtection="0"/>
    <xf numFmtId="0" fontId="25" fillId="13" borderId="111" applyNumberFormat="0" applyAlignment="0" applyProtection="0"/>
    <xf numFmtId="0" fontId="25" fillId="13" borderId="111" applyNumberFormat="0" applyAlignment="0" applyProtection="0"/>
    <xf numFmtId="0" fontId="25" fillId="13" borderId="111" applyNumberFormat="0" applyAlignment="0" applyProtection="0"/>
    <xf numFmtId="0" fontId="25" fillId="13" borderId="111" applyNumberFormat="0" applyAlignment="0" applyProtection="0"/>
    <xf numFmtId="0" fontId="25" fillId="13" borderId="111" applyNumberFormat="0" applyAlignment="0" applyProtection="0"/>
    <xf numFmtId="0" fontId="25" fillId="13" borderId="111" applyNumberFormat="0" applyAlignment="0" applyProtection="0"/>
    <xf numFmtId="0" fontId="25" fillId="13" borderId="111" applyNumberFormat="0" applyAlignment="0" applyProtection="0"/>
    <xf numFmtId="0" fontId="25" fillId="13" borderId="111" applyNumberFormat="0" applyAlignment="0" applyProtection="0"/>
    <xf numFmtId="0" fontId="25" fillId="13" borderId="111" applyNumberFormat="0" applyAlignment="0" applyProtection="0"/>
    <xf numFmtId="0" fontId="25" fillId="13" borderId="111" applyNumberFormat="0" applyAlignment="0" applyProtection="0"/>
    <xf numFmtId="0" fontId="25" fillId="13" borderId="111" applyNumberFormat="0" applyAlignment="0" applyProtection="0"/>
    <xf numFmtId="0" fontId="25" fillId="13" borderId="111" applyNumberFormat="0" applyAlignment="0" applyProtection="0"/>
    <xf numFmtId="0" fontId="25" fillId="13" borderId="111" applyNumberFormat="0" applyAlignment="0" applyProtection="0"/>
    <xf numFmtId="0" fontId="25" fillId="13" borderId="111" applyNumberFormat="0" applyAlignment="0" applyProtection="0"/>
    <xf numFmtId="0" fontId="25" fillId="13" borderId="111" applyNumberFormat="0" applyAlignment="0" applyProtection="0"/>
    <xf numFmtId="0" fontId="25" fillId="13" borderId="111" applyNumberFormat="0" applyAlignment="0" applyProtection="0"/>
    <xf numFmtId="0" fontId="25" fillId="13" borderId="111" applyNumberFormat="0" applyAlignment="0" applyProtection="0"/>
    <xf numFmtId="0" fontId="25" fillId="13" borderId="111" applyNumberFormat="0" applyAlignment="0" applyProtection="0"/>
    <xf numFmtId="0" fontId="25" fillId="13" borderId="111" applyNumberFormat="0" applyAlignment="0" applyProtection="0"/>
    <xf numFmtId="0" fontId="25" fillId="13" borderId="111" applyNumberFormat="0" applyAlignment="0" applyProtection="0"/>
    <xf numFmtId="0" fontId="25" fillId="13" borderId="111" applyNumberFormat="0" applyAlignment="0" applyProtection="0"/>
    <xf numFmtId="0" fontId="25" fillId="13" borderId="111" applyNumberFormat="0" applyAlignment="0" applyProtection="0"/>
    <xf numFmtId="0" fontId="25" fillId="13" borderId="111" applyNumberFormat="0" applyAlignment="0" applyProtection="0"/>
    <xf numFmtId="0" fontId="25" fillId="13" borderId="111" applyNumberFormat="0" applyAlignment="0" applyProtection="0"/>
    <xf numFmtId="0" fontId="25" fillId="13" borderId="111" applyNumberFormat="0" applyAlignment="0" applyProtection="0"/>
    <xf numFmtId="0" fontId="25" fillId="13" borderId="111" applyNumberFormat="0" applyAlignment="0" applyProtection="0"/>
    <xf numFmtId="0" fontId="25" fillId="13" borderId="111" applyNumberFormat="0" applyAlignment="0" applyProtection="0"/>
    <xf numFmtId="0" fontId="25" fillId="13" borderId="111" applyNumberFormat="0" applyAlignment="0" applyProtection="0"/>
    <xf numFmtId="0" fontId="25" fillId="13" borderId="111" applyNumberFormat="0" applyAlignment="0" applyProtection="0"/>
    <xf numFmtId="0" fontId="25" fillId="13" borderId="111" applyNumberFormat="0" applyAlignment="0" applyProtection="0"/>
    <xf numFmtId="0" fontId="25" fillId="13" borderId="111" applyNumberFormat="0" applyAlignment="0" applyProtection="0"/>
    <xf numFmtId="0" fontId="25" fillId="13" borderId="111" applyNumberFormat="0" applyAlignment="0" applyProtection="0"/>
    <xf numFmtId="0" fontId="25" fillId="13" borderId="111" applyNumberFormat="0" applyAlignment="0" applyProtection="0"/>
    <xf numFmtId="0" fontId="25" fillId="13" borderId="111" applyNumberFormat="0" applyAlignment="0" applyProtection="0"/>
    <xf numFmtId="0" fontId="25" fillId="13" borderId="111" applyNumberFormat="0" applyAlignment="0" applyProtection="0"/>
    <xf numFmtId="0" fontId="25" fillId="13" borderId="111" applyNumberFormat="0" applyAlignment="0" applyProtection="0"/>
    <xf numFmtId="0" fontId="25" fillId="13" borderId="111" applyNumberFormat="0" applyAlignment="0" applyProtection="0"/>
    <xf numFmtId="0" fontId="25" fillId="13" borderId="111" applyNumberFormat="0" applyAlignment="0" applyProtection="0"/>
    <xf numFmtId="0" fontId="41" fillId="13" borderId="111" applyNumberFormat="0" applyAlignment="0" applyProtection="0"/>
    <xf numFmtId="0" fontId="41" fillId="13" borderId="111" applyNumberFormat="0" applyAlignment="0" applyProtection="0"/>
    <xf numFmtId="0" fontId="41" fillId="13" borderId="111" applyNumberFormat="0" applyAlignment="0" applyProtection="0"/>
    <xf numFmtId="0" fontId="41" fillId="13" borderId="111" applyNumberFormat="0" applyAlignment="0" applyProtection="0"/>
    <xf numFmtId="0" fontId="41" fillId="13" borderId="111" applyNumberFormat="0" applyAlignment="0" applyProtection="0"/>
    <xf numFmtId="0" fontId="41" fillId="13" borderId="111" applyNumberFormat="0" applyAlignment="0" applyProtection="0"/>
    <xf numFmtId="0" fontId="41" fillId="13" borderId="111" applyNumberFormat="0" applyAlignment="0" applyProtection="0"/>
    <xf numFmtId="0" fontId="41" fillId="13" borderId="111" applyNumberFormat="0" applyAlignment="0" applyProtection="0"/>
    <xf numFmtId="0" fontId="41" fillId="13" borderId="111" applyNumberFormat="0" applyAlignment="0" applyProtection="0"/>
    <xf numFmtId="0" fontId="41" fillId="13" borderId="111" applyNumberFormat="0" applyAlignment="0" applyProtection="0"/>
    <xf numFmtId="0" fontId="41" fillId="13" borderId="111" applyNumberFormat="0" applyAlignment="0" applyProtection="0"/>
    <xf numFmtId="0" fontId="41" fillId="13" borderId="111" applyNumberFormat="0" applyAlignment="0" applyProtection="0"/>
    <xf numFmtId="0" fontId="41" fillId="13" borderId="111" applyNumberFormat="0" applyAlignment="0" applyProtection="0"/>
    <xf numFmtId="0" fontId="41" fillId="13" borderId="111" applyNumberFormat="0" applyAlignment="0" applyProtection="0"/>
    <xf numFmtId="0" fontId="41" fillId="13" borderId="111" applyNumberFormat="0" applyAlignment="0" applyProtection="0"/>
    <xf numFmtId="0" fontId="41" fillId="13" borderId="111" applyNumberFormat="0" applyAlignment="0" applyProtection="0"/>
    <xf numFmtId="0" fontId="41" fillId="13" borderId="111" applyNumberFormat="0" applyAlignment="0" applyProtection="0"/>
    <xf numFmtId="0" fontId="41" fillId="13" borderId="111" applyNumberFormat="0" applyAlignment="0" applyProtection="0"/>
    <xf numFmtId="0" fontId="41" fillId="13" borderId="111" applyNumberFormat="0" applyAlignment="0" applyProtection="0"/>
    <xf numFmtId="0" fontId="41" fillId="13" borderId="111" applyNumberFormat="0" applyAlignment="0" applyProtection="0"/>
    <xf numFmtId="0" fontId="41" fillId="13" borderId="111" applyNumberFormat="0" applyAlignment="0" applyProtection="0"/>
    <xf numFmtId="0" fontId="41" fillId="13" borderId="111" applyNumberFormat="0" applyAlignment="0" applyProtection="0"/>
    <xf numFmtId="0" fontId="41" fillId="13" borderId="111" applyNumberFormat="0" applyAlignment="0" applyProtection="0"/>
    <xf numFmtId="0" fontId="41" fillId="13" borderId="111" applyNumberFormat="0" applyAlignment="0" applyProtection="0"/>
    <xf numFmtId="0" fontId="41" fillId="13" borderId="111" applyNumberFormat="0" applyAlignment="0" applyProtection="0"/>
    <xf numFmtId="0" fontId="41" fillId="13" borderId="111" applyNumberFormat="0" applyAlignment="0" applyProtection="0"/>
    <xf numFmtId="0" fontId="41" fillId="13" borderId="111" applyNumberFormat="0" applyAlignment="0" applyProtection="0"/>
    <xf numFmtId="0" fontId="41" fillId="13" borderId="111" applyNumberFormat="0" applyAlignment="0" applyProtection="0"/>
    <xf numFmtId="0" fontId="41" fillId="13" borderId="111" applyNumberFormat="0" applyAlignment="0" applyProtection="0"/>
    <xf numFmtId="0" fontId="41" fillId="13" borderId="111" applyNumberFormat="0" applyAlignment="0" applyProtection="0"/>
    <xf numFmtId="0" fontId="41" fillId="13" borderId="111" applyNumberFormat="0" applyAlignment="0" applyProtection="0"/>
    <xf numFmtId="0" fontId="41" fillId="13" borderId="111" applyNumberFormat="0" applyAlignment="0" applyProtection="0"/>
    <xf numFmtId="0" fontId="41" fillId="13" borderId="111" applyNumberFormat="0" applyAlignment="0" applyProtection="0"/>
    <xf numFmtId="0" fontId="41" fillId="13" borderId="111" applyNumberFormat="0" applyAlignment="0" applyProtection="0"/>
    <xf numFmtId="0" fontId="41" fillId="13" borderId="111" applyNumberFormat="0" applyAlignment="0" applyProtection="0"/>
    <xf numFmtId="0" fontId="41" fillId="13" borderId="111" applyNumberFormat="0" applyAlignment="0" applyProtection="0"/>
    <xf numFmtId="0" fontId="41" fillId="13" borderId="111" applyNumberFormat="0" applyAlignment="0" applyProtection="0"/>
    <xf numFmtId="0" fontId="41" fillId="13" borderId="111" applyNumberFormat="0" applyAlignment="0" applyProtection="0"/>
    <xf numFmtId="0" fontId="41" fillId="13" borderId="111" applyNumberFormat="0" applyAlignment="0" applyProtection="0"/>
    <xf numFmtId="0" fontId="41" fillId="13" borderId="111" applyNumberFormat="0" applyAlignment="0" applyProtection="0"/>
    <xf numFmtId="0" fontId="41" fillId="13" borderId="111" applyNumberFormat="0" applyAlignment="0" applyProtection="0"/>
    <xf numFmtId="0" fontId="41" fillId="13" borderId="111" applyNumberFormat="0" applyAlignment="0" applyProtection="0"/>
    <xf numFmtId="0" fontId="41" fillId="13" borderId="111" applyNumberFormat="0" applyAlignment="0" applyProtection="0"/>
    <xf numFmtId="0" fontId="41" fillId="13" borderId="111" applyNumberFormat="0" applyAlignment="0" applyProtection="0"/>
    <xf numFmtId="0" fontId="41" fillId="13" borderId="111" applyNumberFormat="0" applyAlignment="0" applyProtection="0"/>
    <xf numFmtId="0" fontId="41" fillId="13" borderId="111" applyNumberFormat="0" applyAlignment="0" applyProtection="0"/>
    <xf numFmtId="0" fontId="41" fillId="13" borderId="111" applyNumberFormat="0" applyAlignment="0" applyProtection="0"/>
    <xf numFmtId="0" fontId="41" fillId="13" borderId="111" applyNumberFormat="0" applyAlignment="0" applyProtection="0"/>
    <xf numFmtId="0" fontId="41" fillId="13" borderId="111" applyNumberFormat="0" applyAlignment="0" applyProtection="0"/>
    <xf numFmtId="0" fontId="25" fillId="13" borderId="111" applyNumberFormat="0" applyAlignment="0" applyProtection="0"/>
    <xf numFmtId="0" fontId="25" fillId="13" borderId="111" applyNumberFormat="0" applyAlignment="0" applyProtection="0"/>
    <xf numFmtId="0" fontId="25" fillId="13" borderId="111" applyNumberFormat="0" applyAlignment="0" applyProtection="0"/>
    <xf numFmtId="0" fontId="25" fillId="13" borderId="111" applyNumberFormat="0" applyAlignment="0" applyProtection="0"/>
    <xf numFmtId="0" fontId="25" fillId="13" borderId="111" applyNumberFormat="0" applyAlignment="0" applyProtection="0"/>
    <xf numFmtId="0" fontId="25" fillId="13" borderId="111" applyNumberFormat="0" applyAlignment="0" applyProtection="0"/>
    <xf numFmtId="0" fontId="25" fillId="13" borderId="111" applyNumberFormat="0" applyAlignment="0" applyProtection="0"/>
    <xf numFmtId="0" fontId="25" fillId="13" borderId="111" applyNumberFormat="0" applyAlignment="0" applyProtection="0"/>
    <xf numFmtId="0" fontId="25" fillId="13" borderId="111" applyNumberFormat="0" applyAlignment="0" applyProtection="0"/>
    <xf numFmtId="0" fontId="25" fillId="13" borderId="111" applyNumberFormat="0" applyAlignment="0" applyProtection="0"/>
    <xf numFmtId="0" fontId="25" fillId="13" borderId="111" applyNumberFormat="0" applyAlignment="0" applyProtection="0"/>
    <xf numFmtId="0" fontId="25" fillId="13" borderId="111" applyNumberFormat="0" applyAlignment="0" applyProtection="0"/>
    <xf numFmtId="0" fontId="25" fillId="13" borderId="111" applyNumberFormat="0" applyAlignment="0" applyProtection="0"/>
    <xf numFmtId="0" fontId="25" fillId="13" borderId="111" applyNumberFormat="0" applyAlignment="0" applyProtection="0"/>
    <xf numFmtId="0" fontId="25" fillId="13" borderId="111" applyNumberFormat="0" applyAlignment="0" applyProtection="0"/>
    <xf numFmtId="0" fontId="25" fillId="13" borderId="111" applyNumberFormat="0" applyAlignment="0" applyProtection="0"/>
    <xf numFmtId="0" fontId="25" fillId="13" borderId="111" applyNumberFormat="0" applyAlignment="0" applyProtection="0"/>
    <xf numFmtId="0" fontId="25" fillId="13" borderId="111" applyNumberFormat="0" applyAlignment="0" applyProtection="0"/>
    <xf numFmtId="0" fontId="25" fillId="13" borderId="111" applyNumberFormat="0" applyAlignment="0" applyProtection="0"/>
    <xf numFmtId="0" fontId="25" fillId="13" borderId="111" applyNumberFormat="0" applyAlignment="0" applyProtection="0"/>
    <xf numFmtId="0" fontId="25" fillId="13" borderId="111" applyNumberFormat="0" applyAlignment="0" applyProtection="0"/>
    <xf numFmtId="0" fontId="25" fillId="13" borderId="111" applyNumberFormat="0" applyAlignment="0" applyProtection="0"/>
    <xf numFmtId="0" fontId="25" fillId="13" borderId="111" applyNumberFormat="0" applyAlignment="0" applyProtection="0"/>
    <xf numFmtId="0" fontId="25" fillId="13" borderId="111" applyNumberFormat="0" applyAlignment="0" applyProtection="0"/>
    <xf numFmtId="0" fontId="25" fillId="13" borderId="111" applyNumberFormat="0" applyAlignment="0" applyProtection="0"/>
    <xf numFmtId="0" fontId="25" fillId="13" borderId="111" applyNumberFormat="0" applyAlignment="0" applyProtection="0"/>
    <xf numFmtId="0" fontId="25" fillId="13" borderId="111" applyNumberFormat="0" applyAlignment="0" applyProtection="0"/>
    <xf numFmtId="0" fontId="25" fillId="13" borderId="111" applyNumberFormat="0" applyAlignment="0" applyProtection="0"/>
    <xf numFmtId="0" fontId="25" fillId="13" borderId="111" applyNumberFormat="0" applyAlignment="0" applyProtection="0"/>
    <xf numFmtId="0" fontId="25" fillId="13" borderId="111" applyNumberFormat="0" applyAlignment="0" applyProtection="0"/>
    <xf numFmtId="0" fontId="25" fillId="13" borderId="111" applyNumberFormat="0" applyAlignment="0" applyProtection="0"/>
    <xf numFmtId="0" fontId="25" fillId="13" borderId="111" applyNumberFormat="0" applyAlignment="0" applyProtection="0"/>
    <xf numFmtId="0" fontId="25" fillId="13" borderId="111" applyNumberFormat="0" applyAlignment="0" applyProtection="0"/>
    <xf numFmtId="0" fontId="25" fillId="13" borderId="111" applyNumberFormat="0" applyAlignment="0" applyProtection="0"/>
    <xf numFmtId="0" fontId="25" fillId="13" borderId="111" applyNumberFormat="0" applyAlignment="0" applyProtection="0"/>
    <xf numFmtId="0" fontId="25" fillId="13" borderId="111" applyNumberFormat="0" applyAlignment="0" applyProtection="0"/>
    <xf numFmtId="0" fontId="25" fillId="13" borderId="111" applyNumberFormat="0" applyAlignment="0" applyProtection="0"/>
    <xf numFmtId="0" fontId="25" fillId="13" borderId="111" applyNumberFormat="0" applyAlignment="0" applyProtection="0"/>
    <xf numFmtId="0" fontId="25" fillId="13" borderId="111" applyNumberFormat="0" applyAlignment="0" applyProtection="0"/>
    <xf numFmtId="0" fontId="25" fillId="13" borderId="111" applyNumberFormat="0" applyAlignment="0" applyProtection="0"/>
    <xf numFmtId="0" fontId="25" fillId="13" borderId="111" applyNumberFormat="0" applyAlignment="0" applyProtection="0"/>
    <xf numFmtId="0" fontId="25" fillId="13" borderId="111" applyNumberFormat="0" applyAlignment="0" applyProtection="0"/>
    <xf numFmtId="0" fontId="25" fillId="13" borderId="111" applyNumberFormat="0" applyAlignment="0" applyProtection="0"/>
    <xf numFmtId="0" fontId="25" fillId="13" borderId="111" applyNumberFormat="0" applyAlignment="0" applyProtection="0"/>
    <xf numFmtId="0" fontId="25" fillId="13" borderId="111" applyNumberFormat="0" applyAlignment="0" applyProtection="0"/>
    <xf numFmtId="0" fontId="25" fillId="13" borderId="111" applyNumberFormat="0" applyAlignment="0" applyProtection="0"/>
    <xf numFmtId="0" fontId="25" fillId="13" borderId="111" applyNumberFormat="0" applyAlignment="0" applyProtection="0"/>
    <xf numFmtId="0" fontId="25" fillId="13" borderId="111" applyNumberFormat="0" applyAlignment="0" applyProtection="0"/>
    <xf numFmtId="0" fontId="25" fillId="13" borderId="111" applyNumberFormat="0" applyAlignment="0" applyProtection="0"/>
    <xf numFmtId="0" fontId="25" fillId="8" borderId="111" applyNumberFormat="0" applyAlignment="0" applyProtection="0"/>
    <xf numFmtId="0" fontId="25" fillId="8" borderId="111" applyNumberFormat="0" applyAlignment="0" applyProtection="0"/>
    <xf numFmtId="0" fontId="25" fillId="8" borderId="111" applyNumberFormat="0" applyAlignment="0" applyProtection="0"/>
    <xf numFmtId="0" fontId="25" fillId="8" borderId="111" applyNumberFormat="0" applyAlignment="0" applyProtection="0"/>
    <xf numFmtId="0" fontId="25" fillId="8" borderId="111" applyNumberFormat="0" applyAlignment="0" applyProtection="0"/>
    <xf numFmtId="0" fontId="25" fillId="8" borderId="111" applyNumberFormat="0" applyAlignment="0" applyProtection="0"/>
    <xf numFmtId="0" fontId="25" fillId="8" borderId="111" applyNumberFormat="0" applyAlignment="0" applyProtection="0"/>
    <xf numFmtId="0" fontId="25" fillId="8" borderId="111" applyNumberFormat="0" applyAlignment="0" applyProtection="0"/>
    <xf numFmtId="0" fontId="25" fillId="8" borderId="111" applyNumberFormat="0" applyAlignment="0" applyProtection="0"/>
    <xf numFmtId="0" fontId="25" fillId="8" borderId="111" applyNumberFormat="0" applyAlignment="0" applyProtection="0"/>
    <xf numFmtId="0" fontId="25" fillId="8" borderId="111" applyNumberFormat="0" applyAlignment="0" applyProtection="0"/>
    <xf numFmtId="0" fontId="25" fillId="8" borderId="111" applyNumberFormat="0" applyAlignment="0" applyProtection="0"/>
    <xf numFmtId="0" fontId="25" fillId="8" borderId="111" applyNumberFormat="0" applyAlignment="0" applyProtection="0"/>
    <xf numFmtId="0" fontId="25" fillId="8" borderId="111" applyNumberFormat="0" applyAlignment="0" applyProtection="0"/>
    <xf numFmtId="0" fontId="25" fillId="8" borderId="111" applyNumberFormat="0" applyAlignment="0" applyProtection="0"/>
    <xf numFmtId="0" fontId="25" fillId="8" borderId="111" applyNumberFormat="0" applyAlignment="0" applyProtection="0"/>
    <xf numFmtId="0" fontId="25" fillId="8" borderId="111" applyNumberFormat="0" applyAlignment="0" applyProtection="0"/>
    <xf numFmtId="0" fontId="25" fillId="8" borderId="111" applyNumberFormat="0" applyAlignment="0" applyProtection="0"/>
    <xf numFmtId="0" fontId="25" fillId="8" borderId="111" applyNumberFormat="0" applyAlignment="0" applyProtection="0"/>
    <xf numFmtId="0" fontId="25" fillId="8" borderId="111" applyNumberFormat="0" applyAlignment="0" applyProtection="0"/>
    <xf numFmtId="0" fontId="25" fillId="8" borderId="111" applyNumberFormat="0" applyAlignment="0" applyProtection="0"/>
    <xf numFmtId="0" fontId="25" fillId="8" borderId="111" applyNumberFormat="0" applyAlignment="0" applyProtection="0"/>
    <xf numFmtId="0" fontId="25" fillId="8" borderId="111" applyNumberFormat="0" applyAlignment="0" applyProtection="0"/>
    <xf numFmtId="0" fontId="25" fillId="8" borderId="111" applyNumberFormat="0" applyAlignment="0" applyProtection="0"/>
    <xf numFmtId="0" fontId="25" fillId="8" borderId="111" applyNumberFormat="0" applyAlignment="0" applyProtection="0"/>
    <xf numFmtId="0" fontId="25" fillId="8" borderId="111" applyNumberFormat="0" applyAlignment="0" applyProtection="0"/>
    <xf numFmtId="0" fontId="25" fillId="8" borderId="111" applyNumberFormat="0" applyAlignment="0" applyProtection="0"/>
    <xf numFmtId="0" fontId="25" fillId="8" borderId="111" applyNumberFormat="0" applyAlignment="0" applyProtection="0"/>
    <xf numFmtId="0" fontId="25" fillId="8" borderId="111" applyNumberFormat="0" applyAlignment="0" applyProtection="0"/>
    <xf numFmtId="0" fontId="25" fillId="8" borderId="111" applyNumberFormat="0" applyAlignment="0" applyProtection="0"/>
    <xf numFmtId="0" fontId="25" fillId="8" borderId="111" applyNumberFormat="0" applyAlignment="0" applyProtection="0"/>
    <xf numFmtId="0" fontId="25" fillId="8" borderId="111" applyNumberFormat="0" applyAlignment="0" applyProtection="0"/>
    <xf numFmtId="0" fontId="25" fillId="8" borderId="111" applyNumberFormat="0" applyAlignment="0" applyProtection="0"/>
    <xf numFmtId="0" fontId="25" fillId="8" borderId="111" applyNumberFormat="0" applyAlignment="0" applyProtection="0"/>
    <xf numFmtId="0" fontId="25" fillId="8" borderId="111" applyNumberFormat="0" applyAlignment="0" applyProtection="0"/>
    <xf numFmtId="0" fontId="25" fillId="8" borderId="111" applyNumberFormat="0" applyAlignment="0" applyProtection="0"/>
    <xf numFmtId="0" fontId="25" fillId="8" borderId="111" applyNumberFormat="0" applyAlignment="0" applyProtection="0"/>
    <xf numFmtId="0" fontId="25" fillId="8" borderId="111" applyNumberFormat="0" applyAlignment="0" applyProtection="0"/>
    <xf numFmtId="0" fontId="25" fillId="8" borderId="111" applyNumberFormat="0" applyAlignment="0" applyProtection="0"/>
    <xf numFmtId="0" fontId="25" fillId="8" borderId="111" applyNumberFormat="0" applyAlignment="0" applyProtection="0"/>
    <xf numFmtId="0" fontId="25" fillId="8" borderId="111" applyNumberFormat="0" applyAlignment="0" applyProtection="0"/>
    <xf numFmtId="0" fontId="25" fillId="8" borderId="111" applyNumberFormat="0" applyAlignment="0" applyProtection="0"/>
    <xf numFmtId="0" fontId="25" fillId="8" borderId="111" applyNumberFormat="0" applyAlignment="0" applyProtection="0"/>
    <xf numFmtId="0" fontId="25" fillId="8" borderId="111" applyNumberFormat="0" applyAlignment="0" applyProtection="0"/>
    <xf numFmtId="0" fontId="25" fillId="8" borderId="111" applyNumberFormat="0" applyAlignment="0" applyProtection="0"/>
    <xf numFmtId="0" fontId="25" fillId="8" borderId="111" applyNumberFormat="0" applyAlignment="0" applyProtection="0"/>
    <xf numFmtId="0" fontId="25" fillId="8" borderId="111" applyNumberFormat="0" applyAlignment="0" applyProtection="0"/>
    <xf numFmtId="0" fontId="25" fillId="8" borderId="111" applyNumberFormat="0" applyAlignment="0" applyProtection="0"/>
    <xf numFmtId="0" fontId="25" fillId="8" borderId="111" applyNumberFormat="0" applyAlignment="0" applyProtection="0"/>
    <xf numFmtId="0" fontId="25" fillId="8" borderId="111" applyNumberFormat="0" applyAlignment="0" applyProtection="0"/>
    <xf numFmtId="0" fontId="25" fillId="8" borderId="111" applyNumberFormat="0" applyAlignment="0" applyProtection="0"/>
    <xf numFmtId="0" fontId="25" fillId="8" borderId="111" applyNumberFormat="0" applyAlignment="0" applyProtection="0"/>
    <xf numFmtId="0" fontId="25" fillId="8" borderId="111" applyNumberFormat="0" applyAlignment="0" applyProtection="0"/>
    <xf numFmtId="0" fontId="25" fillId="8" borderId="111" applyNumberFormat="0" applyAlignment="0" applyProtection="0"/>
    <xf numFmtId="0" fontId="25" fillId="8" borderId="111" applyNumberFormat="0" applyAlignment="0" applyProtection="0"/>
    <xf numFmtId="0" fontId="25" fillId="8" borderId="111" applyNumberFormat="0" applyAlignment="0" applyProtection="0"/>
    <xf numFmtId="0" fontId="25" fillId="8" borderId="111" applyNumberFormat="0" applyAlignment="0" applyProtection="0"/>
    <xf numFmtId="0" fontId="25" fillId="8" borderId="111" applyNumberFormat="0" applyAlignment="0" applyProtection="0"/>
    <xf numFmtId="0" fontId="25" fillId="8" borderId="111" applyNumberFormat="0" applyAlignment="0" applyProtection="0"/>
    <xf numFmtId="0" fontId="25" fillId="8" borderId="111" applyNumberFormat="0" applyAlignment="0" applyProtection="0"/>
    <xf numFmtId="0" fontId="25" fillId="8" borderId="111" applyNumberFormat="0" applyAlignment="0" applyProtection="0"/>
    <xf numFmtId="0" fontId="25" fillId="8" borderId="111" applyNumberFormat="0" applyAlignment="0" applyProtection="0"/>
    <xf numFmtId="0" fontId="25" fillId="8" borderId="111" applyNumberFormat="0" applyAlignment="0" applyProtection="0"/>
    <xf numFmtId="0" fontId="25" fillId="8" borderId="111" applyNumberFormat="0" applyAlignment="0" applyProtection="0"/>
    <xf numFmtId="0" fontId="25" fillId="8" borderId="111" applyNumberFormat="0" applyAlignment="0" applyProtection="0"/>
    <xf numFmtId="0" fontId="25" fillId="8" borderId="111" applyNumberFormat="0" applyAlignment="0" applyProtection="0"/>
    <xf numFmtId="0" fontId="25" fillId="8" borderId="111" applyNumberFormat="0" applyAlignment="0" applyProtection="0"/>
    <xf numFmtId="0" fontId="25" fillId="8" borderId="111" applyNumberFormat="0" applyAlignment="0" applyProtection="0"/>
    <xf numFmtId="0" fontId="25" fillId="8" borderId="111" applyNumberFormat="0" applyAlignment="0" applyProtection="0"/>
    <xf numFmtId="0" fontId="25" fillId="8" borderId="111" applyNumberFormat="0" applyAlignment="0" applyProtection="0"/>
    <xf numFmtId="0" fontId="25" fillId="8" borderId="111" applyNumberFormat="0" applyAlignment="0" applyProtection="0"/>
    <xf numFmtId="0" fontId="25" fillId="8" borderId="111" applyNumberFormat="0" applyAlignment="0" applyProtection="0"/>
    <xf numFmtId="0" fontId="25" fillId="8" borderId="111" applyNumberFormat="0" applyAlignment="0" applyProtection="0"/>
    <xf numFmtId="0" fontId="25" fillId="8" borderId="111" applyNumberFormat="0" applyAlignment="0" applyProtection="0"/>
    <xf numFmtId="0" fontId="25" fillId="8" borderId="111" applyNumberFormat="0" applyAlignment="0" applyProtection="0"/>
    <xf numFmtId="0" fontId="25" fillId="8" borderId="111" applyNumberFormat="0" applyAlignment="0" applyProtection="0"/>
    <xf numFmtId="0" fontId="25" fillId="8" borderId="111" applyNumberFormat="0" applyAlignment="0" applyProtection="0"/>
    <xf numFmtId="0" fontId="84" fillId="73" borderId="115"/>
    <xf numFmtId="0" fontId="84" fillId="73" borderId="115"/>
    <xf numFmtId="0" fontId="84" fillId="73" borderId="115"/>
    <xf numFmtId="0" fontId="84" fillId="73" borderId="115"/>
    <xf numFmtId="0" fontId="84" fillId="73" borderId="115"/>
    <xf numFmtId="0" fontId="84" fillId="73" borderId="115"/>
    <xf numFmtId="0" fontId="84" fillId="73" borderId="115"/>
    <xf numFmtId="0" fontId="84" fillId="73" borderId="115"/>
    <xf numFmtId="0" fontId="84" fillId="73" borderId="115"/>
    <xf numFmtId="0" fontId="84" fillId="73" borderId="115"/>
    <xf numFmtId="0" fontId="84" fillId="73" borderId="115"/>
    <xf numFmtId="0" fontId="84" fillId="73" borderId="115"/>
    <xf numFmtId="0" fontId="84" fillId="73" borderId="115"/>
    <xf numFmtId="0" fontId="84" fillId="73" borderId="115"/>
    <xf numFmtId="0" fontId="84" fillId="73" borderId="115"/>
    <xf numFmtId="0" fontId="84" fillId="73" borderId="115"/>
    <xf numFmtId="0" fontId="84" fillId="73" borderId="115"/>
    <xf numFmtId="0" fontId="84" fillId="73" borderId="115"/>
    <xf numFmtId="0" fontId="84" fillId="73" borderId="115"/>
    <xf numFmtId="0" fontId="84" fillId="73" borderId="115"/>
    <xf numFmtId="0" fontId="84" fillId="73" borderId="115"/>
    <xf numFmtId="0" fontId="84" fillId="73" borderId="115"/>
    <xf numFmtId="0" fontId="84" fillId="73" borderId="115"/>
    <xf numFmtId="0" fontId="84" fillId="73" borderId="115"/>
    <xf numFmtId="0" fontId="84" fillId="73" borderId="115"/>
    <xf numFmtId="0" fontId="84" fillId="73" borderId="115"/>
    <xf numFmtId="0" fontId="84" fillId="73" borderId="115"/>
    <xf numFmtId="0" fontId="84" fillId="73" borderId="115"/>
    <xf numFmtId="0" fontId="84" fillId="73" borderId="115"/>
    <xf numFmtId="0" fontId="84" fillId="73" borderId="115"/>
    <xf numFmtId="0" fontId="84" fillId="73" borderId="115"/>
    <xf numFmtId="0" fontId="84" fillId="73" borderId="115"/>
    <xf numFmtId="0" fontId="84" fillId="73" borderId="115"/>
    <xf numFmtId="0" fontId="84" fillId="73" borderId="115"/>
    <xf numFmtId="0" fontId="84" fillId="73" borderId="115"/>
    <xf numFmtId="0" fontId="84" fillId="73" borderId="115"/>
    <xf numFmtId="0" fontId="84" fillId="73" borderId="115"/>
    <xf numFmtId="0" fontId="84" fillId="73" borderId="115"/>
    <xf numFmtId="0" fontId="84" fillId="73" borderId="115"/>
    <xf numFmtId="0" fontId="84" fillId="73" borderId="115"/>
    <xf numFmtId="0" fontId="84" fillId="73" borderId="115"/>
    <xf numFmtId="0" fontId="84" fillId="73" borderId="115"/>
    <xf numFmtId="0" fontId="84" fillId="73" borderId="115"/>
    <xf numFmtId="0" fontId="84" fillId="73" borderId="115"/>
    <xf numFmtId="0" fontId="84" fillId="73" borderId="115"/>
    <xf numFmtId="0" fontId="72" fillId="0" borderId="109" applyBorder="0">
      <alignment horizontal="center" vertical="center" wrapText="1"/>
    </xf>
    <xf numFmtId="0" fontId="72" fillId="0" borderId="109" applyBorder="0">
      <alignment horizontal="center" vertical="center" wrapText="1"/>
    </xf>
    <xf numFmtId="0" fontId="72" fillId="0" borderId="109" applyBorder="0">
      <alignment horizontal="center" vertical="center" wrapText="1"/>
    </xf>
    <xf numFmtId="0" fontId="72" fillId="0" borderId="109" applyBorder="0">
      <alignment horizontal="center" vertical="center" wrapText="1"/>
    </xf>
    <xf numFmtId="0" fontId="72" fillId="0" borderId="109" applyBorder="0">
      <alignment horizontal="center" vertical="center" wrapText="1"/>
    </xf>
    <xf numFmtId="0" fontId="72" fillId="0" borderId="109" applyBorder="0">
      <alignment horizontal="center" vertical="center" wrapText="1"/>
    </xf>
    <xf numFmtId="0" fontId="72" fillId="0" borderId="109" applyBorder="0">
      <alignment horizontal="center" vertical="center" wrapText="1"/>
    </xf>
    <xf numFmtId="0" fontId="72" fillId="0" borderId="109" applyBorder="0">
      <alignment horizontal="center" vertical="center" wrapText="1"/>
    </xf>
    <xf numFmtId="0" fontId="72" fillId="0" borderId="109" applyBorder="0">
      <alignment horizontal="center" vertical="center" wrapText="1"/>
    </xf>
    <xf numFmtId="0" fontId="72" fillId="0" borderId="109" applyBorder="0">
      <alignment horizontal="center" vertical="center" wrapText="1"/>
    </xf>
    <xf numFmtId="0" fontId="72" fillId="0" borderId="109" applyBorder="0">
      <alignment horizontal="center" vertical="center" wrapText="1"/>
    </xf>
    <xf numFmtId="0" fontId="72" fillId="0" borderId="109" applyBorder="0">
      <alignment horizontal="center" vertical="center" wrapText="1"/>
    </xf>
    <xf numFmtId="0" fontId="72" fillId="0" borderId="109" applyBorder="0">
      <alignment horizontal="center" vertical="center" wrapText="1"/>
    </xf>
    <xf numFmtId="0" fontId="72" fillId="0" borderId="109" applyBorder="0">
      <alignment horizontal="center" vertical="center" wrapText="1"/>
    </xf>
    <xf numFmtId="0" fontId="72" fillId="0" borderId="109" applyBorder="0">
      <alignment horizontal="center" vertical="center" wrapText="1"/>
    </xf>
    <xf numFmtId="0" fontId="72" fillId="0" borderId="109" applyBorder="0">
      <alignment horizontal="center" vertical="center" wrapText="1"/>
    </xf>
    <xf numFmtId="0" fontId="72" fillId="0" borderId="109" applyBorder="0">
      <alignment horizontal="center" vertical="center" wrapText="1"/>
    </xf>
    <xf numFmtId="0" fontId="72" fillId="0" borderId="109" applyBorder="0">
      <alignment horizontal="center" vertical="center" wrapText="1"/>
    </xf>
    <xf numFmtId="0" fontId="72" fillId="0" borderId="109" applyBorder="0">
      <alignment horizontal="center" vertical="center" wrapText="1"/>
    </xf>
    <xf numFmtId="0" fontId="72" fillId="0" borderId="109" applyBorder="0">
      <alignment horizontal="center" vertical="center" wrapText="1"/>
    </xf>
    <xf numFmtId="0" fontId="72" fillId="0" borderId="109" applyBorder="0">
      <alignment horizontal="center" vertical="center" wrapText="1"/>
    </xf>
    <xf numFmtId="0" fontId="72" fillId="0" borderId="109" applyBorder="0">
      <alignment horizontal="center" vertical="center" wrapText="1"/>
    </xf>
    <xf numFmtId="0" fontId="72" fillId="0" borderId="109" applyBorder="0">
      <alignment horizontal="center" vertical="center" wrapText="1"/>
    </xf>
    <xf numFmtId="0" fontId="72" fillId="0" borderId="109" applyBorder="0">
      <alignment horizontal="center" vertical="center" wrapText="1"/>
    </xf>
    <xf numFmtId="0" fontId="72" fillId="0" borderId="109" applyBorder="0">
      <alignment horizontal="center" vertical="center" wrapText="1"/>
    </xf>
    <xf numFmtId="0" fontId="72" fillId="0" borderId="109" applyBorder="0">
      <alignment horizontal="center" vertical="center" wrapText="1"/>
    </xf>
    <xf numFmtId="0" fontId="72" fillId="0" borderId="109" applyBorder="0">
      <alignment horizontal="center" vertical="center" wrapText="1"/>
    </xf>
    <xf numFmtId="0" fontId="72" fillId="0" borderId="109" applyBorder="0">
      <alignment horizontal="center" vertical="center" wrapText="1"/>
    </xf>
    <xf numFmtId="0" fontId="72" fillId="0" borderId="109" applyBorder="0">
      <alignment horizontal="center" vertical="center" wrapText="1"/>
    </xf>
    <xf numFmtId="0" fontId="72" fillId="0" borderId="109" applyBorder="0">
      <alignment horizontal="center" vertical="center" wrapText="1"/>
    </xf>
    <xf numFmtId="0" fontId="72" fillId="0" borderId="109" applyBorder="0">
      <alignment horizontal="center" vertical="center" wrapText="1"/>
    </xf>
    <xf numFmtId="0" fontId="72" fillId="0" borderId="109" applyBorder="0">
      <alignment horizontal="center" vertical="center" wrapText="1"/>
    </xf>
    <xf numFmtId="0" fontId="72" fillId="0" borderId="109" applyBorder="0">
      <alignment horizontal="center" vertical="center" wrapText="1"/>
    </xf>
    <xf numFmtId="0" fontId="72" fillId="0" borderId="109" applyBorder="0">
      <alignment horizontal="center" vertical="center" wrapText="1"/>
    </xf>
    <xf numFmtId="0" fontId="72" fillId="0" borderId="109" applyBorder="0">
      <alignment horizontal="center" vertical="center" wrapText="1"/>
    </xf>
    <xf numFmtId="0" fontId="72" fillId="0" borderId="109" applyBorder="0">
      <alignment horizontal="center" vertical="center" wrapText="1"/>
    </xf>
    <xf numFmtId="0" fontId="72" fillId="0" borderId="109" applyBorder="0">
      <alignment horizontal="center" vertical="center" wrapText="1"/>
    </xf>
    <xf numFmtId="0" fontId="72" fillId="0" borderId="109" applyBorder="0">
      <alignment horizontal="center" vertical="center" wrapText="1"/>
    </xf>
    <xf numFmtId="0" fontId="72" fillId="0" borderId="109" applyBorder="0">
      <alignment horizontal="center" vertical="center" wrapText="1"/>
    </xf>
    <xf numFmtId="0" fontId="72" fillId="0" borderId="109" applyBorder="0">
      <alignment horizontal="center" vertical="center" wrapText="1"/>
    </xf>
    <xf numFmtId="0" fontId="72" fillId="0" borderId="109" applyBorder="0">
      <alignment horizontal="center" vertical="center" wrapText="1"/>
    </xf>
    <xf numFmtId="0" fontId="72" fillId="0" borderId="109" applyBorder="0">
      <alignment horizontal="center" vertical="center" wrapText="1"/>
    </xf>
    <xf numFmtId="0" fontId="72" fillId="0" borderId="109" applyBorder="0">
      <alignment horizontal="center" vertical="center" wrapText="1"/>
    </xf>
    <xf numFmtId="0" fontId="72" fillId="0" borderId="109" applyBorder="0">
      <alignment horizontal="center" vertical="center" wrapText="1"/>
    </xf>
    <xf numFmtId="0" fontId="72" fillId="0" borderId="109" applyBorder="0">
      <alignment horizontal="center" vertical="center" wrapText="1"/>
    </xf>
    <xf numFmtId="0" fontId="72" fillId="0" borderId="109" applyBorder="0">
      <alignment horizontal="center" vertical="center" wrapText="1"/>
    </xf>
    <xf numFmtId="0" fontId="72" fillId="0" borderId="109" applyBorder="0">
      <alignment horizontal="center" vertical="center" wrapText="1"/>
    </xf>
    <xf numFmtId="0" fontId="72" fillId="0" borderId="109" applyBorder="0">
      <alignment horizontal="center" vertical="center" wrapText="1"/>
    </xf>
    <xf numFmtId="0" fontId="72" fillId="0" borderId="109" applyBorder="0">
      <alignment horizontal="center" vertical="center" wrapText="1"/>
    </xf>
    <xf numFmtId="0" fontId="72" fillId="0" borderId="109" applyBorder="0">
      <alignment horizontal="center" vertical="center" wrapText="1"/>
    </xf>
    <xf numFmtId="0" fontId="72" fillId="0" borderId="109" applyBorder="0">
      <alignment horizontal="center" vertical="center" wrapText="1"/>
    </xf>
    <xf numFmtId="0" fontId="72" fillId="0" borderId="109" applyBorder="0">
      <alignment horizontal="center" vertical="center" wrapText="1"/>
    </xf>
    <xf numFmtId="0" fontId="72" fillId="0" borderId="109" applyBorder="0">
      <alignment horizontal="center" vertical="center" wrapText="1"/>
    </xf>
    <xf numFmtId="0" fontId="72" fillId="0" borderId="109" applyBorder="0">
      <alignment horizontal="center" vertical="center" wrapText="1"/>
    </xf>
    <xf numFmtId="0" fontId="72" fillId="0" borderId="109" applyBorder="0">
      <alignment horizontal="center" vertical="center" wrapText="1"/>
    </xf>
    <xf numFmtId="0" fontId="72" fillId="0" borderId="109" applyBorder="0">
      <alignment horizontal="center" vertical="center" wrapText="1"/>
    </xf>
    <xf numFmtId="0" fontId="72" fillId="0" borderId="109" applyBorder="0">
      <alignment horizontal="center" vertical="center" wrapText="1"/>
    </xf>
    <xf numFmtId="0" fontId="72" fillId="0" borderId="109" applyBorder="0">
      <alignment horizontal="center" vertical="center" wrapText="1"/>
    </xf>
    <xf numFmtId="0" fontId="72" fillId="0" borderId="109" applyBorder="0">
      <alignment horizontal="center" vertical="center" wrapText="1"/>
    </xf>
    <xf numFmtId="0" fontId="72" fillId="0" borderId="109" applyBorder="0">
      <alignment horizontal="center" vertical="center" wrapText="1"/>
    </xf>
    <xf numFmtId="0" fontId="25" fillId="8" borderId="194" applyNumberFormat="0" applyAlignment="0" applyProtection="0"/>
    <xf numFmtId="0" fontId="48" fillId="24" borderId="194" applyNumberFormat="0" applyAlignment="0" applyProtection="0"/>
    <xf numFmtId="0" fontId="8" fillId="10" borderId="195" applyNumberFormat="0" applyFont="0" applyAlignment="0" applyProtection="0"/>
    <xf numFmtId="0" fontId="25" fillId="13" borderId="194" applyNumberFormat="0" applyAlignment="0" applyProtection="0"/>
    <xf numFmtId="0" fontId="25" fillId="8" borderId="194" applyNumberFormat="0" applyAlignment="0" applyProtection="0"/>
    <xf numFmtId="0" fontId="31" fillId="0" borderId="199" applyNumberFormat="0" applyFill="0" applyAlignment="0" applyProtection="0"/>
    <xf numFmtId="0" fontId="8" fillId="10" borderId="195" applyNumberFormat="0" applyFont="0" applyAlignment="0" applyProtection="0"/>
    <xf numFmtId="0" fontId="31" fillId="0" borderId="172" applyNumberFormat="0" applyFill="0" applyAlignment="0" applyProtection="0"/>
    <xf numFmtId="0" fontId="28" fillId="10" borderId="177" applyNumberFormat="0" applyFont="0" applyAlignment="0" applyProtection="0"/>
    <xf numFmtId="0" fontId="28" fillId="10" borderId="195" applyNumberFormat="0" applyFont="0" applyAlignment="0" applyProtection="0"/>
    <xf numFmtId="0" fontId="48" fillId="12" borderId="167" applyNumberFormat="0" applyAlignment="0" applyProtection="0"/>
    <xf numFmtId="0" fontId="8" fillId="10" borderId="161" applyNumberFormat="0" applyFont="0" applyAlignment="0" applyProtection="0"/>
    <xf numFmtId="0" fontId="49" fillId="10" borderId="119" applyNumberFormat="0" applyFont="0" applyAlignment="0" applyProtection="0"/>
    <xf numFmtId="0" fontId="48" fillId="12" borderId="118" applyNumberFormat="0" applyAlignment="0" applyProtection="0"/>
    <xf numFmtId="0" fontId="25" fillId="8" borderId="118" applyNumberFormat="0" applyAlignment="0" applyProtection="0"/>
    <xf numFmtId="0" fontId="31" fillId="0" borderId="116" applyNumberFormat="0" applyFill="0" applyAlignment="0" applyProtection="0"/>
    <xf numFmtId="0" fontId="31" fillId="0" borderId="121" applyNumberFormat="0" applyFill="0" applyAlignment="0" applyProtection="0"/>
    <xf numFmtId="0" fontId="24" fillId="24" borderId="120" applyNumberFormat="0" applyAlignment="0" applyProtection="0"/>
    <xf numFmtId="0" fontId="8" fillId="10" borderId="119" applyNumberFormat="0" applyFont="0" applyAlignment="0" applyProtection="0"/>
    <xf numFmtId="0" fontId="41" fillId="13" borderId="118" applyNumberFormat="0" applyAlignment="0" applyProtection="0"/>
    <xf numFmtId="0" fontId="48" fillId="12" borderId="118" applyNumberFormat="0" applyAlignment="0" applyProtection="0"/>
    <xf numFmtId="0" fontId="48" fillId="24" borderId="118" applyNumberFormat="0" applyAlignment="0" applyProtection="0"/>
    <xf numFmtId="0" fontId="31" fillId="0" borderId="116" applyNumberFormat="0" applyFill="0" applyAlignment="0" applyProtection="0"/>
    <xf numFmtId="0" fontId="48" fillId="24" borderId="118" applyNumberFormat="0" applyAlignment="0" applyProtection="0"/>
    <xf numFmtId="0" fontId="49" fillId="10" borderId="119" applyNumberFormat="0" applyFont="0" applyAlignment="0" applyProtection="0"/>
    <xf numFmtId="0" fontId="29" fillId="12" borderId="117" applyNumberFormat="0" applyAlignment="0" applyProtection="0"/>
    <xf numFmtId="0" fontId="8" fillId="10" borderId="119" applyNumberFormat="0" applyFont="0" applyAlignment="0" applyProtection="0"/>
    <xf numFmtId="0" fontId="8" fillId="10" borderId="112" applyNumberFormat="0" applyFont="0" applyAlignment="0" applyProtection="0"/>
    <xf numFmtId="0" fontId="49" fillId="10" borderId="112" applyNumberFormat="0" applyFont="0" applyAlignment="0" applyProtection="0"/>
    <xf numFmtId="0" fontId="31" fillId="0" borderId="114" applyNumberFormat="0" applyFill="0" applyAlignment="0" applyProtection="0"/>
    <xf numFmtId="0" fontId="31" fillId="0" borderId="116" applyNumberFormat="0" applyFill="0" applyAlignment="0" applyProtection="0"/>
    <xf numFmtId="0" fontId="31" fillId="0" borderId="121" applyNumberFormat="0" applyFill="0" applyAlignment="0" applyProtection="0"/>
    <xf numFmtId="0" fontId="31" fillId="0" borderId="116" applyNumberFormat="0" applyFill="0" applyAlignment="0" applyProtection="0"/>
    <xf numFmtId="0" fontId="24" fillId="24" borderId="196" applyNumberFormat="0" applyAlignment="0" applyProtection="0"/>
    <xf numFmtId="0" fontId="31" fillId="0" borderId="158" applyNumberFormat="0" applyFill="0" applyAlignment="0" applyProtection="0"/>
    <xf numFmtId="0" fontId="16" fillId="24" borderId="134" applyNumberFormat="0" applyAlignment="0" applyProtection="0"/>
    <xf numFmtId="0" fontId="72" fillId="0" borderId="201" applyBorder="0">
      <alignment horizontal="center" vertical="center" wrapText="1"/>
    </xf>
    <xf numFmtId="0" fontId="16" fillId="24" borderId="194" applyNumberFormat="0" applyAlignment="0" applyProtection="0"/>
    <xf numFmtId="0" fontId="25" fillId="13" borderId="194" applyNumberFormat="0" applyAlignment="0" applyProtection="0"/>
    <xf numFmtId="0" fontId="28" fillId="0" borderId="174"/>
    <xf numFmtId="0" fontId="48" fillId="12" borderId="194" applyNumberFormat="0" applyAlignment="0" applyProtection="0"/>
    <xf numFmtId="0" fontId="31" fillId="0" borderId="200" applyNumberFormat="0" applyFill="0" applyAlignment="0" applyProtection="0"/>
    <xf numFmtId="0" fontId="24" fillId="24" borderId="162" applyNumberFormat="0" applyAlignment="0" applyProtection="0"/>
    <xf numFmtId="0" fontId="31" fillId="0" borderId="185" applyNumberFormat="0" applyFill="0" applyAlignment="0" applyProtection="0"/>
    <xf numFmtId="0" fontId="31" fillId="0" borderId="166" applyNumberFormat="0" applyFill="0" applyAlignment="0" applyProtection="0"/>
    <xf numFmtId="0" fontId="28" fillId="10" borderId="195" applyNumberFormat="0" applyFont="0" applyAlignment="0" applyProtection="0"/>
    <xf numFmtId="0" fontId="8" fillId="10" borderId="204" applyNumberFormat="0" applyFont="0" applyAlignment="0" applyProtection="0"/>
    <xf numFmtId="0" fontId="31" fillId="0" borderId="158" applyNumberFormat="0" applyFill="0" applyAlignment="0" applyProtection="0"/>
    <xf numFmtId="0" fontId="48" fillId="12" borderId="194" applyNumberFormat="0" applyAlignment="0" applyProtection="0"/>
    <xf numFmtId="0" fontId="31" fillId="0" borderId="171" applyNumberFormat="0" applyFill="0" applyAlignment="0" applyProtection="0"/>
    <xf numFmtId="0" fontId="49" fillId="10" borderId="204" applyNumberFormat="0" applyFont="0" applyAlignment="0" applyProtection="0"/>
    <xf numFmtId="0" fontId="24" fillId="24" borderId="205" applyNumberFormat="0" applyAlignment="0" applyProtection="0"/>
    <xf numFmtId="0" fontId="29" fillId="24" borderId="170" applyNumberFormat="0" applyAlignment="0" applyProtection="0"/>
    <xf numFmtId="0" fontId="49" fillId="10" borderId="177" applyNumberFormat="0" applyFont="0" applyAlignment="0" applyProtection="0"/>
    <xf numFmtId="0" fontId="72" fillId="0" borderId="138" applyBorder="0">
      <alignment horizontal="center" vertical="center" wrapText="1"/>
    </xf>
    <xf numFmtId="0" fontId="25" fillId="13" borderId="176" applyNumberFormat="0" applyAlignment="0" applyProtection="0"/>
    <xf numFmtId="0" fontId="31" fillId="0" borderId="185" applyNumberFormat="0" applyFill="0" applyAlignment="0" applyProtection="0"/>
    <xf numFmtId="0" fontId="72" fillId="0" borderId="173" applyBorder="0">
      <alignment horizontal="center" vertical="center" wrapText="1"/>
    </xf>
    <xf numFmtId="0" fontId="28" fillId="10" borderId="168" applyNumberFormat="0" applyFont="0" applyAlignment="0" applyProtection="0"/>
    <xf numFmtId="0" fontId="25" fillId="13" borderId="134" applyNumberFormat="0" applyAlignment="0" applyProtection="0"/>
    <xf numFmtId="0" fontId="48" fillId="24" borderId="127" applyNumberFormat="0" applyAlignment="0" applyProtection="0"/>
    <xf numFmtId="0" fontId="48" fillId="24" borderId="127" applyNumberFormat="0" applyAlignment="0" applyProtection="0"/>
    <xf numFmtId="0" fontId="48" fillId="24" borderId="127" applyNumberFormat="0" applyAlignment="0" applyProtection="0"/>
    <xf numFmtId="0" fontId="48" fillId="24" borderId="127" applyNumberFormat="0" applyAlignment="0" applyProtection="0"/>
    <xf numFmtId="0" fontId="48" fillId="24" borderId="127" applyNumberFormat="0" applyAlignment="0" applyProtection="0"/>
    <xf numFmtId="0" fontId="48" fillId="24" borderId="127" applyNumberFormat="0" applyAlignment="0" applyProtection="0"/>
    <xf numFmtId="0" fontId="48" fillId="24" borderId="127" applyNumberFormat="0" applyAlignment="0" applyProtection="0"/>
    <xf numFmtId="0" fontId="48" fillId="24" borderId="127" applyNumberFormat="0" applyAlignment="0" applyProtection="0"/>
    <xf numFmtId="0" fontId="48" fillId="24" borderId="127" applyNumberFormat="0" applyAlignment="0" applyProtection="0"/>
    <xf numFmtId="0" fontId="48" fillId="24" borderId="127" applyNumberFormat="0" applyAlignment="0" applyProtection="0"/>
    <xf numFmtId="0" fontId="48" fillId="24" borderId="127" applyNumberFormat="0" applyAlignment="0" applyProtection="0"/>
    <xf numFmtId="0" fontId="48" fillId="24" borderId="127" applyNumberFormat="0" applyAlignment="0" applyProtection="0"/>
    <xf numFmtId="0" fontId="48" fillId="24" borderId="127" applyNumberFormat="0" applyAlignment="0" applyProtection="0"/>
    <xf numFmtId="0" fontId="48" fillId="24" borderId="127" applyNumberFormat="0" applyAlignment="0" applyProtection="0"/>
    <xf numFmtId="0" fontId="48" fillId="24" borderId="127" applyNumberFormat="0" applyAlignment="0" applyProtection="0"/>
    <xf numFmtId="0" fontId="48" fillId="24" borderId="127" applyNumberFormat="0" applyAlignment="0" applyProtection="0"/>
    <xf numFmtId="0" fontId="48" fillId="24" borderId="127" applyNumberFormat="0" applyAlignment="0" applyProtection="0"/>
    <xf numFmtId="0" fontId="48" fillId="24" borderId="127" applyNumberFormat="0" applyAlignment="0" applyProtection="0"/>
    <xf numFmtId="0" fontId="48" fillId="24" borderId="127" applyNumberFormat="0" applyAlignment="0" applyProtection="0"/>
    <xf numFmtId="0" fontId="48" fillId="24" borderId="127" applyNumberFormat="0" applyAlignment="0" applyProtection="0"/>
    <xf numFmtId="0" fontId="48" fillId="24" borderId="127" applyNumberFormat="0" applyAlignment="0" applyProtection="0"/>
    <xf numFmtId="0" fontId="48" fillId="24" borderId="127" applyNumberFormat="0" applyAlignment="0" applyProtection="0"/>
    <xf numFmtId="0" fontId="48" fillId="24" borderId="127" applyNumberFormat="0" applyAlignment="0" applyProtection="0"/>
    <xf numFmtId="0" fontId="48" fillId="24" borderId="127" applyNumberFormat="0" applyAlignment="0" applyProtection="0"/>
    <xf numFmtId="0" fontId="48" fillId="24" borderId="127" applyNumberFormat="0" applyAlignment="0" applyProtection="0"/>
    <xf numFmtId="0" fontId="48" fillId="24" borderId="127" applyNumberFormat="0" applyAlignment="0" applyProtection="0"/>
    <xf numFmtId="0" fontId="48" fillId="24" borderId="127" applyNumberFormat="0" applyAlignment="0" applyProtection="0"/>
    <xf numFmtId="0" fontId="48" fillId="24" borderId="127" applyNumberFormat="0" applyAlignment="0" applyProtection="0"/>
    <xf numFmtId="0" fontId="48" fillId="24" borderId="127" applyNumberFormat="0" applyAlignment="0" applyProtection="0"/>
    <xf numFmtId="0" fontId="48" fillId="24" borderId="127" applyNumberFormat="0" applyAlignment="0" applyProtection="0"/>
    <xf numFmtId="0" fontId="48" fillId="24" borderId="127" applyNumberFormat="0" applyAlignment="0" applyProtection="0"/>
    <xf numFmtId="0" fontId="48" fillId="24" borderId="127" applyNumberFormat="0" applyAlignment="0" applyProtection="0"/>
    <xf numFmtId="0" fontId="48" fillId="24" borderId="127" applyNumberFormat="0" applyAlignment="0" applyProtection="0"/>
    <xf numFmtId="0" fontId="48" fillId="24" borderId="127" applyNumberFormat="0" applyAlignment="0" applyProtection="0"/>
    <xf numFmtId="0" fontId="48" fillId="24" borderId="127" applyNumberFormat="0" applyAlignment="0" applyProtection="0"/>
    <xf numFmtId="0" fontId="48" fillId="24" borderId="127" applyNumberFormat="0" applyAlignment="0" applyProtection="0"/>
    <xf numFmtId="0" fontId="48" fillId="24" borderId="127" applyNumberFormat="0" applyAlignment="0" applyProtection="0"/>
    <xf numFmtId="0" fontId="48" fillId="24" borderId="127" applyNumberFormat="0" applyAlignment="0" applyProtection="0"/>
    <xf numFmtId="0" fontId="48" fillId="24" borderId="127" applyNumberFormat="0" applyAlignment="0" applyProtection="0"/>
    <xf numFmtId="0" fontId="48" fillId="24" borderId="127" applyNumberFormat="0" applyAlignment="0" applyProtection="0"/>
    <xf numFmtId="0" fontId="48" fillId="24" borderId="127" applyNumberFormat="0" applyAlignment="0" applyProtection="0"/>
    <xf numFmtId="0" fontId="48" fillId="24" borderId="127" applyNumberFormat="0" applyAlignment="0" applyProtection="0"/>
    <xf numFmtId="0" fontId="48" fillId="24" borderId="127" applyNumberFormat="0" applyAlignment="0" applyProtection="0"/>
    <xf numFmtId="0" fontId="48" fillId="24" borderId="127" applyNumberFormat="0" applyAlignment="0" applyProtection="0"/>
    <xf numFmtId="0" fontId="48" fillId="24" borderId="127" applyNumberFormat="0" applyAlignment="0" applyProtection="0"/>
    <xf numFmtId="0" fontId="48" fillId="24" borderId="127" applyNumberFormat="0" applyAlignment="0" applyProtection="0"/>
    <xf numFmtId="0" fontId="48" fillId="24" borderId="127" applyNumberFormat="0" applyAlignment="0" applyProtection="0"/>
    <xf numFmtId="0" fontId="48" fillId="24" borderId="127" applyNumberFormat="0" applyAlignment="0" applyProtection="0"/>
    <xf numFmtId="0" fontId="48" fillId="24" borderId="127" applyNumberFormat="0" applyAlignment="0" applyProtection="0"/>
    <xf numFmtId="0" fontId="48" fillId="24" borderId="127" applyNumberFormat="0" applyAlignment="0" applyProtection="0"/>
    <xf numFmtId="0" fontId="48" fillId="24" borderId="127" applyNumberFormat="0" applyAlignment="0" applyProtection="0"/>
    <xf numFmtId="0" fontId="48" fillId="24" borderId="127" applyNumberFormat="0" applyAlignment="0" applyProtection="0"/>
    <xf numFmtId="0" fontId="48" fillId="24" borderId="127" applyNumberFormat="0" applyAlignment="0" applyProtection="0"/>
    <xf numFmtId="0" fontId="48" fillId="24" borderId="127" applyNumberFormat="0" applyAlignment="0" applyProtection="0"/>
    <xf numFmtId="0" fontId="48" fillId="24" borderId="127" applyNumberFormat="0" applyAlignment="0" applyProtection="0"/>
    <xf numFmtId="0" fontId="48" fillId="24" borderId="127" applyNumberFormat="0" applyAlignment="0" applyProtection="0"/>
    <xf numFmtId="0" fontId="48" fillId="24" borderId="127" applyNumberFormat="0" applyAlignment="0" applyProtection="0"/>
    <xf numFmtId="0" fontId="48" fillId="24" borderId="127" applyNumberFormat="0" applyAlignment="0" applyProtection="0"/>
    <xf numFmtId="0" fontId="48" fillId="24" borderId="127" applyNumberFormat="0" applyAlignment="0" applyProtection="0"/>
    <xf numFmtId="0" fontId="48" fillId="24" borderId="127" applyNumberFormat="0" applyAlignment="0" applyProtection="0"/>
    <xf numFmtId="0" fontId="48" fillId="24" borderId="127" applyNumberFormat="0" applyAlignment="0" applyProtection="0"/>
    <xf numFmtId="0" fontId="48" fillId="24" borderId="127" applyNumberFormat="0" applyAlignment="0" applyProtection="0"/>
    <xf numFmtId="0" fontId="48" fillId="24" borderId="127" applyNumberFormat="0" applyAlignment="0" applyProtection="0"/>
    <xf numFmtId="0" fontId="48" fillId="24" borderId="127" applyNumberFormat="0" applyAlignment="0" applyProtection="0"/>
    <xf numFmtId="0" fontId="48" fillId="24" borderId="127" applyNumberFormat="0" applyAlignment="0" applyProtection="0"/>
    <xf numFmtId="0" fontId="48" fillId="24" borderId="127" applyNumberFormat="0" applyAlignment="0" applyProtection="0"/>
    <xf numFmtId="0" fontId="48" fillId="24" borderId="127" applyNumberFormat="0" applyAlignment="0" applyProtection="0"/>
    <xf numFmtId="0" fontId="48" fillId="24" borderId="127" applyNumberFormat="0" applyAlignment="0" applyProtection="0"/>
    <xf numFmtId="0" fontId="48" fillId="24" borderId="127" applyNumberFormat="0" applyAlignment="0" applyProtection="0"/>
    <xf numFmtId="0" fontId="48" fillId="24" borderId="127" applyNumberFormat="0" applyAlignment="0" applyProtection="0"/>
    <xf numFmtId="0" fontId="48" fillId="24" borderId="127" applyNumberFormat="0" applyAlignment="0" applyProtection="0"/>
    <xf numFmtId="0" fontId="48" fillId="24" borderId="127" applyNumberFormat="0" applyAlignment="0" applyProtection="0"/>
    <xf numFmtId="0" fontId="48" fillId="24" borderId="127" applyNumberFormat="0" applyAlignment="0" applyProtection="0"/>
    <xf numFmtId="0" fontId="48" fillId="24" borderId="127" applyNumberFormat="0" applyAlignment="0" applyProtection="0"/>
    <xf numFmtId="0" fontId="48" fillId="24" borderId="127" applyNumberFormat="0" applyAlignment="0" applyProtection="0"/>
    <xf numFmtId="0" fontId="48" fillId="24" borderId="127" applyNumberFormat="0" applyAlignment="0" applyProtection="0"/>
    <xf numFmtId="0" fontId="48" fillId="24" borderId="127" applyNumberFormat="0" applyAlignment="0" applyProtection="0"/>
    <xf numFmtId="0" fontId="48" fillId="24" borderId="127" applyNumberFormat="0" applyAlignment="0" applyProtection="0"/>
    <xf numFmtId="0" fontId="32" fillId="24" borderId="127" applyNumberFormat="0" applyAlignment="0" applyProtection="0"/>
    <xf numFmtId="0" fontId="32" fillId="24" borderId="127" applyNumberFormat="0" applyAlignment="0" applyProtection="0"/>
    <xf numFmtId="0" fontId="32" fillId="24" borderId="127" applyNumberFormat="0" applyAlignment="0" applyProtection="0"/>
    <xf numFmtId="0" fontId="32" fillId="24" borderId="127" applyNumberFormat="0" applyAlignment="0" applyProtection="0"/>
    <xf numFmtId="0" fontId="32" fillId="24" borderId="127" applyNumberFormat="0" applyAlignment="0" applyProtection="0"/>
    <xf numFmtId="0" fontId="32" fillId="24" borderId="127" applyNumberFormat="0" applyAlignment="0" applyProtection="0"/>
    <xf numFmtId="0" fontId="32" fillId="24" borderId="127" applyNumberFormat="0" applyAlignment="0" applyProtection="0"/>
    <xf numFmtId="0" fontId="32" fillId="24" borderId="127" applyNumberFormat="0" applyAlignment="0" applyProtection="0"/>
    <xf numFmtId="0" fontId="32" fillId="24" borderId="127" applyNumberFormat="0" applyAlignment="0" applyProtection="0"/>
    <xf numFmtId="0" fontId="32" fillId="24" borderId="127" applyNumberFormat="0" applyAlignment="0" applyProtection="0"/>
    <xf numFmtId="0" fontId="32" fillId="24" borderId="127" applyNumberFormat="0" applyAlignment="0" applyProtection="0"/>
    <xf numFmtId="0" fontId="32" fillId="24" borderId="127" applyNumberFormat="0" applyAlignment="0" applyProtection="0"/>
    <xf numFmtId="0" fontId="32" fillId="24" borderId="127" applyNumberFormat="0" applyAlignment="0" applyProtection="0"/>
    <xf numFmtId="0" fontId="32" fillId="24" borderId="127" applyNumberFormat="0" applyAlignment="0" applyProtection="0"/>
    <xf numFmtId="0" fontId="32" fillId="24" borderId="127" applyNumberFormat="0" applyAlignment="0" applyProtection="0"/>
    <xf numFmtId="0" fontId="32" fillId="24" borderId="127" applyNumberFormat="0" applyAlignment="0" applyProtection="0"/>
    <xf numFmtId="0" fontId="32" fillId="24" borderId="127" applyNumberFormat="0" applyAlignment="0" applyProtection="0"/>
    <xf numFmtId="0" fontId="32" fillId="24" borderId="127" applyNumberFormat="0" applyAlignment="0" applyProtection="0"/>
    <xf numFmtId="0" fontId="32" fillId="24" borderId="127" applyNumberFormat="0" applyAlignment="0" applyProtection="0"/>
    <xf numFmtId="0" fontId="32" fillId="24" borderId="127" applyNumberFormat="0" applyAlignment="0" applyProtection="0"/>
    <xf numFmtId="0" fontId="32" fillId="24" borderId="127" applyNumberFormat="0" applyAlignment="0" applyProtection="0"/>
    <xf numFmtId="0" fontId="32" fillId="24" borderId="127" applyNumberFormat="0" applyAlignment="0" applyProtection="0"/>
    <xf numFmtId="0" fontId="32" fillId="24" borderId="127" applyNumberFormat="0" applyAlignment="0" applyProtection="0"/>
    <xf numFmtId="0" fontId="32" fillId="24" borderId="127" applyNumberFormat="0" applyAlignment="0" applyProtection="0"/>
    <xf numFmtId="0" fontId="32" fillId="24" borderId="127" applyNumberFormat="0" applyAlignment="0" applyProtection="0"/>
    <xf numFmtId="0" fontId="32" fillId="24" borderId="127" applyNumberFormat="0" applyAlignment="0" applyProtection="0"/>
    <xf numFmtId="0" fontId="32" fillId="24" borderId="127" applyNumberFormat="0" applyAlignment="0" applyProtection="0"/>
    <xf numFmtId="0" fontId="32" fillId="24" borderId="127" applyNumberFormat="0" applyAlignment="0" applyProtection="0"/>
    <xf numFmtId="0" fontId="32" fillId="24" borderId="127" applyNumberFormat="0" applyAlignment="0" applyProtection="0"/>
    <xf numFmtId="0" fontId="32" fillId="24" borderId="127" applyNumberFormat="0" applyAlignment="0" applyProtection="0"/>
    <xf numFmtId="0" fontId="32" fillId="24" borderId="127" applyNumberFormat="0" applyAlignment="0" applyProtection="0"/>
    <xf numFmtId="0" fontId="32" fillId="24" borderId="127" applyNumberFormat="0" applyAlignment="0" applyProtection="0"/>
    <xf numFmtId="0" fontId="32" fillId="24" borderId="127" applyNumberFormat="0" applyAlignment="0" applyProtection="0"/>
    <xf numFmtId="0" fontId="32" fillId="24" borderId="127" applyNumberFormat="0" applyAlignment="0" applyProtection="0"/>
    <xf numFmtId="0" fontId="32" fillId="24" borderId="127" applyNumberFormat="0" applyAlignment="0" applyProtection="0"/>
    <xf numFmtId="0" fontId="32" fillId="24" borderId="127" applyNumberFormat="0" applyAlignment="0" applyProtection="0"/>
    <xf numFmtId="0" fontId="32" fillId="24" borderId="127" applyNumberFormat="0" applyAlignment="0" applyProtection="0"/>
    <xf numFmtId="0" fontId="32" fillId="24" borderId="127" applyNumberFormat="0" applyAlignment="0" applyProtection="0"/>
    <xf numFmtId="0" fontId="32" fillId="24" borderId="127" applyNumberFormat="0" applyAlignment="0" applyProtection="0"/>
    <xf numFmtId="0" fontId="32" fillId="24" borderId="127" applyNumberFormat="0" applyAlignment="0" applyProtection="0"/>
    <xf numFmtId="0" fontId="32" fillId="24" borderId="127" applyNumberFormat="0" applyAlignment="0" applyProtection="0"/>
    <xf numFmtId="0" fontId="32" fillId="24" borderId="127" applyNumberFormat="0" applyAlignment="0" applyProtection="0"/>
    <xf numFmtId="0" fontId="32" fillId="24" borderId="127" applyNumberFormat="0" applyAlignment="0" applyProtection="0"/>
    <xf numFmtId="0" fontId="32" fillId="24" borderId="127" applyNumberFormat="0" applyAlignment="0" applyProtection="0"/>
    <xf numFmtId="0" fontId="32" fillId="24" borderId="127" applyNumberFormat="0" applyAlignment="0" applyProtection="0"/>
    <xf numFmtId="0" fontId="32" fillId="24" borderId="127" applyNumberFormat="0" applyAlignment="0" applyProtection="0"/>
    <xf numFmtId="0" fontId="32" fillId="24" borderId="127" applyNumberFormat="0" applyAlignment="0" applyProtection="0"/>
    <xf numFmtId="0" fontId="32" fillId="24" borderId="127" applyNumberFormat="0" applyAlignment="0" applyProtection="0"/>
    <xf numFmtId="0" fontId="32" fillId="24" borderId="127" applyNumberFormat="0" applyAlignment="0" applyProtection="0"/>
    <xf numFmtId="0" fontId="16" fillId="24" borderId="127" applyNumberFormat="0" applyAlignment="0" applyProtection="0"/>
    <xf numFmtId="0" fontId="16" fillId="24" borderId="127" applyNumberFormat="0" applyAlignment="0" applyProtection="0"/>
    <xf numFmtId="0" fontId="16" fillId="24" borderId="127" applyNumberFormat="0" applyAlignment="0" applyProtection="0"/>
    <xf numFmtId="0" fontId="16" fillId="24" borderId="127" applyNumberFormat="0" applyAlignment="0" applyProtection="0"/>
    <xf numFmtId="0" fontId="16" fillId="24" borderId="127" applyNumberFormat="0" applyAlignment="0" applyProtection="0"/>
    <xf numFmtId="0" fontId="16" fillId="24" borderId="127" applyNumberFormat="0" applyAlignment="0" applyProtection="0"/>
    <xf numFmtId="0" fontId="16" fillId="24" borderId="127" applyNumberFormat="0" applyAlignment="0" applyProtection="0"/>
    <xf numFmtId="0" fontId="16" fillId="24" borderId="127" applyNumberFormat="0" applyAlignment="0" applyProtection="0"/>
    <xf numFmtId="0" fontId="16" fillId="24" borderId="127" applyNumberFormat="0" applyAlignment="0" applyProtection="0"/>
    <xf numFmtId="0" fontId="16" fillId="24" borderId="127" applyNumberFormat="0" applyAlignment="0" applyProtection="0"/>
    <xf numFmtId="0" fontId="16" fillId="24" borderId="127" applyNumberFormat="0" applyAlignment="0" applyProtection="0"/>
    <xf numFmtId="0" fontId="16" fillId="24" borderId="127" applyNumberFormat="0" applyAlignment="0" applyProtection="0"/>
    <xf numFmtId="0" fontId="16" fillId="24" borderId="127" applyNumberFormat="0" applyAlignment="0" applyProtection="0"/>
    <xf numFmtId="0" fontId="16" fillId="24" borderId="127" applyNumberFormat="0" applyAlignment="0" applyProtection="0"/>
    <xf numFmtId="0" fontId="16" fillId="24" borderId="127" applyNumberFormat="0" applyAlignment="0" applyProtection="0"/>
    <xf numFmtId="0" fontId="16" fillId="24" borderId="127" applyNumberFormat="0" applyAlignment="0" applyProtection="0"/>
    <xf numFmtId="0" fontId="16" fillId="24" borderId="127" applyNumberFormat="0" applyAlignment="0" applyProtection="0"/>
    <xf numFmtId="0" fontId="16" fillId="24" borderId="127" applyNumberFormat="0" applyAlignment="0" applyProtection="0"/>
    <xf numFmtId="0" fontId="16" fillId="24" borderId="127" applyNumberFormat="0" applyAlignment="0" applyProtection="0"/>
    <xf numFmtId="0" fontId="16" fillId="24" borderId="127" applyNumberFormat="0" applyAlignment="0" applyProtection="0"/>
    <xf numFmtId="0" fontId="16" fillId="24" borderId="127" applyNumberFormat="0" applyAlignment="0" applyProtection="0"/>
    <xf numFmtId="0" fontId="16" fillId="24" borderId="127" applyNumberFormat="0" applyAlignment="0" applyProtection="0"/>
    <xf numFmtId="0" fontId="16" fillId="24" borderId="127" applyNumberFormat="0" applyAlignment="0" applyProtection="0"/>
    <xf numFmtId="0" fontId="16" fillId="24" borderId="127" applyNumberFormat="0" applyAlignment="0" applyProtection="0"/>
    <xf numFmtId="0" fontId="16" fillId="24" borderId="127" applyNumberFormat="0" applyAlignment="0" applyProtection="0"/>
    <xf numFmtId="0" fontId="16" fillId="24" borderId="127" applyNumberFormat="0" applyAlignment="0" applyProtection="0"/>
    <xf numFmtId="0" fontId="16" fillId="24" borderId="127" applyNumberFormat="0" applyAlignment="0" applyProtection="0"/>
    <xf numFmtId="0" fontId="16" fillId="24" borderId="127" applyNumberFormat="0" applyAlignment="0" applyProtection="0"/>
    <xf numFmtId="0" fontId="16" fillId="24" borderId="127" applyNumberFormat="0" applyAlignment="0" applyProtection="0"/>
    <xf numFmtId="0" fontId="16" fillId="24" borderId="127" applyNumberFormat="0" applyAlignment="0" applyProtection="0"/>
    <xf numFmtId="0" fontId="16" fillId="24" borderId="127" applyNumberFormat="0" applyAlignment="0" applyProtection="0"/>
    <xf numFmtId="0" fontId="16" fillId="24" borderId="127" applyNumberFormat="0" applyAlignment="0" applyProtection="0"/>
    <xf numFmtId="0" fontId="16" fillId="24" borderId="127" applyNumberFormat="0" applyAlignment="0" applyProtection="0"/>
    <xf numFmtId="0" fontId="16" fillId="24" borderId="127" applyNumberFormat="0" applyAlignment="0" applyProtection="0"/>
    <xf numFmtId="0" fontId="16" fillId="24" borderId="127" applyNumberFormat="0" applyAlignment="0" applyProtection="0"/>
    <xf numFmtId="0" fontId="16" fillId="24" borderId="127" applyNumberFormat="0" applyAlignment="0" applyProtection="0"/>
    <xf numFmtId="0" fontId="16" fillId="24" borderId="127" applyNumberFormat="0" applyAlignment="0" applyProtection="0"/>
    <xf numFmtId="0" fontId="16" fillId="24" borderId="127" applyNumberFormat="0" applyAlignment="0" applyProtection="0"/>
    <xf numFmtId="0" fontId="16" fillId="24" borderId="127" applyNumberFormat="0" applyAlignment="0" applyProtection="0"/>
    <xf numFmtId="0" fontId="16" fillId="24" borderId="127" applyNumberFormat="0" applyAlignment="0" applyProtection="0"/>
    <xf numFmtId="0" fontId="16" fillId="24" borderId="127" applyNumberFormat="0" applyAlignment="0" applyProtection="0"/>
    <xf numFmtId="0" fontId="16" fillId="24" borderId="127" applyNumberFormat="0" applyAlignment="0" applyProtection="0"/>
    <xf numFmtId="0" fontId="16" fillId="24" borderId="127" applyNumberFormat="0" applyAlignment="0" applyProtection="0"/>
    <xf numFmtId="0" fontId="16" fillId="24" borderId="127" applyNumberFormat="0" applyAlignment="0" applyProtection="0"/>
    <xf numFmtId="0" fontId="16" fillId="24" borderId="127" applyNumberFormat="0" applyAlignment="0" applyProtection="0"/>
    <xf numFmtId="0" fontId="16" fillId="24" borderId="127" applyNumberFormat="0" applyAlignment="0" applyProtection="0"/>
    <xf numFmtId="0" fontId="16" fillId="24" borderId="127" applyNumberFormat="0" applyAlignment="0" applyProtection="0"/>
    <xf numFmtId="0" fontId="16" fillId="24" borderId="127" applyNumberFormat="0" applyAlignment="0" applyProtection="0"/>
    <xf numFmtId="0" fontId="16" fillId="24" borderId="127" applyNumberFormat="0" applyAlignment="0" applyProtection="0"/>
    <xf numFmtId="0" fontId="48" fillId="24" borderId="127" applyNumberFormat="0" applyAlignment="0" applyProtection="0"/>
    <xf numFmtId="0" fontId="48" fillId="24" borderId="127" applyNumberFormat="0" applyAlignment="0" applyProtection="0"/>
    <xf numFmtId="0" fontId="48" fillId="24" borderId="127" applyNumberFormat="0" applyAlignment="0" applyProtection="0"/>
    <xf numFmtId="0" fontId="48" fillId="24" borderId="127" applyNumberFormat="0" applyAlignment="0" applyProtection="0"/>
    <xf numFmtId="0" fontId="48" fillId="24" borderId="127" applyNumberFormat="0" applyAlignment="0" applyProtection="0"/>
    <xf numFmtId="0" fontId="48" fillId="24" borderId="127" applyNumberFormat="0" applyAlignment="0" applyProtection="0"/>
    <xf numFmtId="0" fontId="48" fillId="24" borderId="127" applyNumberFormat="0" applyAlignment="0" applyProtection="0"/>
    <xf numFmtId="0" fontId="48" fillId="24" borderId="127" applyNumberFormat="0" applyAlignment="0" applyProtection="0"/>
    <xf numFmtId="0" fontId="48" fillId="24" borderId="127" applyNumberFormat="0" applyAlignment="0" applyProtection="0"/>
    <xf numFmtId="0" fontId="48" fillId="24" borderId="127" applyNumberFormat="0" applyAlignment="0" applyProtection="0"/>
    <xf numFmtId="0" fontId="48" fillId="24" borderId="127" applyNumberFormat="0" applyAlignment="0" applyProtection="0"/>
    <xf numFmtId="0" fontId="48" fillId="24" borderId="127" applyNumberFormat="0" applyAlignment="0" applyProtection="0"/>
    <xf numFmtId="0" fontId="48" fillId="24" borderId="127" applyNumberFormat="0" applyAlignment="0" applyProtection="0"/>
    <xf numFmtId="0" fontId="48" fillId="24" borderId="127" applyNumberFormat="0" applyAlignment="0" applyProtection="0"/>
    <xf numFmtId="0" fontId="48" fillId="24" borderId="127" applyNumberFormat="0" applyAlignment="0" applyProtection="0"/>
    <xf numFmtId="0" fontId="48" fillId="24" borderId="127" applyNumberFormat="0" applyAlignment="0" applyProtection="0"/>
    <xf numFmtId="0" fontId="48" fillId="24" borderId="127" applyNumberFormat="0" applyAlignment="0" applyProtection="0"/>
    <xf numFmtId="0" fontId="48" fillId="24" borderId="127" applyNumberFormat="0" applyAlignment="0" applyProtection="0"/>
    <xf numFmtId="0" fontId="48" fillId="24" borderId="127" applyNumberFormat="0" applyAlignment="0" applyProtection="0"/>
    <xf numFmtId="0" fontId="48" fillId="24" borderId="127" applyNumberFormat="0" applyAlignment="0" applyProtection="0"/>
    <xf numFmtId="0" fontId="48" fillId="24" borderId="127" applyNumberFormat="0" applyAlignment="0" applyProtection="0"/>
    <xf numFmtId="0" fontId="48" fillId="24" borderId="127" applyNumberFormat="0" applyAlignment="0" applyProtection="0"/>
    <xf numFmtId="0" fontId="48" fillId="24" borderId="127" applyNumberFormat="0" applyAlignment="0" applyProtection="0"/>
    <xf numFmtId="0" fontId="48" fillId="24" borderId="127" applyNumberFormat="0" applyAlignment="0" applyProtection="0"/>
    <xf numFmtId="0" fontId="48" fillId="24" borderId="127" applyNumberFormat="0" applyAlignment="0" applyProtection="0"/>
    <xf numFmtId="0" fontId="48" fillId="24" borderId="127" applyNumberFormat="0" applyAlignment="0" applyProtection="0"/>
    <xf numFmtId="0" fontId="48" fillId="24" borderId="127" applyNumberFormat="0" applyAlignment="0" applyProtection="0"/>
    <xf numFmtId="0" fontId="48" fillId="24" borderId="127" applyNumberFormat="0" applyAlignment="0" applyProtection="0"/>
    <xf numFmtId="0" fontId="48" fillId="24" borderId="127" applyNumberFormat="0" applyAlignment="0" applyProtection="0"/>
    <xf numFmtId="0" fontId="48" fillId="24" borderId="127" applyNumberFormat="0" applyAlignment="0" applyProtection="0"/>
    <xf numFmtId="0" fontId="48" fillId="24" borderId="127" applyNumberFormat="0" applyAlignment="0" applyProtection="0"/>
    <xf numFmtId="0" fontId="48" fillId="24" borderId="127" applyNumberFormat="0" applyAlignment="0" applyProtection="0"/>
    <xf numFmtId="0" fontId="48" fillId="24" borderId="127" applyNumberFormat="0" applyAlignment="0" applyProtection="0"/>
    <xf numFmtId="0" fontId="48" fillId="24" borderId="127" applyNumberFormat="0" applyAlignment="0" applyProtection="0"/>
    <xf numFmtId="0" fontId="48" fillId="24" borderId="127" applyNumberFormat="0" applyAlignment="0" applyProtection="0"/>
    <xf numFmtId="0" fontId="48" fillId="24" borderId="127" applyNumberFormat="0" applyAlignment="0" applyProtection="0"/>
    <xf numFmtId="0" fontId="48" fillId="24" borderId="127" applyNumberFormat="0" applyAlignment="0" applyProtection="0"/>
    <xf numFmtId="0" fontId="48" fillId="24" borderId="127" applyNumberFormat="0" applyAlignment="0" applyProtection="0"/>
    <xf numFmtId="0" fontId="48" fillId="24" borderId="127" applyNumberFormat="0" applyAlignment="0" applyProtection="0"/>
    <xf numFmtId="0" fontId="48" fillId="24" borderId="127" applyNumberFormat="0" applyAlignment="0" applyProtection="0"/>
    <xf numFmtId="0" fontId="48" fillId="24" borderId="127" applyNumberFormat="0" applyAlignment="0" applyProtection="0"/>
    <xf numFmtId="0" fontId="48" fillId="24" borderId="127" applyNumberFormat="0" applyAlignment="0" applyProtection="0"/>
    <xf numFmtId="0" fontId="48" fillId="24" borderId="127" applyNumberFormat="0" applyAlignment="0" applyProtection="0"/>
    <xf numFmtId="0" fontId="48" fillId="24" borderId="127" applyNumberFormat="0" applyAlignment="0" applyProtection="0"/>
    <xf numFmtId="0" fontId="48" fillId="24" borderId="127" applyNumberFormat="0" applyAlignment="0" applyProtection="0"/>
    <xf numFmtId="0" fontId="48" fillId="24" borderId="127" applyNumberFormat="0" applyAlignment="0" applyProtection="0"/>
    <xf numFmtId="0" fontId="48" fillId="24" borderId="127" applyNumberFormat="0" applyAlignment="0" applyProtection="0"/>
    <xf numFmtId="0" fontId="48" fillId="24" borderId="127" applyNumberFormat="0" applyAlignment="0" applyProtection="0"/>
    <xf numFmtId="0" fontId="48" fillId="12" borderId="127" applyNumberFormat="0" applyAlignment="0" applyProtection="0"/>
    <xf numFmtId="0" fontId="48" fillId="12" borderId="127" applyNumberFormat="0" applyAlignment="0" applyProtection="0"/>
    <xf numFmtId="0" fontId="48" fillId="12" borderId="127" applyNumberFormat="0" applyAlignment="0" applyProtection="0"/>
    <xf numFmtId="0" fontId="48" fillId="12" borderId="127" applyNumberFormat="0" applyAlignment="0" applyProtection="0"/>
    <xf numFmtId="0" fontId="48" fillId="12" borderId="127" applyNumberFormat="0" applyAlignment="0" applyProtection="0"/>
    <xf numFmtId="0" fontId="48" fillId="12" borderId="127" applyNumberFormat="0" applyAlignment="0" applyProtection="0"/>
    <xf numFmtId="0" fontId="48" fillId="12" borderId="127" applyNumberFormat="0" applyAlignment="0" applyProtection="0"/>
    <xf numFmtId="0" fontId="48" fillId="12" borderId="127" applyNumberFormat="0" applyAlignment="0" applyProtection="0"/>
    <xf numFmtId="0" fontId="48" fillId="12" borderId="127" applyNumberFormat="0" applyAlignment="0" applyProtection="0"/>
    <xf numFmtId="0" fontId="48" fillId="12" borderId="127" applyNumberFormat="0" applyAlignment="0" applyProtection="0"/>
    <xf numFmtId="0" fontId="48" fillId="12" borderId="127" applyNumberFormat="0" applyAlignment="0" applyProtection="0"/>
    <xf numFmtId="0" fontId="48" fillId="12" borderId="127" applyNumberFormat="0" applyAlignment="0" applyProtection="0"/>
    <xf numFmtId="0" fontId="48" fillId="12" borderId="127" applyNumberFormat="0" applyAlignment="0" applyProtection="0"/>
    <xf numFmtId="0" fontId="48" fillId="12" borderId="127" applyNumberFormat="0" applyAlignment="0" applyProtection="0"/>
    <xf numFmtId="0" fontId="48" fillId="12" borderId="127" applyNumberFormat="0" applyAlignment="0" applyProtection="0"/>
    <xf numFmtId="0" fontId="48" fillId="12" borderId="127" applyNumberFormat="0" applyAlignment="0" applyProtection="0"/>
    <xf numFmtId="0" fontId="48" fillId="12" borderId="127" applyNumberFormat="0" applyAlignment="0" applyProtection="0"/>
    <xf numFmtId="0" fontId="48" fillId="12" borderId="127" applyNumberFormat="0" applyAlignment="0" applyProtection="0"/>
    <xf numFmtId="0" fontId="48" fillId="12" borderId="127" applyNumberFormat="0" applyAlignment="0" applyProtection="0"/>
    <xf numFmtId="0" fontId="48" fillId="12" borderId="127" applyNumberFormat="0" applyAlignment="0" applyProtection="0"/>
    <xf numFmtId="0" fontId="48" fillId="12" borderId="127" applyNumberFormat="0" applyAlignment="0" applyProtection="0"/>
    <xf numFmtId="0" fontId="48" fillId="12" borderId="127" applyNumberFormat="0" applyAlignment="0" applyProtection="0"/>
    <xf numFmtId="0" fontId="48" fillId="12" borderId="127" applyNumberFormat="0" applyAlignment="0" applyProtection="0"/>
    <xf numFmtId="0" fontId="48" fillId="12" borderId="127" applyNumberFormat="0" applyAlignment="0" applyProtection="0"/>
    <xf numFmtId="0" fontId="48" fillId="12" borderId="127" applyNumberFormat="0" applyAlignment="0" applyProtection="0"/>
    <xf numFmtId="0" fontId="48" fillId="12" borderId="127" applyNumberFormat="0" applyAlignment="0" applyProtection="0"/>
    <xf numFmtId="0" fontId="48" fillId="12" borderId="127" applyNumberFormat="0" applyAlignment="0" applyProtection="0"/>
    <xf numFmtId="0" fontId="48" fillId="12" borderId="127" applyNumberFormat="0" applyAlignment="0" applyProtection="0"/>
    <xf numFmtId="0" fontId="48" fillId="12" borderId="127" applyNumberFormat="0" applyAlignment="0" applyProtection="0"/>
    <xf numFmtId="0" fontId="48" fillId="12" borderId="127" applyNumberFormat="0" applyAlignment="0" applyProtection="0"/>
    <xf numFmtId="0" fontId="48" fillId="12" borderId="127" applyNumberFormat="0" applyAlignment="0" applyProtection="0"/>
    <xf numFmtId="0" fontId="48" fillId="12" borderId="127" applyNumberFormat="0" applyAlignment="0" applyProtection="0"/>
    <xf numFmtId="0" fontId="48" fillId="12" borderId="127" applyNumberFormat="0" applyAlignment="0" applyProtection="0"/>
    <xf numFmtId="0" fontId="48" fillId="12" borderId="127" applyNumberFormat="0" applyAlignment="0" applyProtection="0"/>
    <xf numFmtId="0" fontId="48" fillId="12" borderId="127" applyNumberFormat="0" applyAlignment="0" applyProtection="0"/>
    <xf numFmtId="0" fontId="48" fillId="12" borderId="127" applyNumberFormat="0" applyAlignment="0" applyProtection="0"/>
    <xf numFmtId="0" fontId="48" fillId="12" borderId="127" applyNumberFormat="0" applyAlignment="0" applyProtection="0"/>
    <xf numFmtId="0" fontId="48" fillId="12" borderId="127" applyNumberFormat="0" applyAlignment="0" applyProtection="0"/>
    <xf numFmtId="0" fontId="48" fillId="12" borderId="127" applyNumberFormat="0" applyAlignment="0" applyProtection="0"/>
    <xf numFmtId="0" fontId="48" fillId="12" borderId="127" applyNumberFormat="0" applyAlignment="0" applyProtection="0"/>
    <xf numFmtId="0" fontId="48" fillId="12" borderId="127" applyNumberFormat="0" applyAlignment="0" applyProtection="0"/>
    <xf numFmtId="0" fontId="48" fillId="12" borderId="127" applyNumberFormat="0" applyAlignment="0" applyProtection="0"/>
    <xf numFmtId="0" fontId="48" fillId="12" borderId="127" applyNumberFormat="0" applyAlignment="0" applyProtection="0"/>
    <xf numFmtId="0" fontId="48" fillId="12" borderId="127" applyNumberFormat="0" applyAlignment="0" applyProtection="0"/>
    <xf numFmtId="0" fontId="48" fillId="12" borderId="127" applyNumberFormat="0" applyAlignment="0" applyProtection="0"/>
    <xf numFmtId="0" fontId="48" fillId="12" borderId="127" applyNumberFormat="0" applyAlignment="0" applyProtection="0"/>
    <xf numFmtId="0" fontId="48" fillId="12" borderId="127" applyNumberFormat="0" applyAlignment="0" applyProtection="0"/>
    <xf numFmtId="0" fontId="48" fillId="12" borderId="127" applyNumberFormat="0" applyAlignment="0" applyProtection="0"/>
    <xf numFmtId="0" fontId="48" fillId="12" borderId="127" applyNumberFormat="0" applyAlignment="0" applyProtection="0"/>
    <xf numFmtId="0" fontId="48" fillId="12" borderId="127" applyNumberFormat="0" applyAlignment="0" applyProtection="0"/>
    <xf numFmtId="0" fontId="48" fillId="12" borderId="127" applyNumberFormat="0" applyAlignment="0" applyProtection="0"/>
    <xf numFmtId="0" fontId="48" fillId="12" borderId="127" applyNumberFormat="0" applyAlignment="0" applyProtection="0"/>
    <xf numFmtId="0" fontId="48" fillId="12" borderId="127" applyNumberFormat="0" applyAlignment="0" applyProtection="0"/>
    <xf numFmtId="0" fontId="48" fillId="12" borderId="127" applyNumberFormat="0" applyAlignment="0" applyProtection="0"/>
    <xf numFmtId="0" fontId="48" fillId="12" borderId="127" applyNumberFormat="0" applyAlignment="0" applyProtection="0"/>
    <xf numFmtId="0" fontId="48" fillId="12" borderId="127" applyNumberFormat="0" applyAlignment="0" applyProtection="0"/>
    <xf numFmtId="0" fontId="48" fillId="12" borderId="127" applyNumberFormat="0" applyAlignment="0" applyProtection="0"/>
    <xf numFmtId="0" fontId="48" fillId="12" borderId="127" applyNumberFormat="0" applyAlignment="0" applyProtection="0"/>
    <xf numFmtId="0" fontId="48" fillId="12" borderId="127" applyNumberFormat="0" applyAlignment="0" applyProtection="0"/>
    <xf numFmtId="0" fontId="48" fillId="12" borderId="127" applyNumberFormat="0" applyAlignment="0" applyProtection="0"/>
    <xf numFmtId="0" fontId="48" fillId="12" borderId="127" applyNumberFormat="0" applyAlignment="0" applyProtection="0"/>
    <xf numFmtId="0" fontId="48" fillId="12" borderId="127" applyNumberFormat="0" applyAlignment="0" applyProtection="0"/>
    <xf numFmtId="0" fontId="48" fillId="12" borderId="127" applyNumberFormat="0" applyAlignment="0" applyProtection="0"/>
    <xf numFmtId="0" fontId="48" fillId="12" borderId="127" applyNumberFormat="0" applyAlignment="0" applyProtection="0"/>
    <xf numFmtId="0" fontId="48" fillId="12" borderId="127" applyNumberFormat="0" applyAlignment="0" applyProtection="0"/>
    <xf numFmtId="0" fontId="48" fillId="12" borderId="127" applyNumberFormat="0" applyAlignment="0" applyProtection="0"/>
    <xf numFmtId="0" fontId="48" fillId="12" borderId="127" applyNumberFormat="0" applyAlignment="0" applyProtection="0"/>
    <xf numFmtId="0" fontId="48" fillId="12" borderId="127" applyNumberFormat="0" applyAlignment="0" applyProtection="0"/>
    <xf numFmtId="0" fontId="48" fillId="12" borderId="127" applyNumberFormat="0" applyAlignment="0" applyProtection="0"/>
    <xf numFmtId="0" fontId="48" fillId="12" borderId="127" applyNumberFormat="0" applyAlignment="0" applyProtection="0"/>
    <xf numFmtId="0" fontId="48" fillId="12" borderId="127" applyNumberFormat="0" applyAlignment="0" applyProtection="0"/>
    <xf numFmtId="0" fontId="48" fillId="12" borderId="127" applyNumberFormat="0" applyAlignment="0" applyProtection="0"/>
    <xf numFmtId="0" fontId="48" fillId="12" borderId="127" applyNumberFormat="0" applyAlignment="0" applyProtection="0"/>
    <xf numFmtId="0" fontId="48" fillId="12" borderId="127" applyNumberFormat="0" applyAlignment="0" applyProtection="0"/>
    <xf numFmtId="0" fontId="48" fillId="12" borderId="127" applyNumberFormat="0" applyAlignment="0" applyProtection="0"/>
    <xf numFmtId="0" fontId="48" fillId="12" borderId="127" applyNumberFormat="0" applyAlignment="0" applyProtection="0"/>
    <xf numFmtId="0" fontId="48" fillId="12" borderId="127" applyNumberFormat="0" applyAlignment="0" applyProtection="0"/>
    <xf numFmtId="0" fontId="16" fillId="24" borderId="127" applyNumberFormat="0" applyAlignment="0" applyProtection="0"/>
    <xf numFmtId="0" fontId="16" fillId="24" borderId="127" applyNumberFormat="0" applyAlignment="0" applyProtection="0"/>
    <xf numFmtId="0" fontId="16" fillId="24" borderId="127" applyNumberFormat="0" applyAlignment="0" applyProtection="0"/>
    <xf numFmtId="0" fontId="16" fillId="24" borderId="127" applyNumberFormat="0" applyAlignment="0" applyProtection="0"/>
    <xf numFmtId="0" fontId="16" fillId="24" borderId="127" applyNumberFormat="0" applyAlignment="0" applyProtection="0"/>
    <xf numFmtId="0" fontId="16" fillId="24" borderId="127" applyNumberFormat="0" applyAlignment="0" applyProtection="0"/>
    <xf numFmtId="0" fontId="16" fillId="24" borderId="127" applyNumberFormat="0" applyAlignment="0" applyProtection="0"/>
    <xf numFmtId="0" fontId="16" fillId="24" borderId="127" applyNumberFormat="0" applyAlignment="0" applyProtection="0"/>
    <xf numFmtId="0" fontId="16" fillId="24" borderId="127" applyNumberFormat="0" applyAlignment="0" applyProtection="0"/>
    <xf numFmtId="0" fontId="16" fillId="24" borderId="127" applyNumberFormat="0" applyAlignment="0" applyProtection="0"/>
    <xf numFmtId="0" fontId="16" fillId="24" borderId="127" applyNumberFormat="0" applyAlignment="0" applyProtection="0"/>
    <xf numFmtId="0" fontId="16" fillId="24" borderId="127" applyNumberFormat="0" applyAlignment="0" applyProtection="0"/>
    <xf numFmtId="0" fontId="16" fillId="24" borderId="127" applyNumberFormat="0" applyAlignment="0" applyProtection="0"/>
    <xf numFmtId="0" fontId="16" fillId="24" borderId="127" applyNumberFormat="0" applyAlignment="0" applyProtection="0"/>
    <xf numFmtId="0" fontId="16" fillId="24" borderId="127" applyNumberFormat="0" applyAlignment="0" applyProtection="0"/>
    <xf numFmtId="0" fontId="16" fillId="24" borderId="127" applyNumberFormat="0" applyAlignment="0" applyProtection="0"/>
    <xf numFmtId="0" fontId="16" fillId="24" borderId="127" applyNumberFormat="0" applyAlignment="0" applyProtection="0"/>
    <xf numFmtId="0" fontId="16" fillId="24" borderId="127" applyNumberFormat="0" applyAlignment="0" applyProtection="0"/>
    <xf numFmtId="0" fontId="16" fillId="24" borderId="127" applyNumberFormat="0" applyAlignment="0" applyProtection="0"/>
    <xf numFmtId="0" fontId="16" fillId="24" borderId="127" applyNumberFormat="0" applyAlignment="0" applyProtection="0"/>
    <xf numFmtId="0" fontId="16" fillId="24" borderId="127" applyNumberFormat="0" applyAlignment="0" applyProtection="0"/>
    <xf numFmtId="0" fontId="16" fillId="24" borderId="127" applyNumberFormat="0" applyAlignment="0" applyProtection="0"/>
    <xf numFmtId="0" fontId="16" fillId="24" borderId="127" applyNumberFormat="0" applyAlignment="0" applyProtection="0"/>
    <xf numFmtId="0" fontId="16" fillId="24" borderId="127" applyNumberFormat="0" applyAlignment="0" applyProtection="0"/>
    <xf numFmtId="0" fontId="16" fillId="24" borderId="127" applyNumberFormat="0" applyAlignment="0" applyProtection="0"/>
    <xf numFmtId="0" fontId="16" fillId="24" borderId="127" applyNumberFormat="0" applyAlignment="0" applyProtection="0"/>
    <xf numFmtId="0" fontId="16" fillId="24" borderId="127" applyNumberFormat="0" applyAlignment="0" applyProtection="0"/>
    <xf numFmtId="0" fontId="16" fillId="24" borderId="127" applyNumberFormat="0" applyAlignment="0" applyProtection="0"/>
    <xf numFmtId="0" fontId="16" fillId="24" borderId="127" applyNumberFormat="0" applyAlignment="0" applyProtection="0"/>
    <xf numFmtId="0" fontId="16" fillId="24" borderId="127" applyNumberFormat="0" applyAlignment="0" applyProtection="0"/>
    <xf numFmtId="0" fontId="16" fillId="24" borderId="127" applyNumberFormat="0" applyAlignment="0" applyProtection="0"/>
    <xf numFmtId="0" fontId="16" fillId="24" borderId="127" applyNumberFormat="0" applyAlignment="0" applyProtection="0"/>
    <xf numFmtId="0" fontId="16" fillId="24" borderId="127" applyNumberFormat="0" applyAlignment="0" applyProtection="0"/>
    <xf numFmtId="0" fontId="16" fillId="24" borderId="127" applyNumberFormat="0" applyAlignment="0" applyProtection="0"/>
    <xf numFmtId="0" fontId="16" fillId="24" borderId="127" applyNumberFormat="0" applyAlignment="0" applyProtection="0"/>
    <xf numFmtId="0" fontId="16" fillId="24" borderId="127" applyNumberFormat="0" applyAlignment="0" applyProtection="0"/>
    <xf numFmtId="0" fontId="16" fillId="24" borderId="127" applyNumberFormat="0" applyAlignment="0" applyProtection="0"/>
    <xf numFmtId="0" fontId="16" fillId="24" borderId="127" applyNumberFormat="0" applyAlignment="0" applyProtection="0"/>
    <xf numFmtId="0" fontId="16" fillId="24" borderId="127" applyNumberFormat="0" applyAlignment="0" applyProtection="0"/>
    <xf numFmtId="0" fontId="16" fillId="24" borderId="127" applyNumberFormat="0" applyAlignment="0" applyProtection="0"/>
    <xf numFmtId="0" fontId="16" fillId="24" borderId="127" applyNumberFormat="0" applyAlignment="0" applyProtection="0"/>
    <xf numFmtId="0" fontId="16" fillId="24" borderId="127" applyNumberFormat="0" applyAlignment="0" applyProtection="0"/>
    <xf numFmtId="0" fontId="16" fillId="24" borderId="127" applyNumberFormat="0" applyAlignment="0" applyProtection="0"/>
    <xf numFmtId="0" fontId="16" fillId="24" borderId="127" applyNumberFormat="0" applyAlignment="0" applyProtection="0"/>
    <xf numFmtId="0" fontId="16" fillId="24" borderId="127" applyNumberFormat="0" applyAlignment="0" applyProtection="0"/>
    <xf numFmtId="0" fontId="16" fillId="24" borderId="127" applyNumberFormat="0" applyAlignment="0" applyProtection="0"/>
    <xf numFmtId="0" fontId="16" fillId="24" borderId="127" applyNumberFormat="0" applyAlignment="0" applyProtection="0"/>
    <xf numFmtId="0" fontId="16" fillId="24" borderId="127" applyNumberFormat="0" applyAlignment="0" applyProtection="0"/>
    <xf numFmtId="0" fontId="16" fillId="24" borderId="127" applyNumberFormat="0" applyAlignment="0" applyProtection="0"/>
    <xf numFmtId="0" fontId="48" fillId="12" borderId="127" applyNumberFormat="0" applyAlignment="0" applyProtection="0"/>
    <xf numFmtId="0" fontId="48" fillId="12" borderId="127" applyNumberFormat="0" applyAlignment="0" applyProtection="0"/>
    <xf numFmtId="0" fontId="48" fillId="12" borderId="127" applyNumberFormat="0" applyAlignment="0" applyProtection="0"/>
    <xf numFmtId="0" fontId="48" fillId="12" borderId="127" applyNumberFormat="0" applyAlignment="0" applyProtection="0"/>
    <xf numFmtId="0" fontId="48" fillId="12" borderId="127" applyNumberFormat="0" applyAlignment="0" applyProtection="0"/>
    <xf numFmtId="0" fontId="48" fillId="12" borderId="127" applyNumberFormat="0" applyAlignment="0" applyProtection="0"/>
    <xf numFmtId="0" fontId="48" fillId="12" borderId="127" applyNumberFormat="0" applyAlignment="0" applyProtection="0"/>
    <xf numFmtId="0" fontId="48" fillId="12" borderId="127" applyNumberFormat="0" applyAlignment="0" applyProtection="0"/>
    <xf numFmtId="0" fontId="48" fillId="12" borderId="127" applyNumberFormat="0" applyAlignment="0" applyProtection="0"/>
    <xf numFmtId="0" fontId="48" fillId="12" borderId="127" applyNumberFormat="0" applyAlignment="0" applyProtection="0"/>
    <xf numFmtId="0" fontId="48" fillId="12" borderId="127" applyNumberFormat="0" applyAlignment="0" applyProtection="0"/>
    <xf numFmtId="0" fontId="48" fillId="12" borderId="127" applyNumberFormat="0" applyAlignment="0" applyProtection="0"/>
    <xf numFmtId="0" fontId="48" fillId="12" borderId="127" applyNumberFormat="0" applyAlignment="0" applyProtection="0"/>
    <xf numFmtId="0" fontId="48" fillId="12" borderId="127" applyNumberFormat="0" applyAlignment="0" applyProtection="0"/>
    <xf numFmtId="0" fontId="48" fillId="12" borderId="127" applyNumberFormat="0" applyAlignment="0" applyProtection="0"/>
    <xf numFmtId="0" fontId="48" fillId="12" borderId="127" applyNumberFormat="0" applyAlignment="0" applyProtection="0"/>
    <xf numFmtId="0" fontId="48" fillId="12" borderId="127" applyNumberFormat="0" applyAlignment="0" applyProtection="0"/>
    <xf numFmtId="0" fontId="48" fillId="12" borderId="127" applyNumberFormat="0" applyAlignment="0" applyProtection="0"/>
    <xf numFmtId="0" fontId="48" fillId="12" borderId="127" applyNumberFormat="0" applyAlignment="0" applyProtection="0"/>
    <xf numFmtId="0" fontId="48" fillId="12" borderId="127" applyNumberFormat="0" applyAlignment="0" applyProtection="0"/>
    <xf numFmtId="0" fontId="48" fillId="12" borderId="127" applyNumberFormat="0" applyAlignment="0" applyProtection="0"/>
    <xf numFmtId="0" fontId="48" fillId="12" borderId="127" applyNumberFormat="0" applyAlignment="0" applyProtection="0"/>
    <xf numFmtId="0" fontId="48" fillId="12" borderId="127" applyNumberFormat="0" applyAlignment="0" applyProtection="0"/>
    <xf numFmtId="0" fontId="48" fillId="12" borderId="127" applyNumberFormat="0" applyAlignment="0" applyProtection="0"/>
    <xf numFmtId="0" fontId="48" fillId="12" borderId="127" applyNumberFormat="0" applyAlignment="0" applyProtection="0"/>
    <xf numFmtId="0" fontId="48" fillId="12" borderId="127" applyNumberFormat="0" applyAlignment="0" applyProtection="0"/>
    <xf numFmtId="0" fontId="48" fillId="12" borderId="127" applyNumberFormat="0" applyAlignment="0" applyProtection="0"/>
    <xf numFmtId="0" fontId="48" fillId="12" borderId="127" applyNumberFormat="0" applyAlignment="0" applyProtection="0"/>
    <xf numFmtId="0" fontId="48" fillId="12" borderId="127" applyNumberFormat="0" applyAlignment="0" applyProtection="0"/>
    <xf numFmtId="0" fontId="48" fillId="12" borderId="127" applyNumberFormat="0" applyAlignment="0" applyProtection="0"/>
    <xf numFmtId="0" fontId="48" fillId="12" borderId="127" applyNumberFormat="0" applyAlignment="0" applyProtection="0"/>
    <xf numFmtId="0" fontId="48" fillId="12" borderId="127" applyNumberFormat="0" applyAlignment="0" applyProtection="0"/>
    <xf numFmtId="0" fontId="48" fillId="12" borderId="127" applyNumberFormat="0" applyAlignment="0" applyProtection="0"/>
    <xf numFmtId="0" fontId="48" fillId="12" borderId="127" applyNumberFormat="0" applyAlignment="0" applyProtection="0"/>
    <xf numFmtId="0" fontId="48" fillId="12" borderId="127" applyNumberFormat="0" applyAlignment="0" applyProtection="0"/>
    <xf numFmtId="0" fontId="48" fillId="12" borderId="127" applyNumberFormat="0" applyAlignment="0" applyProtection="0"/>
    <xf numFmtId="0" fontId="48" fillId="12" borderId="127" applyNumberFormat="0" applyAlignment="0" applyProtection="0"/>
    <xf numFmtId="0" fontId="48" fillId="12" borderId="127" applyNumberFormat="0" applyAlignment="0" applyProtection="0"/>
    <xf numFmtId="0" fontId="48" fillId="12" borderId="127" applyNumberFormat="0" applyAlignment="0" applyProtection="0"/>
    <xf numFmtId="0" fontId="48" fillId="12" borderId="127" applyNumberFormat="0" applyAlignment="0" applyProtection="0"/>
    <xf numFmtId="0" fontId="48" fillId="12" borderId="127" applyNumberFormat="0" applyAlignment="0" applyProtection="0"/>
    <xf numFmtId="0" fontId="48" fillId="12" borderId="127" applyNumberFormat="0" applyAlignment="0" applyProtection="0"/>
    <xf numFmtId="0" fontId="48" fillId="12" borderId="127" applyNumberFormat="0" applyAlignment="0" applyProtection="0"/>
    <xf numFmtId="0" fontId="48" fillId="12" borderId="127" applyNumberFormat="0" applyAlignment="0" applyProtection="0"/>
    <xf numFmtId="0" fontId="48" fillId="12" borderId="127" applyNumberFormat="0" applyAlignment="0" applyProtection="0"/>
    <xf numFmtId="0" fontId="48" fillId="12" borderId="127" applyNumberFormat="0" applyAlignment="0" applyProtection="0"/>
    <xf numFmtId="0" fontId="48" fillId="12" borderId="127" applyNumberFormat="0" applyAlignment="0" applyProtection="0"/>
    <xf numFmtId="0" fontId="48" fillId="12" borderId="127" applyNumberFormat="0" applyAlignment="0" applyProtection="0"/>
    <xf numFmtId="0" fontId="48" fillId="12" borderId="127" applyNumberFormat="0" applyAlignment="0" applyProtection="0"/>
    <xf numFmtId="0" fontId="48" fillId="12" borderId="127" applyNumberFormat="0" applyAlignment="0" applyProtection="0"/>
    <xf numFmtId="0" fontId="48" fillId="12" borderId="127" applyNumberFormat="0" applyAlignment="0" applyProtection="0"/>
    <xf numFmtId="0" fontId="48" fillId="12" borderId="127" applyNumberFormat="0" applyAlignment="0" applyProtection="0"/>
    <xf numFmtId="0" fontId="48" fillId="12" borderId="127" applyNumberFormat="0" applyAlignment="0" applyProtection="0"/>
    <xf numFmtId="0" fontId="48" fillId="12" borderId="127" applyNumberFormat="0" applyAlignment="0" applyProtection="0"/>
    <xf numFmtId="0" fontId="48" fillId="12" borderId="127" applyNumberFormat="0" applyAlignment="0" applyProtection="0"/>
    <xf numFmtId="0" fontId="48" fillId="12" borderId="127" applyNumberFormat="0" applyAlignment="0" applyProtection="0"/>
    <xf numFmtId="0" fontId="48" fillId="12" borderId="127" applyNumberFormat="0" applyAlignment="0" applyProtection="0"/>
    <xf numFmtId="0" fontId="48" fillId="12" borderId="127" applyNumberFormat="0" applyAlignment="0" applyProtection="0"/>
    <xf numFmtId="0" fontId="48" fillId="12" borderId="127" applyNumberFormat="0" applyAlignment="0" applyProtection="0"/>
    <xf numFmtId="0" fontId="48" fillId="12" borderId="127" applyNumberFormat="0" applyAlignment="0" applyProtection="0"/>
    <xf numFmtId="0" fontId="48" fillId="12" borderId="127" applyNumberFormat="0" applyAlignment="0" applyProtection="0"/>
    <xf numFmtId="0" fontId="48" fillId="12" borderId="127" applyNumberFormat="0" applyAlignment="0" applyProtection="0"/>
    <xf numFmtId="0" fontId="48" fillId="12" borderId="127" applyNumberFormat="0" applyAlignment="0" applyProtection="0"/>
    <xf numFmtId="0" fontId="48" fillId="12" borderId="127" applyNumberFormat="0" applyAlignment="0" applyProtection="0"/>
    <xf numFmtId="0" fontId="48" fillId="12" borderId="127" applyNumberFormat="0" applyAlignment="0" applyProtection="0"/>
    <xf numFmtId="0" fontId="48" fillId="12" borderId="127" applyNumberFormat="0" applyAlignment="0" applyProtection="0"/>
    <xf numFmtId="0" fontId="48" fillId="12" borderId="127" applyNumberFormat="0" applyAlignment="0" applyProtection="0"/>
    <xf numFmtId="0" fontId="48" fillId="12" borderId="127" applyNumberFormat="0" applyAlignment="0" applyProtection="0"/>
    <xf numFmtId="0" fontId="48" fillId="12" borderId="127" applyNumberFormat="0" applyAlignment="0" applyProtection="0"/>
    <xf numFmtId="0" fontId="48" fillId="12" borderId="127" applyNumberFormat="0" applyAlignment="0" applyProtection="0"/>
    <xf numFmtId="0" fontId="48" fillId="12" borderId="127" applyNumberFormat="0" applyAlignment="0" applyProtection="0"/>
    <xf numFmtId="0" fontId="48" fillId="12" borderId="127" applyNumberFormat="0" applyAlignment="0" applyProtection="0"/>
    <xf numFmtId="0" fontId="48" fillId="12" borderId="127" applyNumberFormat="0" applyAlignment="0" applyProtection="0"/>
    <xf numFmtId="0" fontId="48" fillId="12" borderId="127" applyNumberFormat="0" applyAlignment="0" applyProtection="0"/>
    <xf numFmtId="0" fontId="48" fillId="12" borderId="127" applyNumberFormat="0" applyAlignment="0" applyProtection="0"/>
    <xf numFmtId="0" fontId="48" fillId="12" borderId="127" applyNumberFormat="0" applyAlignment="0" applyProtection="0"/>
    <xf numFmtId="0" fontId="48" fillId="12" borderId="127" applyNumberFormat="0" applyAlignment="0" applyProtection="0"/>
    <xf numFmtId="0" fontId="16" fillId="24" borderId="127" applyNumberFormat="0" applyAlignment="0" applyProtection="0"/>
    <xf numFmtId="0" fontId="16" fillId="24" borderId="127" applyNumberFormat="0" applyAlignment="0" applyProtection="0"/>
    <xf numFmtId="0" fontId="16" fillId="24" borderId="127" applyNumberFormat="0" applyAlignment="0" applyProtection="0"/>
    <xf numFmtId="0" fontId="16" fillId="24" borderId="127" applyNumberFormat="0" applyAlignment="0" applyProtection="0"/>
    <xf numFmtId="0" fontId="16" fillId="24" borderId="127" applyNumberFormat="0" applyAlignment="0" applyProtection="0"/>
    <xf numFmtId="0" fontId="16" fillId="24" borderId="127" applyNumberFormat="0" applyAlignment="0" applyProtection="0"/>
    <xf numFmtId="0" fontId="16" fillId="24" borderId="127" applyNumberFormat="0" applyAlignment="0" applyProtection="0"/>
    <xf numFmtId="0" fontId="16" fillId="24" borderId="127" applyNumberFormat="0" applyAlignment="0" applyProtection="0"/>
    <xf numFmtId="0" fontId="16" fillId="24" borderId="127" applyNumberFormat="0" applyAlignment="0" applyProtection="0"/>
    <xf numFmtId="0" fontId="16" fillId="24" borderId="127" applyNumberFormat="0" applyAlignment="0" applyProtection="0"/>
    <xf numFmtId="0" fontId="16" fillId="24" borderId="127" applyNumberFormat="0" applyAlignment="0" applyProtection="0"/>
    <xf numFmtId="0" fontId="16" fillId="24" borderId="127" applyNumberFormat="0" applyAlignment="0" applyProtection="0"/>
    <xf numFmtId="0" fontId="16" fillId="24" borderId="127" applyNumberFormat="0" applyAlignment="0" applyProtection="0"/>
    <xf numFmtId="0" fontId="16" fillId="24" borderId="127" applyNumberFormat="0" applyAlignment="0" applyProtection="0"/>
    <xf numFmtId="0" fontId="16" fillId="24" borderId="127" applyNumberFormat="0" applyAlignment="0" applyProtection="0"/>
    <xf numFmtId="0" fontId="16" fillId="24" borderId="127" applyNumberFormat="0" applyAlignment="0" applyProtection="0"/>
    <xf numFmtId="0" fontId="16" fillId="24" borderId="127" applyNumberFormat="0" applyAlignment="0" applyProtection="0"/>
    <xf numFmtId="0" fontId="16" fillId="24" borderId="127" applyNumberFormat="0" applyAlignment="0" applyProtection="0"/>
    <xf numFmtId="0" fontId="16" fillId="24" borderId="127" applyNumberFormat="0" applyAlignment="0" applyProtection="0"/>
    <xf numFmtId="0" fontId="16" fillId="24" borderId="127" applyNumberFormat="0" applyAlignment="0" applyProtection="0"/>
    <xf numFmtId="0" fontId="16" fillId="24" borderId="127" applyNumberFormat="0" applyAlignment="0" applyProtection="0"/>
    <xf numFmtId="0" fontId="16" fillId="24" borderId="127" applyNumberFormat="0" applyAlignment="0" applyProtection="0"/>
    <xf numFmtId="0" fontId="16" fillId="24" borderId="127" applyNumberFormat="0" applyAlignment="0" applyProtection="0"/>
    <xf numFmtId="0" fontId="16" fillId="24" borderId="127" applyNumberFormat="0" applyAlignment="0" applyProtection="0"/>
    <xf numFmtId="0" fontId="16" fillId="24" borderId="127" applyNumberFormat="0" applyAlignment="0" applyProtection="0"/>
    <xf numFmtId="0" fontId="16" fillId="24" borderId="127" applyNumberFormat="0" applyAlignment="0" applyProtection="0"/>
    <xf numFmtId="0" fontId="16" fillId="24" borderId="127" applyNumberFormat="0" applyAlignment="0" applyProtection="0"/>
    <xf numFmtId="0" fontId="16" fillId="24" borderId="127" applyNumberFormat="0" applyAlignment="0" applyProtection="0"/>
    <xf numFmtId="0" fontId="16" fillId="24" borderId="127" applyNumberFormat="0" applyAlignment="0" applyProtection="0"/>
    <xf numFmtId="0" fontId="16" fillId="24" borderId="127" applyNumberFormat="0" applyAlignment="0" applyProtection="0"/>
    <xf numFmtId="0" fontId="16" fillId="24" borderId="127" applyNumberFormat="0" applyAlignment="0" applyProtection="0"/>
    <xf numFmtId="0" fontId="16" fillId="24" borderId="127" applyNumberFormat="0" applyAlignment="0" applyProtection="0"/>
    <xf numFmtId="0" fontId="16" fillId="24" borderId="127" applyNumberFormat="0" applyAlignment="0" applyProtection="0"/>
    <xf numFmtId="0" fontId="16" fillId="24" borderId="127" applyNumberFormat="0" applyAlignment="0" applyProtection="0"/>
    <xf numFmtId="0" fontId="16" fillId="24" borderId="127" applyNumberFormat="0" applyAlignment="0" applyProtection="0"/>
    <xf numFmtId="0" fontId="16" fillId="24" borderId="127" applyNumberFormat="0" applyAlignment="0" applyProtection="0"/>
    <xf numFmtId="0" fontId="16" fillId="24" borderId="127" applyNumberFormat="0" applyAlignment="0" applyProtection="0"/>
    <xf numFmtId="0" fontId="16" fillId="24" borderId="127" applyNumberFormat="0" applyAlignment="0" applyProtection="0"/>
    <xf numFmtId="0" fontId="16" fillId="24" borderId="127" applyNumberFormat="0" applyAlignment="0" applyProtection="0"/>
    <xf numFmtId="0" fontId="16" fillId="24" borderId="127" applyNumberFormat="0" applyAlignment="0" applyProtection="0"/>
    <xf numFmtId="0" fontId="16" fillId="24" borderId="127" applyNumberFormat="0" applyAlignment="0" applyProtection="0"/>
    <xf numFmtId="0" fontId="16" fillId="24" borderId="127" applyNumberFormat="0" applyAlignment="0" applyProtection="0"/>
    <xf numFmtId="0" fontId="16" fillId="24" borderId="127" applyNumberFormat="0" applyAlignment="0" applyProtection="0"/>
    <xf numFmtId="0" fontId="16" fillId="24" borderId="127" applyNumberFormat="0" applyAlignment="0" applyProtection="0"/>
    <xf numFmtId="0" fontId="16" fillId="24" borderId="127" applyNumberFormat="0" applyAlignment="0" applyProtection="0"/>
    <xf numFmtId="0" fontId="16" fillId="24" borderId="127" applyNumberFormat="0" applyAlignment="0" applyProtection="0"/>
    <xf numFmtId="0" fontId="16" fillId="24" borderId="127" applyNumberFormat="0" applyAlignment="0" applyProtection="0"/>
    <xf numFmtId="0" fontId="16" fillId="24" borderId="127" applyNumberFormat="0" applyAlignment="0" applyProtection="0"/>
    <xf numFmtId="0" fontId="16" fillId="24" borderId="127" applyNumberFormat="0" applyAlignment="0" applyProtection="0"/>
    <xf numFmtId="0" fontId="49" fillId="10" borderId="168" applyNumberFormat="0" applyFont="0" applyAlignment="0" applyProtection="0"/>
    <xf numFmtId="0" fontId="48" fillId="12" borderId="167" applyNumberFormat="0" applyAlignment="0" applyProtection="0"/>
    <xf numFmtId="0" fontId="49" fillId="10" borderId="177" applyNumberFormat="0" applyFont="0" applyAlignment="0" applyProtection="0"/>
    <xf numFmtId="0" fontId="28" fillId="0" borderId="131"/>
    <xf numFmtId="0" fontId="28" fillId="0" borderId="131"/>
    <xf numFmtId="0" fontId="28" fillId="0" borderId="131"/>
    <xf numFmtId="0" fontId="28" fillId="0" borderId="131"/>
    <xf numFmtId="0" fontId="28" fillId="0" borderId="131"/>
    <xf numFmtId="0" fontId="28" fillId="0" borderId="131"/>
    <xf numFmtId="0" fontId="28" fillId="0" borderId="131"/>
    <xf numFmtId="0" fontId="28" fillId="0" borderId="131"/>
    <xf numFmtId="0" fontId="28" fillId="0" borderId="131"/>
    <xf numFmtId="0" fontId="28" fillId="0" borderId="131"/>
    <xf numFmtId="0" fontId="28" fillId="0" borderId="131"/>
    <xf numFmtId="0" fontId="28" fillId="0" borderId="131"/>
    <xf numFmtId="0" fontId="28" fillId="0" borderId="131"/>
    <xf numFmtId="0" fontId="28" fillId="0" borderId="131"/>
    <xf numFmtId="0" fontId="28" fillId="0" borderId="131"/>
    <xf numFmtId="0" fontId="28" fillId="0" borderId="131"/>
    <xf numFmtId="0" fontId="28" fillId="0" borderId="131"/>
    <xf numFmtId="0" fontId="28" fillId="0" borderId="131"/>
    <xf numFmtId="0" fontId="28" fillId="0" borderId="131"/>
    <xf numFmtId="0" fontId="28" fillId="0" borderId="131"/>
    <xf numFmtId="0" fontId="28" fillId="0" borderId="131"/>
    <xf numFmtId="0" fontId="28" fillId="0" borderId="131"/>
    <xf numFmtId="0" fontId="28" fillId="0" borderId="131"/>
    <xf numFmtId="0" fontId="28" fillId="0" borderId="131"/>
    <xf numFmtId="0" fontId="28" fillId="0" borderId="131"/>
    <xf numFmtId="0" fontId="28" fillId="0" borderId="131"/>
    <xf numFmtId="0" fontId="28" fillId="0" borderId="131"/>
    <xf numFmtId="0" fontId="28" fillId="0" borderId="131"/>
    <xf numFmtId="0" fontId="28" fillId="0" borderId="131"/>
    <xf numFmtId="0" fontId="28" fillId="0" borderId="131"/>
    <xf numFmtId="0" fontId="28" fillId="0" borderId="131"/>
    <xf numFmtId="0" fontId="28" fillId="0" borderId="131"/>
    <xf numFmtId="0" fontId="28" fillId="0" borderId="131"/>
    <xf numFmtId="0" fontId="28" fillId="0" borderId="131"/>
    <xf numFmtId="0" fontId="28" fillId="0" borderId="131"/>
    <xf numFmtId="0" fontId="28" fillId="0" borderId="131"/>
    <xf numFmtId="0" fontId="28" fillId="0" borderId="131"/>
    <xf numFmtId="0" fontId="28" fillId="0" borderId="131"/>
    <xf numFmtId="0" fontId="28" fillId="0" borderId="131"/>
    <xf numFmtId="0" fontId="28" fillId="0" borderId="131"/>
    <xf numFmtId="0" fontId="28" fillId="0" borderId="131"/>
    <xf numFmtId="0" fontId="28" fillId="0" borderId="131"/>
    <xf numFmtId="0" fontId="28" fillId="0" borderId="131"/>
    <xf numFmtId="0" fontId="28" fillId="0" borderId="131"/>
    <xf numFmtId="0" fontId="28" fillId="0" borderId="131"/>
    <xf numFmtId="0" fontId="25" fillId="13" borderId="127" applyNumberFormat="0" applyAlignment="0" applyProtection="0"/>
    <xf numFmtId="0" fontId="25" fillId="13" borderId="127" applyNumberFormat="0" applyAlignment="0" applyProtection="0"/>
    <xf numFmtId="0" fontId="25" fillId="13" borderId="127" applyNumberFormat="0" applyAlignment="0" applyProtection="0"/>
    <xf numFmtId="0" fontId="25" fillId="13" borderId="127" applyNumberFormat="0" applyAlignment="0" applyProtection="0"/>
    <xf numFmtId="0" fontId="25" fillId="13" borderId="127" applyNumberFormat="0" applyAlignment="0" applyProtection="0"/>
    <xf numFmtId="0" fontId="25" fillId="13" borderId="127" applyNumberFormat="0" applyAlignment="0" applyProtection="0"/>
    <xf numFmtId="0" fontId="25" fillId="13" borderId="127" applyNumberFormat="0" applyAlignment="0" applyProtection="0"/>
    <xf numFmtId="0" fontId="25" fillId="13" borderId="127" applyNumberFormat="0" applyAlignment="0" applyProtection="0"/>
    <xf numFmtId="0" fontId="25" fillId="13" borderId="127" applyNumberFormat="0" applyAlignment="0" applyProtection="0"/>
    <xf numFmtId="0" fontId="25" fillId="13" borderId="127" applyNumberFormat="0" applyAlignment="0" applyProtection="0"/>
    <xf numFmtId="0" fontId="25" fillId="13" borderId="127" applyNumberFormat="0" applyAlignment="0" applyProtection="0"/>
    <xf numFmtId="0" fontId="25" fillId="13" borderId="127" applyNumberFormat="0" applyAlignment="0" applyProtection="0"/>
    <xf numFmtId="0" fontId="25" fillId="13" borderId="127" applyNumberFormat="0" applyAlignment="0" applyProtection="0"/>
    <xf numFmtId="0" fontId="25" fillId="13" borderId="127" applyNumberFormat="0" applyAlignment="0" applyProtection="0"/>
    <xf numFmtId="0" fontId="25" fillId="13" borderId="127" applyNumberFormat="0" applyAlignment="0" applyProtection="0"/>
    <xf numFmtId="0" fontId="25" fillId="13" borderId="127" applyNumberFormat="0" applyAlignment="0" applyProtection="0"/>
    <xf numFmtId="0" fontId="25" fillId="13" borderId="127" applyNumberFormat="0" applyAlignment="0" applyProtection="0"/>
    <xf numFmtId="0" fontId="25" fillId="13" borderId="127" applyNumberFormat="0" applyAlignment="0" applyProtection="0"/>
    <xf numFmtId="0" fontId="25" fillId="13" borderId="127" applyNumberFormat="0" applyAlignment="0" applyProtection="0"/>
    <xf numFmtId="0" fontId="25" fillId="13" borderId="127" applyNumberFormat="0" applyAlignment="0" applyProtection="0"/>
    <xf numFmtId="0" fontId="25" fillId="13" borderId="127" applyNumberFormat="0" applyAlignment="0" applyProtection="0"/>
    <xf numFmtId="0" fontId="25" fillId="13" borderId="127" applyNumberFormat="0" applyAlignment="0" applyProtection="0"/>
    <xf numFmtId="0" fontId="25" fillId="13" borderId="127" applyNumberFormat="0" applyAlignment="0" applyProtection="0"/>
    <xf numFmtId="0" fontId="25" fillId="13" borderId="127" applyNumberFormat="0" applyAlignment="0" applyProtection="0"/>
    <xf numFmtId="0" fontId="25" fillId="13" borderId="127" applyNumberFormat="0" applyAlignment="0" applyProtection="0"/>
    <xf numFmtId="0" fontId="25" fillId="13" borderId="127" applyNumberFormat="0" applyAlignment="0" applyProtection="0"/>
    <xf numFmtId="0" fontId="25" fillId="13" borderId="127" applyNumberFormat="0" applyAlignment="0" applyProtection="0"/>
    <xf numFmtId="0" fontId="25" fillId="13" borderId="127" applyNumberFormat="0" applyAlignment="0" applyProtection="0"/>
    <xf numFmtId="0" fontId="25" fillId="13" borderId="127" applyNumberFormat="0" applyAlignment="0" applyProtection="0"/>
    <xf numFmtId="0" fontId="25" fillId="13" borderId="127" applyNumberFormat="0" applyAlignment="0" applyProtection="0"/>
    <xf numFmtId="0" fontId="25" fillId="13" borderId="127" applyNumberFormat="0" applyAlignment="0" applyProtection="0"/>
    <xf numFmtId="0" fontId="25" fillId="13" borderId="127" applyNumberFormat="0" applyAlignment="0" applyProtection="0"/>
    <xf numFmtId="0" fontId="25" fillId="13" borderId="127" applyNumberFormat="0" applyAlignment="0" applyProtection="0"/>
    <xf numFmtId="0" fontId="25" fillId="13" borderId="127" applyNumberFormat="0" applyAlignment="0" applyProtection="0"/>
    <xf numFmtId="0" fontId="25" fillId="13" borderId="127" applyNumberFormat="0" applyAlignment="0" applyProtection="0"/>
    <xf numFmtId="0" fontId="25" fillId="13" borderId="127" applyNumberFormat="0" applyAlignment="0" applyProtection="0"/>
    <xf numFmtId="0" fontId="25" fillId="13" borderId="127" applyNumberFormat="0" applyAlignment="0" applyProtection="0"/>
    <xf numFmtId="0" fontId="25" fillId="13" borderId="127" applyNumberFormat="0" applyAlignment="0" applyProtection="0"/>
    <xf numFmtId="0" fontId="25" fillId="13" borderId="127" applyNumberFormat="0" applyAlignment="0" applyProtection="0"/>
    <xf numFmtId="0" fontId="25" fillId="13" borderId="127" applyNumberFormat="0" applyAlignment="0" applyProtection="0"/>
    <xf numFmtId="0" fontId="25" fillId="13" borderId="127" applyNumberFormat="0" applyAlignment="0" applyProtection="0"/>
    <xf numFmtId="0" fontId="25" fillId="13" borderId="127" applyNumberFormat="0" applyAlignment="0" applyProtection="0"/>
    <xf numFmtId="0" fontId="25" fillId="13" borderId="127" applyNumberFormat="0" applyAlignment="0" applyProtection="0"/>
    <xf numFmtId="0" fontId="25" fillId="13" borderId="127" applyNumberFormat="0" applyAlignment="0" applyProtection="0"/>
    <xf numFmtId="0" fontId="25" fillId="13" borderId="127" applyNumberFormat="0" applyAlignment="0" applyProtection="0"/>
    <xf numFmtId="0" fontId="25" fillId="13" borderId="127" applyNumberFormat="0" applyAlignment="0" applyProtection="0"/>
    <xf numFmtId="0" fontId="25" fillId="13" borderId="127" applyNumberFormat="0" applyAlignment="0" applyProtection="0"/>
    <xf numFmtId="0" fontId="25" fillId="13" borderId="127" applyNumberFormat="0" applyAlignment="0" applyProtection="0"/>
    <xf numFmtId="0" fontId="25" fillId="13" borderId="127" applyNumberFormat="0" applyAlignment="0" applyProtection="0"/>
    <xf numFmtId="0" fontId="41" fillId="13" borderId="127" applyNumberFormat="0" applyAlignment="0" applyProtection="0"/>
    <xf numFmtId="0" fontId="41" fillId="13" borderId="127" applyNumberFormat="0" applyAlignment="0" applyProtection="0"/>
    <xf numFmtId="0" fontId="41" fillId="13" borderId="127" applyNumberFormat="0" applyAlignment="0" applyProtection="0"/>
    <xf numFmtId="0" fontId="41" fillId="13" borderId="127" applyNumberFormat="0" applyAlignment="0" applyProtection="0"/>
    <xf numFmtId="0" fontId="41" fillId="13" borderId="127" applyNumberFormat="0" applyAlignment="0" applyProtection="0"/>
    <xf numFmtId="0" fontId="41" fillId="13" borderId="127" applyNumberFormat="0" applyAlignment="0" applyProtection="0"/>
    <xf numFmtId="0" fontId="41" fillId="13" borderId="127" applyNumberFormat="0" applyAlignment="0" applyProtection="0"/>
    <xf numFmtId="0" fontId="41" fillId="13" borderId="127" applyNumberFormat="0" applyAlignment="0" applyProtection="0"/>
    <xf numFmtId="0" fontId="41" fillId="13" borderId="127" applyNumberFormat="0" applyAlignment="0" applyProtection="0"/>
    <xf numFmtId="0" fontId="41" fillId="13" borderId="127" applyNumberFormat="0" applyAlignment="0" applyProtection="0"/>
    <xf numFmtId="0" fontId="41" fillId="13" borderId="127" applyNumberFormat="0" applyAlignment="0" applyProtection="0"/>
    <xf numFmtId="0" fontId="41" fillId="13" borderId="127" applyNumberFormat="0" applyAlignment="0" applyProtection="0"/>
    <xf numFmtId="0" fontId="41" fillId="13" borderId="127" applyNumberFormat="0" applyAlignment="0" applyProtection="0"/>
    <xf numFmtId="0" fontId="41" fillId="13" borderId="127" applyNumberFormat="0" applyAlignment="0" applyProtection="0"/>
    <xf numFmtId="0" fontId="41" fillId="13" borderId="127" applyNumberFormat="0" applyAlignment="0" applyProtection="0"/>
    <xf numFmtId="0" fontId="41" fillId="13" borderId="127" applyNumberFormat="0" applyAlignment="0" applyProtection="0"/>
    <xf numFmtId="0" fontId="41" fillId="13" borderId="127" applyNumberFormat="0" applyAlignment="0" applyProtection="0"/>
    <xf numFmtId="0" fontId="41" fillId="13" borderId="127" applyNumberFormat="0" applyAlignment="0" applyProtection="0"/>
    <xf numFmtId="0" fontId="41" fillId="13" borderId="127" applyNumberFormat="0" applyAlignment="0" applyProtection="0"/>
    <xf numFmtId="0" fontId="41" fillId="13" borderId="127" applyNumberFormat="0" applyAlignment="0" applyProtection="0"/>
    <xf numFmtId="0" fontId="41" fillId="13" borderId="127" applyNumberFormat="0" applyAlignment="0" applyProtection="0"/>
    <xf numFmtId="0" fontId="41" fillId="13" borderId="127" applyNumberFormat="0" applyAlignment="0" applyProtection="0"/>
    <xf numFmtId="0" fontId="41" fillId="13" borderId="127" applyNumberFormat="0" applyAlignment="0" applyProtection="0"/>
    <xf numFmtId="0" fontId="41" fillId="13" borderId="127" applyNumberFormat="0" applyAlignment="0" applyProtection="0"/>
    <xf numFmtId="0" fontId="41" fillId="13" borderId="127" applyNumberFormat="0" applyAlignment="0" applyProtection="0"/>
    <xf numFmtId="0" fontId="41" fillId="13" borderId="127" applyNumberFormat="0" applyAlignment="0" applyProtection="0"/>
    <xf numFmtId="0" fontId="41" fillId="13" borderId="127" applyNumberFormat="0" applyAlignment="0" applyProtection="0"/>
    <xf numFmtId="0" fontId="41" fillId="13" borderId="127" applyNumberFormat="0" applyAlignment="0" applyProtection="0"/>
    <xf numFmtId="0" fontId="41" fillId="13" borderId="127" applyNumberFormat="0" applyAlignment="0" applyProtection="0"/>
    <xf numFmtId="0" fontId="41" fillId="13" borderId="127" applyNumberFormat="0" applyAlignment="0" applyProtection="0"/>
    <xf numFmtId="0" fontId="41" fillId="13" borderId="127" applyNumberFormat="0" applyAlignment="0" applyProtection="0"/>
    <xf numFmtId="0" fontId="41" fillId="13" borderId="127" applyNumberFormat="0" applyAlignment="0" applyProtection="0"/>
    <xf numFmtId="0" fontId="41" fillId="13" borderId="127" applyNumberFormat="0" applyAlignment="0" applyProtection="0"/>
    <xf numFmtId="0" fontId="41" fillId="13" borderId="127" applyNumberFormat="0" applyAlignment="0" applyProtection="0"/>
    <xf numFmtId="0" fontId="41" fillId="13" borderId="127" applyNumberFormat="0" applyAlignment="0" applyProtection="0"/>
    <xf numFmtId="0" fontId="41" fillId="13" borderId="127" applyNumberFormat="0" applyAlignment="0" applyProtection="0"/>
    <xf numFmtId="0" fontId="41" fillId="13" borderId="127" applyNumberFormat="0" applyAlignment="0" applyProtection="0"/>
    <xf numFmtId="0" fontId="41" fillId="13" borderId="127" applyNumberFormat="0" applyAlignment="0" applyProtection="0"/>
    <xf numFmtId="0" fontId="41" fillId="13" borderId="127" applyNumberFormat="0" applyAlignment="0" applyProtection="0"/>
    <xf numFmtId="0" fontId="41" fillId="13" borderId="127" applyNumberFormat="0" applyAlignment="0" applyProtection="0"/>
    <xf numFmtId="0" fontId="41" fillId="13" borderId="127" applyNumberFormat="0" applyAlignment="0" applyProtection="0"/>
    <xf numFmtId="0" fontId="41" fillId="13" borderId="127" applyNumberFormat="0" applyAlignment="0" applyProtection="0"/>
    <xf numFmtId="0" fontId="41" fillId="13" borderId="127" applyNumberFormat="0" applyAlignment="0" applyProtection="0"/>
    <xf numFmtId="0" fontId="41" fillId="13" borderId="127" applyNumberFormat="0" applyAlignment="0" applyProtection="0"/>
    <xf numFmtId="0" fontId="41" fillId="13" borderId="127" applyNumberFormat="0" applyAlignment="0" applyProtection="0"/>
    <xf numFmtId="0" fontId="41" fillId="13" borderId="127" applyNumberFormat="0" applyAlignment="0" applyProtection="0"/>
    <xf numFmtId="0" fontId="41" fillId="13" borderId="127" applyNumberFormat="0" applyAlignment="0" applyProtection="0"/>
    <xf numFmtId="0" fontId="41" fillId="13" borderId="127" applyNumberFormat="0" applyAlignment="0" applyProtection="0"/>
    <xf numFmtId="0" fontId="41" fillId="13" borderId="127" applyNumberFormat="0" applyAlignment="0" applyProtection="0"/>
    <xf numFmtId="0" fontId="25" fillId="13" borderId="127" applyNumberFormat="0" applyAlignment="0" applyProtection="0"/>
    <xf numFmtId="0" fontId="25" fillId="13" borderId="127" applyNumberFormat="0" applyAlignment="0" applyProtection="0"/>
    <xf numFmtId="0" fontId="25" fillId="13" borderId="127" applyNumberFormat="0" applyAlignment="0" applyProtection="0"/>
    <xf numFmtId="0" fontId="25" fillId="13" borderId="127" applyNumberFormat="0" applyAlignment="0" applyProtection="0"/>
    <xf numFmtId="0" fontId="25" fillId="13" borderId="127" applyNumberFormat="0" applyAlignment="0" applyProtection="0"/>
    <xf numFmtId="0" fontId="25" fillId="13" borderId="127" applyNumberFormat="0" applyAlignment="0" applyProtection="0"/>
    <xf numFmtId="0" fontId="25" fillId="13" borderId="127" applyNumberFormat="0" applyAlignment="0" applyProtection="0"/>
    <xf numFmtId="0" fontId="25" fillId="13" borderId="127" applyNumberFormat="0" applyAlignment="0" applyProtection="0"/>
    <xf numFmtId="0" fontId="25" fillId="13" borderId="127" applyNumberFormat="0" applyAlignment="0" applyProtection="0"/>
    <xf numFmtId="0" fontId="25" fillId="13" borderId="127" applyNumberFormat="0" applyAlignment="0" applyProtection="0"/>
    <xf numFmtId="0" fontId="25" fillId="13" borderId="127" applyNumberFormat="0" applyAlignment="0" applyProtection="0"/>
    <xf numFmtId="0" fontId="25" fillId="13" borderId="127" applyNumberFormat="0" applyAlignment="0" applyProtection="0"/>
    <xf numFmtId="0" fontId="25" fillId="13" borderId="127" applyNumberFormat="0" applyAlignment="0" applyProtection="0"/>
    <xf numFmtId="0" fontId="25" fillId="13" borderId="127" applyNumberFormat="0" applyAlignment="0" applyProtection="0"/>
    <xf numFmtId="0" fontId="25" fillId="13" borderId="127" applyNumberFormat="0" applyAlignment="0" applyProtection="0"/>
    <xf numFmtId="0" fontId="25" fillId="13" borderId="127" applyNumberFormat="0" applyAlignment="0" applyProtection="0"/>
    <xf numFmtId="0" fontId="25" fillId="13" borderId="127" applyNumberFormat="0" applyAlignment="0" applyProtection="0"/>
    <xf numFmtId="0" fontId="25" fillId="13" borderId="127" applyNumberFormat="0" applyAlignment="0" applyProtection="0"/>
    <xf numFmtId="0" fontId="25" fillId="13" borderId="127" applyNumberFormat="0" applyAlignment="0" applyProtection="0"/>
    <xf numFmtId="0" fontId="25" fillId="13" borderId="127" applyNumberFormat="0" applyAlignment="0" applyProtection="0"/>
    <xf numFmtId="0" fontId="25" fillId="13" borderId="127" applyNumberFormat="0" applyAlignment="0" applyProtection="0"/>
    <xf numFmtId="0" fontId="25" fillId="13" borderId="127" applyNumberFormat="0" applyAlignment="0" applyProtection="0"/>
    <xf numFmtId="0" fontId="25" fillId="13" borderId="127" applyNumberFormat="0" applyAlignment="0" applyProtection="0"/>
    <xf numFmtId="0" fontId="25" fillId="13" borderId="127" applyNumberFormat="0" applyAlignment="0" applyProtection="0"/>
    <xf numFmtId="0" fontId="25" fillId="13" borderId="127" applyNumberFormat="0" applyAlignment="0" applyProtection="0"/>
    <xf numFmtId="0" fontId="25" fillId="13" borderId="127" applyNumberFormat="0" applyAlignment="0" applyProtection="0"/>
    <xf numFmtId="0" fontId="25" fillId="13" borderId="127" applyNumberFormat="0" applyAlignment="0" applyProtection="0"/>
    <xf numFmtId="0" fontId="25" fillId="13" borderId="127" applyNumberFormat="0" applyAlignment="0" applyProtection="0"/>
    <xf numFmtId="0" fontId="25" fillId="13" borderId="127" applyNumberFormat="0" applyAlignment="0" applyProtection="0"/>
    <xf numFmtId="0" fontId="25" fillId="13" borderId="127" applyNumberFormat="0" applyAlignment="0" applyProtection="0"/>
    <xf numFmtId="0" fontId="25" fillId="13" borderId="127" applyNumberFormat="0" applyAlignment="0" applyProtection="0"/>
    <xf numFmtId="0" fontId="25" fillId="13" borderId="127" applyNumberFormat="0" applyAlignment="0" applyProtection="0"/>
    <xf numFmtId="0" fontId="25" fillId="13" borderId="127" applyNumberFormat="0" applyAlignment="0" applyProtection="0"/>
    <xf numFmtId="0" fontId="25" fillId="13" borderId="127" applyNumberFormat="0" applyAlignment="0" applyProtection="0"/>
    <xf numFmtId="0" fontId="25" fillId="13" borderId="127" applyNumberFormat="0" applyAlignment="0" applyProtection="0"/>
    <xf numFmtId="0" fontId="25" fillId="13" borderId="127" applyNumberFormat="0" applyAlignment="0" applyProtection="0"/>
    <xf numFmtId="0" fontId="25" fillId="13" borderId="127" applyNumberFormat="0" applyAlignment="0" applyProtection="0"/>
    <xf numFmtId="0" fontId="25" fillId="13" borderId="127" applyNumberFormat="0" applyAlignment="0" applyProtection="0"/>
    <xf numFmtId="0" fontId="25" fillId="13" borderId="127" applyNumberFormat="0" applyAlignment="0" applyProtection="0"/>
    <xf numFmtId="0" fontId="25" fillId="13" borderId="127" applyNumberFormat="0" applyAlignment="0" applyProtection="0"/>
    <xf numFmtId="0" fontId="25" fillId="13" borderId="127" applyNumberFormat="0" applyAlignment="0" applyProtection="0"/>
    <xf numFmtId="0" fontId="25" fillId="13" borderId="127" applyNumberFormat="0" applyAlignment="0" applyProtection="0"/>
    <xf numFmtId="0" fontId="25" fillId="13" borderId="127" applyNumberFormat="0" applyAlignment="0" applyProtection="0"/>
    <xf numFmtId="0" fontId="25" fillId="13" borderId="127" applyNumberFormat="0" applyAlignment="0" applyProtection="0"/>
    <xf numFmtId="0" fontId="25" fillId="13" borderId="127" applyNumberFormat="0" applyAlignment="0" applyProtection="0"/>
    <xf numFmtId="0" fontId="25" fillId="13" borderId="127" applyNumberFormat="0" applyAlignment="0" applyProtection="0"/>
    <xf numFmtId="0" fontId="25" fillId="13" borderId="127" applyNumberFormat="0" applyAlignment="0" applyProtection="0"/>
    <xf numFmtId="0" fontId="25" fillId="13" borderId="127" applyNumberFormat="0" applyAlignment="0" applyProtection="0"/>
    <xf numFmtId="0" fontId="25" fillId="13" borderId="127" applyNumberFormat="0" applyAlignment="0" applyProtection="0"/>
    <xf numFmtId="0" fontId="41" fillId="13" borderId="127" applyNumberFormat="0" applyAlignment="0" applyProtection="0"/>
    <xf numFmtId="0" fontId="41" fillId="13" borderId="127" applyNumberFormat="0" applyAlignment="0" applyProtection="0"/>
    <xf numFmtId="0" fontId="41" fillId="13" borderId="127" applyNumberFormat="0" applyAlignment="0" applyProtection="0"/>
    <xf numFmtId="0" fontId="41" fillId="13" borderId="127" applyNumberFormat="0" applyAlignment="0" applyProtection="0"/>
    <xf numFmtId="0" fontId="41" fillId="13" borderId="127" applyNumberFormat="0" applyAlignment="0" applyProtection="0"/>
    <xf numFmtId="0" fontId="41" fillId="13" borderId="127" applyNumberFormat="0" applyAlignment="0" applyProtection="0"/>
    <xf numFmtId="0" fontId="41" fillId="13" borderId="127" applyNumberFormat="0" applyAlignment="0" applyProtection="0"/>
    <xf numFmtId="0" fontId="41" fillId="13" borderId="127" applyNumberFormat="0" applyAlignment="0" applyProtection="0"/>
    <xf numFmtId="0" fontId="41" fillId="13" borderId="127" applyNumberFormat="0" applyAlignment="0" applyProtection="0"/>
    <xf numFmtId="0" fontId="41" fillId="13" borderId="127" applyNumberFormat="0" applyAlignment="0" applyProtection="0"/>
    <xf numFmtId="0" fontId="41" fillId="13" borderId="127" applyNumberFormat="0" applyAlignment="0" applyProtection="0"/>
    <xf numFmtId="0" fontId="41" fillId="13" borderId="127" applyNumberFormat="0" applyAlignment="0" applyProtection="0"/>
    <xf numFmtId="0" fontId="41" fillId="13" borderId="127" applyNumberFormat="0" applyAlignment="0" applyProtection="0"/>
    <xf numFmtId="0" fontId="41" fillId="13" borderId="127" applyNumberFormat="0" applyAlignment="0" applyProtection="0"/>
    <xf numFmtId="0" fontId="41" fillId="13" borderId="127" applyNumberFormat="0" applyAlignment="0" applyProtection="0"/>
    <xf numFmtId="0" fontId="41" fillId="13" borderId="127" applyNumberFormat="0" applyAlignment="0" applyProtection="0"/>
    <xf numFmtId="0" fontId="41" fillId="13" borderId="127" applyNumberFormat="0" applyAlignment="0" applyProtection="0"/>
    <xf numFmtId="0" fontId="41" fillId="13" borderId="127" applyNumberFormat="0" applyAlignment="0" applyProtection="0"/>
    <xf numFmtId="0" fontId="41" fillId="13" borderId="127" applyNumberFormat="0" applyAlignment="0" applyProtection="0"/>
    <xf numFmtId="0" fontId="41" fillId="13" borderId="127" applyNumberFormat="0" applyAlignment="0" applyProtection="0"/>
    <xf numFmtId="0" fontId="41" fillId="13" borderId="127" applyNumberFormat="0" applyAlignment="0" applyProtection="0"/>
    <xf numFmtId="0" fontId="41" fillId="13" borderId="127" applyNumberFormat="0" applyAlignment="0" applyProtection="0"/>
    <xf numFmtId="0" fontId="41" fillId="13" borderId="127" applyNumberFormat="0" applyAlignment="0" applyProtection="0"/>
    <xf numFmtId="0" fontId="41" fillId="13" borderId="127" applyNumberFormat="0" applyAlignment="0" applyProtection="0"/>
    <xf numFmtId="0" fontId="41" fillId="13" borderId="127" applyNumberFormat="0" applyAlignment="0" applyProtection="0"/>
    <xf numFmtId="0" fontId="41" fillId="13" borderId="127" applyNumberFormat="0" applyAlignment="0" applyProtection="0"/>
    <xf numFmtId="0" fontId="41" fillId="13" borderId="127" applyNumberFormat="0" applyAlignment="0" applyProtection="0"/>
    <xf numFmtId="0" fontId="41" fillId="13" borderId="127" applyNumberFormat="0" applyAlignment="0" applyProtection="0"/>
    <xf numFmtId="0" fontId="41" fillId="13" borderId="127" applyNumberFormat="0" applyAlignment="0" applyProtection="0"/>
    <xf numFmtId="0" fontId="41" fillId="13" borderId="127" applyNumberFormat="0" applyAlignment="0" applyProtection="0"/>
    <xf numFmtId="0" fontId="41" fillId="13" borderId="127" applyNumberFormat="0" applyAlignment="0" applyProtection="0"/>
    <xf numFmtId="0" fontId="41" fillId="13" borderId="127" applyNumberFormat="0" applyAlignment="0" applyProtection="0"/>
    <xf numFmtId="0" fontId="41" fillId="13" borderId="127" applyNumberFormat="0" applyAlignment="0" applyProtection="0"/>
    <xf numFmtId="0" fontId="41" fillId="13" borderId="127" applyNumberFormat="0" applyAlignment="0" applyProtection="0"/>
    <xf numFmtId="0" fontId="41" fillId="13" borderId="127" applyNumberFormat="0" applyAlignment="0" applyProtection="0"/>
    <xf numFmtId="0" fontId="41" fillId="13" borderId="127" applyNumberFormat="0" applyAlignment="0" applyProtection="0"/>
    <xf numFmtId="0" fontId="41" fillId="13" borderId="127" applyNumberFormat="0" applyAlignment="0" applyProtection="0"/>
    <xf numFmtId="0" fontId="41" fillId="13" borderId="127" applyNumberFormat="0" applyAlignment="0" applyProtection="0"/>
    <xf numFmtId="0" fontId="41" fillId="13" borderId="127" applyNumberFormat="0" applyAlignment="0" applyProtection="0"/>
    <xf numFmtId="0" fontId="41" fillId="13" borderId="127" applyNumberFormat="0" applyAlignment="0" applyProtection="0"/>
    <xf numFmtId="0" fontId="41" fillId="13" borderId="127" applyNumberFormat="0" applyAlignment="0" applyProtection="0"/>
    <xf numFmtId="0" fontId="41" fillId="13" borderId="127" applyNumberFormat="0" applyAlignment="0" applyProtection="0"/>
    <xf numFmtId="0" fontId="41" fillId="13" borderId="127" applyNumberFormat="0" applyAlignment="0" applyProtection="0"/>
    <xf numFmtId="0" fontId="41" fillId="13" borderId="127" applyNumberFormat="0" applyAlignment="0" applyProtection="0"/>
    <xf numFmtId="0" fontId="41" fillId="13" borderId="127" applyNumberFormat="0" applyAlignment="0" applyProtection="0"/>
    <xf numFmtId="0" fontId="41" fillId="13" borderId="127" applyNumberFormat="0" applyAlignment="0" applyProtection="0"/>
    <xf numFmtId="0" fontId="41" fillId="13" borderId="127" applyNumberFormat="0" applyAlignment="0" applyProtection="0"/>
    <xf numFmtId="0" fontId="41" fillId="13" borderId="127" applyNumberFormat="0" applyAlignment="0" applyProtection="0"/>
    <xf numFmtId="0" fontId="41" fillId="13" borderId="127" applyNumberFormat="0" applyAlignment="0" applyProtection="0"/>
    <xf numFmtId="0" fontId="25" fillId="13" borderId="127" applyNumberFormat="0" applyAlignment="0" applyProtection="0"/>
    <xf numFmtId="0" fontId="25" fillId="13" borderId="127" applyNumberFormat="0" applyAlignment="0" applyProtection="0"/>
    <xf numFmtId="0" fontId="25" fillId="13" borderId="127" applyNumberFormat="0" applyAlignment="0" applyProtection="0"/>
    <xf numFmtId="0" fontId="25" fillId="13" borderId="127" applyNumberFormat="0" applyAlignment="0" applyProtection="0"/>
    <xf numFmtId="0" fontId="25" fillId="13" borderId="127" applyNumberFormat="0" applyAlignment="0" applyProtection="0"/>
    <xf numFmtId="0" fontId="25" fillId="13" borderId="127" applyNumberFormat="0" applyAlignment="0" applyProtection="0"/>
    <xf numFmtId="0" fontId="25" fillId="13" borderId="127" applyNumberFormat="0" applyAlignment="0" applyProtection="0"/>
    <xf numFmtId="0" fontId="25" fillId="13" borderId="127" applyNumberFormat="0" applyAlignment="0" applyProtection="0"/>
    <xf numFmtId="0" fontId="25" fillId="13" borderId="127" applyNumberFormat="0" applyAlignment="0" applyProtection="0"/>
    <xf numFmtId="0" fontId="25" fillId="13" borderId="127" applyNumberFormat="0" applyAlignment="0" applyProtection="0"/>
    <xf numFmtId="0" fontId="25" fillId="13" borderId="127" applyNumberFormat="0" applyAlignment="0" applyProtection="0"/>
    <xf numFmtId="0" fontId="25" fillId="13" borderId="127" applyNumberFormat="0" applyAlignment="0" applyProtection="0"/>
    <xf numFmtId="0" fontId="25" fillId="13" borderId="127" applyNumberFormat="0" applyAlignment="0" applyProtection="0"/>
    <xf numFmtId="0" fontId="25" fillId="13" borderId="127" applyNumberFormat="0" applyAlignment="0" applyProtection="0"/>
    <xf numFmtId="0" fontId="25" fillId="13" borderId="127" applyNumberFormat="0" applyAlignment="0" applyProtection="0"/>
    <xf numFmtId="0" fontId="25" fillId="13" borderId="127" applyNumberFormat="0" applyAlignment="0" applyProtection="0"/>
    <xf numFmtId="0" fontId="25" fillId="13" borderId="127" applyNumberFormat="0" applyAlignment="0" applyProtection="0"/>
    <xf numFmtId="0" fontId="25" fillId="13" borderId="127" applyNumberFormat="0" applyAlignment="0" applyProtection="0"/>
    <xf numFmtId="0" fontId="25" fillId="13" borderId="127" applyNumberFormat="0" applyAlignment="0" applyProtection="0"/>
    <xf numFmtId="0" fontId="25" fillId="13" borderId="127" applyNumberFormat="0" applyAlignment="0" applyProtection="0"/>
    <xf numFmtId="0" fontId="25" fillId="13" borderId="127" applyNumberFormat="0" applyAlignment="0" applyProtection="0"/>
    <xf numFmtId="0" fontId="25" fillId="13" borderId="127" applyNumberFormat="0" applyAlignment="0" applyProtection="0"/>
    <xf numFmtId="0" fontId="25" fillId="13" borderId="127" applyNumberFormat="0" applyAlignment="0" applyProtection="0"/>
    <xf numFmtId="0" fontId="25" fillId="13" borderId="127" applyNumberFormat="0" applyAlignment="0" applyProtection="0"/>
    <xf numFmtId="0" fontId="25" fillId="13" borderId="127" applyNumberFormat="0" applyAlignment="0" applyProtection="0"/>
    <xf numFmtId="0" fontId="25" fillId="13" borderId="127" applyNumberFormat="0" applyAlignment="0" applyProtection="0"/>
    <xf numFmtId="0" fontId="25" fillId="13" borderId="127" applyNumberFormat="0" applyAlignment="0" applyProtection="0"/>
    <xf numFmtId="0" fontId="25" fillId="13" borderId="127" applyNumberFormat="0" applyAlignment="0" applyProtection="0"/>
    <xf numFmtId="0" fontId="25" fillId="13" borderId="127" applyNumberFormat="0" applyAlignment="0" applyProtection="0"/>
    <xf numFmtId="0" fontId="25" fillId="13" borderId="127" applyNumberFormat="0" applyAlignment="0" applyProtection="0"/>
    <xf numFmtId="0" fontId="25" fillId="13" borderId="127" applyNumberFormat="0" applyAlignment="0" applyProtection="0"/>
    <xf numFmtId="0" fontId="25" fillId="13" borderId="127" applyNumberFormat="0" applyAlignment="0" applyProtection="0"/>
    <xf numFmtId="0" fontId="25" fillId="13" borderId="127" applyNumberFormat="0" applyAlignment="0" applyProtection="0"/>
    <xf numFmtId="0" fontId="25" fillId="13" borderId="127" applyNumberFormat="0" applyAlignment="0" applyProtection="0"/>
    <xf numFmtId="0" fontId="25" fillId="13" borderId="127" applyNumberFormat="0" applyAlignment="0" applyProtection="0"/>
    <xf numFmtId="0" fontId="25" fillId="13" borderId="127" applyNumberFormat="0" applyAlignment="0" applyProtection="0"/>
    <xf numFmtId="0" fontId="25" fillId="13" borderId="127" applyNumberFormat="0" applyAlignment="0" applyProtection="0"/>
    <xf numFmtId="0" fontId="25" fillId="13" borderId="127" applyNumberFormat="0" applyAlignment="0" applyProtection="0"/>
    <xf numFmtId="0" fontId="25" fillId="13" borderId="127" applyNumberFormat="0" applyAlignment="0" applyProtection="0"/>
    <xf numFmtId="0" fontId="25" fillId="13" borderId="127" applyNumberFormat="0" applyAlignment="0" applyProtection="0"/>
    <xf numFmtId="0" fontId="25" fillId="13" borderId="127" applyNumberFormat="0" applyAlignment="0" applyProtection="0"/>
    <xf numFmtId="0" fontId="25" fillId="13" borderId="127" applyNumberFormat="0" applyAlignment="0" applyProtection="0"/>
    <xf numFmtId="0" fontId="25" fillId="13" borderId="127" applyNumberFormat="0" applyAlignment="0" applyProtection="0"/>
    <xf numFmtId="0" fontId="25" fillId="13" borderId="127" applyNumberFormat="0" applyAlignment="0" applyProtection="0"/>
    <xf numFmtId="0" fontId="25" fillId="13" borderId="127" applyNumberFormat="0" applyAlignment="0" applyProtection="0"/>
    <xf numFmtId="0" fontId="25" fillId="13" borderId="127" applyNumberFormat="0" applyAlignment="0" applyProtection="0"/>
    <xf numFmtId="0" fontId="25" fillId="13" borderId="127" applyNumberFormat="0" applyAlignment="0" applyProtection="0"/>
    <xf numFmtId="0" fontId="25" fillId="13" borderId="127" applyNumberFormat="0" applyAlignment="0" applyProtection="0"/>
    <xf numFmtId="0" fontId="25" fillId="13" borderId="127" applyNumberFormat="0" applyAlignment="0" applyProtection="0"/>
    <xf numFmtId="0" fontId="25" fillId="8" borderId="127" applyNumberFormat="0" applyAlignment="0" applyProtection="0"/>
    <xf numFmtId="0" fontId="25" fillId="8" borderId="127" applyNumberFormat="0" applyAlignment="0" applyProtection="0"/>
    <xf numFmtId="0" fontId="25" fillId="8" borderId="127" applyNumberFormat="0" applyAlignment="0" applyProtection="0"/>
    <xf numFmtId="0" fontId="25" fillId="8" borderId="127" applyNumberFormat="0" applyAlignment="0" applyProtection="0"/>
    <xf numFmtId="0" fontId="25" fillId="8" borderId="127" applyNumberFormat="0" applyAlignment="0" applyProtection="0"/>
    <xf numFmtId="0" fontId="25" fillId="8" borderId="127" applyNumberFormat="0" applyAlignment="0" applyProtection="0"/>
    <xf numFmtId="0" fontId="25" fillId="8" borderId="127" applyNumberFormat="0" applyAlignment="0" applyProtection="0"/>
    <xf numFmtId="0" fontId="25" fillId="8" borderId="127" applyNumberFormat="0" applyAlignment="0" applyProtection="0"/>
    <xf numFmtId="0" fontId="25" fillId="8" borderId="127" applyNumberFormat="0" applyAlignment="0" applyProtection="0"/>
    <xf numFmtId="0" fontId="25" fillId="8" borderId="127" applyNumberFormat="0" applyAlignment="0" applyProtection="0"/>
    <xf numFmtId="0" fontId="25" fillId="8" borderId="127" applyNumberFormat="0" applyAlignment="0" applyProtection="0"/>
    <xf numFmtId="0" fontId="25" fillId="8" borderId="127" applyNumberFormat="0" applyAlignment="0" applyProtection="0"/>
    <xf numFmtId="0" fontId="25" fillId="8" borderId="127" applyNumberFormat="0" applyAlignment="0" applyProtection="0"/>
    <xf numFmtId="0" fontId="25" fillId="8" borderId="127" applyNumberFormat="0" applyAlignment="0" applyProtection="0"/>
    <xf numFmtId="0" fontId="25" fillId="8" borderId="127" applyNumberFormat="0" applyAlignment="0" applyProtection="0"/>
    <xf numFmtId="0" fontId="25" fillId="8" borderId="127" applyNumberFormat="0" applyAlignment="0" applyProtection="0"/>
    <xf numFmtId="0" fontId="25" fillId="8" borderId="127" applyNumberFormat="0" applyAlignment="0" applyProtection="0"/>
    <xf numFmtId="0" fontId="25" fillId="8" borderId="127" applyNumberFormat="0" applyAlignment="0" applyProtection="0"/>
    <xf numFmtId="0" fontId="25" fillId="8" borderId="127" applyNumberFormat="0" applyAlignment="0" applyProtection="0"/>
    <xf numFmtId="0" fontId="25" fillId="8" borderId="127" applyNumberFormat="0" applyAlignment="0" applyProtection="0"/>
    <xf numFmtId="0" fontId="25" fillId="8" borderId="127" applyNumberFormat="0" applyAlignment="0" applyProtection="0"/>
    <xf numFmtId="0" fontId="25" fillId="8" borderId="127" applyNumberFormat="0" applyAlignment="0" applyProtection="0"/>
    <xf numFmtId="0" fontId="25" fillId="8" borderId="127" applyNumberFormat="0" applyAlignment="0" applyProtection="0"/>
    <xf numFmtId="0" fontId="25" fillId="8" borderId="127" applyNumberFormat="0" applyAlignment="0" applyProtection="0"/>
    <xf numFmtId="0" fontId="25" fillId="8" borderId="127" applyNumberFormat="0" applyAlignment="0" applyProtection="0"/>
    <xf numFmtId="0" fontId="25" fillId="8" borderId="127" applyNumberFormat="0" applyAlignment="0" applyProtection="0"/>
    <xf numFmtId="0" fontId="25" fillId="8" borderId="127" applyNumberFormat="0" applyAlignment="0" applyProtection="0"/>
    <xf numFmtId="0" fontId="25" fillId="8" borderId="127" applyNumberFormat="0" applyAlignment="0" applyProtection="0"/>
    <xf numFmtId="0" fontId="25" fillId="8" borderId="127" applyNumberFormat="0" applyAlignment="0" applyProtection="0"/>
    <xf numFmtId="0" fontId="25" fillId="8" borderId="127" applyNumberFormat="0" applyAlignment="0" applyProtection="0"/>
    <xf numFmtId="0" fontId="25" fillId="8" borderId="127" applyNumberFormat="0" applyAlignment="0" applyProtection="0"/>
    <xf numFmtId="0" fontId="25" fillId="8" borderId="127" applyNumberFormat="0" applyAlignment="0" applyProtection="0"/>
    <xf numFmtId="0" fontId="25" fillId="8" borderId="127" applyNumberFormat="0" applyAlignment="0" applyProtection="0"/>
    <xf numFmtId="0" fontId="25" fillId="8" borderId="127" applyNumberFormat="0" applyAlignment="0" applyProtection="0"/>
    <xf numFmtId="0" fontId="25" fillId="8" borderId="127" applyNumberFormat="0" applyAlignment="0" applyProtection="0"/>
    <xf numFmtId="0" fontId="25" fillId="8" borderId="127" applyNumberFormat="0" applyAlignment="0" applyProtection="0"/>
    <xf numFmtId="0" fontId="25" fillId="8" borderId="127" applyNumberFormat="0" applyAlignment="0" applyProtection="0"/>
    <xf numFmtId="0" fontId="25" fillId="8" borderId="127" applyNumberFormat="0" applyAlignment="0" applyProtection="0"/>
    <xf numFmtId="0" fontId="25" fillId="8" borderId="127" applyNumberFormat="0" applyAlignment="0" applyProtection="0"/>
    <xf numFmtId="0" fontId="25" fillId="8" borderId="127" applyNumberFormat="0" applyAlignment="0" applyProtection="0"/>
    <xf numFmtId="0" fontId="25" fillId="8" borderId="127" applyNumberFormat="0" applyAlignment="0" applyProtection="0"/>
    <xf numFmtId="0" fontId="25" fillId="8" borderId="127" applyNumberFormat="0" applyAlignment="0" applyProtection="0"/>
    <xf numFmtId="0" fontId="25" fillId="8" borderId="127" applyNumberFormat="0" applyAlignment="0" applyProtection="0"/>
    <xf numFmtId="0" fontId="25" fillId="8" borderId="127" applyNumberFormat="0" applyAlignment="0" applyProtection="0"/>
    <xf numFmtId="0" fontId="25" fillId="8" borderId="127" applyNumberFormat="0" applyAlignment="0" applyProtection="0"/>
    <xf numFmtId="0" fontId="25" fillId="8" borderId="127" applyNumberFormat="0" applyAlignment="0" applyProtection="0"/>
    <xf numFmtId="0" fontId="25" fillId="8" borderId="127" applyNumberFormat="0" applyAlignment="0" applyProtection="0"/>
    <xf numFmtId="0" fontId="25" fillId="8" borderId="127" applyNumberFormat="0" applyAlignment="0" applyProtection="0"/>
    <xf numFmtId="0" fontId="25" fillId="8" borderId="127" applyNumberFormat="0" applyAlignment="0" applyProtection="0"/>
    <xf numFmtId="0" fontId="25" fillId="8" borderId="127" applyNumberFormat="0" applyAlignment="0" applyProtection="0"/>
    <xf numFmtId="0" fontId="25" fillId="8" borderId="127" applyNumberFormat="0" applyAlignment="0" applyProtection="0"/>
    <xf numFmtId="0" fontId="25" fillId="8" borderId="127" applyNumberFormat="0" applyAlignment="0" applyProtection="0"/>
    <xf numFmtId="0" fontId="25" fillId="8" borderId="127" applyNumberFormat="0" applyAlignment="0" applyProtection="0"/>
    <xf numFmtId="0" fontId="25" fillId="8" borderId="127" applyNumberFormat="0" applyAlignment="0" applyProtection="0"/>
    <xf numFmtId="0" fontId="25" fillId="8" borderId="127" applyNumberFormat="0" applyAlignment="0" applyProtection="0"/>
    <xf numFmtId="0" fontId="25" fillId="8" borderId="127" applyNumberFormat="0" applyAlignment="0" applyProtection="0"/>
    <xf numFmtId="0" fontId="25" fillId="8" borderId="127" applyNumberFormat="0" applyAlignment="0" applyProtection="0"/>
    <xf numFmtId="0" fontId="25" fillId="8" borderId="127" applyNumberFormat="0" applyAlignment="0" applyProtection="0"/>
    <xf numFmtId="0" fontId="25" fillId="8" borderId="127" applyNumberFormat="0" applyAlignment="0" applyProtection="0"/>
    <xf numFmtId="0" fontId="25" fillId="8" borderId="127" applyNumberFormat="0" applyAlignment="0" applyProtection="0"/>
    <xf numFmtId="0" fontId="25" fillId="8" borderId="127" applyNumberFormat="0" applyAlignment="0" applyProtection="0"/>
    <xf numFmtId="0" fontId="25" fillId="8" borderId="127" applyNumberFormat="0" applyAlignment="0" applyProtection="0"/>
    <xf numFmtId="0" fontId="25" fillId="8" borderId="127" applyNumberFormat="0" applyAlignment="0" applyProtection="0"/>
    <xf numFmtId="0" fontId="25" fillId="8" borderId="127" applyNumberFormat="0" applyAlignment="0" applyProtection="0"/>
    <xf numFmtId="0" fontId="25" fillId="8" borderId="127" applyNumberFormat="0" applyAlignment="0" applyProtection="0"/>
    <xf numFmtId="0" fontId="25" fillId="8" borderId="127" applyNumberFormat="0" applyAlignment="0" applyProtection="0"/>
    <xf numFmtId="0" fontId="25" fillId="8" borderId="127" applyNumberFormat="0" applyAlignment="0" applyProtection="0"/>
    <xf numFmtId="0" fontId="25" fillId="8" borderId="127" applyNumberFormat="0" applyAlignment="0" applyProtection="0"/>
    <xf numFmtId="0" fontId="25" fillId="8" borderId="127" applyNumberFormat="0" applyAlignment="0" applyProtection="0"/>
    <xf numFmtId="0" fontId="25" fillId="8" borderId="127" applyNumberFormat="0" applyAlignment="0" applyProtection="0"/>
    <xf numFmtId="0" fontId="25" fillId="8" borderId="127" applyNumberFormat="0" applyAlignment="0" applyProtection="0"/>
    <xf numFmtId="0" fontId="25" fillId="8" borderId="127" applyNumberFormat="0" applyAlignment="0" applyProtection="0"/>
    <xf numFmtId="0" fontId="25" fillId="8" borderId="127" applyNumberFormat="0" applyAlignment="0" applyProtection="0"/>
    <xf numFmtId="0" fontId="25" fillId="8" borderId="127" applyNumberFormat="0" applyAlignment="0" applyProtection="0"/>
    <xf numFmtId="0" fontId="25" fillId="8" borderId="127" applyNumberFormat="0" applyAlignment="0" applyProtection="0"/>
    <xf numFmtId="0" fontId="25" fillId="8" borderId="127" applyNumberFormat="0" applyAlignment="0" applyProtection="0"/>
    <xf numFmtId="0" fontId="25" fillId="8" borderId="127" applyNumberFormat="0" applyAlignment="0" applyProtection="0"/>
    <xf numFmtId="0" fontId="84" fillId="73" borderId="131"/>
    <xf numFmtId="0" fontId="84" fillId="73" borderId="131"/>
    <xf numFmtId="0" fontId="84" fillId="73" borderId="131"/>
    <xf numFmtId="0" fontId="84" fillId="73" borderId="131"/>
    <xf numFmtId="0" fontId="84" fillId="73" borderId="131"/>
    <xf numFmtId="0" fontId="84" fillId="73" borderId="131"/>
    <xf numFmtId="0" fontId="84" fillId="73" borderId="131"/>
    <xf numFmtId="0" fontId="84" fillId="73" borderId="131"/>
    <xf numFmtId="0" fontId="84" fillId="73" borderId="131"/>
    <xf numFmtId="0" fontId="84" fillId="73" borderId="131"/>
    <xf numFmtId="0" fontId="84" fillId="73" borderId="131"/>
    <xf numFmtId="0" fontId="84" fillId="73" borderId="131"/>
    <xf numFmtId="0" fontId="84" fillId="73" borderId="131"/>
    <xf numFmtId="0" fontId="84" fillId="73" borderId="131"/>
    <xf numFmtId="0" fontId="84" fillId="73" borderId="131"/>
    <xf numFmtId="0" fontId="84" fillId="73" borderId="131"/>
    <xf numFmtId="0" fontId="84" fillId="73" borderId="131"/>
    <xf numFmtId="0" fontId="84" fillId="73" borderId="131"/>
    <xf numFmtId="0" fontId="84" fillId="73" borderId="131"/>
    <xf numFmtId="0" fontId="84" fillId="73" borderId="131"/>
    <xf numFmtId="0" fontId="84" fillId="73" borderId="131"/>
    <xf numFmtId="0" fontId="84" fillId="73" borderId="131"/>
    <xf numFmtId="0" fontId="84" fillId="73" borderId="131"/>
    <xf numFmtId="0" fontId="84" fillId="73" borderId="131"/>
    <xf numFmtId="0" fontId="84" fillId="73" borderId="131"/>
    <xf numFmtId="0" fontId="84" fillId="73" borderId="131"/>
    <xf numFmtId="0" fontId="84" fillId="73" borderId="131"/>
    <xf numFmtId="0" fontId="84" fillId="73" borderId="131"/>
    <xf numFmtId="0" fontId="84" fillId="73" borderId="131"/>
    <xf numFmtId="0" fontId="84" fillId="73" borderId="131"/>
    <xf numFmtId="0" fontId="84" fillId="73" borderId="131"/>
    <xf numFmtId="0" fontId="84" fillId="73" borderId="131"/>
    <xf numFmtId="0" fontId="84" fillId="73" borderId="131"/>
    <xf numFmtId="0" fontId="84" fillId="73" borderId="131"/>
    <xf numFmtId="0" fontId="84" fillId="73" borderId="131"/>
    <xf numFmtId="0" fontId="84" fillId="73" borderId="131"/>
    <xf numFmtId="0" fontId="84" fillId="73" borderId="131"/>
    <xf numFmtId="0" fontId="84" fillId="73" borderId="131"/>
    <xf numFmtId="0" fontId="84" fillId="73" borderId="131"/>
    <xf numFmtId="0" fontId="84" fillId="73" borderId="131"/>
    <xf numFmtId="0" fontId="84" fillId="73" borderId="131"/>
    <xf numFmtId="0" fontId="84" fillId="73" borderId="131"/>
    <xf numFmtId="0" fontId="84" fillId="73" borderId="131"/>
    <xf numFmtId="0" fontId="84" fillId="73" borderId="131"/>
    <xf numFmtId="0" fontId="84" fillId="73" borderId="131"/>
    <xf numFmtId="0" fontId="48" fillId="12" borderId="167" applyNumberFormat="0" applyAlignment="0" applyProtection="0"/>
    <xf numFmtId="0" fontId="41" fillId="13" borderId="167" applyNumberFormat="0" applyAlignment="0" applyProtection="0"/>
    <xf numFmtId="0" fontId="8" fillId="10" borderId="168" applyNumberFormat="0" applyFont="0" applyAlignment="0" applyProtection="0"/>
    <xf numFmtId="0" fontId="8" fillId="10" borderId="168" applyNumberFormat="0" applyFont="0" applyAlignment="0" applyProtection="0"/>
    <xf numFmtId="0" fontId="49" fillId="10" borderId="168" applyNumberFormat="0" applyFont="0" applyAlignment="0" applyProtection="0"/>
    <xf numFmtId="0" fontId="29" fillId="12" borderId="170" applyNumberFormat="0" applyAlignment="0" applyProtection="0"/>
    <xf numFmtId="0" fontId="31" fillId="0" borderId="172" applyNumberFormat="0" applyFill="0" applyAlignment="0" applyProtection="0"/>
    <xf numFmtId="0" fontId="16" fillId="24" borderId="203" applyNumberFormat="0" applyAlignment="0" applyProtection="0"/>
    <xf numFmtId="0" fontId="72" fillId="0" borderId="173" applyBorder="0">
      <alignment horizontal="center" vertical="center" wrapText="1"/>
    </xf>
    <xf numFmtId="0" fontId="32" fillId="24" borderId="167" applyNumberFormat="0" applyAlignment="0" applyProtection="0"/>
    <xf numFmtId="0" fontId="16" fillId="24" borderId="167" applyNumberFormat="0" applyAlignment="0" applyProtection="0"/>
    <xf numFmtId="0" fontId="25" fillId="13" borderId="167" applyNumberFormat="0" applyAlignment="0" applyProtection="0"/>
    <xf numFmtId="0" fontId="8" fillId="10" borderId="168" applyNumberFormat="0" applyFont="0" applyAlignment="0" applyProtection="0"/>
    <xf numFmtId="0" fontId="24" fillId="24" borderId="169" applyNumberFormat="0" applyAlignment="0" applyProtection="0"/>
    <xf numFmtId="0" fontId="29" fillId="24" borderId="170" applyNumberFormat="0" applyAlignment="0" applyProtection="0"/>
    <xf numFmtId="0" fontId="29" fillId="24" borderId="170" applyNumberFormat="0" applyAlignment="0" applyProtection="0"/>
    <xf numFmtId="0" fontId="31" fillId="0" borderId="165" applyNumberFormat="0" applyFill="0" applyAlignment="0" applyProtection="0"/>
    <xf numFmtId="0" fontId="31" fillId="0" borderId="166" applyNumberFormat="0" applyFill="0" applyAlignment="0" applyProtection="0"/>
    <xf numFmtId="0" fontId="48" fillId="24" borderId="194" applyNumberFormat="0" applyAlignment="0" applyProtection="0"/>
    <xf numFmtId="0" fontId="72" fillId="0" borderId="201" applyBorder="0">
      <alignment horizontal="center" vertical="center" wrapText="1"/>
    </xf>
    <xf numFmtId="0" fontId="31" fillId="0" borderId="199" applyNumberFormat="0" applyFill="0" applyAlignment="0" applyProtection="0"/>
    <xf numFmtId="0" fontId="49" fillId="10" borderId="135" applyNumberFormat="0" applyFont="0" applyAlignment="0" applyProtection="0"/>
    <xf numFmtId="0" fontId="48" fillId="12" borderId="134" applyNumberFormat="0" applyAlignment="0" applyProtection="0"/>
    <xf numFmtId="0" fontId="25" fillId="8" borderId="134" applyNumberFormat="0" applyAlignment="0" applyProtection="0"/>
    <xf numFmtId="0" fontId="31" fillId="0" borderId="132" applyNumberFormat="0" applyFill="0" applyAlignment="0" applyProtection="0"/>
    <xf numFmtId="0" fontId="31" fillId="0" borderId="137" applyNumberFormat="0" applyFill="0" applyAlignment="0" applyProtection="0"/>
    <xf numFmtId="0" fontId="24" fillId="24" borderId="136" applyNumberFormat="0" applyAlignment="0" applyProtection="0"/>
    <xf numFmtId="0" fontId="8" fillId="10" borderId="135" applyNumberFormat="0" applyFont="0" applyAlignment="0" applyProtection="0"/>
    <xf numFmtId="0" fontId="41" fillId="13" borderId="134" applyNumberFormat="0" applyAlignment="0" applyProtection="0"/>
    <xf numFmtId="0" fontId="48" fillId="12" borderId="134" applyNumberFormat="0" applyAlignment="0" applyProtection="0"/>
    <xf numFmtId="0" fontId="48" fillId="24" borderId="134" applyNumberFormat="0" applyAlignment="0" applyProtection="0"/>
    <xf numFmtId="0" fontId="31" fillId="0" borderId="132" applyNumberFormat="0" applyFill="0" applyAlignment="0" applyProtection="0"/>
    <xf numFmtId="0" fontId="48" fillId="24" borderId="134" applyNumberFormat="0" applyAlignment="0" applyProtection="0"/>
    <xf numFmtId="0" fontId="49" fillId="10" borderId="135" applyNumberFormat="0" applyFont="0" applyAlignment="0" applyProtection="0"/>
    <xf numFmtId="0" fontId="29" fillId="12" borderId="133" applyNumberFormat="0" applyAlignment="0" applyProtection="0"/>
    <xf numFmtId="0" fontId="8" fillId="10" borderId="135" applyNumberFormat="0" applyFont="0" applyAlignment="0" applyProtection="0"/>
    <xf numFmtId="0" fontId="8" fillId="10" borderId="128" applyNumberFormat="0" applyFont="0" applyAlignment="0" applyProtection="0"/>
    <xf numFmtId="0" fontId="49" fillId="10" borderId="128" applyNumberFormat="0" applyFont="0" applyAlignment="0" applyProtection="0"/>
    <xf numFmtId="0" fontId="31" fillId="0" borderId="130" applyNumberFormat="0" applyFill="0" applyAlignment="0" applyProtection="0"/>
    <xf numFmtId="0" fontId="31" fillId="0" borderId="132" applyNumberFormat="0" applyFill="0" applyAlignment="0" applyProtection="0"/>
    <xf numFmtId="0" fontId="31" fillId="0" borderId="137" applyNumberFormat="0" applyFill="0" applyAlignment="0" applyProtection="0"/>
    <xf numFmtId="0" fontId="31" fillId="0" borderId="132" applyNumberFormat="0" applyFill="0" applyAlignment="0" applyProtection="0"/>
    <xf numFmtId="0" fontId="28" fillId="10" borderId="195" applyNumberFormat="0" applyFont="0" applyAlignment="0" applyProtection="0"/>
    <xf numFmtId="0" fontId="84" fillId="0" borderId="180"/>
    <xf numFmtId="0" fontId="72" fillId="0" borderId="201" applyBorder="0">
      <alignment horizontal="center" vertical="center" wrapText="1"/>
    </xf>
    <xf numFmtId="0" fontId="24" fillId="24" borderId="196" applyNumberFormat="0" applyAlignment="0" applyProtection="0"/>
    <xf numFmtId="0" fontId="24" fillId="24" borderId="196" applyNumberFormat="0" applyAlignment="0" applyProtection="0"/>
    <xf numFmtId="0" fontId="31" fillId="0" borderId="158" applyNumberFormat="0" applyFill="0" applyAlignment="0" applyProtection="0"/>
    <xf numFmtId="0" fontId="31" fillId="0" borderId="185" applyNumberFormat="0" applyFill="0" applyAlignment="0" applyProtection="0"/>
    <xf numFmtId="0" fontId="25" fillId="13" borderId="194" applyNumberFormat="0" applyAlignment="0" applyProtection="0"/>
    <xf numFmtId="0" fontId="72" fillId="0" borderId="164" applyBorder="0">
      <alignment horizontal="center" vertical="center" wrapText="1"/>
    </xf>
    <xf numFmtId="0" fontId="24" fillId="24" borderId="189" applyNumberFormat="0" applyAlignment="0" applyProtection="0"/>
    <xf numFmtId="0" fontId="25" fillId="13" borderId="160" applyNumberFormat="0" applyAlignment="0" applyProtection="0"/>
    <xf numFmtId="0" fontId="72" fillId="0" borderId="141" applyBorder="0">
      <alignment horizontal="center" vertical="center" wrapText="1"/>
    </xf>
    <xf numFmtId="0" fontId="72" fillId="0" borderId="141" applyBorder="0">
      <alignment horizontal="center" vertical="center" wrapText="1"/>
    </xf>
    <xf numFmtId="0" fontId="72" fillId="0" borderId="141" applyBorder="0">
      <alignment horizontal="center" vertical="center" wrapText="1"/>
    </xf>
    <xf numFmtId="0" fontId="72" fillId="0" borderId="141" applyBorder="0">
      <alignment horizontal="center" vertical="center" wrapText="1"/>
    </xf>
    <xf numFmtId="0" fontId="72" fillId="0" borderId="141" applyBorder="0">
      <alignment horizontal="center" vertical="center" wrapText="1"/>
    </xf>
    <xf numFmtId="0" fontId="72" fillId="0" borderId="141" applyBorder="0">
      <alignment horizontal="center" vertical="center" wrapText="1"/>
    </xf>
    <xf numFmtId="0" fontId="72" fillId="0" borderId="141" applyBorder="0">
      <alignment horizontal="center" vertical="center" wrapText="1"/>
    </xf>
    <xf numFmtId="0" fontId="72" fillId="0" borderId="141" applyBorder="0">
      <alignment horizontal="center" vertical="center" wrapText="1"/>
    </xf>
    <xf numFmtId="0" fontId="72" fillId="0" borderId="141" applyBorder="0">
      <alignment horizontal="center" vertical="center" wrapText="1"/>
    </xf>
    <xf numFmtId="0" fontId="72" fillId="0" borderId="141" applyBorder="0">
      <alignment horizontal="center" vertical="center" wrapText="1"/>
    </xf>
    <xf numFmtId="0" fontId="72" fillId="0" borderId="141" applyBorder="0">
      <alignment horizontal="center" vertical="center" wrapText="1"/>
    </xf>
    <xf numFmtId="0" fontId="72" fillId="0" borderId="141" applyBorder="0">
      <alignment horizontal="center" vertical="center" wrapText="1"/>
    </xf>
    <xf numFmtId="0" fontId="72" fillId="0" borderId="141" applyBorder="0">
      <alignment horizontal="center" vertical="center" wrapText="1"/>
    </xf>
    <xf numFmtId="0" fontId="72" fillId="0" borderId="141" applyBorder="0">
      <alignment horizontal="center" vertical="center" wrapText="1"/>
    </xf>
    <xf numFmtId="0" fontId="72" fillId="0" borderId="141" applyBorder="0">
      <alignment horizontal="center" vertical="center" wrapText="1"/>
    </xf>
    <xf numFmtId="0" fontId="72" fillId="0" borderId="141" applyBorder="0">
      <alignment horizontal="center" vertical="center" wrapText="1"/>
    </xf>
    <xf numFmtId="0" fontId="72" fillId="0" borderId="141" applyBorder="0">
      <alignment horizontal="center" vertical="center" wrapText="1"/>
    </xf>
    <xf numFmtId="0" fontId="72" fillId="0" borderId="141" applyBorder="0">
      <alignment horizontal="center" vertical="center" wrapText="1"/>
    </xf>
    <xf numFmtId="0" fontId="72" fillId="0" borderId="141" applyBorder="0">
      <alignment horizontal="center" vertical="center" wrapText="1"/>
    </xf>
    <xf numFmtId="0" fontId="72" fillId="0" borderId="141" applyBorder="0">
      <alignment horizontal="center" vertical="center" wrapText="1"/>
    </xf>
    <xf numFmtId="0" fontId="72" fillId="0" borderId="141" applyBorder="0">
      <alignment horizontal="center" vertical="center" wrapText="1"/>
    </xf>
    <xf numFmtId="0" fontId="72" fillId="0" borderId="141" applyBorder="0">
      <alignment horizontal="center" vertical="center" wrapText="1"/>
    </xf>
    <xf numFmtId="0" fontId="72" fillId="0" borderId="141" applyBorder="0">
      <alignment horizontal="center" vertical="center" wrapText="1"/>
    </xf>
    <xf numFmtId="0" fontId="72" fillId="0" borderId="141" applyBorder="0">
      <alignment horizontal="center" vertical="center" wrapText="1"/>
    </xf>
    <xf numFmtId="0" fontId="72" fillId="0" borderId="141" applyBorder="0">
      <alignment horizontal="center" vertical="center" wrapText="1"/>
    </xf>
    <xf numFmtId="0" fontId="72" fillId="0" borderId="141" applyBorder="0">
      <alignment horizontal="center" vertical="center" wrapText="1"/>
    </xf>
    <xf numFmtId="0" fontId="72" fillId="0" borderId="141" applyBorder="0">
      <alignment horizontal="center" vertical="center" wrapText="1"/>
    </xf>
    <xf numFmtId="0" fontId="72" fillId="0" borderId="141" applyBorder="0">
      <alignment horizontal="center" vertical="center" wrapText="1"/>
    </xf>
    <xf numFmtId="0" fontId="72" fillId="0" borderId="141" applyBorder="0">
      <alignment horizontal="center" vertical="center" wrapText="1"/>
    </xf>
    <xf numFmtId="0" fontId="72" fillId="0" borderId="141" applyBorder="0">
      <alignment horizontal="center" vertical="center" wrapText="1"/>
    </xf>
    <xf numFmtId="0" fontId="48" fillId="24" borderId="153" applyNumberFormat="0" applyAlignment="0" applyProtection="0"/>
    <xf numFmtId="0" fontId="48" fillId="24" borderId="153" applyNumberFormat="0" applyAlignment="0" applyProtection="0"/>
    <xf numFmtId="0" fontId="48" fillId="24" borderId="153" applyNumberFormat="0" applyAlignment="0" applyProtection="0"/>
    <xf numFmtId="0" fontId="48" fillId="24" borderId="153" applyNumberFormat="0" applyAlignment="0" applyProtection="0"/>
    <xf numFmtId="0" fontId="48" fillId="24" borderId="153" applyNumberFormat="0" applyAlignment="0" applyProtection="0"/>
    <xf numFmtId="0" fontId="48" fillId="24" borderId="153" applyNumberFormat="0" applyAlignment="0" applyProtection="0"/>
    <xf numFmtId="0" fontId="48" fillId="24" borderId="153" applyNumberFormat="0" applyAlignment="0" applyProtection="0"/>
    <xf numFmtId="0" fontId="48" fillId="24" borderId="153" applyNumberFormat="0" applyAlignment="0" applyProtection="0"/>
    <xf numFmtId="0" fontId="48" fillId="24" borderId="153" applyNumberFormat="0" applyAlignment="0" applyProtection="0"/>
    <xf numFmtId="0" fontId="48" fillId="24" borderId="153" applyNumberFormat="0" applyAlignment="0" applyProtection="0"/>
    <xf numFmtId="0" fontId="48" fillId="24" borderId="153" applyNumberFormat="0" applyAlignment="0" applyProtection="0"/>
    <xf numFmtId="0" fontId="48" fillId="24" borderId="153" applyNumberFormat="0" applyAlignment="0" applyProtection="0"/>
    <xf numFmtId="0" fontId="48" fillId="24" borderId="153" applyNumberFormat="0" applyAlignment="0" applyProtection="0"/>
    <xf numFmtId="0" fontId="48" fillId="24" borderId="153" applyNumberFormat="0" applyAlignment="0" applyProtection="0"/>
    <xf numFmtId="0" fontId="48" fillId="24" borderId="153" applyNumberFormat="0" applyAlignment="0" applyProtection="0"/>
    <xf numFmtId="0" fontId="48" fillId="24" borderId="153" applyNumberFormat="0" applyAlignment="0" applyProtection="0"/>
    <xf numFmtId="0" fontId="48" fillId="24" borderId="153" applyNumberFormat="0" applyAlignment="0" applyProtection="0"/>
    <xf numFmtId="0" fontId="48" fillId="24" borderId="153" applyNumberFormat="0" applyAlignment="0" applyProtection="0"/>
    <xf numFmtId="0" fontId="48" fillId="24" borderId="153" applyNumberFormat="0" applyAlignment="0" applyProtection="0"/>
    <xf numFmtId="0" fontId="48" fillId="24" borderId="153" applyNumberFormat="0" applyAlignment="0" applyProtection="0"/>
    <xf numFmtId="0" fontId="48" fillId="24" borderId="153" applyNumberFormat="0" applyAlignment="0" applyProtection="0"/>
    <xf numFmtId="0" fontId="48" fillId="24" borderId="153" applyNumberFormat="0" applyAlignment="0" applyProtection="0"/>
    <xf numFmtId="0" fontId="48" fillId="24" borderId="153" applyNumberFormat="0" applyAlignment="0" applyProtection="0"/>
    <xf numFmtId="0" fontId="48" fillId="24" borderId="153" applyNumberFormat="0" applyAlignment="0" applyProtection="0"/>
    <xf numFmtId="0" fontId="48" fillId="24" borderId="153" applyNumberFormat="0" applyAlignment="0" applyProtection="0"/>
    <xf numFmtId="0" fontId="48" fillId="24" borderId="153" applyNumberFormat="0" applyAlignment="0" applyProtection="0"/>
    <xf numFmtId="0" fontId="48" fillId="24" borderId="153" applyNumberFormat="0" applyAlignment="0" applyProtection="0"/>
    <xf numFmtId="0" fontId="48" fillId="24" borderId="153" applyNumberFormat="0" applyAlignment="0" applyProtection="0"/>
    <xf numFmtId="0" fontId="48" fillId="24" borderId="153" applyNumberFormat="0" applyAlignment="0" applyProtection="0"/>
    <xf numFmtId="0" fontId="48" fillId="24" borderId="153" applyNumberFormat="0" applyAlignment="0" applyProtection="0"/>
    <xf numFmtId="0" fontId="48" fillId="24" borderId="153" applyNumberFormat="0" applyAlignment="0" applyProtection="0"/>
    <xf numFmtId="0" fontId="48" fillId="24" borderId="153" applyNumberFormat="0" applyAlignment="0" applyProtection="0"/>
    <xf numFmtId="0" fontId="48" fillId="24" borderId="153" applyNumberFormat="0" applyAlignment="0" applyProtection="0"/>
    <xf numFmtId="0" fontId="48" fillId="24" borderId="153" applyNumberFormat="0" applyAlignment="0" applyProtection="0"/>
    <xf numFmtId="0" fontId="48" fillId="24" borderId="153" applyNumberFormat="0" applyAlignment="0" applyProtection="0"/>
    <xf numFmtId="0" fontId="48" fillId="24" borderId="153" applyNumberFormat="0" applyAlignment="0" applyProtection="0"/>
    <xf numFmtId="0" fontId="48" fillId="24" borderId="153" applyNumberFormat="0" applyAlignment="0" applyProtection="0"/>
    <xf numFmtId="0" fontId="48" fillId="24" borderId="153" applyNumberFormat="0" applyAlignment="0" applyProtection="0"/>
    <xf numFmtId="0" fontId="48" fillId="24" borderId="153" applyNumberFormat="0" applyAlignment="0" applyProtection="0"/>
    <xf numFmtId="0" fontId="48" fillId="24" borderId="153" applyNumberFormat="0" applyAlignment="0" applyProtection="0"/>
    <xf numFmtId="0" fontId="48" fillId="24" borderId="153" applyNumberFormat="0" applyAlignment="0" applyProtection="0"/>
    <xf numFmtId="0" fontId="48" fillId="24" borderId="153" applyNumberFormat="0" applyAlignment="0" applyProtection="0"/>
    <xf numFmtId="0" fontId="48" fillId="24" borderId="153" applyNumberFormat="0" applyAlignment="0" applyProtection="0"/>
    <xf numFmtId="0" fontId="48" fillId="24" borderId="153" applyNumberFormat="0" applyAlignment="0" applyProtection="0"/>
    <xf numFmtId="0" fontId="48" fillId="24" borderId="153" applyNumberFormat="0" applyAlignment="0" applyProtection="0"/>
    <xf numFmtId="0" fontId="48" fillId="24" borderId="153" applyNumberFormat="0" applyAlignment="0" applyProtection="0"/>
    <xf numFmtId="0" fontId="48" fillId="24" borderId="153" applyNumberFormat="0" applyAlignment="0" applyProtection="0"/>
    <xf numFmtId="0" fontId="48" fillId="24" borderId="153" applyNumberFormat="0" applyAlignment="0" applyProtection="0"/>
    <xf numFmtId="0" fontId="48" fillId="24" borderId="153" applyNumberFormat="0" applyAlignment="0" applyProtection="0"/>
    <xf numFmtId="0" fontId="48" fillId="24" borderId="153" applyNumberFormat="0" applyAlignment="0" applyProtection="0"/>
    <xf numFmtId="0" fontId="48" fillId="24" borderId="153" applyNumberFormat="0" applyAlignment="0" applyProtection="0"/>
    <xf numFmtId="0" fontId="48" fillId="24" borderId="153" applyNumberFormat="0" applyAlignment="0" applyProtection="0"/>
    <xf numFmtId="0" fontId="48" fillId="24" borderId="153" applyNumberFormat="0" applyAlignment="0" applyProtection="0"/>
    <xf numFmtId="0" fontId="48" fillId="24" borderId="153" applyNumberFormat="0" applyAlignment="0" applyProtection="0"/>
    <xf numFmtId="0" fontId="48" fillId="24" borderId="153" applyNumberFormat="0" applyAlignment="0" applyProtection="0"/>
    <xf numFmtId="0" fontId="48" fillId="24" borderId="153" applyNumberFormat="0" applyAlignment="0" applyProtection="0"/>
    <xf numFmtId="0" fontId="48" fillId="24" borderId="153" applyNumberFormat="0" applyAlignment="0" applyProtection="0"/>
    <xf numFmtId="0" fontId="48" fillId="24" borderId="153" applyNumberFormat="0" applyAlignment="0" applyProtection="0"/>
    <xf numFmtId="0" fontId="48" fillId="24" borderId="153" applyNumberFormat="0" applyAlignment="0" applyProtection="0"/>
    <xf numFmtId="0" fontId="48" fillId="24" borderId="153" applyNumberFormat="0" applyAlignment="0" applyProtection="0"/>
    <xf numFmtId="0" fontId="48" fillId="24" borderId="153" applyNumberFormat="0" applyAlignment="0" applyProtection="0"/>
    <xf numFmtId="0" fontId="48" fillId="24" borderId="153" applyNumberFormat="0" applyAlignment="0" applyProtection="0"/>
    <xf numFmtId="0" fontId="48" fillId="24" borderId="153" applyNumberFormat="0" applyAlignment="0" applyProtection="0"/>
    <xf numFmtId="0" fontId="48" fillId="24" borderId="153" applyNumberFormat="0" applyAlignment="0" applyProtection="0"/>
    <xf numFmtId="0" fontId="48" fillId="24" borderId="153" applyNumberFormat="0" applyAlignment="0" applyProtection="0"/>
    <xf numFmtId="0" fontId="48" fillId="24" borderId="153" applyNumberFormat="0" applyAlignment="0" applyProtection="0"/>
    <xf numFmtId="0" fontId="48" fillId="24" borderId="153" applyNumberFormat="0" applyAlignment="0" applyProtection="0"/>
    <xf numFmtId="0" fontId="48" fillId="24" borderId="153" applyNumberFormat="0" applyAlignment="0" applyProtection="0"/>
    <xf numFmtId="0" fontId="48" fillId="24" borderId="153" applyNumberFormat="0" applyAlignment="0" applyProtection="0"/>
    <xf numFmtId="0" fontId="48" fillId="24" borderId="153" applyNumberFormat="0" applyAlignment="0" applyProtection="0"/>
    <xf numFmtId="0" fontId="48" fillId="24" borderId="153" applyNumberFormat="0" applyAlignment="0" applyProtection="0"/>
    <xf numFmtId="0" fontId="48" fillId="24" borderId="153" applyNumberFormat="0" applyAlignment="0" applyProtection="0"/>
    <xf numFmtId="0" fontId="48" fillId="24" borderId="153" applyNumberFormat="0" applyAlignment="0" applyProtection="0"/>
    <xf numFmtId="0" fontId="48" fillId="24" borderId="153" applyNumberFormat="0" applyAlignment="0" applyProtection="0"/>
    <xf numFmtId="0" fontId="48" fillId="24" borderId="153" applyNumberFormat="0" applyAlignment="0" applyProtection="0"/>
    <xf numFmtId="0" fontId="48" fillId="24" borderId="153" applyNumberFormat="0" applyAlignment="0" applyProtection="0"/>
    <xf numFmtId="0" fontId="48" fillId="24" borderId="153" applyNumberFormat="0" applyAlignment="0" applyProtection="0"/>
    <xf numFmtId="0" fontId="48" fillId="24" borderId="153" applyNumberFormat="0" applyAlignment="0" applyProtection="0"/>
    <xf numFmtId="0" fontId="32" fillId="24" borderId="153" applyNumberFormat="0" applyAlignment="0" applyProtection="0"/>
    <xf numFmtId="0" fontId="32" fillId="24" borderId="153" applyNumberFormat="0" applyAlignment="0" applyProtection="0"/>
    <xf numFmtId="0" fontId="32" fillId="24" borderId="153" applyNumberFormat="0" applyAlignment="0" applyProtection="0"/>
    <xf numFmtId="0" fontId="32" fillId="24" borderId="153" applyNumberFormat="0" applyAlignment="0" applyProtection="0"/>
    <xf numFmtId="0" fontId="32" fillId="24" borderId="153" applyNumberFormat="0" applyAlignment="0" applyProtection="0"/>
    <xf numFmtId="0" fontId="32" fillId="24" borderId="153" applyNumberFormat="0" applyAlignment="0" applyProtection="0"/>
    <xf numFmtId="0" fontId="32" fillId="24" borderId="153" applyNumberFormat="0" applyAlignment="0" applyProtection="0"/>
    <xf numFmtId="0" fontId="32" fillId="24" borderId="153" applyNumberFormat="0" applyAlignment="0" applyProtection="0"/>
    <xf numFmtId="0" fontId="32" fillId="24" borderId="153" applyNumberFormat="0" applyAlignment="0" applyProtection="0"/>
    <xf numFmtId="0" fontId="32" fillId="24" borderId="153" applyNumberFormat="0" applyAlignment="0" applyProtection="0"/>
    <xf numFmtId="0" fontId="32" fillId="24" borderId="153" applyNumberFormat="0" applyAlignment="0" applyProtection="0"/>
    <xf numFmtId="0" fontId="32" fillId="24" borderId="153" applyNumberFormat="0" applyAlignment="0" applyProtection="0"/>
    <xf numFmtId="0" fontId="32" fillId="24" borderId="153" applyNumberFormat="0" applyAlignment="0" applyProtection="0"/>
    <xf numFmtId="0" fontId="32" fillId="24" borderId="153" applyNumberFormat="0" applyAlignment="0" applyProtection="0"/>
    <xf numFmtId="0" fontId="32" fillId="24" borderId="153" applyNumberFormat="0" applyAlignment="0" applyProtection="0"/>
    <xf numFmtId="0" fontId="32" fillId="24" borderId="153" applyNumberFormat="0" applyAlignment="0" applyProtection="0"/>
    <xf numFmtId="0" fontId="32" fillId="24" borderId="153" applyNumberFormat="0" applyAlignment="0" applyProtection="0"/>
    <xf numFmtId="0" fontId="32" fillId="24" borderId="153" applyNumberFormat="0" applyAlignment="0" applyProtection="0"/>
    <xf numFmtId="0" fontId="32" fillId="24" borderId="153" applyNumberFormat="0" applyAlignment="0" applyProtection="0"/>
    <xf numFmtId="0" fontId="32" fillId="24" borderId="153" applyNumberFormat="0" applyAlignment="0" applyProtection="0"/>
    <xf numFmtId="0" fontId="32" fillId="24" borderId="153" applyNumberFormat="0" applyAlignment="0" applyProtection="0"/>
    <xf numFmtId="0" fontId="32" fillId="24" borderId="153" applyNumberFormat="0" applyAlignment="0" applyProtection="0"/>
    <xf numFmtId="0" fontId="32" fillId="24" borderId="153" applyNumberFormat="0" applyAlignment="0" applyProtection="0"/>
    <xf numFmtId="0" fontId="32" fillId="24" borderId="153" applyNumberFormat="0" applyAlignment="0" applyProtection="0"/>
    <xf numFmtId="0" fontId="32" fillId="24" borderId="153" applyNumberFormat="0" applyAlignment="0" applyProtection="0"/>
    <xf numFmtId="0" fontId="32" fillId="24" borderId="153" applyNumberFormat="0" applyAlignment="0" applyProtection="0"/>
    <xf numFmtId="0" fontId="32" fillId="24" borderId="153" applyNumberFormat="0" applyAlignment="0" applyProtection="0"/>
    <xf numFmtId="0" fontId="32" fillId="24" borderId="153" applyNumberFormat="0" applyAlignment="0" applyProtection="0"/>
    <xf numFmtId="0" fontId="32" fillId="24" borderId="153" applyNumberFormat="0" applyAlignment="0" applyProtection="0"/>
    <xf numFmtId="0" fontId="32" fillId="24" borderId="153" applyNumberFormat="0" applyAlignment="0" applyProtection="0"/>
    <xf numFmtId="0" fontId="32" fillId="24" borderId="153" applyNumberFormat="0" applyAlignment="0" applyProtection="0"/>
    <xf numFmtId="0" fontId="32" fillId="24" borderId="153" applyNumberFormat="0" applyAlignment="0" applyProtection="0"/>
    <xf numFmtId="0" fontId="32" fillId="24" borderId="153" applyNumberFormat="0" applyAlignment="0" applyProtection="0"/>
    <xf numFmtId="0" fontId="32" fillId="24" borderId="153" applyNumberFormat="0" applyAlignment="0" applyProtection="0"/>
    <xf numFmtId="0" fontId="32" fillId="24" borderId="153" applyNumberFormat="0" applyAlignment="0" applyProtection="0"/>
    <xf numFmtId="0" fontId="32" fillId="24" borderId="153" applyNumberFormat="0" applyAlignment="0" applyProtection="0"/>
    <xf numFmtId="0" fontId="32" fillId="24" borderId="153" applyNumberFormat="0" applyAlignment="0" applyProtection="0"/>
    <xf numFmtId="0" fontId="32" fillId="24" borderId="153" applyNumberFormat="0" applyAlignment="0" applyProtection="0"/>
    <xf numFmtId="0" fontId="32" fillId="24" borderId="153" applyNumberFormat="0" applyAlignment="0" applyProtection="0"/>
    <xf numFmtId="0" fontId="32" fillId="24" borderId="153" applyNumberFormat="0" applyAlignment="0" applyProtection="0"/>
    <xf numFmtId="0" fontId="32" fillId="24" borderId="153" applyNumberFormat="0" applyAlignment="0" applyProtection="0"/>
    <xf numFmtId="0" fontId="32" fillId="24" borderId="153" applyNumberFormat="0" applyAlignment="0" applyProtection="0"/>
    <xf numFmtId="0" fontId="32" fillId="24" borderId="153" applyNumberFormat="0" applyAlignment="0" applyProtection="0"/>
    <xf numFmtId="0" fontId="32" fillId="24" borderId="153" applyNumberFormat="0" applyAlignment="0" applyProtection="0"/>
    <xf numFmtId="0" fontId="32" fillId="24" borderId="153" applyNumberFormat="0" applyAlignment="0" applyProtection="0"/>
    <xf numFmtId="0" fontId="32" fillId="24" borderId="153" applyNumberFormat="0" applyAlignment="0" applyProtection="0"/>
    <xf numFmtId="0" fontId="32" fillId="24" borderId="153" applyNumberFormat="0" applyAlignment="0" applyProtection="0"/>
    <xf numFmtId="0" fontId="32" fillId="24" borderId="153" applyNumberFormat="0" applyAlignment="0" applyProtection="0"/>
    <xf numFmtId="0" fontId="32" fillId="24" borderId="153" applyNumberFormat="0" applyAlignment="0" applyProtection="0"/>
    <xf numFmtId="0" fontId="16" fillId="24" borderId="153" applyNumberFormat="0" applyAlignment="0" applyProtection="0"/>
    <xf numFmtId="0" fontId="16" fillId="24" borderId="153" applyNumberFormat="0" applyAlignment="0" applyProtection="0"/>
    <xf numFmtId="0" fontId="16" fillId="24" borderId="153" applyNumberFormat="0" applyAlignment="0" applyProtection="0"/>
    <xf numFmtId="0" fontId="16" fillId="24" borderId="153" applyNumberFormat="0" applyAlignment="0" applyProtection="0"/>
    <xf numFmtId="0" fontId="16" fillId="24" borderId="153" applyNumberFormat="0" applyAlignment="0" applyProtection="0"/>
    <xf numFmtId="0" fontId="16" fillId="24" borderId="153" applyNumberFormat="0" applyAlignment="0" applyProtection="0"/>
    <xf numFmtId="0" fontId="16" fillId="24" borderId="153" applyNumberFormat="0" applyAlignment="0" applyProtection="0"/>
    <xf numFmtId="0" fontId="16" fillId="24" borderId="153" applyNumberFormat="0" applyAlignment="0" applyProtection="0"/>
    <xf numFmtId="0" fontId="16" fillId="24" borderId="153" applyNumberFormat="0" applyAlignment="0" applyProtection="0"/>
    <xf numFmtId="0" fontId="16" fillId="24" borderId="153" applyNumberFormat="0" applyAlignment="0" applyProtection="0"/>
    <xf numFmtId="0" fontId="16" fillId="24" borderId="153" applyNumberFormat="0" applyAlignment="0" applyProtection="0"/>
    <xf numFmtId="0" fontId="16" fillId="24" borderId="153" applyNumberFormat="0" applyAlignment="0" applyProtection="0"/>
    <xf numFmtId="0" fontId="16" fillId="24" borderId="153" applyNumberFormat="0" applyAlignment="0" applyProtection="0"/>
    <xf numFmtId="0" fontId="16" fillId="24" borderId="153" applyNumberFormat="0" applyAlignment="0" applyProtection="0"/>
    <xf numFmtId="0" fontId="16" fillId="24" borderId="153" applyNumberFormat="0" applyAlignment="0" applyProtection="0"/>
    <xf numFmtId="0" fontId="16" fillId="24" borderId="153" applyNumberFormat="0" applyAlignment="0" applyProtection="0"/>
    <xf numFmtId="0" fontId="16" fillId="24" borderId="153" applyNumberFormat="0" applyAlignment="0" applyProtection="0"/>
    <xf numFmtId="0" fontId="16" fillId="24" borderId="153" applyNumberFormat="0" applyAlignment="0" applyProtection="0"/>
    <xf numFmtId="0" fontId="16" fillId="24" borderId="153" applyNumberFormat="0" applyAlignment="0" applyProtection="0"/>
    <xf numFmtId="0" fontId="16" fillId="24" borderId="153" applyNumberFormat="0" applyAlignment="0" applyProtection="0"/>
    <xf numFmtId="0" fontId="16" fillId="24" borderId="153" applyNumberFormat="0" applyAlignment="0" applyProtection="0"/>
    <xf numFmtId="0" fontId="16" fillId="24" borderId="153" applyNumberFormat="0" applyAlignment="0" applyProtection="0"/>
    <xf numFmtId="0" fontId="16" fillId="24" borderId="153" applyNumberFormat="0" applyAlignment="0" applyProtection="0"/>
    <xf numFmtId="0" fontId="16" fillId="24" borderId="153" applyNumberFormat="0" applyAlignment="0" applyProtection="0"/>
    <xf numFmtId="0" fontId="16" fillId="24" borderId="153" applyNumberFormat="0" applyAlignment="0" applyProtection="0"/>
    <xf numFmtId="0" fontId="16" fillId="24" borderId="153" applyNumberFormat="0" applyAlignment="0" applyProtection="0"/>
    <xf numFmtId="0" fontId="16" fillId="24" borderId="153" applyNumberFormat="0" applyAlignment="0" applyProtection="0"/>
    <xf numFmtId="0" fontId="16" fillId="24" borderId="153" applyNumberFormat="0" applyAlignment="0" applyProtection="0"/>
    <xf numFmtId="0" fontId="16" fillId="24" borderId="153" applyNumberFormat="0" applyAlignment="0" applyProtection="0"/>
    <xf numFmtId="0" fontId="16" fillId="24" borderId="153" applyNumberFormat="0" applyAlignment="0" applyProtection="0"/>
    <xf numFmtId="0" fontId="16" fillId="24" borderId="153" applyNumberFormat="0" applyAlignment="0" applyProtection="0"/>
    <xf numFmtId="0" fontId="16" fillId="24" borderId="153" applyNumberFormat="0" applyAlignment="0" applyProtection="0"/>
    <xf numFmtId="0" fontId="16" fillId="24" borderId="153" applyNumberFormat="0" applyAlignment="0" applyProtection="0"/>
    <xf numFmtId="0" fontId="16" fillId="24" borderId="153" applyNumberFormat="0" applyAlignment="0" applyProtection="0"/>
    <xf numFmtId="0" fontId="16" fillId="24" borderId="153" applyNumberFormat="0" applyAlignment="0" applyProtection="0"/>
    <xf numFmtId="0" fontId="16" fillId="24" borderId="153" applyNumberFormat="0" applyAlignment="0" applyProtection="0"/>
    <xf numFmtId="0" fontId="16" fillId="24" borderId="153" applyNumberFormat="0" applyAlignment="0" applyProtection="0"/>
    <xf numFmtId="0" fontId="16" fillId="24" borderId="153" applyNumberFormat="0" applyAlignment="0" applyProtection="0"/>
    <xf numFmtId="0" fontId="16" fillId="24" borderId="153" applyNumberFormat="0" applyAlignment="0" applyProtection="0"/>
    <xf numFmtId="0" fontId="16" fillId="24" borderId="153" applyNumberFormat="0" applyAlignment="0" applyProtection="0"/>
    <xf numFmtId="0" fontId="16" fillId="24" borderId="153" applyNumberFormat="0" applyAlignment="0" applyProtection="0"/>
    <xf numFmtId="0" fontId="16" fillId="24" borderId="153" applyNumberFormat="0" applyAlignment="0" applyProtection="0"/>
    <xf numFmtId="0" fontId="16" fillId="24" borderId="153" applyNumberFormat="0" applyAlignment="0" applyProtection="0"/>
    <xf numFmtId="0" fontId="16" fillId="24" borderId="153" applyNumberFormat="0" applyAlignment="0" applyProtection="0"/>
    <xf numFmtId="0" fontId="16" fillId="24" borderId="153" applyNumberFormat="0" applyAlignment="0" applyProtection="0"/>
    <xf numFmtId="0" fontId="16" fillId="24" borderId="153" applyNumberFormat="0" applyAlignment="0" applyProtection="0"/>
    <xf numFmtId="0" fontId="16" fillId="24" borderId="153" applyNumberFormat="0" applyAlignment="0" applyProtection="0"/>
    <xf numFmtId="0" fontId="16" fillId="24" borderId="153" applyNumberFormat="0" applyAlignment="0" applyProtection="0"/>
    <xf numFmtId="0" fontId="16" fillId="24" borderId="153" applyNumberFormat="0" applyAlignment="0" applyProtection="0"/>
    <xf numFmtId="0" fontId="48" fillId="24" borderId="153" applyNumberFormat="0" applyAlignment="0" applyProtection="0"/>
    <xf numFmtId="0" fontId="48" fillId="24" borderId="153" applyNumberFormat="0" applyAlignment="0" applyProtection="0"/>
    <xf numFmtId="0" fontId="48" fillId="24" borderId="153" applyNumberFormat="0" applyAlignment="0" applyProtection="0"/>
    <xf numFmtId="0" fontId="48" fillId="24" borderId="153" applyNumberFormat="0" applyAlignment="0" applyProtection="0"/>
    <xf numFmtId="0" fontId="48" fillId="24" borderId="153" applyNumberFormat="0" applyAlignment="0" applyProtection="0"/>
    <xf numFmtId="0" fontId="48" fillId="24" borderId="153" applyNumberFormat="0" applyAlignment="0" applyProtection="0"/>
    <xf numFmtId="0" fontId="48" fillId="24" borderId="153" applyNumberFormat="0" applyAlignment="0" applyProtection="0"/>
    <xf numFmtId="0" fontId="48" fillId="24" borderId="153" applyNumberFormat="0" applyAlignment="0" applyProtection="0"/>
    <xf numFmtId="0" fontId="48" fillId="24" borderId="153" applyNumberFormat="0" applyAlignment="0" applyProtection="0"/>
    <xf numFmtId="0" fontId="48" fillId="24" borderId="153" applyNumberFormat="0" applyAlignment="0" applyProtection="0"/>
    <xf numFmtId="0" fontId="48" fillId="24" borderId="153" applyNumberFormat="0" applyAlignment="0" applyProtection="0"/>
    <xf numFmtId="0" fontId="48" fillId="24" borderId="153" applyNumberFormat="0" applyAlignment="0" applyProtection="0"/>
    <xf numFmtId="0" fontId="48" fillId="24" borderId="153" applyNumberFormat="0" applyAlignment="0" applyProtection="0"/>
    <xf numFmtId="0" fontId="48" fillId="24" borderId="153" applyNumberFormat="0" applyAlignment="0" applyProtection="0"/>
    <xf numFmtId="0" fontId="48" fillId="24" borderId="153" applyNumberFormat="0" applyAlignment="0" applyProtection="0"/>
    <xf numFmtId="0" fontId="48" fillId="24" borderId="153" applyNumberFormat="0" applyAlignment="0" applyProtection="0"/>
    <xf numFmtId="0" fontId="48" fillId="24" borderId="153" applyNumberFormat="0" applyAlignment="0" applyProtection="0"/>
    <xf numFmtId="0" fontId="48" fillId="24" borderId="153" applyNumberFormat="0" applyAlignment="0" applyProtection="0"/>
    <xf numFmtId="0" fontId="48" fillId="24" borderId="153" applyNumberFormat="0" applyAlignment="0" applyProtection="0"/>
    <xf numFmtId="0" fontId="48" fillId="24" borderId="153" applyNumberFormat="0" applyAlignment="0" applyProtection="0"/>
    <xf numFmtId="0" fontId="48" fillId="24" borderId="153" applyNumberFormat="0" applyAlignment="0" applyProtection="0"/>
    <xf numFmtId="0" fontId="48" fillId="24" borderId="153" applyNumberFormat="0" applyAlignment="0" applyProtection="0"/>
    <xf numFmtId="0" fontId="48" fillId="24" borderId="153" applyNumberFormat="0" applyAlignment="0" applyProtection="0"/>
    <xf numFmtId="0" fontId="48" fillId="24" borderId="153" applyNumberFormat="0" applyAlignment="0" applyProtection="0"/>
    <xf numFmtId="0" fontId="48" fillId="24" borderId="153" applyNumberFormat="0" applyAlignment="0" applyProtection="0"/>
    <xf numFmtId="0" fontId="48" fillId="24" borderId="153" applyNumberFormat="0" applyAlignment="0" applyProtection="0"/>
    <xf numFmtId="0" fontId="48" fillId="24" borderId="153" applyNumberFormat="0" applyAlignment="0" applyProtection="0"/>
    <xf numFmtId="0" fontId="48" fillId="24" borderId="153" applyNumberFormat="0" applyAlignment="0" applyProtection="0"/>
    <xf numFmtId="0" fontId="48" fillId="24" borderId="153" applyNumberFormat="0" applyAlignment="0" applyProtection="0"/>
    <xf numFmtId="0" fontId="48" fillId="24" borderId="153" applyNumberFormat="0" applyAlignment="0" applyProtection="0"/>
    <xf numFmtId="0" fontId="48" fillId="24" borderId="153" applyNumberFormat="0" applyAlignment="0" applyProtection="0"/>
    <xf numFmtId="0" fontId="48" fillId="24" borderId="153" applyNumberFormat="0" applyAlignment="0" applyProtection="0"/>
    <xf numFmtId="0" fontId="48" fillId="24" borderId="153" applyNumberFormat="0" applyAlignment="0" applyProtection="0"/>
    <xf numFmtId="0" fontId="48" fillId="24" borderId="153" applyNumberFormat="0" applyAlignment="0" applyProtection="0"/>
    <xf numFmtId="0" fontId="48" fillId="24" borderId="153" applyNumberFormat="0" applyAlignment="0" applyProtection="0"/>
    <xf numFmtId="0" fontId="48" fillId="24" borderId="153" applyNumberFormat="0" applyAlignment="0" applyProtection="0"/>
    <xf numFmtId="0" fontId="48" fillId="24" borderId="153" applyNumberFormat="0" applyAlignment="0" applyProtection="0"/>
    <xf numFmtId="0" fontId="48" fillId="24" borderId="153" applyNumberFormat="0" applyAlignment="0" applyProtection="0"/>
    <xf numFmtId="0" fontId="48" fillId="24" borderId="153" applyNumberFormat="0" applyAlignment="0" applyProtection="0"/>
    <xf numFmtId="0" fontId="48" fillId="24" borderId="153" applyNumberFormat="0" applyAlignment="0" applyProtection="0"/>
    <xf numFmtId="0" fontId="48" fillId="24" borderId="153" applyNumberFormat="0" applyAlignment="0" applyProtection="0"/>
    <xf numFmtId="0" fontId="48" fillId="24" borderId="153" applyNumberFormat="0" applyAlignment="0" applyProtection="0"/>
    <xf numFmtId="0" fontId="48" fillId="24" borderId="153" applyNumberFormat="0" applyAlignment="0" applyProtection="0"/>
    <xf numFmtId="0" fontId="48" fillId="24" borderId="153" applyNumberFormat="0" applyAlignment="0" applyProtection="0"/>
    <xf numFmtId="0" fontId="48" fillId="24" borderId="153" applyNumberFormat="0" applyAlignment="0" applyProtection="0"/>
    <xf numFmtId="0" fontId="48" fillId="24" borderId="153" applyNumberFormat="0" applyAlignment="0" applyProtection="0"/>
    <xf numFmtId="0" fontId="48" fillId="24" borderId="153" applyNumberFormat="0" applyAlignment="0" applyProtection="0"/>
    <xf numFmtId="0" fontId="48" fillId="24" borderId="153" applyNumberFormat="0" applyAlignment="0" applyProtection="0"/>
    <xf numFmtId="0" fontId="48" fillId="12" borderId="153" applyNumberFormat="0" applyAlignment="0" applyProtection="0"/>
    <xf numFmtId="0" fontId="48" fillId="12" borderId="153" applyNumberFormat="0" applyAlignment="0" applyProtection="0"/>
    <xf numFmtId="0" fontId="48" fillId="12" borderId="153" applyNumberFormat="0" applyAlignment="0" applyProtection="0"/>
    <xf numFmtId="0" fontId="48" fillId="12" borderId="153" applyNumberFormat="0" applyAlignment="0" applyProtection="0"/>
    <xf numFmtId="0" fontId="48" fillId="12" borderId="153" applyNumberFormat="0" applyAlignment="0" applyProtection="0"/>
    <xf numFmtId="0" fontId="48" fillId="12" borderId="153" applyNumberFormat="0" applyAlignment="0" applyProtection="0"/>
    <xf numFmtId="0" fontId="48" fillId="12" borderId="153" applyNumberFormat="0" applyAlignment="0" applyProtection="0"/>
    <xf numFmtId="0" fontId="48" fillId="12" borderId="153" applyNumberFormat="0" applyAlignment="0" applyProtection="0"/>
    <xf numFmtId="0" fontId="48" fillId="12" borderId="153" applyNumberFormat="0" applyAlignment="0" applyProtection="0"/>
    <xf numFmtId="0" fontId="48" fillId="12" borderId="153" applyNumberFormat="0" applyAlignment="0" applyProtection="0"/>
    <xf numFmtId="0" fontId="48" fillId="12" borderId="153" applyNumberFormat="0" applyAlignment="0" applyProtection="0"/>
    <xf numFmtId="0" fontId="48" fillId="12" borderId="153" applyNumberFormat="0" applyAlignment="0" applyProtection="0"/>
    <xf numFmtId="0" fontId="48" fillId="12" borderId="153" applyNumberFormat="0" applyAlignment="0" applyProtection="0"/>
    <xf numFmtId="0" fontId="48" fillId="12" borderId="153" applyNumberFormat="0" applyAlignment="0" applyProtection="0"/>
    <xf numFmtId="0" fontId="48" fillId="12" borderId="153" applyNumberFormat="0" applyAlignment="0" applyProtection="0"/>
    <xf numFmtId="0" fontId="48" fillId="12" borderId="153" applyNumberFormat="0" applyAlignment="0" applyProtection="0"/>
    <xf numFmtId="0" fontId="48" fillId="12" borderId="153" applyNumberFormat="0" applyAlignment="0" applyProtection="0"/>
    <xf numFmtId="0" fontId="48" fillId="12" borderId="153" applyNumberFormat="0" applyAlignment="0" applyProtection="0"/>
    <xf numFmtId="0" fontId="48" fillId="12" borderId="153" applyNumberFormat="0" applyAlignment="0" applyProtection="0"/>
    <xf numFmtId="0" fontId="48" fillId="12" borderId="153" applyNumberFormat="0" applyAlignment="0" applyProtection="0"/>
    <xf numFmtId="0" fontId="48" fillId="12" borderId="153" applyNumberFormat="0" applyAlignment="0" applyProtection="0"/>
    <xf numFmtId="0" fontId="48" fillId="12" borderId="153" applyNumberFormat="0" applyAlignment="0" applyProtection="0"/>
    <xf numFmtId="0" fontId="48" fillId="12" borderId="153" applyNumberFormat="0" applyAlignment="0" applyProtection="0"/>
    <xf numFmtId="0" fontId="48" fillId="12" borderId="153" applyNumberFormat="0" applyAlignment="0" applyProtection="0"/>
    <xf numFmtId="0" fontId="48" fillId="12" borderId="153" applyNumberFormat="0" applyAlignment="0" applyProtection="0"/>
    <xf numFmtId="0" fontId="48" fillId="12" borderId="153" applyNumberFormat="0" applyAlignment="0" applyProtection="0"/>
    <xf numFmtId="0" fontId="48" fillId="12" borderId="153" applyNumberFormat="0" applyAlignment="0" applyProtection="0"/>
    <xf numFmtId="0" fontId="48" fillId="12" borderId="153" applyNumberFormat="0" applyAlignment="0" applyProtection="0"/>
    <xf numFmtId="0" fontId="48" fillId="12" borderId="153" applyNumberFormat="0" applyAlignment="0" applyProtection="0"/>
    <xf numFmtId="0" fontId="48" fillId="12" borderId="153" applyNumberFormat="0" applyAlignment="0" applyProtection="0"/>
    <xf numFmtId="0" fontId="48" fillId="12" borderId="153" applyNumberFormat="0" applyAlignment="0" applyProtection="0"/>
    <xf numFmtId="0" fontId="48" fillId="12" borderId="153" applyNumberFormat="0" applyAlignment="0" applyProtection="0"/>
    <xf numFmtId="0" fontId="48" fillId="12" borderId="153" applyNumberFormat="0" applyAlignment="0" applyProtection="0"/>
    <xf numFmtId="0" fontId="48" fillId="12" borderId="153" applyNumberFormat="0" applyAlignment="0" applyProtection="0"/>
    <xf numFmtId="0" fontId="48" fillId="12" borderId="153" applyNumberFormat="0" applyAlignment="0" applyProtection="0"/>
    <xf numFmtId="0" fontId="48" fillId="12" borderId="153" applyNumberFormat="0" applyAlignment="0" applyProtection="0"/>
    <xf numFmtId="0" fontId="48" fillId="12" borderId="153" applyNumberFormat="0" applyAlignment="0" applyProtection="0"/>
    <xf numFmtId="0" fontId="48" fillId="12" borderId="153" applyNumberFormat="0" applyAlignment="0" applyProtection="0"/>
    <xf numFmtId="0" fontId="48" fillId="12" borderId="153" applyNumberFormat="0" applyAlignment="0" applyProtection="0"/>
    <xf numFmtId="0" fontId="48" fillId="12" borderId="153" applyNumberFormat="0" applyAlignment="0" applyProtection="0"/>
    <xf numFmtId="0" fontId="48" fillId="12" borderId="153" applyNumberFormat="0" applyAlignment="0" applyProtection="0"/>
    <xf numFmtId="0" fontId="48" fillId="12" borderId="153" applyNumberFormat="0" applyAlignment="0" applyProtection="0"/>
    <xf numFmtId="0" fontId="48" fillId="12" borderId="153" applyNumberFormat="0" applyAlignment="0" applyProtection="0"/>
    <xf numFmtId="0" fontId="48" fillId="12" borderId="153" applyNumberFormat="0" applyAlignment="0" applyProtection="0"/>
    <xf numFmtId="0" fontId="48" fillId="12" borderId="153" applyNumberFormat="0" applyAlignment="0" applyProtection="0"/>
    <xf numFmtId="0" fontId="48" fillId="12" borderId="153" applyNumberFormat="0" applyAlignment="0" applyProtection="0"/>
    <xf numFmtId="0" fontId="48" fillId="12" borderId="153" applyNumberFormat="0" applyAlignment="0" applyProtection="0"/>
    <xf numFmtId="0" fontId="48" fillId="12" borderId="153" applyNumberFormat="0" applyAlignment="0" applyProtection="0"/>
    <xf numFmtId="0" fontId="48" fillId="12" borderId="153" applyNumberFormat="0" applyAlignment="0" applyProtection="0"/>
    <xf numFmtId="0" fontId="48" fillId="12" borderId="153" applyNumberFormat="0" applyAlignment="0" applyProtection="0"/>
    <xf numFmtId="0" fontId="48" fillId="12" borderId="153" applyNumberFormat="0" applyAlignment="0" applyProtection="0"/>
    <xf numFmtId="0" fontId="48" fillId="12" borderId="153" applyNumberFormat="0" applyAlignment="0" applyProtection="0"/>
    <xf numFmtId="0" fontId="48" fillId="12" borderId="153" applyNumberFormat="0" applyAlignment="0" applyProtection="0"/>
    <xf numFmtId="0" fontId="48" fillId="12" borderId="153" applyNumberFormat="0" applyAlignment="0" applyProtection="0"/>
    <xf numFmtId="0" fontId="48" fillId="12" borderId="153" applyNumberFormat="0" applyAlignment="0" applyProtection="0"/>
    <xf numFmtId="0" fontId="48" fillId="12" borderId="153" applyNumberFormat="0" applyAlignment="0" applyProtection="0"/>
    <xf numFmtId="0" fontId="48" fillId="12" borderId="153" applyNumberFormat="0" applyAlignment="0" applyProtection="0"/>
    <xf numFmtId="0" fontId="48" fillId="12" borderId="153" applyNumberFormat="0" applyAlignment="0" applyProtection="0"/>
    <xf numFmtId="0" fontId="48" fillId="12" borderId="153" applyNumberFormat="0" applyAlignment="0" applyProtection="0"/>
    <xf numFmtId="0" fontId="48" fillId="12" borderId="153" applyNumberFormat="0" applyAlignment="0" applyProtection="0"/>
    <xf numFmtId="0" fontId="48" fillId="12" borderId="153" applyNumberFormat="0" applyAlignment="0" applyProtection="0"/>
    <xf numFmtId="0" fontId="48" fillId="12" borderId="153" applyNumberFormat="0" applyAlignment="0" applyProtection="0"/>
    <xf numFmtId="0" fontId="48" fillId="12" borderId="153" applyNumberFormat="0" applyAlignment="0" applyProtection="0"/>
    <xf numFmtId="0" fontId="48" fillId="12" borderId="153" applyNumberFormat="0" applyAlignment="0" applyProtection="0"/>
    <xf numFmtId="0" fontId="48" fillId="12" borderId="153" applyNumberFormat="0" applyAlignment="0" applyProtection="0"/>
    <xf numFmtId="0" fontId="48" fillId="12" borderId="153" applyNumberFormat="0" applyAlignment="0" applyProtection="0"/>
    <xf numFmtId="0" fontId="48" fillId="12" borderId="153" applyNumberFormat="0" applyAlignment="0" applyProtection="0"/>
    <xf numFmtId="0" fontId="48" fillId="12" borderId="153" applyNumberFormat="0" applyAlignment="0" applyProtection="0"/>
    <xf numFmtId="0" fontId="48" fillId="12" borderId="153" applyNumberFormat="0" applyAlignment="0" applyProtection="0"/>
    <xf numFmtId="0" fontId="48" fillId="12" borderId="153" applyNumberFormat="0" applyAlignment="0" applyProtection="0"/>
    <xf numFmtId="0" fontId="48" fillId="12" borderId="153" applyNumberFormat="0" applyAlignment="0" applyProtection="0"/>
    <xf numFmtId="0" fontId="48" fillId="12" borderId="153" applyNumberFormat="0" applyAlignment="0" applyProtection="0"/>
    <xf numFmtId="0" fontId="48" fillId="12" borderId="153" applyNumberFormat="0" applyAlignment="0" applyProtection="0"/>
    <xf numFmtId="0" fontId="48" fillId="12" borderId="153" applyNumberFormat="0" applyAlignment="0" applyProtection="0"/>
    <xf numFmtId="0" fontId="48" fillId="12" borderId="153" applyNumberFormat="0" applyAlignment="0" applyProtection="0"/>
    <xf numFmtId="0" fontId="48" fillId="12" borderId="153" applyNumberFormat="0" applyAlignment="0" applyProtection="0"/>
    <xf numFmtId="0" fontId="48" fillId="12" borderId="153" applyNumberFormat="0" applyAlignment="0" applyProtection="0"/>
    <xf numFmtId="0" fontId="16" fillId="24" borderId="153" applyNumberFormat="0" applyAlignment="0" applyProtection="0"/>
    <xf numFmtId="0" fontId="16" fillId="24" borderId="153" applyNumberFormat="0" applyAlignment="0" applyProtection="0"/>
    <xf numFmtId="0" fontId="16" fillId="24" borderId="153" applyNumberFormat="0" applyAlignment="0" applyProtection="0"/>
    <xf numFmtId="0" fontId="16" fillId="24" borderId="153" applyNumberFormat="0" applyAlignment="0" applyProtection="0"/>
    <xf numFmtId="0" fontId="16" fillId="24" borderId="153" applyNumberFormat="0" applyAlignment="0" applyProtection="0"/>
    <xf numFmtId="0" fontId="16" fillId="24" borderId="153" applyNumberFormat="0" applyAlignment="0" applyProtection="0"/>
    <xf numFmtId="0" fontId="16" fillId="24" borderId="153" applyNumberFormat="0" applyAlignment="0" applyProtection="0"/>
    <xf numFmtId="0" fontId="16" fillId="24" borderId="153" applyNumberFormat="0" applyAlignment="0" applyProtection="0"/>
    <xf numFmtId="0" fontId="16" fillId="24" borderId="153" applyNumberFormat="0" applyAlignment="0" applyProtection="0"/>
    <xf numFmtId="0" fontId="16" fillId="24" borderId="153" applyNumberFormat="0" applyAlignment="0" applyProtection="0"/>
    <xf numFmtId="0" fontId="16" fillId="24" borderId="153" applyNumberFormat="0" applyAlignment="0" applyProtection="0"/>
    <xf numFmtId="0" fontId="16" fillId="24" borderId="153" applyNumberFormat="0" applyAlignment="0" applyProtection="0"/>
    <xf numFmtId="0" fontId="16" fillId="24" borderId="153" applyNumberFormat="0" applyAlignment="0" applyProtection="0"/>
    <xf numFmtId="0" fontId="16" fillId="24" borderId="153" applyNumberFormat="0" applyAlignment="0" applyProtection="0"/>
    <xf numFmtId="0" fontId="16" fillId="24" borderId="153" applyNumberFormat="0" applyAlignment="0" applyProtection="0"/>
    <xf numFmtId="0" fontId="16" fillId="24" borderId="153" applyNumberFormat="0" applyAlignment="0" applyProtection="0"/>
    <xf numFmtId="0" fontId="16" fillId="24" borderId="153" applyNumberFormat="0" applyAlignment="0" applyProtection="0"/>
    <xf numFmtId="0" fontId="16" fillId="24" borderId="153" applyNumberFormat="0" applyAlignment="0" applyProtection="0"/>
    <xf numFmtId="0" fontId="16" fillId="24" borderId="153" applyNumberFormat="0" applyAlignment="0" applyProtection="0"/>
    <xf numFmtId="0" fontId="16" fillId="24" borderId="153" applyNumberFormat="0" applyAlignment="0" applyProtection="0"/>
    <xf numFmtId="0" fontId="16" fillId="24" borderId="153" applyNumberFormat="0" applyAlignment="0" applyProtection="0"/>
    <xf numFmtId="0" fontId="16" fillId="24" borderId="153" applyNumberFormat="0" applyAlignment="0" applyProtection="0"/>
    <xf numFmtId="0" fontId="16" fillId="24" borderId="153" applyNumberFormat="0" applyAlignment="0" applyProtection="0"/>
    <xf numFmtId="0" fontId="16" fillId="24" borderId="153" applyNumberFormat="0" applyAlignment="0" applyProtection="0"/>
    <xf numFmtId="0" fontId="16" fillId="24" borderId="153" applyNumberFormat="0" applyAlignment="0" applyProtection="0"/>
    <xf numFmtId="0" fontId="16" fillId="24" borderId="153" applyNumberFormat="0" applyAlignment="0" applyProtection="0"/>
    <xf numFmtId="0" fontId="16" fillId="24" borderId="153" applyNumberFormat="0" applyAlignment="0" applyProtection="0"/>
    <xf numFmtId="0" fontId="16" fillId="24" borderId="153" applyNumberFormat="0" applyAlignment="0" applyProtection="0"/>
    <xf numFmtId="0" fontId="16" fillId="24" borderId="153" applyNumberFormat="0" applyAlignment="0" applyProtection="0"/>
    <xf numFmtId="0" fontId="16" fillId="24" borderId="153" applyNumberFormat="0" applyAlignment="0" applyProtection="0"/>
    <xf numFmtId="0" fontId="16" fillId="24" borderId="153" applyNumberFormat="0" applyAlignment="0" applyProtection="0"/>
    <xf numFmtId="0" fontId="16" fillId="24" borderId="153" applyNumberFormat="0" applyAlignment="0" applyProtection="0"/>
    <xf numFmtId="0" fontId="16" fillId="24" borderId="153" applyNumberFormat="0" applyAlignment="0" applyProtection="0"/>
    <xf numFmtId="0" fontId="16" fillId="24" borderId="153" applyNumberFormat="0" applyAlignment="0" applyProtection="0"/>
    <xf numFmtId="0" fontId="16" fillId="24" borderId="153" applyNumberFormat="0" applyAlignment="0" applyProtection="0"/>
    <xf numFmtId="0" fontId="16" fillId="24" borderId="153" applyNumberFormat="0" applyAlignment="0" applyProtection="0"/>
    <xf numFmtId="0" fontId="16" fillId="24" borderId="153" applyNumberFormat="0" applyAlignment="0" applyProtection="0"/>
    <xf numFmtId="0" fontId="16" fillId="24" borderId="153" applyNumberFormat="0" applyAlignment="0" applyProtection="0"/>
    <xf numFmtId="0" fontId="16" fillId="24" borderId="153" applyNumberFormat="0" applyAlignment="0" applyProtection="0"/>
    <xf numFmtId="0" fontId="16" fillId="24" borderId="153" applyNumberFormat="0" applyAlignment="0" applyProtection="0"/>
    <xf numFmtId="0" fontId="16" fillId="24" borderId="153" applyNumberFormat="0" applyAlignment="0" applyProtection="0"/>
    <xf numFmtId="0" fontId="16" fillId="24" borderId="153" applyNumberFormat="0" applyAlignment="0" applyProtection="0"/>
    <xf numFmtId="0" fontId="16" fillId="24" borderId="153" applyNumberFormat="0" applyAlignment="0" applyProtection="0"/>
    <xf numFmtId="0" fontId="16" fillId="24" borderId="153" applyNumberFormat="0" applyAlignment="0" applyProtection="0"/>
    <xf numFmtId="0" fontId="16" fillId="24" borderId="153" applyNumberFormat="0" applyAlignment="0" applyProtection="0"/>
    <xf numFmtId="0" fontId="16" fillId="24" borderId="153" applyNumberFormat="0" applyAlignment="0" applyProtection="0"/>
    <xf numFmtId="0" fontId="16" fillId="24" borderId="153" applyNumberFormat="0" applyAlignment="0" applyProtection="0"/>
    <xf numFmtId="0" fontId="16" fillId="24" borderId="153" applyNumberFormat="0" applyAlignment="0" applyProtection="0"/>
    <xf numFmtId="0" fontId="16" fillId="24" borderId="153" applyNumberFormat="0" applyAlignment="0" applyProtection="0"/>
    <xf numFmtId="0" fontId="48" fillId="12" borderId="153" applyNumberFormat="0" applyAlignment="0" applyProtection="0"/>
    <xf numFmtId="0" fontId="48" fillId="12" borderId="153" applyNumberFormat="0" applyAlignment="0" applyProtection="0"/>
    <xf numFmtId="0" fontId="48" fillId="12" borderId="153" applyNumberFormat="0" applyAlignment="0" applyProtection="0"/>
    <xf numFmtId="0" fontId="48" fillId="12" borderId="153" applyNumberFormat="0" applyAlignment="0" applyProtection="0"/>
    <xf numFmtId="0" fontId="48" fillId="12" borderId="153" applyNumberFormat="0" applyAlignment="0" applyProtection="0"/>
    <xf numFmtId="0" fontId="48" fillId="12" borderId="153" applyNumberFormat="0" applyAlignment="0" applyProtection="0"/>
    <xf numFmtId="0" fontId="48" fillId="12" borderId="153" applyNumberFormat="0" applyAlignment="0" applyProtection="0"/>
    <xf numFmtId="0" fontId="48" fillId="12" borderId="153" applyNumberFormat="0" applyAlignment="0" applyProtection="0"/>
    <xf numFmtId="0" fontId="48" fillId="12" borderId="153" applyNumberFormat="0" applyAlignment="0" applyProtection="0"/>
    <xf numFmtId="0" fontId="48" fillId="12" borderId="153" applyNumberFormat="0" applyAlignment="0" applyProtection="0"/>
    <xf numFmtId="0" fontId="48" fillId="12" borderId="153" applyNumberFormat="0" applyAlignment="0" applyProtection="0"/>
    <xf numFmtId="0" fontId="48" fillId="12" borderId="153" applyNumberFormat="0" applyAlignment="0" applyProtection="0"/>
    <xf numFmtId="0" fontId="48" fillId="12" borderId="153" applyNumberFormat="0" applyAlignment="0" applyProtection="0"/>
    <xf numFmtId="0" fontId="48" fillId="12" borderId="153" applyNumberFormat="0" applyAlignment="0" applyProtection="0"/>
    <xf numFmtId="0" fontId="48" fillId="12" borderId="153" applyNumberFormat="0" applyAlignment="0" applyProtection="0"/>
    <xf numFmtId="0" fontId="48" fillId="12" borderId="153" applyNumberFormat="0" applyAlignment="0" applyProtection="0"/>
    <xf numFmtId="0" fontId="48" fillId="12" borderId="153" applyNumberFormat="0" applyAlignment="0" applyProtection="0"/>
    <xf numFmtId="0" fontId="48" fillId="12" borderId="153" applyNumberFormat="0" applyAlignment="0" applyProtection="0"/>
    <xf numFmtId="0" fontId="48" fillId="12" borderId="153" applyNumberFormat="0" applyAlignment="0" applyProtection="0"/>
    <xf numFmtId="0" fontId="48" fillId="12" borderId="153" applyNumberFormat="0" applyAlignment="0" applyProtection="0"/>
    <xf numFmtId="0" fontId="48" fillId="12" borderId="153" applyNumberFormat="0" applyAlignment="0" applyProtection="0"/>
    <xf numFmtId="0" fontId="48" fillId="12" borderId="153" applyNumberFormat="0" applyAlignment="0" applyProtection="0"/>
    <xf numFmtId="0" fontId="48" fillId="12" borderId="153" applyNumberFormat="0" applyAlignment="0" applyProtection="0"/>
    <xf numFmtId="0" fontId="48" fillId="12" borderId="153" applyNumberFormat="0" applyAlignment="0" applyProtection="0"/>
    <xf numFmtId="0" fontId="48" fillId="12" borderId="153" applyNumberFormat="0" applyAlignment="0" applyProtection="0"/>
    <xf numFmtId="0" fontId="48" fillId="12" borderId="153" applyNumberFormat="0" applyAlignment="0" applyProtection="0"/>
    <xf numFmtId="0" fontId="48" fillId="12" borderId="153" applyNumberFormat="0" applyAlignment="0" applyProtection="0"/>
    <xf numFmtId="0" fontId="48" fillId="12" borderId="153" applyNumberFormat="0" applyAlignment="0" applyProtection="0"/>
    <xf numFmtId="0" fontId="48" fillId="12" borderId="153" applyNumberFormat="0" applyAlignment="0" applyProtection="0"/>
    <xf numFmtId="0" fontId="48" fillId="12" borderId="153" applyNumberFormat="0" applyAlignment="0" applyProtection="0"/>
    <xf numFmtId="0" fontId="48" fillId="12" borderId="153" applyNumberFormat="0" applyAlignment="0" applyProtection="0"/>
    <xf numFmtId="0" fontId="48" fillId="12" borderId="153" applyNumberFormat="0" applyAlignment="0" applyProtection="0"/>
    <xf numFmtId="0" fontId="48" fillId="12" borderId="153" applyNumberFormat="0" applyAlignment="0" applyProtection="0"/>
    <xf numFmtId="0" fontId="48" fillId="12" borderId="153" applyNumberFormat="0" applyAlignment="0" applyProtection="0"/>
    <xf numFmtId="0" fontId="48" fillId="12" borderId="153" applyNumberFormat="0" applyAlignment="0" applyProtection="0"/>
    <xf numFmtId="0" fontId="48" fillId="12" borderId="153" applyNumberFormat="0" applyAlignment="0" applyProtection="0"/>
    <xf numFmtId="0" fontId="48" fillId="12" borderId="153" applyNumberFormat="0" applyAlignment="0" applyProtection="0"/>
    <xf numFmtId="0" fontId="48" fillId="12" borderId="153" applyNumberFormat="0" applyAlignment="0" applyProtection="0"/>
    <xf numFmtId="0" fontId="48" fillId="12" borderId="153" applyNumberFormat="0" applyAlignment="0" applyProtection="0"/>
    <xf numFmtId="0" fontId="48" fillId="12" borderId="153" applyNumberFormat="0" applyAlignment="0" applyProtection="0"/>
    <xf numFmtId="0" fontId="48" fillId="12" borderId="153" applyNumberFormat="0" applyAlignment="0" applyProtection="0"/>
    <xf numFmtId="0" fontId="48" fillId="12" borderId="153" applyNumberFormat="0" applyAlignment="0" applyProtection="0"/>
    <xf numFmtId="0" fontId="48" fillId="12" borderId="153" applyNumberFormat="0" applyAlignment="0" applyProtection="0"/>
    <xf numFmtId="0" fontId="48" fillId="12" borderId="153" applyNumberFormat="0" applyAlignment="0" applyProtection="0"/>
    <xf numFmtId="0" fontId="48" fillId="12" borderId="153" applyNumberFormat="0" applyAlignment="0" applyProtection="0"/>
    <xf numFmtId="0" fontId="48" fillId="12" borderId="153" applyNumberFormat="0" applyAlignment="0" applyProtection="0"/>
    <xf numFmtId="0" fontId="48" fillId="12" borderId="153" applyNumberFormat="0" applyAlignment="0" applyProtection="0"/>
    <xf numFmtId="0" fontId="48" fillId="12" borderId="153" applyNumberFormat="0" applyAlignment="0" applyProtection="0"/>
    <xf numFmtId="0" fontId="48" fillId="12" borderId="153" applyNumberFormat="0" applyAlignment="0" applyProtection="0"/>
    <xf numFmtId="0" fontId="48" fillId="12" borderId="153" applyNumberFormat="0" applyAlignment="0" applyProtection="0"/>
    <xf numFmtId="0" fontId="48" fillId="12" borderId="153" applyNumberFormat="0" applyAlignment="0" applyProtection="0"/>
    <xf numFmtId="0" fontId="48" fillId="12" borderId="153" applyNumberFormat="0" applyAlignment="0" applyProtection="0"/>
    <xf numFmtId="0" fontId="48" fillId="12" borderId="153" applyNumberFormat="0" applyAlignment="0" applyProtection="0"/>
    <xf numFmtId="0" fontId="48" fillId="12" borderId="153" applyNumberFormat="0" applyAlignment="0" applyProtection="0"/>
    <xf numFmtId="0" fontId="48" fillId="12" borderId="153" applyNumberFormat="0" applyAlignment="0" applyProtection="0"/>
    <xf numFmtId="0" fontId="48" fillId="12" borderId="153" applyNumberFormat="0" applyAlignment="0" applyProtection="0"/>
    <xf numFmtId="0" fontId="48" fillId="12" borderId="153" applyNumberFormat="0" applyAlignment="0" applyProtection="0"/>
    <xf numFmtId="0" fontId="48" fillId="12" borderId="153" applyNumberFormat="0" applyAlignment="0" applyProtection="0"/>
    <xf numFmtId="0" fontId="48" fillId="12" borderId="153" applyNumberFormat="0" applyAlignment="0" applyProtection="0"/>
    <xf numFmtId="0" fontId="48" fillId="12" borderId="153" applyNumberFormat="0" applyAlignment="0" applyProtection="0"/>
    <xf numFmtId="0" fontId="48" fillId="12" borderId="153" applyNumberFormat="0" applyAlignment="0" applyProtection="0"/>
    <xf numFmtId="0" fontId="48" fillId="12" borderId="153" applyNumberFormat="0" applyAlignment="0" applyProtection="0"/>
    <xf numFmtId="0" fontId="48" fillId="12" borderId="153" applyNumberFormat="0" applyAlignment="0" applyProtection="0"/>
    <xf numFmtId="0" fontId="48" fillId="12" borderId="153" applyNumberFormat="0" applyAlignment="0" applyProtection="0"/>
    <xf numFmtId="0" fontId="48" fillId="12" borderId="153" applyNumberFormat="0" applyAlignment="0" applyProtection="0"/>
    <xf numFmtId="0" fontId="48" fillId="12" borderId="153" applyNumberFormat="0" applyAlignment="0" applyProtection="0"/>
    <xf numFmtId="0" fontId="48" fillId="12" borderId="153" applyNumberFormat="0" applyAlignment="0" applyProtection="0"/>
    <xf numFmtId="0" fontId="48" fillId="12" borderId="153" applyNumberFormat="0" applyAlignment="0" applyProtection="0"/>
    <xf numFmtId="0" fontId="48" fillId="12" borderId="153" applyNumberFormat="0" applyAlignment="0" applyProtection="0"/>
    <xf numFmtId="0" fontId="48" fillId="12" borderId="153" applyNumberFormat="0" applyAlignment="0" applyProtection="0"/>
    <xf numFmtId="0" fontId="48" fillId="12" borderId="153" applyNumberFormat="0" applyAlignment="0" applyProtection="0"/>
    <xf numFmtId="0" fontId="48" fillId="12" borderId="153" applyNumberFormat="0" applyAlignment="0" applyProtection="0"/>
    <xf numFmtId="0" fontId="48" fillId="12" borderId="153" applyNumberFormat="0" applyAlignment="0" applyProtection="0"/>
    <xf numFmtId="0" fontId="48" fillId="12" borderId="153" applyNumberFormat="0" applyAlignment="0" applyProtection="0"/>
    <xf numFmtId="0" fontId="48" fillId="12" borderId="153" applyNumberFormat="0" applyAlignment="0" applyProtection="0"/>
    <xf numFmtId="0" fontId="48" fillId="12" borderId="153" applyNumberFormat="0" applyAlignment="0" applyProtection="0"/>
    <xf numFmtId="0" fontId="48" fillId="12" borderId="153" applyNumberFormat="0" applyAlignment="0" applyProtection="0"/>
    <xf numFmtId="0" fontId="16" fillId="24" borderId="153" applyNumberFormat="0" applyAlignment="0" applyProtection="0"/>
    <xf numFmtId="0" fontId="16" fillId="24" borderId="153" applyNumberFormat="0" applyAlignment="0" applyProtection="0"/>
    <xf numFmtId="0" fontId="16" fillId="24" borderId="153" applyNumberFormat="0" applyAlignment="0" applyProtection="0"/>
    <xf numFmtId="0" fontId="16" fillId="24" borderId="153" applyNumberFormat="0" applyAlignment="0" applyProtection="0"/>
    <xf numFmtId="0" fontId="16" fillId="24" borderId="153" applyNumberFormat="0" applyAlignment="0" applyProtection="0"/>
    <xf numFmtId="0" fontId="16" fillId="24" borderId="153" applyNumberFormat="0" applyAlignment="0" applyProtection="0"/>
    <xf numFmtId="0" fontId="16" fillId="24" borderId="153" applyNumberFormat="0" applyAlignment="0" applyProtection="0"/>
    <xf numFmtId="0" fontId="16" fillId="24" borderId="153" applyNumberFormat="0" applyAlignment="0" applyProtection="0"/>
    <xf numFmtId="0" fontId="16" fillId="24" borderId="153" applyNumberFormat="0" applyAlignment="0" applyProtection="0"/>
    <xf numFmtId="0" fontId="16" fillId="24" borderId="153" applyNumberFormat="0" applyAlignment="0" applyProtection="0"/>
    <xf numFmtId="0" fontId="16" fillId="24" borderId="153" applyNumberFormat="0" applyAlignment="0" applyProtection="0"/>
    <xf numFmtId="0" fontId="16" fillId="24" borderId="153" applyNumberFormat="0" applyAlignment="0" applyProtection="0"/>
    <xf numFmtId="0" fontId="16" fillId="24" borderId="153" applyNumberFormat="0" applyAlignment="0" applyProtection="0"/>
    <xf numFmtId="0" fontId="16" fillId="24" borderId="153" applyNumberFormat="0" applyAlignment="0" applyProtection="0"/>
    <xf numFmtId="0" fontId="16" fillId="24" borderId="153" applyNumberFormat="0" applyAlignment="0" applyProtection="0"/>
    <xf numFmtId="0" fontId="16" fillId="24" borderId="153" applyNumberFormat="0" applyAlignment="0" applyProtection="0"/>
    <xf numFmtId="0" fontId="16" fillId="24" borderId="153" applyNumberFormat="0" applyAlignment="0" applyProtection="0"/>
    <xf numFmtId="0" fontId="16" fillId="24" borderId="153" applyNumberFormat="0" applyAlignment="0" applyProtection="0"/>
    <xf numFmtId="0" fontId="16" fillId="24" borderId="153" applyNumberFormat="0" applyAlignment="0" applyProtection="0"/>
    <xf numFmtId="0" fontId="16" fillId="24" borderId="153" applyNumberFormat="0" applyAlignment="0" applyProtection="0"/>
    <xf numFmtId="0" fontId="16" fillId="24" borderId="153" applyNumberFormat="0" applyAlignment="0" applyProtection="0"/>
    <xf numFmtId="0" fontId="16" fillId="24" borderId="153" applyNumberFormat="0" applyAlignment="0" applyProtection="0"/>
    <xf numFmtId="0" fontId="16" fillId="24" borderId="153" applyNumberFormat="0" applyAlignment="0" applyProtection="0"/>
    <xf numFmtId="0" fontId="16" fillId="24" borderId="153" applyNumberFormat="0" applyAlignment="0" applyProtection="0"/>
    <xf numFmtId="0" fontId="16" fillId="24" borderId="153" applyNumberFormat="0" applyAlignment="0" applyProtection="0"/>
    <xf numFmtId="0" fontId="16" fillId="24" borderId="153" applyNumberFormat="0" applyAlignment="0" applyProtection="0"/>
    <xf numFmtId="0" fontId="16" fillId="24" borderId="153" applyNumberFormat="0" applyAlignment="0" applyProtection="0"/>
    <xf numFmtId="0" fontId="16" fillId="24" borderId="153" applyNumberFormat="0" applyAlignment="0" applyProtection="0"/>
    <xf numFmtId="0" fontId="16" fillId="24" borderId="153" applyNumberFormat="0" applyAlignment="0" applyProtection="0"/>
    <xf numFmtId="0" fontId="16" fillId="24" borderId="153" applyNumberFormat="0" applyAlignment="0" applyProtection="0"/>
    <xf numFmtId="0" fontId="16" fillId="24" borderId="153" applyNumberFormat="0" applyAlignment="0" applyProtection="0"/>
    <xf numFmtId="0" fontId="16" fillId="24" borderId="153" applyNumberFormat="0" applyAlignment="0" applyProtection="0"/>
    <xf numFmtId="0" fontId="16" fillId="24" borderId="153" applyNumberFormat="0" applyAlignment="0" applyProtection="0"/>
    <xf numFmtId="0" fontId="16" fillId="24" borderId="153" applyNumberFormat="0" applyAlignment="0" applyProtection="0"/>
    <xf numFmtId="0" fontId="16" fillId="24" borderId="153" applyNumberFormat="0" applyAlignment="0" applyProtection="0"/>
    <xf numFmtId="0" fontId="16" fillId="24" borderId="153" applyNumberFormat="0" applyAlignment="0" applyProtection="0"/>
    <xf numFmtId="0" fontId="16" fillId="24" borderId="153" applyNumberFormat="0" applyAlignment="0" applyProtection="0"/>
    <xf numFmtId="0" fontId="16" fillId="24" borderId="153" applyNumberFormat="0" applyAlignment="0" applyProtection="0"/>
    <xf numFmtId="0" fontId="16" fillId="24" borderId="153" applyNumberFormat="0" applyAlignment="0" applyProtection="0"/>
    <xf numFmtId="0" fontId="16" fillId="24" borderId="153" applyNumberFormat="0" applyAlignment="0" applyProtection="0"/>
    <xf numFmtId="0" fontId="16" fillId="24" borderId="153" applyNumberFormat="0" applyAlignment="0" applyProtection="0"/>
    <xf numFmtId="0" fontId="16" fillId="24" borderId="153" applyNumberFormat="0" applyAlignment="0" applyProtection="0"/>
    <xf numFmtId="0" fontId="16" fillId="24" borderId="153" applyNumberFormat="0" applyAlignment="0" applyProtection="0"/>
    <xf numFmtId="0" fontId="16" fillId="24" borderId="153" applyNumberFormat="0" applyAlignment="0" applyProtection="0"/>
    <xf numFmtId="0" fontId="16" fillId="24" borderId="153" applyNumberFormat="0" applyAlignment="0" applyProtection="0"/>
    <xf numFmtId="0" fontId="16" fillId="24" borderId="153" applyNumberFormat="0" applyAlignment="0" applyProtection="0"/>
    <xf numFmtId="0" fontId="16" fillId="24" borderId="153" applyNumberFormat="0" applyAlignment="0" applyProtection="0"/>
    <xf numFmtId="0" fontId="16" fillId="24" borderId="153" applyNumberFormat="0" applyAlignment="0" applyProtection="0"/>
    <xf numFmtId="0" fontId="16" fillId="24" borderId="153" applyNumberFormat="0" applyAlignment="0" applyProtection="0"/>
    <xf numFmtId="0" fontId="28" fillId="0" borderId="157"/>
    <xf numFmtId="0" fontId="28" fillId="0" borderId="157"/>
    <xf numFmtId="0" fontId="28" fillId="0" borderId="157"/>
    <xf numFmtId="0" fontId="28" fillId="0" borderId="157"/>
    <xf numFmtId="0" fontId="28" fillId="0" borderId="157"/>
    <xf numFmtId="0" fontId="28" fillId="0" borderId="157"/>
    <xf numFmtId="0" fontId="28" fillId="0" borderId="157"/>
    <xf numFmtId="0" fontId="28" fillId="0" borderId="157"/>
    <xf numFmtId="0" fontId="28" fillId="0" borderId="157"/>
    <xf numFmtId="0" fontId="28" fillId="0" borderId="157"/>
    <xf numFmtId="0" fontId="28" fillId="0" borderId="157"/>
    <xf numFmtId="0" fontId="28" fillId="0" borderId="157"/>
    <xf numFmtId="0" fontId="28" fillId="0" borderId="157"/>
    <xf numFmtId="0" fontId="28" fillId="0" borderId="157"/>
    <xf numFmtId="0" fontId="28" fillId="0" borderId="157"/>
    <xf numFmtId="0" fontId="28" fillId="0" borderId="157"/>
    <xf numFmtId="0" fontId="28" fillId="0" borderId="157"/>
    <xf numFmtId="0" fontId="28" fillId="0" borderId="157"/>
    <xf numFmtId="0" fontId="28" fillId="0" borderId="157"/>
    <xf numFmtId="0" fontId="28" fillId="0" borderId="157"/>
    <xf numFmtId="0" fontId="28" fillId="0" borderId="157"/>
    <xf numFmtId="0" fontId="28" fillId="0" borderId="157"/>
    <xf numFmtId="0" fontId="28" fillId="0" borderId="157"/>
    <xf numFmtId="0" fontId="28" fillId="0" borderId="157"/>
    <xf numFmtId="0" fontId="28" fillId="0" borderId="157"/>
    <xf numFmtId="0" fontId="28" fillId="0" borderId="157"/>
    <xf numFmtId="0" fontId="28" fillId="0" borderId="157"/>
    <xf numFmtId="0" fontId="28" fillId="0" borderId="157"/>
    <xf numFmtId="0" fontId="28" fillId="0" borderId="157"/>
    <xf numFmtId="0" fontId="28" fillId="0" borderId="157"/>
    <xf numFmtId="0" fontId="28" fillId="0" borderId="157"/>
    <xf numFmtId="0" fontId="28" fillId="0" borderId="157"/>
    <xf numFmtId="0" fontId="28" fillId="0" borderId="157"/>
    <xf numFmtId="0" fontId="28" fillId="0" borderId="157"/>
    <xf numFmtId="0" fontId="28" fillId="0" borderId="157"/>
    <xf numFmtId="0" fontId="28" fillId="0" borderId="157"/>
    <xf numFmtId="0" fontId="28" fillId="0" borderId="157"/>
    <xf numFmtId="0" fontId="28" fillId="0" borderId="157"/>
    <xf numFmtId="0" fontId="28" fillId="0" borderId="157"/>
    <xf numFmtId="0" fontId="28" fillId="0" borderId="157"/>
    <xf numFmtId="0" fontId="28" fillId="0" borderId="157"/>
    <xf numFmtId="0" fontId="28" fillId="0" borderId="157"/>
    <xf numFmtId="0" fontId="28" fillId="0" borderId="157"/>
    <xf numFmtId="0" fontId="28" fillId="0" borderId="157"/>
    <xf numFmtId="0" fontId="28" fillId="0" borderId="157"/>
    <xf numFmtId="0" fontId="25" fillId="13" borderId="153" applyNumberFormat="0" applyAlignment="0" applyProtection="0"/>
    <xf numFmtId="0" fontId="25" fillId="13" borderId="153" applyNumberFormat="0" applyAlignment="0" applyProtection="0"/>
    <xf numFmtId="0" fontId="25" fillId="13" borderId="153" applyNumberFormat="0" applyAlignment="0" applyProtection="0"/>
    <xf numFmtId="0" fontId="25" fillId="13" borderId="153" applyNumberFormat="0" applyAlignment="0" applyProtection="0"/>
    <xf numFmtId="0" fontId="25" fillId="13" borderId="153" applyNumberFormat="0" applyAlignment="0" applyProtection="0"/>
    <xf numFmtId="0" fontId="25" fillId="13" borderId="153" applyNumberFormat="0" applyAlignment="0" applyProtection="0"/>
    <xf numFmtId="0" fontId="25" fillId="13" borderId="153" applyNumberFormat="0" applyAlignment="0" applyProtection="0"/>
    <xf numFmtId="0" fontId="25" fillId="13" borderId="153" applyNumberFormat="0" applyAlignment="0" applyProtection="0"/>
    <xf numFmtId="0" fontId="25" fillId="13" borderId="153" applyNumberFormat="0" applyAlignment="0" applyProtection="0"/>
    <xf numFmtId="0" fontId="25" fillId="13" borderId="153" applyNumberFormat="0" applyAlignment="0" applyProtection="0"/>
    <xf numFmtId="0" fontId="25" fillId="13" borderId="153" applyNumberFormat="0" applyAlignment="0" applyProtection="0"/>
    <xf numFmtId="0" fontId="25" fillId="13" borderId="153" applyNumberFormat="0" applyAlignment="0" applyProtection="0"/>
    <xf numFmtId="0" fontId="25" fillId="13" borderId="153" applyNumberFormat="0" applyAlignment="0" applyProtection="0"/>
    <xf numFmtId="0" fontId="25" fillId="13" borderId="153" applyNumberFormat="0" applyAlignment="0" applyProtection="0"/>
    <xf numFmtId="0" fontId="25" fillId="13" borderId="153" applyNumberFormat="0" applyAlignment="0" applyProtection="0"/>
    <xf numFmtId="0" fontId="25" fillId="13" borderId="153" applyNumberFormat="0" applyAlignment="0" applyProtection="0"/>
    <xf numFmtId="0" fontId="25" fillId="13" borderId="153" applyNumberFormat="0" applyAlignment="0" applyProtection="0"/>
    <xf numFmtId="0" fontId="25" fillId="13" borderId="153" applyNumberFormat="0" applyAlignment="0" applyProtection="0"/>
    <xf numFmtId="0" fontId="25" fillId="13" borderId="153" applyNumberFormat="0" applyAlignment="0" applyProtection="0"/>
    <xf numFmtId="0" fontId="25" fillId="13" borderId="153" applyNumberFormat="0" applyAlignment="0" applyProtection="0"/>
    <xf numFmtId="0" fontId="25" fillId="13" borderId="153" applyNumberFormat="0" applyAlignment="0" applyProtection="0"/>
    <xf numFmtId="0" fontId="25" fillId="13" borderId="153" applyNumberFormat="0" applyAlignment="0" applyProtection="0"/>
    <xf numFmtId="0" fontId="25" fillId="13" borderId="153" applyNumberFormat="0" applyAlignment="0" applyProtection="0"/>
    <xf numFmtId="0" fontId="25" fillId="13" borderId="153" applyNumberFormat="0" applyAlignment="0" applyProtection="0"/>
    <xf numFmtId="0" fontId="25" fillId="13" borderId="153" applyNumberFormat="0" applyAlignment="0" applyProtection="0"/>
    <xf numFmtId="0" fontId="25" fillId="13" borderId="153" applyNumberFormat="0" applyAlignment="0" applyProtection="0"/>
    <xf numFmtId="0" fontId="25" fillId="13" borderId="153" applyNumberFormat="0" applyAlignment="0" applyProtection="0"/>
    <xf numFmtId="0" fontId="25" fillId="13" borderId="153" applyNumberFormat="0" applyAlignment="0" applyProtection="0"/>
    <xf numFmtId="0" fontId="25" fillId="13" borderId="153" applyNumberFormat="0" applyAlignment="0" applyProtection="0"/>
    <xf numFmtId="0" fontId="25" fillId="13" borderId="153" applyNumberFormat="0" applyAlignment="0" applyProtection="0"/>
    <xf numFmtId="0" fontId="25" fillId="13" borderId="153" applyNumberFormat="0" applyAlignment="0" applyProtection="0"/>
    <xf numFmtId="0" fontId="25" fillId="13" borderId="153" applyNumberFormat="0" applyAlignment="0" applyProtection="0"/>
    <xf numFmtId="0" fontId="25" fillId="13" borderId="153" applyNumberFormat="0" applyAlignment="0" applyProtection="0"/>
    <xf numFmtId="0" fontId="25" fillId="13" borderId="153" applyNumberFormat="0" applyAlignment="0" applyProtection="0"/>
    <xf numFmtId="0" fontId="25" fillId="13" borderId="153" applyNumberFormat="0" applyAlignment="0" applyProtection="0"/>
    <xf numFmtId="0" fontId="25" fillId="13" borderId="153" applyNumberFormat="0" applyAlignment="0" applyProtection="0"/>
    <xf numFmtId="0" fontId="25" fillId="13" borderId="153" applyNumberFormat="0" applyAlignment="0" applyProtection="0"/>
    <xf numFmtId="0" fontId="25" fillId="13" borderId="153" applyNumberFormat="0" applyAlignment="0" applyProtection="0"/>
    <xf numFmtId="0" fontId="25" fillId="13" borderId="153" applyNumberFormat="0" applyAlignment="0" applyProtection="0"/>
    <xf numFmtId="0" fontId="25" fillId="13" borderId="153" applyNumberFormat="0" applyAlignment="0" applyProtection="0"/>
    <xf numFmtId="0" fontId="25" fillId="13" borderId="153" applyNumberFormat="0" applyAlignment="0" applyProtection="0"/>
    <xf numFmtId="0" fontId="25" fillId="13" borderId="153" applyNumberFormat="0" applyAlignment="0" applyProtection="0"/>
    <xf numFmtId="0" fontId="25" fillId="13" borderId="153" applyNumberFormat="0" applyAlignment="0" applyProtection="0"/>
    <xf numFmtId="0" fontId="25" fillId="13" borderId="153" applyNumberFormat="0" applyAlignment="0" applyProtection="0"/>
    <xf numFmtId="0" fontId="25" fillId="13" borderId="153" applyNumberFormat="0" applyAlignment="0" applyProtection="0"/>
    <xf numFmtId="0" fontId="25" fillId="13" borderId="153" applyNumberFormat="0" applyAlignment="0" applyProtection="0"/>
    <xf numFmtId="0" fontId="25" fillId="13" borderId="153" applyNumberFormat="0" applyAlignment="0" applyProtection="0"/>
    <xf numFmtId="0" fontId="25" fillId="13" borderId="153" applyNumberFormat="0" applyAlignment="0" applyProtection="0"/>
    <xf numFmtId="0" fontId="25" fillId="13" borderId="153" applyNumberFormat="0" applyAlignment="0" applyProtection="0"/>
    <xf numFmtId="0" fontId="41" fillId="13" borderId="153" applyNumberFormat="0" applyAlignment="0" applyProtection="0"/>
    <xf numFmtId="0" fontId="41" fillId="13" borderId="153" applyNumberFormat="0" applyAlignment="0" applyProtection="0"/>
    <xf numFmtId="0" fontId="41" fillId="13" borderId="153" applyNumberFormat="0" applyAlignment="0" applyProtection="0"/>
    <xf numFmtId="0" fontId="41" fillId="13" borderId="153" applyNumberFormat="0" applyAlignment="0" applyProtection="0"/>
    <xf numFmtId="0" fontId="41" fillId="13" borderId="153" applyNumberFormat="0" applyAlignment="0" applyProtection="0"/>
    <xf numFmtId="0" fontId="41" fillId="13" borderId="153" applyNumberFormat="0" applyAlignment="0" applyProtection="0"/>
    <xf numFmtId="0" fontId="41" fillId="13" borderId="153" applyNumberFormat="0" applyAlignment="0" applyProtection="0"/>
    <xf numFmtId="0" fontId="41" fillId="13" borderId="153" applyNumberFormat="0" applyAlignment="0" applyProtection="0"/>
    <xf numFmtId="0" fontId="41" fillId="13" borderId="153" applyNumberFormat="0" applyAlignment="0" applyProtection="0"/>
    <xf numFmtId="0" fontId="41" fillId="13" borderId="153" applyNumberFormat="0" applyAlignment="0" applyProtection="0"/>
    <xf numFmtId="0" fontId="41" fillId="13" borderId="153" applyNumberFormat="0" applyAlignment="0" applyProtection="0"/>
    <xf numFmtId="0" fontId="41" fillId="13" borderId="153" applyNumberFormat="0" applyAlignment="0" applyProtection="0"/>
    <xf numFmtId="0" fontId="41" fillId="13" borderId="153" applyNumberFormat="0" applyAlignment="0" applyProtection="0"/>
    <xf numFmtId="0" fontId="41" fillId="13" borderId="153" applyNumberFormat="0" applyAlignment="0" applyProtection="0"/>
    <xf numFmtId="0" fontId="41" fillId="13" borderId="153" applyNumberFormat="0" applyAlignment="0" applyProtection="0"/>
    <xf numFmtId="0" fontId="41" fillId="13" borderId="153" applyNumberFormat="0" applyAlignment="0" applyProtection="0"/>
    <xf numFmtId="0" fontId="41" fillId="13" borderId="153" applyNumberFormat="0" applyAlignment="0" applyProtection="0"/>
    <xf numFmtId="0" fontId="41" fillId="13" borderId="153" applyNumberFormat="0" applyAlignment="0" applyProtection="0"/>
    <xf numFmtId="0" fontId="41" fillId="13" borderId="153" applyNumberFormat="0" applyAlignment="0" applyProtection="0"/>
    <xf numFmtId="0" fontId="41" fillId="13" borderId="153" applyNumberFormat="0" applyAlignment="0" applyProtection="0"/>
    <xf numFmtId="0" fontId="41" fillId="13" borderId="153" applyNumberFormat="0" applyAlignment="0" applyProtection="0"/>
    <xf numFmtId="0" fontId="41" fillId="13" borderId="153" applyNumberFormat="0" applyAlignment="0" applyProtection="0"/>
    <xf numFmtId="0" fontId="41" fillId="13" borderId="153" applyNumberFormat="0" applyAlignment="0" applyProtection="0"/>
    <xf numFmtId="0" fontId="41" fillId="13" borderId="153" applyNumberFormat="0" applyAlignment="0" applyProtection="0"/>
    <xf numFmtId="0" fontId="41" fillId="13" borderId="153" applyNumberFormat="0" applyAlignment="0" applyProtection="0"/>
    <xf numFmtId="0" fontId="41" fillId="13" borderId="153" applyNumberFormat="0" applyAlignment="0" applyProtection="0"/>
    <xf numFmtId="0" fontId="41" fillId="13" borderId="153" applyNumberFormat="0" applyAlignment="0" applyProtection="0"/>
    <xf numFmtId="0" fontId="41" fillId="13" borderId="153" applyNumberFormat="0" applyAlignment="0" applyProtection="0"/>
    <xf numFmtId="0" fontId="41" fillId="13" borderId="153" applyNumberFormat="0" applyAlignment="0" applyProtection="0"/>
    <xf numFmtId="0" fontId="41" fillId="13" borderId="153" applyNumberFormat="0" applyAlignment="0" applyProtection="0"/>
    <xf numFmtId="0" fontId="41" fillId="13" borderId="153" applyNumberFormat="0" applyAlignment="0" applyProtection="0"/>
    <xf numFmtId="0" fontId="41" fillId="13" borderId="153" applyNumberFormat="0" applyAlignment="0" applyProtection="0"/>
    <xf numFmtId="0" fontId="41" fillId="13" borderId="153" applyNumberFormat="0" applyAlignment="0" applyProtection="0"/>
    <xf numFmtId="0" fontId="41" fillId="13" borderId="153" applyNumberFormat="0" applyAlignment="0" applyProtection="0"/>
    <xf numFmtId="0" fontId="41" fillId="13" borderId="153" applyNumberFormat="0" applyAlignment="0" applyProtection="0"/>
    <xf numFmtId="0" fontId="41" fillId="13" borderId="153" applyNumberFormat="0" applyAlignment="0" applyProtection="0"/>
    <xf numFmtId="0" fontId="41" fillId="13" borderId="153" applyNumberFormat="0" applyAlignment="0" applyProtection="0"/>
    <xf numFmtId="0" fontId="41" fillId="13" borderId="153" applyNumberFormat="0" applyAlignment="0" applyProtection="0"/>
    <xf numFmtId="0" fontId="41" fillId="13" borderId="153" applyNumberFormat="0" applyAlignment="0" applyProtection="0"/>
    <xf numFmtId="0" fontId="41" fillId="13" borderId="153" applyNumberFormat="0" applyAlignment="0" applyProtection="0"/>
    <xf numFmtId="0" fontId="41" fillId="13" borderId="153" applyNumberFormat="0" applyAlignment="0" applyProtection="0"/>
    <xf numFmtId="0" fontId="41" fillId="13" borderId="153" applyNumberFormat="0" applyAlignment="0" applyProtection="0"/>
    <xf numFmtId="0" fontId="41" fillId="13" borderId="153" applyNumberFormat="0" applyAlignment="0" applyProtection="0"/>
    <xf numFmtId="0" fontId="41" fillId="13" borderId="153" applyNumberFormat="0" applyAlignment="0" applyProtection="0"/>
    <xf numFmtId="0" fontId="41" fillId="13" borderId="153" applyNumberFormat="0" applyAlignment="0" applyProtection="0"/>
    <xf numFmtId="0" fontId="41" fillId="13" borderId="153" applyNumberFormat="0" applyAlignment="0" applyProtection="0"/>
    <xf numFmtId="0" fontId="41" fillId="13" borderId="153" applyNumberFormat="0" applyAlignment="0" applyProtection="0"/>
    <xf numFmtId="0" fontId="41" fillId="13" borderId="153" applyNumberFormat="0" applyAlignment="0" applyProtection="0"/>
    <xf numFmtId="0" fontId="41" fillId="13" borderId="153" applyNumberFormat="0" applyAlignment="0" applyProtection="0"/>
    <xf numFmtId="0" fontId="25" fillId="13" borderId="153" applyNumberFormat="0" applyAlignment="0" applyProtection="0"/>
    <xf numFmtId="0" fontId="25" fillId="13" borderId="153" applyNumberFormat="0" applyAlignment="0" applyProtection="0"/>
    <xf numFmtId="0" fontId="25" fillId="13" borderId="153" applyNumberFormat="0" applyAlignment="0" applyProtection="0"/>
    <xf numFmtId="0" fontId="25" fillId="13" borderId="153" applyNumberFormat="0" applyAlignment="0" applyProtection="0"/>
    <xf numFmtId="0" fontId="25" fillId="13" borderId="153" applyNumberFormat="0" applyAlignment="0" applyProtection="0"/>
    <xf numFmtId="0" fontId="25" fillId="13" borderId="153" applyNumberFormat="0" applyAlignment="0" applyProtection="0"/>
    <xf numFmtId="0" fontId="25" fillId="13" borderId="153" applyNumberFormat="0" applyAlignment="0" applyProtection="0"/>
    <xf numFmtId="0" fontId="25" fillId="13" borderId="153" applyNumberFormat="0" applyAlignment="0" applyProtection="0"/>
    <xf numFmtId="0" fontId="25" fillId="13" borderId="153" applyNumberFormat="0" applyAlignment="0" applyProtection="0"/>
    <xf numFmtId="0" fontId="25" fillId="13" borderId="153" applyNumberFormat="0" applyAlignment="0" applyProtection="0"/>
    <xf numFmtId="0" fontId="25" fillId="13" borderId="153" applyNumberFormat="0" applyAlignment="0" applyProtection="0"/>
    <xf numFmtId="0" fontId="25" fillId="13" borderId="153" applyNumberFormat="0" applyAlignment="0" applyProtection="0"/>
    <xf numFmtId="0" fontId="25" fillId="13" borderId="153" applyNumberFormat="0" applyAlignment="0" applyProtection="0"/>
    <xf numFmtId="0" fontId="25" fillId="13" borderId="153" applyNumberFormat="0" applyAlignment="0" applyProtection="0"/>
    <xf numFmtId="0" fontId="25" fillId="13" borderId="153" applyNumberFormat="0" applyAlignment="0" applyProtection="0"/>
    <xf numFmtId="0" fontId="25" fillId="13" borderId="153" applyNumberFormat="0" applyAlignment="0" applyProtection="0"/>
    <xf numFmtId="0" fontId="25" fillId="13" borderId="153" applyNumberFormat="0" applyAlignment="0" applyProtection="0"/>
    <xf numFmtId="0" fontId="25" fillId="13" borderId="153" applyNumberFormat="0" applyAlignment="0" applyProtection="0"/>
    <xf numFmtId="0" fontId="25" fillId="13" borderId="153" applyNumberFormat="0" applyAlignment="0" applyProtection="0"/>
    <xf numFmtId="0" fontId="25" fillId="13" borderId="153" applyNumberFormat="0" applyAlignment="0" applyProtection="0"/>
    <xf numFmtId="0" fontId="25" fillId="13" borderId="153" applyNumberFormat="0" applyAlignment="0" applyProtection="0"/>
    <xf numFmtId="0" fontId="25" fillId="13" borderId="153" applyNumberFormat="0" applyAlignment="0" applyProtection="0"/>
    <xf numFmtId="0" fontId="25" fillId="13" borderId="153" applyNumberFormat="0" applyAlignment="0" applyProtection="0"/>
    <xf numFmtId="0" fontId="25" fillId="13" borderId="153" applyNumberFormat="0" applyAlignment="0" applyProtection="0"/>
    <xf numFmtId="0" fontId="25" fillId="13" borderId="153" applyNumberFormat="0" applyAlignment="0" applyProtection="0"/>
    <xf numFmtId="0" fontId="25" fillId="13" borderId="153" applyNumberFormat="0" applyAlignment="0" applyProtection="0"/>
    <xf numFmtId="0" fontId="25" fillId="13" borderId="153" applyNumberFormat="0" applyAlignment="0" applyProtection="0"/>
    <xf numFmtId="0" fontId="25" fillId="13" borderId="153" applyNumberFormat="0" applyAlignment="0" applyProtection="0"/>
    <xf numFmtId="0" fontId="25" fillId="13" borderId="153" applyNumberFormat="0" applyAlignment="0" applyProtection="0"/>
    <xf numFmtId="0" fontId="25" fillId="13" borderId="153" applyNumberFormat="0" applyAlignment="0" applyProtection="0"/>
    <xf numFmtId="0" fontId="25" fillId="13" borderId="153" applyNumberFormat="0" applyAlignment="0" applyProtection="0"/>
    <xf numFmtId="0" fontId="25" fillId="13" borderId="153" applyNumberFormat="0" applyAlignment="0" applyProtection="0"/>
    <xf numFmtId="0" fontId="25" fillId="13" borderId="153" applyNumberFormat="0" applyAlignment="0" applyProtection="0"/>
    <xf numFmtId="0" fontId="25" fillId="13" borderId="153" applyNumberFormat="0" applyAlignment="0" applyProtection="0"/>
    <xf numFmtId="0" fontId="25" fillId="13" borderId="153" applyNumberFormat="0" applyAlignment="0" applyProtection="0"/>
    <xf numFmtId="0" fontId="25" fillId="13" borderId="153" applyNumberFormat="0" applyAlignment="0" applyProtection="0"/>
    <xf numFmtId="0" fontId="25" fillId="13" borderId="153" applyNumberFormat="0" applyAlignment="0" applyProtection="0"/>
    <xf numFmtId="0" fontId="25" fillId="13" borderId="153" applyNumberFormat="0" applyAlignment="0" applyProtection="0"/>
    <xf numFmtId="0" fontId="25" fillId="13" borderId="153" applyNumberFormat="0" applyAlignment="0" applyProtection="0"/>
    <xf numFmtId="0" fontId="25" fillId="13" borderId="153" applyNumberFormat="0" applyAlignment="0" applyProtection="0"/>
    <xf numFmtId="0" fontId="25" fillId="13" borderId="153" applyNumberFormat="0" applyAlignment="0" applyProtection="0"/>
    <xf numFmtId="0" fontId="25" fillId="13" borderId="153" applyNumberFormat="0" applyAlignment="0" applyProtection="0"/>
    <xf numFmtId="0" fontId="25" fillId="13" borderId="153" applyNumberFormat="0" applyAlignment="0" applyProtection="0"/>
    <xf numFmtId="0" fontId="25" fillId="13" borderId="153" applyNumberFormat="0" applyAlignment="0" applyProtection="0"/>
    <xf numFmtId="0" fontId="25" fillId="13" borderId="153" applyNumberFormat="0" applyAlignment="0" applyProtection="0"/>
    <xf numFmtId="0" fontId="25" fillId="13" borderId="153" applyNumberFormat="0" applyAlignment="0" applyProtection="0"/>
    <xf numFmtId="0" fontId="25" fillId="13" borderId="153" applyNumberFormat="0" applyAlignment="0" applyProtection="0"/>
    <xf numFmtId="0" fontId="25" fillId="13" borderId="153" applyNumberFormat="0" applyAlignment="0" applyProtection="0"/>
    <xf numFmtId="0" fontId="25" fillId="13" borderId="153" applyNumberFormat="0" applyAlignment="0" applyProtection="0"/>
    <xf numFmtId="0" fontId="41" fillId="13" borderId="153" applyNumberFormat="0" applyAlignment="0" applyProtection="0"/>
    <xf numFmtId="0" fontId="41" fillId="13" borderId="153" applyNumberFormat="0" applyAlignment="0" applyProtection="0"/>
    <xf numFmtId="0" fontId="41" fillId="13" borderId="153" applyNumberFormat="0" applyAlignment="0" applyProtection="0"/>
    <xf numFmtId="0" fontId="41" fillId="13" borderId="153" applyNumberFormat="0" applyAlignment="0" applyProtection="0"/>
    <xf numFmtId="0" fontId="41" fillId="13" borderId="153" applyNumberFormat="0" applyAlignment="0" applyProtection="0"/>
    <xf numFmtId="0" fontId="41" fillId="13" borderId="153" applyNumberFormat="0" applyAlignment="0" applyProtection="0"/>
    <xf numFmtId="0" fontId="41" fillId="13" borderId="153" applyNumberFormat="0" applyAlignment="0" applyProtection="0"/>
    <xf numFmtId="0" fontId="41" fillId="13" borderId="153" applyNumberFormat="0" applyAlignment="0" applyProtection="0"/>
    <xf numFmtId="0" fontId="41" fillId="13" borderId="153" applyNumberFormat="0" applyAlignment="0" applyProtection="0"/>
    <xf numFmtId="0" fontId="41" fillId="13" borderId="153" applyNumberFormat="0" applyAlignment="0" applyProtection="0"/>
    <xf numFmtId="0" fontId="41" fillId="13" borderId="153" applyNumberFormat="0" applyAlignment="0" applyProtection="0"/>
    <xf numFmtId="0" fontId="41" fillId="13" borderId="153" applyNumberFormat="0" applyAlignment="0" applyProtection="0"/>
    <xf numFmtId="0" fontId="41" fillId="13" borderId="153" applyNumberFormat="0" applyAlignment="0" applyProtection="0"/>
    <xf numFmtId="0" fontId="41" fillId="13" borderId="153" applyNumberFormat="0" applyAlignment="0" applyProtection="0"/>
    <xf numFmtId="0" fontId="41" fillId="13" borderId="153" applyNumberFormat="0" applyAlignment="0" applyProtection="0"/>
    <xf numFmtId="0" fontId="41" fillId="13" borderId="153" applyNumberFormat="0" applyAlignment="0" applyProtection="0"/>
    <xf numFmtId="0" fontId="41" fillId="13" borderId="153" applyNumberFormat="0" applyAlignment="0" applyProtection="0"/>
    <xf numFmtId="0" fontId="41" fillId="13" borderId="153" applyNumberFormat="0" applyAlignment="0" applyProtection="0"/>
    <xf numFmtId="0" fontId="41" fillId="13" borderId="153" applyNumberFormat="0" applyAlignment="0" applyProtection="0"/>
    <xf numFmtId="0" fontId="41" fillId="13" borderId="153" applyNumberFormat="0" applyAlignment="0" applyProtection="0"/>
    <xf numFmtId="0" fontId="41" fillId="13" borderId="153" applyNumberFormat="0" applyAlignment="0" applyProtection="0"/>
    <xf numFmtId="0" fontId="41" fillId="13" borderId="153" applyNumberFormat="0" applyAlignment="0" applyProtection="0"/>
    <xf numFmtId="0" fontId="41" fillId="13" borderId="153" applyNumberFormat="0" applyAlignment="0" applyProtection="0"/>
    <xf numFmtId="0" fontId="41" fillId="13" borderId="153" applyNumberFormat="0" applyAlignment="0" applyProtection="0"/>
    <xf numFmtId="0" fontId="41" fillId="13" borderId="153" applyNumberFormat="0" applyAlignment="0" applyProtection="0"/>
    <xf numFmtId="0" fontId="41" fillId="13" borderId="153" applyNumberFormat="0" applyAlignment="0" applyProtection="0"/>
    <xf numFmtId="0" fontId="41" fillId="13" borderId="153" applyNumberFormat="0" applyAlignment="0" applyProtection="0"/>
    <xf numFmtId="0" fontId="41" fillId="13" borderId="153" applyNumberFormat="0" applyAlignment="0" applyProtection="0"/>
    <xf numFmtId="0" fontId="41" fillId="13" borderId="153" applyNumberFormat="0" applyAlignment="0" applyProtection="0"/>
    <xf numFmtId="0" fontId="41" fillId="13" borderId="153" applyNumberFormat="0" applyAlignment="0" applyProtection="0"/>
    <xf numFmtId="0" fontId="41" fillId="13" borderId="153" applyNumberFormat="0" applyAlignment="0" applyProtection="0"/>
    <xf numFmtId="0" fontId="41" fillId="13" borderId="153" applyNumberFormat="0" applyAlignment="0" applyProtection="0"/>
    <xf numFmtId="0" fontId="41" fillId="13" borderId="153" applyNumberFormat="0" applyAlignment="0" applyProtection="0"/>
    <xf numFmtId="0" fontId="41" fillId="13" borderId="153" applyNumberFormat="0" applyAlignment="0" applyProtection="0"/>
    <xf numFmtId="0" fontId="41" fillId="13" borderId="153" applyNumberFormat="0" applyAlignment="0" applyProtection="0"/>
    <xf numFmtId="0" fontId="41" fillId="13" borderId="153" applyNumberFormat="0" applyAlignment="0" applyProtection="0"/>
    <xf numFmtId="0" fontId="41" fillId="13" borderId="153" applyNumberFormat="0" applyAlignment="0" applyProtection="0"/>
    <xf numFmtId="0" fontId="41" fillId="13" borderId="153" applyNumberFormat="0" applyAlignment="0" applyProtection="0"/>
    <xf numFmtId="0" fontId="41" fillId="13" borderId="153" applyNumberFormat="0" applyAlignment="0" applyProtection="0"/>
    <xf numFmtId="0" fontId="41" fillId="13" borderId="153" applyNumberFormat="0" applyAlignment="0" applyProtection="0"/>
    <xf numFmtId="0" fontId="41" fillId="13" borderId="153" applyNumberFormat="0" applyAlignment="0" applyProtection="0"/>
    <xf numFmtId="0" fontId="41" fillId="13" borderId="153" applyNumberFormat="0" applyAlignment="0" applyProtection="0"/>
    <xf numFmtId="0" fontId="41" fillId="13" borderId="153" applyNumberFormat="0" applyAlignment="0" applyProtection="0"/>
    <xf numFmtId="0" fontId="41" fillId="13" borderId="153" applyNumberFormat="0" applyAlignment="0" applyProtection="0"/>
    <xf numFmtId="0" fontId="41" fillId="13" borderId="153" applyNumberFormat="0" applyAlignment="0" applyProtection="0"/>
    <xf numFmtId="0" fontId="41" fillId="13" borderId="153" applyNumberFormat="0" applyAlignment="0" applyProtection="0"/>
    <xf numFmtId="0" fontId="41" fillId="13" borderId="153" applyNumberFormat="0" applyAlignment="0" applyProtection="0"/>
    <xf numFmtId="0" fontId="41" fillId="13" borderId="153" applyNumberFormat="0" applyAlignment="0" applyProtection="0"/>
    <xf numFmtId="0" fontId="41" fillId="13" borderId="153" applyNumberFormat="0" applyAlignment="0" applyProtection="0"/>
    <xf numFmtId="0" fontId="25" fillId="13" borderId="153" applyNumberFormat="0" applyAlignment="0" applyProtection="0"/>
    <xf numFmtId="0" fontId="25" fillId="13" borderId="153" applyNumberFormat="0" applyAlignment="0" applyProtection="0"/>
    <xf numFmtId="0" fontId="25" fillId="13" borderId="153" applyNumberFormat="0" applyAlignment="0" applyProtection="0"/>
    <xf numFmtId="0" fontId="25" fillId="13" borderId="153" applyNumberFormat="0" applyAlignment="0" applyProtection="0"/>
    <xf numFmtId="0" fontId="25" fillId="13" borderId="153" applyNumberFormat="0" applyAlignment="0" applyProtection="0"/>
    <xf numFmtId="0" fontId="25" fillId="13" borderId="153" applyNumberFormat="0" applyAlignment="0" applyProtection="0"/>
    <xf numFmtId="0" fontId="25" fillId="13" borderId="153" applyNumberFormat="0" applyAlignment="0" applyProtection="0"/>
    <xf numFmtId="0" fontId="25" fillId="13" borderId="153" applyNumberFormat="0" applyAlignment="0" applyProtection="0"/>
    <xf numFmtId="0" fontId="25" fillId="13" borderId="153" applyNumberFormat="0" applyAlignment="0" applyProtection="0"/>
    <xf numFmtId="0" fontId="25" fillId="13" borderId="153" applyNumberFormat="0" applyAlignment="0" applyProtection="0"/>
    <xf numFmtId="0" fontId="25" fillId="13" borderId="153" applyNumberFormat="0" applyAlignment="0" applyProtection="0"/>
    <xf numFmtId="0" fontId="25" fillId="13" borderId="153" applyNumberFormat="0" applyAlignment="0" applyProtection="0"/>
    <xf numFmtId="0" fontId="25" fillId="13" borderId="153" applyNumberFormat="0" applyAlignment="0" applyProtection="0"/>
    <xf numFmtId="0" fontId="25" fillId="13" borderId="153" applyNumberFormat="0" applyAlignment="0" applyProtection="0"/>
    <xf numFmtId="0" fontId="25" fillId="13" borderId="153" applyNumberFormat="0" applyAlignment="0" applyProtection="0"/>
    <xf numFmtId="0" fontId="25" fillId="13" borderId="153" applyNumberFormat="0" applyAlignment="0" applyProtection="0"/>
    <xf numFmtId="0" fontId="25" fillId="13" borderId="153" applyNumberFormat="0" applyAlignment="0" applyProtection="0"/>
    <xf numFmtId="0" fontId="25" fillId="13" borderId="153" applyNumberFormat="0" applyAlignment="0" applyProtection="0"/>
    <xf numFmtId="0" fontId="25" fillId="13" borderId="153" applyNumberFormat="0" applyAlignment="0" applyProtection="0"/>
    <xf numFmtId="0" fontId="25" fillId="13" borderId="153" applyNumberFormat="0" applyAlignment="0" applyProtection="0"/>
    <xf numFmtId="0" fontId="25" fillId="13" borderId="153" applyNumberFormat="0" applyAlignment="0" applyProtection="0"/>
    <xf numFmtId="0" fontId="25" fillId="13" borderId="153" applyNumberFormat="0" applyAlignment="0" applyProtection="0"/>
    <xf numFmtId="0" fontId="25" fillId="13" borderId="153" applyNumberFormat="0" applyAlignment="0" applyProtection="0"/>
    <xf numFmtId="0" fontId="25" fillId="13" borderId="153" applyNumberFormat="0" applyAlignment="0" applyProtection="0"/>
    <xf numFmtId="0" fontId="25" fillId="13" borderId="153" applyNumberFormat="0" applyAlignment="0" applyProtection="0"/>
    <xf numFmtId="0" fontId="25" fillId="13" borderId="153" applyNumberFormat="0" applyAlignment="0" applyProtection="0"/>
    <xf numFmtId="0" fontId="25" fillId="13" borderId="153" applyNumberFormat="0" applyAlignment="0" applyProtection="0"/>
    <xf numFmtId="0" fontId="25" fillId="13" borderId="153" applyNumberFormat="0" applyAlignment="0" applyProtection="0"/>
    <xf numFmtId="0" fontId="25" fillId="13" borderId="153" applyNumberFormat="0" applyAlignment="0" applyProtection="0"/>
    <xf numFmtId="0" fontId="25" fillId="13" borderId="153" applyNumberFormat="0" applyAlignment="0" applyProtection="0"/>
    <xf numFmtId="0" fontId="25" fillId="13" borderId="153" applyNumberFormat="0" applyAlignment="0" applyProtection="0"/>
    <xf numFmtId="0" fontId="25" fillId="13" borderId="153" applyNumberFormat="0" applyAlignment="0" applyProtection="0"/>
    <xf numFmtId="0" fontId="25" fillId="13" borderId="153" applyNumberFormat="0" applyAlignment="0" applyProtection="0"/>
    <xf numFmtId="0" fontId="25" fillId="13" borderId="153" applyNumberFormat="0" applyAlignment="0" applyProtection="0"/>
    <xf numFmtId="0" fontId="25" fillId="13" borderId="153" applyNumberFormat="0" applyAlignment="0" applyProtection="0"/>
    <xf numFmtId="0" fontId="25" fillId="13" borderId="153" applyNumberFormat="0" applyAlignment="0" applyProtection="0"/>
    <xf numFmtId="0" fontId="25" fillId="13" borderId="153" applyNumberFormat="0" applyAlignment="0" applyProtection="0"/>
    <xf numFmtId="0" fontId="25" fillId="13" borderId="153" applyNumberFormat="0" applyAlignment="0" applyProtection="0"/>
    <xf numFmtId="0" fontId="25" fillId="13" borderId="153" applyNumberFormat="0" applyAlignment="0" applyProtection="0"/>
    <xf numFmtId="0" fontId="25" fillId="13" borderId="153" applyNumberFormat="0" applyAlignment="0" applyProtection="0"/>
    <xf numFmtId="0" fontId="25" fillId="13" borderId="153" applyNumberFormat="0" applyAlignment="0" applyProtection="0"/>
    <xf numFmtId="0" fontId="25" fillId="13" borderId="153" applyNumberFormat="0" applyAlignment="0" applyProtection="0"/>
    <xf numFmtId="0" fontId="25" fillId="13" borderId="153" applyNumberFormat="0" applyAlignment="0" applyProtection="0"/>
    <xf numFmtId="0" fontId="25" fillId="13" borderId="153" applyNumberFormat="0" applyAlignment="0" applyProtection="0"/>
    <xf numFmtId="0" fontId="25" fillId="13" borderId="153" applyNumberFormat="0" applyAlignment="0" applyProtection="0"/>
    <xf numFmtId="0" fontId="25" fillId="13" borderId="153" applyNumberFormat="0" applyAlignment="0" applyProtection="0"/>
    <xf numFmtId="0" fontId="25" fillId="13" borderId="153" applyNumberFormat="0" applyAlignment="0" applyProtection="0"/>
    <xf numFmtId="0" fontId="25" fillId="13" borderId="153" applyNumberFormat="0" applyAlignment="0" applyProtection="0"/>
    <xf numFmtId="0" fontId="25" fillId="13" borderId="153" applyNumberFormat="0" applyAlignment="0" applyProtection="0"/>
    <xf numFmtId="0" fontId="25" fillId="8" borderId="153" applyNumberFormat="0" applyAlignment="0" applyProtection="0"/>
    <xf numFmtId="0" fontId="25" fillId="8" borderId="153" applyNumberFormat="0" applyAlignment="0" applyProtection="0"/>
    <xf numFmtId="0" fontId="25" fillId="8" borderId="153" applyNumberFormat="0" applyAlignment="0" applyProtection="0"/>
    <xf numFmtId="0" fontId="25" fillId="8" borderId="153" applyNumberFormat="0" applyAlignment="0" applyProtection="0"/>
    <xf numFmtId="0" fontId="25" fillId="8" borderId="153" applyNumberFormat="0" applyAlignment="0" applyProtection="0"/>
    <xf numFmtId="0" fontId="25" fillId="8" borderId="153" applyNumberFormat="0" applyAlignment="0" applyProtection="0"/>
    <xf numFmtId="0" fontId="25" fillId="8" borderId="153" applyNumberFormat="0" applyAlignment="0" applyProtection="0"/>
    <xf numFmtId="0" fontId="25" fillId="8" borderId="153" applyNumberFormat="0" applyAlignment="0" applyProtection="0"/>
    <xf numFmtId="0" fontId="25" fillId="8" borderId="153" applyNumberFormat="0" applyAlignment="0" applyProtection="0"/>
    <xf numFmtId="0" fontId="25" fillId="8" borderId="153" applyNumberFormat="0" applyAlignment="0" applyProtection="0"/>
    <xf numFmtId="0" fontId="25" fillId="8" borderId="153" applyNumberFormat="0" applyAlignment="0" applyProtection="0"/>
    <xf numFmtId="0" fontId="25" fillId="8" borderId="153" applyNumberFormat="0" applyAlignment="0" applyProtection="0"/>
    <xf numFmtId="0" fontId="25" fillId="8" borderId="153" applyNumberFormat="0" applyAlignment="0" applyProtection="0"/>
    <xf numFmtId="0" fontId="25" fillId="8" borderId="153" applyNumberFormat="0" applyAlignment="0" applyProtection="0"/>
    <xf numFmtId="0" fontId="25" fillId="8" borderId="153" applyNumberFormat="0" applyAlignment="0" applyProtection="0"/>
    <xf numFmtId="0" fontId="25" fillId="8" borderId="153" applyNumberFormat="0" applyAlignment="0" applyProtection="0"/>
    <xf numFmtId="0" fontId="25" fillId="8" borderId="153" applyNumberFormat="0" applyAlignment="0" applyProtection="0"/>
    <xf numFmtId="0" fontId="25" fillId="8" borderId="153" applyNumberFormat="0" applyAlignment="0" applyProtection="0"/>
    <xf numFmtId="0" fontId="25" fillId="8" borderId="153" applyNumberFormat="0" applyAlignment="0" applyProtection="0"/>
    <xf numFmtId="0" fontId="25" fillId="8" borderId="153" applyNumberFormat="0" applyAlignment="0" applyProtection="0"/>
    <xf numFmtId="0" fontId="25" fillId="8" borderId="153" applyNumberFormat="0" applyAlignment="0" applyProtection="0"/>
    <xf numFmtId="0" fontId="25" fillId="8" borderId="153" applyNumberFormat="0" applyAlignment="0" applyProtection="0"/>
    <xf numFmtId="0" fontId="25" fillId="8" borderId="153" applyNumberFormat="0" applyAlignment="0" applyProtection="0"/>
    <xf numFmtId="0" fontId="25" fillId="8" borderId="153" applyNumberFormat="0" applyAlignment="0" applyProtection="0"/>
    <xf numFmtId="0" fontId="25" fillId="8" borderId="153" applyNumberFormat="0" applyAlignment="0" applyProtection="0"/>
    <xf numFmtId="0" fontId="25" fillId="8" borderId="153" applyNumberFormat="0" applyAlignment="0" applyProtection="0"/>
    <xf numFmtId="0" fontId="25" fillId="8" borderId="153" applyNumberFormat="0" applyAlignment="0" applyProtection="0"/>
    <xf numFmtId="0" fontId="25" fillId="8" borderId="153" applyNumberFormat="0" applyAlignment="0" applyProtection="0"/>
    <xf numFmtId="0" fontId="25" fillId="8" borderId="153" applyNumberFormat="0" applyAlignment="0" applyProtection="0"/>
    <xf numFmtId="0" fontId="25" fillId="8" borderId="153" applyNumberFormat="0" applyAlignment="0" applyProtection="0"/>
    <xf numFmtId="0" fontId="25" fillId="8" borderId="153" applyNumberFormat="0" applyAlignment="0" applyProtection="0"/>
    <xf numFmtId="0" fontId="25" fillId="8" borderId="153" applyNumberFormat="0" applyAlignment="0" applyProtection="0"/>
    <xf numFmtId="0" fontId="25" fillId="8" borderId="153" applyNumberFormat="0" applyAlignment="0" applyProtection="0"/>
    <xf numFmtId="0" fontId="25" fillId="8" borderId="153" applyNumberFormat="0" applyAlignment="0" applyProtection="0"/>
    <xf numFmtId="0" fontId="25" fillId="8" borderId="153" applyNumberFormat="0" applyAlignment="0" applyProtection="0"/>
    <xf numFmtId="0" fontId="25" fillId="8" borderId="153" applyNumberFormat="0" applyAlignment="0" applyProtection="0"/>
    <xf numFmtId="0" fontId="25" fillId="8" borderId="153" applyNumberFormat="0" applyAlignment="0" applyProtection="0"/>
    <xf numFmtId="0" fontId="25" fillId="8" borderId="153" applyNumberFormat="0" applyAlignment="0" applyProtection="0"/>
    <xf numFmtId="0" fontId="25" fillId="8" borderId="153" applyNumberFormat="0" applyAlignment="0" applyProtection="0"/>
    <xf numFmtId="0" fontId="25" fillId="8" borderId="153" applyNumberFormat="0" applyAlignment="0" applyProtection="0"/>
    <xf numFmtId="0" fontId="25" fillId="8" borderId="153" applyNumberFormat="0" applyAlignment="0" applyProtection="0"/>
    <xf numFmtId="0" fontId="25" fillId="8" borderId="153" applyNumberFormat="0" applyAlignment="0" applyProtection="0"/>
    <xf numFmtId="0" fontId="25" fillId="8" borderId="153" applyNumberFormat="0" applyAlignment="0" applyProtection="0"/>
    <xf numFmtId="0" fontId="25" fillId="8" borderId="153" applyNumberFormat="0" applyAlignment="0" applyProtection="0"/>
    <xf numFmtId="0" fontId="25" fillId="8" borderId="153" applyNumberFormat="0" applyAlignment="0" applyProtection="0"/>
    <xf numFmtId="0" fontId="25" fillId="8" borderId="153" applyNumberFormat="0" applyAlignment="0" applyProtection="0"/>
    <xf numFmtId="0" fontId="25" fillId="8" borderId="153" applyNumberFormat="0" applyAlignment="0" applyProtection="0"/>
    <xf numFmtId="0" fontId="25" fillId="8" borderId="153" applyNumberFormat="0" applyAlignment="0" applyProtection="0"/>
    <xf numFmtId="0" fontId="25" fillId="8" borderId="153" applyNumberFormat="0" applyAlignment="0" applyProtection="0"/>
    <xf numFmtId="0" fontId="25" fillId="8" borderId="153" applyNumberFormat="0" applyAlignment="0" applyProtection="0"/>
    <xf numFmtId="0" fontId="25" fillId="8" borderId="153" applyNumberFormat="0" applyAlignment="0" applyProtection="0"/>
    <xf numFmtId="0" fontId="25" fillId="8" borderId="153" applyNumberFormat="0" applyAlignment="0" applyProtection="0"/>
    <xf numFmtId="0" fontId="25" fillId="8" borderId="153" applyNumberFormat="0" applyAlignment="0" applyProtection="0"/>
    <xf numFmtId="0" fontId="25" fillId="8" borderId="153" applyNumberFormat="0" applyAlignment="0" applyProtection="0"/>
    <xf numFmtId="0" fontId="25" fillId="8" borderId="153" applyNumberFormat="0" applyAlignment="0" applyProtection="0"/>
    <xf numFmtId="0" fontId="25" fillId="8" borderId="153" applyNumberFormat="0" applyAlignment="0" applyProtection="0"/>
    <xf numFmtId="0" fontId="25" fillId="8" borderId="153" applyNumberFormat="0" applyAlignment="0" applyProtection="0"/>
    <xf numFmtId="0" fontId="25" fillId="8" borderId="153" applyNumberFormat="0" applyAlignment="0" applyProtection="0"/>
    <xf numFmtId="0" fontId="25" fillId="8" borderId="153" applyNumberFormat="0" applyAlignment="0" applyProtection="0"/>
    <xf numFmtId="0" fontId="25" fillId="8" borderId="153" applyNumberFormat="0" applyAlignment="0" applyProtection="0"/>
    <xf numFmtId="0" fontId="25" fillId="8" borderId="153" applyNumberFormat="0" applyAlignment="0" applyProtection="0"/>
    <xf numFmtId="0" fontId="25" fillId="8" borderId="153" applyNumberFormat="0" applyAlignment="0" applyProtection="0"/>
    <xf numFmtId="0" fontId="25" fillId="8" borderId="153" applyNumberFormat="0" applyAlignment="0" applyProtection="0"/>
    <xf numFmtId="0" fontId="25" fillId="8" borderId="153" applyNumberFormat="0" applyAlignment="0" applyProtection="0"/>
    <xf numFmtId="0" fontId="25" fillId="8" borderId="153" applyNumberFormat="0" applyAlignment="0" applyProtection="0"/>
    <xf numFmtId="0" fontId="25" fillId="8" borderId="153" applyNumberFormat="0" applyAlignment="0" applyProtection="0"/>
    <xf numFmtId="0" fontId="25" fillId="8" borderId="153" applyNumberFormat="0" applyAlignment="0" applyProtection="0"/>
    <xf numFmtId="0" fontId="25" fillId="8" borderId="153" applyNumberFormat="0" applyAlignment="0" applyProtection="0"/>
    <xf numFmtId="0" fontId="25" fillId="8" borderId="153" applyNumberFormat="0" applyAlignment="0" applyProtection="0"/>
    <xf numFmtId="0" fontId="25" fillId="8" borderId="153" applyNumberFormat="0" applyAlignment="0" applyProtection="0"/>
    <xf numFmtId="0" fontId="25" fillId="8" borderId="153" applyNumberFormat="0" applyAlignment="0" applyProtection="0"/>
    <xf numFmtId="0" fontId="25" fillId="8" borderId="153" applyNumberFormat="0" applyAlignment="0" applyProtection="0"/>
    <xf numFmtId="0" fontId="25" fillId="8" borderId="153" applyNumberFormat="0" applyAlignment="0" applyProtection="0"/>
    <xf numFmtId="0" fontId="25" fillId="8" borderId="153" applyNumberFormat="0" applyAlignment="0" applyProtection="0"/>
    <xf numFmtId="0" fontId="25" fillId="8" borderId="153" applyNumberFormat="0" applyAlignment="0" applyProtection="0"/>
    <xf numFmtId="0" fontId="25" fillId="8" borderId="153" applyNumberFormat="0" applyAlignment="0" applyProtection="0"/>
    <xf numFmtId="0" fontId="25" fillId="8" borderId="153" applyNumberFormat="0" applyAlignment="0" applyProtection="0"/>
    <xf numFmtId="0" fontId="84" fillId="73" borderId="157"/>
    <xf numFmtId="0" fontId="84" fillId="73" borderId="157"/>
    <xf numFmtId="0" fontId="84" fillId="73" borderId="157"/>
    <xf numFmtId="0" fontId="84" fillId="73" borderId="157"/>
    <xf numFmtId="0" fontId="84" fillId="73" borderId="157"/>
    <xf numFmtId="0" fontId="84" fillId="73" borderId="157"/>
    <xf numFmtId="0" fontId="84" fillId="73" borderId="157"/>
    <xf numFmtId="0" fontId="84" fillId="73" borderId="157"/>
    <xf numFmtId="0" fontId="84" fillId="73" borderId="157"/>
    <xf numFmtId="0" fontId="84" fillId="73" borderId="157"/>
    <xf numFmtId="0" fontId="84" fillId="73" borderId="157"/>
    <xf numFmtId="0" fontId="84" fillId="73" borderId="157"/>
    <xf numFmtId="0" fontId="84" fillId="73" borderId="157"/>
    <xf numFmtId="0" fontId="84" fillId="73" borderId="157"/>
    <xf numFmtId="0" fontId="84" fillId="73" borderId="157"/>
    <xf numFmtId="0" fontId="84" fillId="73" borderId="157"/>
    <xf numFmtId="0" fontId="84" fillId="73" borderId="157"/>
    <xf numFmtId="0" fontId="84" fillId="73" borderId="157"/>
    <xf numFmtId="0" fontId="84" fillId="73" borderId="157"/>
    <xf numFmtId="0" fontId="84" fillId="73" borderId="157"/>
    <xf numFmtId="0" fontId="84" fillId="73" borderId="157"/>
    <xf numFmtId="0" fontId="84" fillId="73" borderId="157"/>
    <xf numFmtId="0" fontId="84" fillId="73" borderId="157"/>
    <xf numFmtId="0" fontId="84" fillId="73" borderId="157"/>
    <xf numFmtId="0" fontId="84" fillId="73" borderId="157"/>
    <xf numFmtId="0" fontId="84" fillId="73" borderId="157"/>
    <xf numFmtId="0" fontId="84" fillId="73" borderId="157"/>
    <xf numFmtId="0" fontId="84" fillId="73" borderId="157"/>
    <xf numFmtId="0" fontId="84" fillId="73" borderId="157"/>
    <xf numFmtId="0" fontId="84" fillId="73" borderId="157"/>
    <xf numFmtId="0" fontId="84" fillId="73" borderId="157"/>
    <xf numFmtId="0" fontId="84" fillId="73" borderId="157"/>
    <xf numFmtId="0" fontId="84" fillId="73" borderId="157"/>
    <xf numFmtId="0" fontId="84" fillId="73" borderId="157"/>
    <xf numFmtId="0" fontId="84" fillId="73" borderId="157"/>
    <xf numFmtId="0" fontId="84" fillId="73" borderId="157"/>
    <xf numFmtId="0" fontId="84" fillId="73" borderId="157"/>
    <xf numFmtId="0" fontId="84" fillId="73" borderId="157"/>
    <xf numFmtId="0" fontId="84" fillId="73" borderId="157"/>
    <xf numFmtId="0" fontId="84" fillId="73" borderId="157"/>
    <xf numFmtId="0" fontId="84" fillId="73" borderId="157"/>
    <xf numFmtId="0" fontId="84" fillId="73" borderId="157"/>
    <xf numFmtId="0" fontId="84" fillId="73" borderId="157"/>
    <xf numFmtId="0" fontId="84" fillId="73" borderId="157"/>
    <xf numFmtId="0" fontId="84" fillId="73" borderId="157"/>
    <xf numFmtId="0" fontId="72" fillId="0" borderId="141" applyBorder="0">
      <alignment horizontal="center" vertical="center" wrapText="1"/>
    </xf>
    <xf numFmtId="0" fontId="72" fillId="0" borderId="141" applyBorder="0">
      <alignment horizontal="center" vertical="center" wrapText="1"/>
    </xf>
    <xf numFmtId="0" fontId="72" fillId="0" borderId="141" applyBorder="0">
      <alignment horizontal="center" vertical="center" wrapText="1"/>
    </xf>
    <xf numFmtId="0" fontId="72" fillId="0" borderId="141" applyBorder="0">
      <alignment horizontal="center" vertical="center" wrapText="1"/>
    </xf>
    <xf numFmtId="0" fontId="72" fillId="0" borderId="141" applyBorder="0">
      <alignment horizontal="center" vertical="center" wrapText="1"/>
    </xf>
    <xf numFmtId="0" fontId="72" fillId="0" borderId="141" applyBorder="0">
      <alignment horizontal="center" vertical="center" wrapText="1"/>
    </xf>
    <xf numFmtId="0" fontId="72" fillId="0" borderId="141" applyBorder="0">
      <alignment horizontal="center" vertical="center" wrapText="1"/>
    </xf>
    <xf numFmtId="0" fontId="72" fillId="0" borderId="141" applyBorder="0">
      <alignment horizontal="center" vertical="center" wrapText="1"/>
    </xf>
    <xf numFmtId="0" fontId="72" fillId="0" borderId="141" applyBorder="0">
      <alignment horizontal="center" vertical="center" wrapText="1"/>
    </xf>
    <xf numFmtId="0" fontId="72" fillId="0" borderId="141" applyBorder="0">
      <alignment horizontal="center" vertical="center" wrapText="1"/>
    </xf>
    <xf numFmtId="0" fontId="72" fillId="0" borderId="141" applyBorder="0">
      <alignment horizontal="center" vertical="center" wrapText="1"/>
    </xf>
    <xf numFmtId="0" fontId="72" fillId="0" borderId="141" applyBorder="0">
      <alignment horizontal="center" vertical="center" wrapText="1"/>
    </xf>
    <xf numFmtId="0" fontId="72" fillId="0" borderId="141" applyBorder="0">
      <alignment horizontal="center" vertical="center" wrapText="1"/>
    </xf>
    <xf numFmtId="0" fontId="72" fillId="0" borderId="141" applyBorder="0">
      <alignment horizontal="center" vertical="center" wrapText="1"/>
    </xf>
    <xf numFmtId="0" fontId="72" fillId="0" borderId="141" applyBorder="0">
      <alignment horizontal="center" vertical="center" wrapText="1"/>
    </xf>
    <xf numFmtId="0" fontId="72" fillId="0" borderId="141" applyBorder="0">
      <alignment horizontal="center" vertical="center" wrapText="1"/>
    </xf>
    <xf numFmtId="0" fontId="72" fillId="0" borderId="141" applyBorder="0">
      <alignment horizontal="center" vertical="center" wrapText="1"/>
    </xf>
    <xf numFmtId="0" fontId="72" fillId="0" borderId="141" applyBorder="0">
      <alignment horizontal="center" vertical="center" wrapText="1"/>
    </xf>
    <xf numFmtId="0" fontId="72" fillId="0" borderId="141" applyBorder="0">
      <alignment horizontal="center" vertical="center" wrapText="1"/>
    </xf>
    <xf numFmtId="0" fontId="72" fillId="0" borderId="141" applyBorder="0">
      <alignment horizontal="center" vertical="center" wrapText="1"/>
    </xf>
    <xf numFmtId="0" fontId="72" fillId="0" borderId="141" applyBorder="0">
      <alignment horizontal="center" vertical="center" wrapText="1"/>
    </xf>
    <xf numFmtId="0" fontId="72" fillId="0" borderId="141" applyBorder="0">
      <alignment horizontal="center" vertical="center" wrapText="1"/>
    </xf>
    <xf numFmtId="0" fontId="72" fillId="0" borderId="141" applyBorder="0">
      <alignment horizontal="center" vertical="center" wrapText="1"/>
    </xf>
    <xf numFmtId="0" fontId="72" fillId="0" borderId="141" applyBorder="0">
      <alignment horizontal="center" vertical="center" wrapText="1"/>
    </xf>
    <xf numFmtId="0" fontId="72" fillId="0" borderId="141" applyBorder="0">
      <alignment horizontal="center" vertical="center" wrapText="1"/>
    </xf>
    <xf numFmtId="0" fontId="72" fillId="0" borderId="141" applyBorder="0">
      <alignment horizontal="center" vertical="center" wrapText="1"/>
    </xf>
    <xf numFmtId="0" fontId="72" fillId="0" borderId="141" applyBorder="0">
      <alignment horizontal="center" vertical="center" wrapText="1"/>
    </xf>
    <xf numFmtId="0" fontId="72" fillId="0" borderId="141" applyBorder="0">
      <alignment horizontal="center" vertical="center" wrapText="1"/>
    </xf>
    <xf numFmtId="0" fontId="72" fillId="0" borderId="141" applyBorder="0">
      <alignment horizontal="center" vertical="center" wrapText="1"/>
    </xf>
    <xf numFmtId="0" fontId="72" fillId="0" borderId="141" applyBorder="0">
      <alignment horizontal="center" vertical="center" wrapText="1"/>
    </xf>
    <xf numFmtId="0" fontId="72" fillId="0" borderId="141" applyBorder="0">
      <alignment horizontal="center" vertical="center" wrapText="1"/>
    </xf>
    <xf numFmtId="0" fontId="72" fillId="0" borderId="141" applyBorder="0">
      <alignment horizontal="center" vertical="center" wrapText="1"/>
    </xf>
    <xf numFmtId="0" fontId="72" fillId="0" borderId="141" applyBorder="0">
      <alignment horizontal="center" vertical="center" wrapText="1"/>
    </xf>
    <xf numFmtId="0" fontId="72" fillId="0" borderId="141" applyBorder="0">
      <alignment horizontal="center" vertical="center" wrapText="1"/>
    </xf>
    <xf numFmtId="0" fontId="72" fillId="0" borderId="141" applyBorder="0">
      <alignment horizontal="center" vertical="center" wrapText="1"/>
    </xf>
    <xf numFmtId="0" fontId="72" fillId="0" borderId="141" applyBorder="0">
      <alignment horizontal="center" vertical="center" wrapText="1"/>
    </xf>
    <xf numFmtId="0" fontId="72" fillId="0" borderId="141" applyBorder="0">
      <alignment horizontal="center" vertical="center" wrapText="1"/>
    </xf>
    <xf numFmtId="0" fontId="72" fillId="0" borderId="141" applyBorder="0">
      <alignment horizontal="center" vertical="center" wrapText="1"/>
    </xf>
    <xf numFmtId="0" fontId="72" fillId="0" borderId="141" applyBorder="0">
      <alignment horizontal="center" vertical="center" wrapText="1"/>
    </xf>
    <xf numFmtId="0" fontId="72" fillId="0" borderId="141" applyBorder="0">
      <alignment horizontal="center" vertical="center" wrapText="1"/>
    </xf>
    <xf numFmtId="0" fontId="72" fillId="0" borderId="141" applyBorder="0">
      <alignment horizontal="center" vertical="center" wrapText="1"/>
    </xf>
    <xf numFmtId="0" fontId="72" fillId="0" borderId="141" applyBorder="0">
      <alignment horizontal="center" vertical="center" wrapText="1"/>
    </xf>
    <xf numFmtId="0" fontId="72" fillId="0" borderId="141" applyBorder="0">
      <alignment horizontal="center" vertical="center" wrapText="1"/>
    </xf>
    <xf numFmtId="0" fontId="72" fillId="0" borderId="141" applyBorder="0">
      <alignment horizontal="center" vertical="center" wrapText="1"/>
    </xf>
    <xf numFmtId="0" fontId="72" fillId="0" borderId="141" applyBorder="0">
      <alignment horizontal="center" vertical="center" wrapText="1"/>
    </xf>
    <xf numFmtId="0" fontId="72" fillId="0" borderId="141" applyBorder="0">
      <alignment horizontal="center" vertical="center" wrapText="1"/>
    </xf>
    <xf numFmtId="0" fontId="72" fillId="0" borderId="141" applyBorder="0">
      <alignment horizontal="center" vertical="center" wrapText="1"/>
    </xf>
    <xf numFmtId="0" fontId="72" fillId="0" borderId="141" applyBorder="0">
      <alignment horizontal="center" vertical="center" wrapText="1"/>
    </xf>
    <xf numFmtId="0" fontId="72" fillId="0" borderId="141" applyBorder="0">
      <alignment horizontal="center" vertical="center" wrapText="1"/>
    </xf>
    <xf numFmtId="0" fontId="72" fillId="0" borderId="141" applyBorder="0">
      <alignment horizontal="center" vertical="center" wrapText="1"/>
    </xf>
    <xf numFmtId="0" fontId="72" fillId="0" borderId="141" applyBorder="0">
      <alignment horizontal="center" vertical="center" wrapText="1"/>
    </xf>
    <xf numFmtId="0" fontId="72" fillId="0" borderId="141" applyBorder="0">
      <alignment horizontal="center" vertical="center" wrapText="1"/>
    </xf>
    <xf numFmtId="0" fontId="72" fillId="0" borderId="141" applyBorder="0">
      <alignment horizontal="center" vertical="center" wrapText="1"/>
    </xf>
    <xf numFmtId="0" fontId="72" fillId="0" borderId="141" applyBorder="0">
      <alignment horizontal="center" vertical="center" wrapText="1"/>
    </xf>
    <xf numFmtId="0" fontId="72" fillId="0" borderId="141" applyBorder="0">
      <alignment horizontal="center" vertical="center" wrapText="1"/>
    </xf>
    <xf numFmtId="0" fontId="72" fillId="0" borderId="141" applyBorder="0">
      <alignment horizontal="center" vertical="center" wrapText="1"/>
    </xf>
    <xf numFmtId="0" fontId="72" fillId="0" borderId="141" applyBorder="0">
      <alignment horizontal="center" vertical="center" wrapText="1"/>
    </xf>
    <xf numFmtId="0" fontId="72" fillId="0" borderId="141" applyBorder="0">
      <alignment horizontal="center" vertical="center" wrapText="1"/>
    </xf>
    <xf numFmtId="0" fontId="72" fillId="0" borderId="141" applyBorder="0">
      <alignment horizontal="center" vertical="center" wrapText="1"/>
    </xf>
    <xf numFmtId="0" fontId="72" fillId="0" borderId="141" applyBorder="0">
      <alignment horizontal="center" vertical="center" wrapText="1"/>
    </xf>
    <xf numFmtId="0" fontId="84" fillId="0" borderId="191"/>
    <xf numFmtId="0" fontId="84" fillId="0" borderId="191"/>
    <xf numFmtId="0" fontId="49" fillId="10" borderId="161" applyNumberFormat="0" applyFont="0" applyAlignment="0" applyProtection="0"/>
    <xf numFmtId="0" fontId="48" fillId="12" borderId="160" applyNumberFormat="0" applyAlignment="0" applyProtection="0"/>
    <xf numFmtId="0" fontId="25" fillId="8" borderId="160" applyNumberFormat="0" applyAlignment="0" applyProtection="0"/>
    <xf numFmtId="0" fontId="31" fillId="0" borderId="158" applyNumberFormat="0" applyFill="0" applyAlignment="0" applyProtection="0"/>
    <xf numFmtId="0" fontId="31" fillId="0" borderId="163" applyNumberFormat="0" applyFill="0" applyAlignment="0" applyProtection="0"/>
    <xf numFmtId="0" fontId="24" fillId="24" borderId="162" applyNumberFormat="0" applyAlignment="0" applyProtection="0"/>
    <xf numFmtId="0" fontId="8" fillId="10" borderId="161" applyNumberFormat="0" applyFont="0" applyAlignment="0" applyProtection="0"/>
    <xf numFmtId="0" fontId="41" fillId="13" borderId="160" applyNumberFormat="0" applyAlignment="0" applyProtection="0"/>
    <xf numFmtId="0" fontId="48" fillId="12" borderId="160" applyNumberFormat="0" applyAlignment="0" applyProtection="0"/>
    <xf numFmtId="0" fontId="48" fillId="24" borderId="160" applyNumberFormat="0" applyAlignment="0" applyProtection="0"/>
    <xf numFmtId="0" fontId="31" fillId="0" borderId="158" applyNumberFormat="0" applyFill="0" applyAlignment="0" applyProtection="0"/>
    <xf numFmtId="0" fontId="48" fillId="24" borderId="160" applyNumberFormat="0" applyAlignment="0" applyProtection="0"/>
    <xf numFmtId="0" fontId="49" fillId="10" borderId="161" applyNumberFormat="0" applyFont="0" applyAlignment="0" applyProtection="0"/>
    <xf numFmtId="0" fontId="29" fillId="12" borderId="159" applyNumberFormat="0" applyAlignment="0" applyProtection="0"/>
    <xf numFmtId="0" fontId="8" fillId="10" borderId="161" applyNumberFormat="0" applyFont="0" applyAlignment="0" applyProtection="0"/>
    <xf numFmtId="0" fontId="8" fillId="10" borderId="154" applyNumberFormat="0" applyFont="0" applyAlignment="0" applyProtection="0"/>
    <xf numFmtId="0" fontId="49" fillId="10" borderId="154" applyNumberFormat="0" applyFont="0" applyAlignment="0" applyProtection="0"/>
    <xf numFmtId="0" fontId="31" fillId="0" borderId="156" applyNumberFormat="0" applyFill="0" applyAlignment="0" applyProtection="0"/>
    <xf numFmtId="0" fontId="31" fillId="0" borderId="158" applyNumberFormat="0" applyFill="0" applyAlignment="0" applyProtection="0"/>
    <xf numFmtId="0" fontId="31" fillId="0" borderId="163" applyNumberFormat="0" applyFill="0" applyAlignment="0" applyProtection="0"/>
    <xf numFmtId="0" fontId="31" fillId="0" borderId="158" applyNumberFormat="0" applyFill="0" applyAlignment="0" applyProtection="0"/>
    <xf numFmtId="0" fontId="48" fillId="24" borderId="194" applyNumberFormat="0" applyAlignment="0" applyProtection="0"/>
    <xf numFmtId="0" fontId="31" fillId="0" borderId="197" applyNumberFormat="0" applyFill="0" applyAlignment="0" applyProtection="0"/>
    <xf numFmtId="0" fontId="29" fillId="24" borderId="193" applyNumberFormat="0" applyAlignment="0" applyProtection="0"/>
    <xf numFmtId="0" fontId="72" fillId="0" borderId="126" applyBorder="0">
      <alignment horizontal="center" vertical="center" wrapText="1"/>
    </xf>
    <xf numFmtId="0" fontId="72" fillId="0" borderId="173" applyBorder="0">
      <alignment horizontal="center" vertical="center" wrapText="1"/>
    </xf>
    <xf numFmtId="0" fontId="72" fillId="0" borderId="173" applyBorder="0">
      <alignment horizontal="center" vertical="center" wrapText="1"/>
    </xf>
    <xf numFmtId="0" fontId="72" fillId="0" borderId="173" applyBorder="0">
      <alignment horizontal="center" vertical="center" wrapText="1"/>
    </xf>
    <xf numFmtId="0" fontId="72" fillId="0" borderId="173" applyBorder="0">
      <alignment horizontal="center" vertical="center" wrapText="1"/>
    </xf>
    <xf numFmtId="0" fontId="72" fillId="0" borderId="173" applyBorder="0">
      <alignment horizontal="center" vertical="center" wrapText="1"/>
    </xf>
    <xf numFmtId="0" fontId="72" fillId="0" borderId="173" applyBorder="0">
      <alignment horizontal="center" vertical="center" wrapText="1"/>
    </xf>
    <xf numFmtId="0" fontId="72" fillId="0" borderId="173" applyBorder="0">
      <alignment horizontal="center" vertical="center" wrapText="1"/>
    </xf>
    <xf numFmtId="0" fontId="72" fillId="0" borderId="173" applyBorder="0">
      <alignment horizontal="center" vertical="center" wrapText="1"/>
    </xf>
    <xf numFmtId="0" fontId="72" fillId="0" borderId="173" applyBorder="0">
      <alignment horizontal="center" vertical="center" wrapText="1"/>
    </xf>
    <xf numFmtId="0" fontId="72" fillId="0" borderId="173" applyBorder="0">
      <alignment horizontal="center" vertical="center" wrapText="1"/>
    </xf>
    <xf numFmtId="0" fontId="72" fillId="0" borderId="173" applyBorder="0">
      <alignment horizontal="center" vertical="center" wrapText="1"/>
    </xf>
    <xf numFmtId="0" fontId="72" fillId="0" borderId="173" applyBorder="0">
      <alignment horizontal="center" vertical="center" wrapText="1"/>
    </xf>
    <xf numFmtId="0" fontId="72" fillId="0" borderId="173" applyBorder="0">
      <alignment horizontal="center" vertical="center" wrapText="1"/>
    </xf>
    <xf numFmtId="0" fontId="72" fillId="0" borderId="173" applyBorder="0">
      <alignment horizontal="center" vertical="center" wrapText="1"/>
    </xf>
    <xf numFmtId="0" fontId="72" fillId="0" borderId="173" applyBorder="0">
      <alignment horizontal="center" vertical="center" wrapText="1"/>
    </xf>
    <xf numFmtId="0" fontId="72" fillId="0" borderId="173" applyBorder="0">
      <alignment horizontal="center" vertical="center" wrapText="1"/>
    </xf>
    <xf numFmtId="0" fontId="72" fillId="0" borderId="173" applyBorder="0">
      <alignment horizontal="center" vertical="center" wrapText="1"/>
    </xf>
    <xf numFmtId="0" fontId="72" fillId="0" borderId="173" applyBorder="0">
      <alignment horizontal="center" vertical="center" wrapText="1"/>
    </xf>
    <xf numFmtId="0" fontId="72" fillId="0" borderId="173" applyBorder="0">
      <alignment horizontal="center" vertical="center" wrapText="1"/>
    </xf>
    <xf numFmtId="0" fontId="72" fillId="0" borderId="173" applyBorder="0">
      <alignment horizontal="center" vertical="center" wrapText="1"/>
    </xf>
    <xf numFmtId="0" fontId="72" fillId="0" borderId="173" applyBorder="0">
      <alignment horizontal="center" vertical="center" wrapText="1"/>
    </xf>
    <xf numFmtId="0" fontId="72" fillId="0" borderId="173" applyBorder="0">
      <alignment horizontal="center" vertical="center" wrapText="1"/>
    </xf>
    <xf numFmtId="0" fontId="72" fillId="0" borderId="173" applyBorder="0">
      <alignment horizontal="center" vertical="center" wrapText="1"/>
    </xf>
    <xf numFmtId="0" fontId="72" fillId="0" borderId="173" applyBorder="0">
      <alignment horizontal="center" vertical="center" wrapText="1"/>
    </xf>
    <xf numFmtId="0" fontId="72" fillId="0" borderId="173" applyBorder="0">
      <alignment horizontal="center" vertical="center" wrapText="1"/>
    </xf>
    <xf numFmtId="0" fontId="72" fillId="0" borderId="173" applyBorder="0">
      <alignment horizontal="center" vertical="center" wrapText="1"/>
    </xf>
    <xf numFmtId="0" fontId="72" fillId="0" borderId="173" applyBorder="0">
      <alignment horizontal="center" vertical="center" wrapText="1"/>
    </xf>
    <xf numFmtId="0" fontId="72" fillId="0" borderId="173" applyBorder="0">
      <alignment horizontal="center" vertical="center" wrapText="1"/>
    </xf>
    <xf numFmtId="0" fontId="72" fillId="0" borderId="173" applyBorder="0">
      <alignment horizontal="center" vertical="center" wrapText="1"/>
    </xf>
    <xf numFmtId="0" fontId="72" fillId="0" borderId="173" applyBorder="0">
      <alignment horizontal="center" vertical="center" wrapText="1"/>
    </xf>
    <xf numFmtId="0" fontId="48" fillId="24" borderId="176" applyNumberFormat="0" applyAlignment="0" applyProtection="0"/>
    <xf numFmtId="0" fontId="48" fillId="24" borderId="176" applyNumberFormat="0" applyAlignment="0" applyProtection="0"/>
    <xf numFmtId="0" fontId="48" fillId="24" borderId="176" applyNumberFormat="0" applyAlignment="0" applyProtection="0"/>
    <xf numFmtId="0" fontId="48" fillId="24" borderId="176" applyNumberFormat="0" applyAlignment="0" applyProtection="0"/>
    <xf numFmtId="0" fontId="48" fillId="24" borderId="176" applyNumberFormat="0" applyAlignment="0" applyProtection="0"/>
    <xf numFmtId="0" fontId="48" fillId="24" borderId="176" applyNumberFormat="0" applyAlignment="0" applyProtection="0"/>
    <xf numFmtId="0" fontId="48" fillId="24" borderId="176" applyNumberFormat="0" applyAlignment="0" applyProtection="0"/>
    <xf numFmtId="0" fontId="48" fillId="24" borderId="176" applyNumberFormat="0" applyAlignment="0" applyProtection="0"/>
    <xf numFmtId="0" fontId="48" fillId="24" borderId="176" applyNumberFormat="0" applyAlignment="0" applyProtection="0"/>
    <xf numFmtId="0" fontId="48" fillId="24" borderId="176" applyNumberFormat="0" applyAlignment="0" applyProtection="0"/>
    <xf numFmtId="0" fontId="48" fillId="24" borderId="176" applyNumberFormat="0" applyAlignment="0" applyProtection="0"/>
    <xf numFmtId="0" fontId="48" fillId="24" borderId="176" applyNumberFormat="0" applyAlignment="0" applyProtection="0"/>
    <xf numFmtId="0" fontId="48" fillId="24" borderId="176" applyNumberFormat="0" applyAlignment="0" applyProtection="0"/>
    <xf numFmtId="0" fontId="48" fillId="24" borderId="176" applyNumberFormat="0" applyAlignment="0" applyProtection="0"/>
    <xf numFmtId="0" fontId="48" fillId="24" borderId="176" applyNumberFormat="0" applyAlignment="0" applyProtection="0"/>
    <xf numFmtId="0" fontId="48" fillId="24" borderId="176" applyNumberFormat="0" applyAlignment="0" applyProtection="0"/>
    <xf numFmtId="0" fontId="48" fillId="24" borderId="176" applyNumberFormat="0" applyAlignment="0" applyProtection="0"/>
    <xf numFmtId="0" fontId="48" fillId="24" borderId="176" applyNumberFormat="0" applyAlignment="0" applyProtection="0"/>
    <xf numFmtId="0" fontId="48" fillId="24" borderId="176" applyNumberFormat="0" applyAlignment="0" applyProtection="0"/>
    <xf numFmtId="0" fontId="48" fillId="24" borderId="176" applyNumberFormat="0" applyAlignment="0" applyProtection="0"/>
    <xf numFmtId="0" fontId="48" fillId="24" borderId="176" applyNumberFormat="0" applyAlignment="0" applyProtection="0"/>
    <xf numFmtId="0" fontId="48" fillId="24" borderId="176" applyNumberFormat="0" applyAlignment="0" applyProtection="0"/>
    <xf numFmtId="0" fontId="48" fillId="24" borderId="176" applyNumberFormat="0" applyAlignment="0" applyProtection="0"/>
    <xf numFmtId="0" fontId="48" fillId="24" borderId="176" applyNumberFormat="0" applyAlignment="0" applyProtection="0"/>
    <xf numFmtId="0" fontId="48" fillId="24" borderId="176" applyNumberFormat="0" applyAlignment="0" applyProtection="0"/>
    <xf numFmtId="0" fontId="48" fillId="24" borderId="176" applyNumberFormat="0" applyAlignment="0" applyProtection="0"/>
    <xf numFmtId="0" fontId="48" fillId="24" borderId="176" applyNumberFormat="0" applyAlignment="0" applyProtection="0"/>
    <xf numFmtId="0" fontId="48" fillId="24" borderId="176" applyNumberFormat="0" applyAlignment="0" applyProtection="0"/>
    <xf numFmtId="0" fontId="48" fillId="24" borderId="176" applyNumberFormat="0" applyAlignment="0" applyProtection="0"/>
    <xf numFmtId="0" fontId="48" fillId="24" borderId="176" applyNumberFormat="0" applyAlignment="0" applyProtection="0"/>
    <xf numFmtId="0" fontId="48" fillId="24" borderId="176" applyNumberFormat="0" applyAlignment="0" applyProtection="0"/>
    <xf numFmtId="0" fontId="48" fillId="24" borderId="176" applyNumberFormat="0" applyAlignment="0" applyProtection="0"/>
    <xf numFmtId="0" fontId="48" fillId="24" borderId="176" applyNumberFormat="0" applyAlignment="0" applyProtection="0"/>
    <xf numFmtId="0" fontId="48" fillId="24" borderId="176" applyNumberFormat="0" applyAlignment="0" applyProtection="0"/>
    <xf numFmtId="0" fontId="48" fillId="24" borderId="176" applyNumberFormat="0" applyAlignment="0" applyProtection="0"/>
    <xf numFmtId="0" fontId="48" fillId="24" borderId="176" applyNumberFormat="0" applyAlignment="0" applyProtection="0"/>
    <xf numFmtId="0" fontId="48" fillId="24" borderId="176" applyNumberFormat="0" applyAlignment="0" applyProtection="0"/>
    <xf numFmtId="0" fontId="48" fillId="24" borderId="176" applyNumberFormat="0" applyAlignment="0" applyProtection="0"/>
    <xf numFmtId="0" fontId="48" fillId="24" borderId="176" applyNumberFormat="0" applyAlignment="0" applyProtection="0"/>
    <xf numFmtId="0" fontId="48" fillId="24" borderId="176" applyNumberFormat="0" applyAlignment="0" applyProtection="0"/>
    <xf numFmtId="0" fontId="48" fillId="24" borderId="176" applyNumberFormat="0" applyAlignment="0" applyProtection="0"/>
    <xf numFmtId="0" fontId="48" fillId="24" borderId="176" applyNumberFormat="0" applyAlignment="0" applyProtection="0"/>
    <xf numFmtId="0" fontId="48" fillId="24" borderId="176" applyNumberFormat="0" applyAlignment="0" applyProtection="0"/>
    <xf numFmtId="0" fontId="48" fillId="24" borderId="176" applyNumberFormat="0" applyAlignment="0" applyProtection="0"/>
    <xf numFmtId="0" fontId="48" fillId="24" borderId="176" applyNumberFormat="0" applyAlignment="0" applyProtection="0"/>
    <xf numFmtId="0" fontId="48" fillId="24" borderId="176" applyNumberFormat="0" applyAlignment="0" applyProtection="0"/>
    <xf numFmtId="0" fontId="48" fillId="24" borderId="176" applyNumberFormat="0" applyAlignment="0" applyProtection="0"/>
    <xf numFmtId="0" fontId="48" fillId="24" borderId="176" applyNumberFormat="0" applyAlignment="0" applyProtection="0"/>
    <xf numFmtId="0" fontId="48" fillId="24" borderId="176" applyNumberFormat="0" applyAlignment="0" applyProtection="0"/>
    <xf numFmtId="0" fontId="48" fillId="24" borderId="176" applyNumberFormat="0" applyAlignment="0" applyProtection="0"/>
    <xf numFmtId="0" fontId="48" fillId="24" borderId="176" applyNumberFormat="0" applyAlignment="0" applyProtection="0"/>
    <xf numFmtId="0" fontId="48" fillId="24" borderId="176" applyNumberFormat="0" applyAlignment="0" applyProtection="0"/>
    <xf numFmtId="0" fontId="48" fillId="24" borderId="176" applyNumberFormat="0" applyAlignment="0" applyProtection="0"/>
    <xf numFmtId="0" fontId="48" fillId="24" borderId="176" applyNumberFormat="0" applyAlignment="0" applyProtection="0"/>
    <xf numFmtId="0" fontId="48" fillId="24" borderId="176" applyNumberFormat="0" applyAlignment="0" applyProtection="0"/>
    <xf numFmtId="0" fontId="48" fillId="24" borderId="176" applyNumberFormat="0" applyAlignment="0" applyProtection="0"/>
    <xf numFmtId="0" fontId="48" fillId="24" borderId="176" applyNumberFormat="0" applyAlignment="0" applyProtection="0"/>
    <xf numFmtId="0" fontId="48" fillId="24" borderId="176" applyNumberFormat="0" applyAlignment="0" applyProtection="0"/>
    <xf numFmtId="0" fontId="48" fillId="24" borderId="176" applyNumberFormat="0" applyAlignment="0" applyProtection="0"/>
    <xf numFmtId="0" fontId="48" fillId="24" borderId="176" applyNumberFormat="0" applyAlignment="0" applyProtection="0"/>
    <xf numFmtId="0" fontId="48" fillId="24" borderId="176" applyNumberFormat="0" applyAlignment="0" applyProtection="0"/>
    <xf numFmtId="0" fontId="48" fillId="24" borderId="176" applyNumberFormat="0" applyAlignment="0" applyProtection="0"/>
    <xf numFmtId="0" fontId="48" fillId="24" borderId="176" applyNumberFormat="0" applyAlignment="0" applyProtection="0"/>
    <xf numFmtId="0" fontId="48" fillId="24" borderId="176" applyNumberFormat="0" applyAlignment="0" applyProtection="0"/>
    <xf numFmtId="0" fontId="48" fillId="24" borderId="176" applyNumberFormat="0" applyAlignment="0" applyProtection="0"/>
    <xf numFmtId="0" fontId="48" fillId="24" borderId="176" applyNumberFormat="0" applyAlignment="0" applyProtection="0"/>
    <xf numFmtId="0" fontId="48" fillId="24" borderId="176" applyNumberFormat="0" applyAlignment="0" applyProtection="0"/>
    <xf numFmtId="0" fontId="48" fillId="24" borderId="176" applyNumberFormat="0" applyAlignment="0" applyProtection="0"/>
    <xf numFmtId="0" fontId="48" fillId="24" borderId="176" applyNumberFormat="0" applyAlignment="0" applyProtection="0"/>
    <xf numFmtId="0" fontId="48" fillId="24" borderId="176" applyNumberFormat="0" applyAlignment="0" applyProtection="0"/>
    <xf numFmtId="0" fontId="48" fillId="24" borderId="176" applyNumberFormat="0" applyAlignment="0" applyProtection="0"/>
    <xf numFmtId="0" fontId="48" fillId="24" borderId="176" applyNumberFormat="0" applyAlignment="0" applyProtection="0"/>
    <xf numFmtId="0" fontId="48" fillId="24" borderId="176" applyNumberFormat="0" applyAlignment="0" applyProtection="0"/>
    <xf numFmtId="0" fontId="48" fillId="24" borderId="176" applyNumberFormat="0" applyAlignment="0" applyProtection="0"/>
    <xf numFmtId="0" fontId="48" fillId="24" borderId="176" applyNumberFormat="0" applyAlignment="0" applyProtection="0"/>
    <xf numFmtId="0" fontId="48" fillId="24" borderId="176" applyNumberFormat="0" applyAlignment="0" applyProtection="0"/>
    <xf numFmtId="0" fontId="48" fillId="24" borderId="176" applyNumberFormat="0" applyAlignment="0" applyProtection="0"/>
    <xf numFmtId="0" fontId="48" fillId="24" borderId="176" applyNumberFormat="0" applyAlignment="0" applyProtection="0"/>
    <xf numFmtId="0" fontId="32" fillId="24" borderId="176" applyNumberFormat="0" applyAlignment="0" applyProtection="0"/>
    <xf numFmtId="0" fontId="32" fillId="24" borderId="176" applyNumberFormat="0" applyAlignment="0" applyProtection="0"/>
    <xf numFmtId="0" fontId="32" fillId="24" borderId="176" applyNumberFormat="0" applyAlignment="0" applyProtection="0"/>
    <xf numFmtId="0" fontId="32" fillId="24" borderId="176" applyNumberFormat="0" applyAlignment="0" applyProtection="0"/>
    <xf numFmtId="0" fontId="32" fillId="24" borderId="176" applyNumberFormat="0" applyAlignment="0" applyProtection="0"/>
    <xf numFmtId="0" fontId="32" fillId="24" borderId="176" applyNumberFormat="0" applyAlignment="0" applyProtection="0"/>
    <xf numFmtId="0" fontId="32" fillId="24" borderId="176" applyNumberFormat="0" applyAlignment="0" applyProtection="0"/>
    <xf numFmtId="0" fontId="32" fillId="24" borderId="176" applyNumberFormat="0" applyAlignment="0" applyProtection="0"/>
    <xf numFmtId="0" fontId="32" fillId="24" borderId="176" applyNumberFormat="0" applyAlignment="0" applyProtection="0"/>
    <xf numFmtId="0" fontId="32" fillId="24" borderId="176" applyNumberFormat="0" applyAlignment="0" applyProtection="0"/>
    <xf numFmtId="0" fontId="32" fillId="24" borderId="176" applyNumberFormat="0" applyAlignment="0" applyProtection="0"/>
    <xf numFmtId="0" fontId="32" fillId="24" borderId="176" applyNumberFormat="0" applyAlignment="0" applyProtection="0"/>
    <xf numFmtId="0" fontId="32" fillId="24" borderId="176" applyNumberFormat="0" applyAlignment="0" applyProtection="0"/>
    <xf numFmtId="0" fontId="32" fillId="24" borderId="176" applyNumberFormat="0" applyAlignment="0" applyProtection="0"/>
    <xf numFmtId="0" fontId="32" fillId="24" borderId="176" applyNumberFormat="0" applyAlignment="0" applyProtection="0"/>
    <xf numFmtId="0" fontId="32" fillId="24" borderId="176" applyNumberFormat="0" applyAlignment="0" applyProtection="0"/>
    <xf numFmtId="0" fontId="32" fillId="24" borderId="176" applyNumberFormat="0" applyAlignment="0" applyProtection="0"/>
    <xf numFmtId="0" fontId="32" fillId="24" borderId="176" applyNumberFormat="0" applyAlignment="0" applyProtection="0"/>
    <xf numFmtId="0" fontId="32" fillId="24" borderId="176" applyNumberFormat="0" applyAlignment="0" applyProtection="0"/>
    <xf numFmtId="0" fontId="32" fillId="24" borderId="176" applyNumberFormat="0" applyAlignment="0" applyProtection="0"/>
    <xf numFmtId="0" fontId="32" fillId="24" borderId="176" applyNumberFormat="0" applyAlignment="0" applyProtection="0"/>
    <xf numFmtId="0" fontId="32" fillId="24" borderId="176" applyNumberFormat="0" applyAlignment="0" applyProtection="0"/>
    <xf numFmtId="0" fontId="32" fillId="24" borderId="176" applyNumberFormat="0" applyAlignment="0" applyProtection="0"/>
    <xf numFmtId="0" fontId="32" fillId="24" borderId="176" applyNumberFormat="0" applyAlignment="0" applyProtection="0"/>
    <xf numFmtId="0" fontId="32" fillId="24" borderId="176" applyNumberFormat="0" applyAlignment="0" applyProtection="0"/>
    <xf numFmtId="0" fontId="32" fillId="24" borderId="176" applyNumberFormat="0" applyAlignment="0" applyProtection="0"/>
    <xf numFmtId="0" fontId="32" fillId="24" borderId="176" applyNumberFormat="0" applyAlignment="0" applyProtection="0"/>
    <xf numFmtId="0" fontId="32" fillId="24" borderId="176" applyNumberFormat="0" applyAlignment="0" applyProtection="0"/>
    <xf numFmtId="0" fontId="32" fillId="24" borderId="176" applyNumberFormat="0" applyAlignment="0" applyProtection="0"/>
    <xf numFmtId="0" fontId="32" fillId="24" borderId="176" applyNumberFormat="0" applyAlignment="0" applyProtection="0"/>
    <xf numFmtId="0" fontId="32" fillId="24" borderId="176" applyNumberFormat="0" applyAlignment="0" applyProtection="0"/>
    <xf numFmtId="0" fontId="32" fillId="24" borderId="176" applyNumberFormat="0" applyAlignment="0" applyProtection="0"/>
    <xf numFmtId="0" fontId="32" fillId="24" borderId="176" applyNumberFormat="0" applyAlignment="0" applyProtection="0"/>
    <xf numFmtId="0" fontId="32" fillId="24" borderId="176" applyNumberFormat="0" applyAlignment="0" applyProtection="0"/>
    <xf numFmtId="0" fontId="32" fillId="24" borderId="176" applyNumberFormat="0" applyAlignment="0" applyProtection="0"/>
    <xf numFmtId="0" fontId="32" fillId="24" borderId="176" applyNumberFormat="0" applyAlignment="0" applyProtection="0"/>
    <xf numFmtId="0" fontId="32" fillId="24" borderId="176" applyNumberFormat="0" applyAlignment="0" applyProtection="0"/>
    <xf numFmtId="0" fontId="32" fillId="24" borderId="176" applyNumberFormat="0" applyAlignment="0" applyProtection="0"/>
    <xf numFmtId="0" fontId="32" fillId="24" borderId="176" applyNumberFormat="0" applyAlignment="0" applyProtection="0"/>
    <xf numFmtId="0" fontId="32" fillId="24" borderId="176" applyNumberFormat="0" applyAlignment="0" applyProtection="0"/>
    <xf numFmtId="0" fontId="32" fillId="24" borderId="176" applyNumberFormat="0" applyAlignment="0" applyProtection="0"/>
    <xf numFmtId="0" fontId="32" fillId="24" borderId="176" applyNumberFormat="0" applyAlignment="0" applyProtection="0"/>
    <xf numFmtId="0" fontId="32" fillId="24" borderId="176" applyNumberFormat="0" applyAlignment="0" applyProtection="0"/>
    <xf numFmtId="0" fontId="32" fillId="24" borderId="176" applyNumberFormat="0" applyAlignment="0" applyProtection="0"/>
    <xf numFmtId="0" fontId="32" fillId="24" borderId="176" applyNumberFormat="0" applyAlignment="0" applyProtection="0"/>
    <xf numFmtId="0" fontId="32" fillId="24" borderId="176" applyNumberFormat="0" applyAlignment="0" applyProtection="0"/>
    <xf numFmtId="0" fontId="32" fillId="24" borderId="176" applyNumberFormat="0" applyAlignment="0" applyProtection="0"/>
    <xf numFmtId="0" fontId="32" fillId="24" borderId="176" applyNumberFormat="0" applyAlignment="0" applyProtection="0"/>
    <xf numFmtId="0" fontId="32" fillId="24" borderId="176" applyNumberFormat="0" applyAlignment="0" applyProtection="0"/>
    <xf numFmtId="0" fontId="16" fillId="24" borderId="176" applyNumberFormat="0" applyAlignment="0" applyProtection="0"/>
    <xf numFmtId="0" fontId="16" fillId="24" borderId="176" applyNumberFormat="0" applyAlignment="0" applyProtection="0"/>
    <xf numFmtId="0" fontId="16" fillId="24" borderId="176" applyNumberFormat="0" applyAlignment="0" applyProtection="0"/>
    <xf numFmtId="0" fontId="16" fillId="24" borderId="176" applyNumberFormat="0" applyAlignment="0" applyProtection="0"/>
    <xf numFmtId="0" fontId="16" fillId="24" borderId="176" applyNumberFormat="0" applyAlignment="0" applyProtection="0"/>
    <xf numFmtId="0" fontId="16" fillId="24" borderId="176" applyNumberFormat="0" applyAlignment="0" applyProtection="0"/>
    <xf numFmtId="0" fontId="16" fillId="24" borderId="176" applyNumberFormat="0" applyAlignment="0" applyProtection="0"/>
    <xf numFmtId="0" fontId="16" fillId="24" borderId="176" applyNumberFormat="0" applyAlignment="0" applyProtection="0"/>
    <xf numFmtId="0" fontId="16" fillId="24" borderId="176" applyNumberFormat="0" applyAlignment="0" applyProtection="0"/>
    <xf numFmtId="0" fontId="16" fillId="24" borderId="176" applyNumberFormat="0" applyAlignment="0" applyProtection="0"/>
    <xf numFmtId="0" fontId="16" fillId="24" borderId="176" applyNumberFormat="0" applyAlignment="0" applyProtection="0"/>
    <xf numFmtId="0" fontId="16" fillId="24" borderId="176" applyNumberFormat="0" applyAlignment="0" applyProtection="0"/>
    <xf numFmtId="0" fontId="16" fillId="24" borderId="176" applyNumberFormat="0" applyAlignment="0" applyProtection="0"/>
    <xf numFmtId="0" fontId="16" fillId="24" borderId="176" applyNumberFormat="0" applyAlignment="0" applyProtection="0"/>
    <xf numFmtId="0" fontId="16" fillId="24" borderId="176" applyNumberFormat="0" applyAlignment="0" applyProtection="0"/>
    <xf numFmtId="0" fontId="16" fillId="24" borderId="176" applyNumberFormat="0" applyAlignment="0" applyProtection="0"/>
    <xf numFmtId="0" fontId="16" fillId="24" borderId="176" applyNumberFormat="0" applyAlignment="0" applyProtection="0"/>
    <xf numFmtId="0" fontId="16" fillId="24" borderId="176" applyNumberFormat="0" applyAlignment="0" applyProtection="0"/>
    <xf numFmtId="0" fontId="16" fillId="24" borderId="176" applyNumberFormat="0" applyAlignment="0" applyProtection="0"/>
    <xf numFmtId="0" fontId="16" fillId="24" borderId="176" applyNumberFormat="0" applyAlignment="0" applyProtection="0"/>
    <xf numFmtId="0" fontId="16" fillId="24" borderId="176" applyNumberFormat="0" applyAlignment="0" applyProtection="0"/>
    <xf numFmtId="0" fontId="16" fillId="24" borderId="176" applyNumberFormat="0" applyAlignment="0" applyProtection="0"/>
    <xf numFmtId="0" fontId="16" fillId="24" borderId="176" applyNumberFormat="0" applyAlignment="0" applyProtection="0"/>
    <xf numFmtId="0" fontId="16" fillId="24" borderId="176" applyNumberFormat="0" applyAlignment="0" applyProtection="0"/>
    <xf numFmtId="0" fontId="16" fillId="24" borderId="176" applyNumberFormat="0" applyAlignment="0" applyProtection="0"/>
    <xf numFmtId="0" fontId="16" fillId="24" borderId="176" applyNumberFormat="0" applyAlignment="0" applyProtection="0"/>
    <xf numFmtId="0" fontId="16" fillId="24" borderId="176" applyNumberFormat="0" applyAlignment="0" applyProtection="0"/>
    <xf numFmtId="0" fontId="16" fillId="24" borderId="176" applyNumberFormat="0" applyAlignment="0" applyProtection="0"/>
    <xf numFmtId="0" fontId="16" fillId="24" borderId="176" applyNumberFormat="0" applyAlignment="0" applyProtection="0"/>
    <xf numFmtId="0" fontId="16" fillId="24" borderId="176" applyNumberFormat="0" applyAlignment="0" applyProtection="0"/>
    <xf numFmtId="0" fontId="16" fillId="24" borderId="176" applyNumberFormat="0" applyAlignment="0" applyProtection="0"/>
    <xf numFmtId="0" fontId="16" fillId="24" borderId="176" applyNumberFormat="0" applyAlignment="0" applyProtection="0"/>
    <xf numFmtId="0" fontId="16" fillId="24" borderId="176" applyNumberFormat="0" applyAlignment="0" applyProtection="0"/>
    <xf numFmtId="0" fontId="16" fillId="24" borderId="176" applyNumberFormat="0" applyAlignment="0" applyProtection="0"/>
    <xf numFmtId="0" fontId="16" fillId="24" borderId="176" applyNumberFormat="0" applyAlignment="0" applyProtection="0"/>
    <xf numFmtId="0" fontId="16" fillId="24" borderId="176" applyNumberFormat="0" applyAlignment="0" applyProtection="0"/>
    <xf numFmtId="0" fontId="16" fillId="24" borderId="176" applyNumberFormat="0" applyAlignment="0" applyProtection="0"/>
    <xf numFmtId="0" fontId="16" fillId="24" borderId="176" applyNumberFormat="0" applyAlignment="0" applyProtection="0"/>
    <xf numFmtId="0" fontId="16" fillId="24" borderId="176" applyNumberFormat="0" applyAlignment="0" applyProtection="0"/>
    <xf numFmtId="0" fontId="16" fillId="24" borderId="176" applyNumberFormat="0" applyAlignment="0" applyProtection="0"/>
    <xf numFmtId="0" fontId="16" fillId="24" borderId="176" applyNumberFormat="0" applyAlignment="0" applyProtection="0"/>
    <xf numFmtId="0" fontId="16" fillId="24" borderId="176" applyNumberFormat="0" applyAlignment="0" applyProtection="0"/>
    <xf numFmtId="0" fontId="16" fillId="24" borderId="176" applyNumberFormat="0" applyAlignment="0" applyProtection="0"/>
    <xf numFmtId="0" fontId="16" fillId="24" borderId="176" applyNumberFormat="0" applyAlignment="0" applyProtection="0"/>
    <xf numFmtId="0" fontId="16" fillId="24" borderId="176" applyNumberFormat="0" applyAlignment="0" applyProtection="0"/>
    <xf numFmtId="0" fontId="16" fillId="24" borderId="176" applyNumberFormat="0" applyAlignment="0" applyProtection="0"/>
    <xf numFmtId="0" fontId="16" fillId="24" borderId="176" applyNumberFormat="0" applyAlignment="0" applyProtection="0"/>
    <xf numFmtId="0" fontId="16" fillId="24" borderId="176" applyNumberFormat="0" applyAlignment="0" applyProtection="0"/>
    <xf numFmtId="0" fontId="16" fillId="24" borderId="176" applyNumberFormat="0" applyAlignment="0" applyProtection="0"/>
    <xf numFmtId="0" fontId="48" fillId="24" borderId="176" applyNumberFormat="0" applyAlignment="0" applyProtection="0"/>
    <xf numFmtId="0" fontId="48" fillId="24" borderId="176" applyNumberFormat="0" applyAlignment="0" applyProtection="0"/>
    <xf numFmtId="0" fontId="48" fillId="24" borderId="176" applyNumberFormat="0" applyAlignment="0" applyProtection="0"/>
    <xf numFmtId="0" fontId="48" fillId="24" borderId="176" applyNumberFormat="0" applyAlignment="0" applyProtection="0"/>
    <xf numFmtId="0" fontId="48" fillId="24" borderId="176" applyNumberFormat="0" applyAlignment="0" applyProtection="0"/>
    <xf numFmtId="0" fontId="48" fillId="24" borderId="176" applyNumberFormat="0" applyAlignment="0" applyProtection="0"/>
    <xf numFmtId="0" fontId="48" fillId="24" borderId="176" applyNumberFormat="0" applyAlignment="0" applyProtection="0"/>
    <xf numFmtId="0" fontId="48" fillId="24" borderId="176" applyNumberFormat="0" applyAlignment="0" applyProtection="0"/>
    <xf numFmtId="0" fontId="48" fillId="24" borderId="176" applyNumberFormat="0" applyAlignment="0" applyProtection="0"/>
    <xf numFmtId="0" fontId="48" fillId="24" borderId="176" applyNumberFormat="0" applyAlignment="0" applyProtection="0"/>
    <xf numFmtId="0" fontId="48" fillId="24" borderId="176" applyNumberFormat="0" applyAlignment="0" applyProtection="0"/>
    <xf numFmtId="0" fontId="48" fillId="24" borderId="176" applyNumberFormat="0" applyAlignment="0" applyProtection="0"/>
    <xf numFmtId="0" fontId="48" fillId="24" borderId="176" applyNumberFormat="0" applyAlignment="0" applyProtection="0"/>
    <xf numFmtId="0" fontId="48" fillId="24" borderId="176" applyNumberFormat="0" applyAlignment="0" applyProtection="0"/>
    <xf numFmtId="0" fontId="48" fillId="24" borderId="176" applyNumberFormat="0" applyAlignment="0" applyProtection="0"/>
    <xf numFmtId="0" fontId="48" fillId="24" borderId="176" applyNumberFormat="0" applyAlignment="0" applyProtection="0"/>
    <xf numFmtId="0" fontId="48" fillId="24" borderId="176" applyNumberFormat="0" applyAlignment="0" applyProtection="0"/>
    <xf numFmtId="0" fontId="48" fillId="24" borderId="176" applyNumberFormat="0" applyAlignment="0" applyProtection="0"/>
    <xf numFmtId="0" fontId="48" fillId="24" borderId="176" applyNumberFormat="0" applyAlignment="0" applyProtection="0"/>
    <xf numFmtId="0" fontId="48" fillId="24" borderId="176" applyNumberFormat="0" applyAlignment="0" applyProtection="0"/>
    <xf numFmtId="0" fontId="48" fillId="24" borderId="176" applyNumberFormat="0" applyAlignment="0" applyProtection="0"/>
    <xf numFmtId="0" fontId="48" fillId="24" borderId="176" applyNumberFormat="0" applyAlignment="0" applyProtection="0"/>
    <xf numFmtId="0" fontId="48" fillId="24" borderId="176" applyNumberFormat="0" applyAlignment="0" applyProtection="0"/>
    <xf numFmtId="0" fontId="48" fillId="24" borderId="176" applyNumberFormat="0" applyAlignment="0" applyProtection="0"/>
    <xf numFmtId="0" fontId="48" fillId="24" borderId="176" applyNumberFormat="0" applyAlignment="0" applyProtection="0"/>
    <xf numFmtId="0" fontId="48" fillId="24" borderId="176" applyNumberFormat="0" applyAlignment="0" applyProtection="0"/>
    <xf numFmtId="0" fontId="48" fillId="24" borderId="176" applyNumberFormat="0" applyAlignment="0" applyProtection="0"/>
    <xf numFmtId="0" fontId="48" fillId="24" borderId="176" applyNumberFormat="0" applyAlignment="0" applyProtection="0"/>
    <xf numFmtId="0" fontId="48" fillId="24" borderId="176" applyNumberFormat="0" applyAlignment="0" applyProtection="0"/>
    <xf numFmtId="0" fontId="48" fillId="24" borderId="176" applyNumberFormat="0" applyAlignment="0" applyProtection="0"/>
    <xf numFmtId="0" fontId="48" fillId="24" borderId="176" applyNumberFormat="0" applyAlignment="0" applyProtection="0"/>
    <xf numFmtId="0" fontId="48" fillId="24" borderId="176" applyNumberFormat="0" applyAlignment="0" applyProtection="0"/>
    <xf numFmtId="0" fontId="48" fillId="24" borderId="176" applyNumberFormat="0" applyAlignment="0" applyProtection="0"/>
    <xf numFmtId="0" fontId="48" fillId="24" borderId="176" applyNumberFormat="0" applyAlignment="0" applyProtection="0"/>
    <xf numFmtId="0" fontId="48" fillId="24" borderId="176" applyNumberFormat="0" applyAlignment="0" applyProtection="0"/>
    <xf numFmtId="0" fontId="48" fillId="24" borderId="176" applyNumberFormat="0" applyAlignment="0" applyProtection="0"/>
    <xf numFmtId="0" fontId="48" fillId="24" borderId="176" applyNumberFormat="0" applyAlignment="0" applyProtection="0"/>
    <xf numFmtId="0" fontId="48" fillId="24" borderId="176" applyNumberFormat="0" applyAlignment="0" applyProtection="0"/>
    <xf numFmtId="0" fontId="48" fillId="24" borderId="176" applyNumberFormat="0" applyAlignment="0" applyProtection="0"/>
    <xf numFmtId="0" fontId="48" fillId="24" borderId="176" applyNumberFormat="0" applyAlignment="0" applyProtection="0"/>
    <xf numFmtId="0" fontId="48" fillId="24" borderId="176" applyNumberFormat="0" applyAlignment="0" applyProtection="0"/>
    <xf numFmtId="0" fontId="48" fillId="24" borderId="176" applyNumberFormat="0" applyAlignment="0" applyProtection="0"/>
    <xf numFmtId="0" fontId="48" fillId="24" borderId="176" applyNumberFormat="0" applyAlignment="0" applyProtection="0"/>
    <xf numFmtId="0" fontId="48" fillId="24" borderId="176" applyNumberFormat="0" applyAlignment="0" applyProtection="0"/>
    <xf numFmtId="0" fontId="48" fillId="24" borderId="176" applyNumberFormat="0" applyAlignment="0" applyProtection="0"/>
    <xf numFmtId="0" fontId="48" fillId="24" borderId="176" applyNumberFormat="0" applyAlignment="0" applyProtection="0"/>
    <xf numFmtId="0" fontId="48" fillId="24" borderId="176" applyNumberFormat="0" applyAlignment="0" applyProtection="0"/>
    <xf numFmtId="0" fontId="48" fillId="24" borderId="176" applyNumberFormat="0" applyAlignment="0" applyProtection="0"/>
    <xf numFmtId="0" fontId="48" fillId="12" borderId="176" applyNumberFormat="0" applyAlignment="0" applyProtection="0"/>
    <xf numFmtId="0" fontId="48" fillId="12" borderId="176" applyNumberFormat="0" applyAlignment="0" applyProtection="0"/>
    <xf numFmtId="0" fontId="48" fillId="12" borderId="176" applyNumberFormat="0" applyAlignment="0" applyProtection="0"/>
    <xf numFmtId="0" fontId="48" fillId="12" borderId="176" applyNumberFormat="0" applyAlignment="0" applyProtection="0"/>
    <xf numFmtId="0" fontId="48" fillId="12" borderId="176" applyNumberFormat="0" applyAlignment="0" applyProtection="0"/>
    <xf numFmtId="0" fontId="48" fillId="12" borderId="176" applyNumberFormat="0" applyAlignment="0" applyProtection="0"/>
    <xf numFmtId="0" fontId="48" fillId="12" borderId="176" applyNumberFormat="0" applyAlignment="0" applyProtection="0"/>
    <xf numFmtId="0" fontId="48" fillId="12" borderId="176" applyNumberFormat="0" applyAlignment="0" applyProtection="0"/>
    <xf numFmtId="0" fontId="48" fillId="12" borderId="176" applyNumberFormat="0" applyAlignment="0" applyProtection="0"/>
    <xf numFmtId="0" fontId="48" fillId="12" borderId="176" applyNumberFormat="0" applyAlignment="0" applyProtection="0"/>
    <xf numFmtId="0" fontId="48" fillId="12" borderId="176" applyNumberFormat="0" applyAlignment="0" applyProtection="0"/>
    <xf numFmtId="0" fontId="48" fillId="12" borderId="176" applyNumberFormat="0" applyAlignment="0" applyProtection="0"/>
    <xf numFmtId="0" fontId="48" fillId="12" borderId="176" applyNumberFormat="0" applyAlignment="0" applyProtection="0"/>
    <xf numFmtId="0" fontId="48" fillId="12" borderId="176" applyNumberFormat="0" applyAlignment="0" applyProtection="0"/>
    <xf numFmtId="0" fontId="48" fillId="12" borderId="176" applyNumberFormat="0" applyAlignment="0" applyProtection="0"/>
    <xf numFmtId="0" fontId="48" fillId="12" borderId="176" applyNumberFormat="0" applyAlignment="0" applyProtection="0"/>
    <xf numFmtId="0" fontId="48" fillId="12" borderId="176" applyNumberFormat="0" applyAlignment="0" applyProtection="0"/>
    <xf numFmtId="0" fontId="48" fillId="12" borderId="176" applyNumberFormat="0" applyAlignment="0" applyProtection="0"/>
    <xf numFmtId="0" fontId="48" fillId="12" borderId="176" applyNumberFormat="0" applyAlignment="0" applyProtection="0"/>
    <xf numFmtId="0" fontId="48" fillId="12" borderId="176" applyNumberFormat="0" applyAlignment="0" applyProtection="0"/>
    <xf numFmtId="0" fontId="48" fillId="12" borderId="176" applyNumberFormat="0" applyAlignment="0" applyProtection="0"/>
    <xf numFmtId="0" fontId="48" fillId="12" borderId="176" applyNumberFormat="0" applyAlignment="0" applyProtection="0"/>
    <xf numFmtId="0" fontId="48" fillId="12" borderId="176" applyNumberFormat="0" applyAlignment="0" applyProtection="0"/>
    <xf numFmtId="0" fontId="48" fillId="12" borderId="176" applyNumberFormat="0" applyAlignment="0" applyProtection="0"/>
    <xf numFmtId="0" fontId="48" fillId="12" borderId="176" applyNumberFormat="0" applyAlignment="0" applyProtection="0"/>
    <xf numFmtId="0" fontId="48" fillId="12" borderId="176" applyNumberFormat="0" applyAlignment="0" applyProtection="0"/>
    <xf numFmtId="0" fontId="48" fillId="12" borderId="176" applyNumberFormat="0" applyAlignment="0" applyProtection="0"/>
    <xf numFmtId="0" fontId="48" fillId="12" borderId="176" applyNumberFormat="0" applyAlignment="0" applyProtection="0"/>
    <xf numFmtId="0" fontId="48" fillId="12" borderId="176" applyNumberFormat="0" applyAlignment="0" applyProtection="0"/>
    <xf numFmtId="0" fontId="48" fillId="12" borderId="176" applyNumberFormat="0" applyAlignment="0" applyProtection="0"/>
    <xf numFmtId="0" fontId="48" fillId="12" borderId="176" applyNumberFormat="0" applyAlignment="0" applyProtection="0"/>
    <xf numFmtId="0" fontId="48" fillId="12" borderId="176" applyNumberFormat="0" applyAlignment="0" applyProtection="0"/>
    <xf numFmtId="0" fontId="48" fillId="12" borderId="176" applyNumberFormat="0" applyAlignment="0" applyProtection="0"/>
    <xf numFmtId="0" fontId="48" fillId="12" borderId="176" applyNumberFormat="0" applyAlignment="0" applyProtection="0"/>
    <xf numFmtId="0" fontId="48" fillId="12" borderId="176" applyNumberFormat="0" applyAlignment="0" applyProtection="0"/>
    <xf numFmtId="0" fontId="48" fillId="12" borderId="176" applyNumberFormat="0" applyAlignment="0" applyProtection="0"/>
    <xf numFmtId="0" fontId="48" fillId="12" borderId="176" applyNumberFormat="0" applyAlignment="0" applyProtection="0"/>
    <xf numFmtId="0" fontId="48" fillId="12" borderId="176" applyNumberFormat="0" applyAlignment="0" applyProtection="0"/>
    <xf numFmtId="0" fontId="48" fillId="12" borderId="176" applyNumberFormat="0" applyAlignment="0" applyProtection="0"/>
    <xf numFmtId="0" fontId="48" fillId="12" borderId="176" applyNumberFormat="0" applyAlignment="0" applyProtection="0"/>
    <xf numFmtId="0" fontId="48" fillId="12" borderId="176" applyNumberFormat="0" applyAlignment="0" applyProtection="0"/>
    <xf numFmtId="0" fontId="48" fillId="12" borderId="176" applyNumberFormat="0" applyAlignment="0" applyProtection="0"/>
    <xf numFmtId="0" fontId="48" fillId="12" borderId="176" applyNumberFormat="0" applyAlignment="0" applyProtection="0"/>
    <xf numFmtId="0" fontId="48" fillId="12" borderId="176" applyNumberFormat="0" applyAlignment="0" applyProtection="0"/>
    <xf numFmtId="0" fontId="48" fillId="12" borderId="176" applyNumberFormat="0" applyAlignment="0" applyProtection="0"/>
    <xf numFmtId="0" fontId="48" fillId="12" borderId="176" applyNumberFormat="0" applyAlignment="0" applyProtection="0"/>
    <xf numFmtId="0" fontId="48" fillId="12" borderId="176" applyNumberFormat="0" applyAlignment="0" applyProtection="0"/>
    <xf numFmtId="0" fontId="48" fillId="12" borderId="176" applyNumberFormat="0" applyAlignment="0" applyProtection="0"/>
    <xf numFmtId="0" fontId="48" fillId="12" borderId="176" applyNumberFormat="0" applyAlignment="0" applyProtection="0"/>
    <xf numFmtId="0" fontId="48" fillId="12" borderId="176" applyNumberFormat="0" applyAlignment="0" applyProtection="0"/>
    <xf numFmtId="0" fontId="48" fillId="12" borderId="176" applyNumberFormat="0" applyAlignment="0" applyProtection="0"/>
    <xf numFmtId="0" fontId="48" fillId="12" borderId="176" applyNumberFormat="0" applyAlignment="0" applyProtection="0"/>
    <xf numFmtId="0" fontId="48" fillId="12" borderId="176" applyNumberFormat="0" applyAlignment="0" applyProtection="0"/>
    <xf numFmtId="0" fontId="48" fillId="12" borderId="176" applyNumberFormat="0" applyAlignment="0" applyProtection="0"/>
    <xf numFmtId="0" fontId="48" fillId="12" borderId="176" applyNumberFormat="0" applyAlignment="0" applyProtection="0"/>
    <xf numFmtId="0" fontId="48" fillId="12" borderId="176" applyNumberFormat="0" applyAlignment="0" applyProtection="0"/>
    <xf numFmtId="0" fontId="48" fillId="12" borderId="176" applyNumberFormat="0" applyAlignment="0" applyProtection="0"/>
    <xf numFmtId="0" fontId="48" fillId="12" borderId="176" applyNumberFormat="0" applyAlignment="0" applyProtection="0"/>
    <xf numFmtId="0" fontId="48" fillId="12" borderId="176" applyNumberFormat="0" applyAlignment="0" applyProtection="0"/>
    <xf numFmtId="0" fontId="48" fillId="12" borderId="176" applyNumberFormat="0" applyAlignment="0" applyProtection="0"/>
    <xf numFmtId="0" fontId="48" fillId="12" borderId="176" applyNumberFormat="0" applyAlignment="0" applyProtection="0"/>
    <xf numFmtId="0" fontId="48" fillId="12" borderId="176" applyNumberFormat="0" applyAlignment="0" applyProtection="0"/>
    <xf numFmtId="0" fontId="48" fillId="12" borderId="176" applyNumberFormat="0" applyAlignment="0" applyProtection="0"/>
    <xf numFmtId="0" fontId="48" fillId="12" borderId="176" applyNumberFormat="0" applyAlignment="0" applyProtection="0"/>
    <xf numFmtId="0" fontId="48" fillId="12" borderId="176" applyNumberFormat="0" applyAlignment="0" applyProtection="0"/>
    <xf numFmtId="0" fontId="48" fillId="12" borderId="176" applyNumberFormat="0" applyAlignment="0" applyProtection="0"/>
    <xf numFmtId="0" fontId="48" fillId="12" borderId="176" applyNumberFormat="0" applyAlignment="0" applyProtection="0"/>
    <xf numFmtId="0" fontId="48" fillId="12" borderId="176" applyNumberFormat="0" applyAlignment="0" applyProtection="0"/>
    <xf numFmtId="0" fontId="48" fillId="12" borderId="176" applyNumberFormat="0" applyAlignment="0" applyProtection="0"/>
    <xf numFmtId="0" fontId="48" fillId="12" borderId="176" applyNumberFormat="0" applyAlignment="0" applyProtection="0"/>
    <xf numFmtId="0" fontId="48" fillId="12" borderId="176" applyNumberFormat="0" applyAlignment="0" applyProtection="0"/>
    <xf numFmtId="0" fontId="48" fillId="12" borderId="176" applyNumberFormat="0" applyAlignment="0" applyProtection="0"/>
    <xf numFmtId="0" fontId="48" fillId="12" borderId="176" applyNumberFormat="0" applyAlignment="0" applyProtection="0"/>
    <xf numFmtId="0" fontId="48" fillId="12" borderId="176" applyNumberFormat="0" applyAlignment="0" applyProtection="0"/>
    <xf numFmtId="0" fontId="48" fillId="12" borderId="176" applyNumberFormat="0" applyAlignment="0" applyProtection="0"/>
    <xf numFmtId="0" fontId="48" fillId="12" borderId="176" applyNumberFormat="0" applyAlignment="0" applyProtection="0"/>
    <xf numFmtId="0" fontId="48" fillId="12" borderId="176" applyNumberFormat="0" applyAlignment="0" applyProtection="0"/>
    <xf numFmtId="0" fontId="16" fillId="24" borderId="176" applyNumberFormat="0" applyAlignment="0" applyProtection="0"/>
    <xf numFmtId="0" fontId="16" fillId="24" borderId="176" applyNumberFormat="0" applyAlignment="0" applyProtection="0"/>
    <xf numFmtId="0" fontId="16" fillId="24" borderId="176" applyNumberFormat="0" applyAlignment="0" applyProtection="0"/>
    <xf numFmtId="0" fontId="16" fillId="24" borderId="176" applyNumberFormat="0" applyAlignment="0" applyProtection="0"/>
    <xf numFmtId="0" fontId="16" fillId="24" borderId="176" applyNumberFormat="0" applyAlignment="0" applyProtection="0"/>
    <xf numFmtId="0" fontId="16" fillId="24" borderId="176" applyNumberFormat="0" applyAlignment="0" applyProtection="0"/>
    <xf numFmtId="0" fontId="16" fillId="24" borderId="176" applyNumberFormat="0" applyAlignment="0" applyProtection="0"/>
    <xf numFmtId="0" fontId="16" fillId="24" borderId="176" applyNumberFormat="0" applyAlignment="0" applyProtection="0"/>
    <xf numFmtId="0" fontId="16" fillId="24" borderId="176" applyNumberFormat="0" applyAlignment="0" applyProtection="0"/>
    <xf numFmtId="0" fontId="16" fillId="24" borderId="176" applyNumberFormat="0" applyAlignment="0" applyProtection="0"/>
    <xf numFmtId="0" fontId="16" fillId="24" borderId="176" applyNumberFormat="0" applyAlignment="0" applyProtection="0"/>
    <xf numFmtId="0" fontId="16" fillId="24" borderId="176" applyNumberFormat="0" applyAlignment="0" applyProtection="0"/>
    <xf numFmtId="0" fontId="16" fillId="24" borderId="176" applyNumberFormat="0" applyAlignment="0" applyProtection="0"/>
    <xf numFmtId="0" fontId="16" fillId="24" borderId="176" applyNumberFormat="0" applyAlignment="0" applyProtection="0"/>
    <xf numFmtId="0" fontId="16" fillId="24" borderId="176" applyNumberFormat="0" applyAlignment="0" applyProtection="0"/>
    <xf numFmtId="0" fontId="16" fillId="24" borderId="176" applyNumberFormat="0" applyAlignment="0" applyProtection="0"/>
    <xf numFmtId="0" fontId="16" fillId="24" borderId="176" applyNumberFormat="0" applyAlignment="0" applyProtection="0"/>
    <xf numFmtId="0" fontId="16" fillId="24" borderId="176" applyNumberFormat="0" applyAlignment="0" applyProtection="0"/>
    <xf numFmtId="0" fontId="16" fillId="24" borderId="176" applyNumberFormat="0" applyAlignment="0" applyProtection="0"/>
    <xf numFmtId="0" fontId="16" fillId="24" borderId="176" applyNumberFormat="0" applyAlignment="0" applyProtection="0"/>
    <xf numFmtId="0" fontId="16" fillId="24" borderId="176" applyNumberFormat="0" applyAlignment="0" applyProtection="0"/>
    <xf numFmtId="0" fontId="16" fillId="24" borderId="176" applyNumberFormat="0" applyAlignment="0" applyProtection="0"/>
    <xf numFmtId="0" fontId="16" fillId="24" borderId="176" applyNumberFormat="0" applyAlignment="0" applyProtection="0"/>
    <xf numFmtId="0" fontId="16" fillId="24" borderId="176" applyNumberFormat="0" applyAlignment="0" applyProtection="0"/>
    <xf numFmtId="0" fontId="16" fillId="24" borderId="176" applyNumberFormat="0" applyAlignment="0" applyProtection="0"/>
    <xf numFmtId="0" fontId="16" fillId="24" borderId="176" applyNumberFormat="0" applyAlignment="0" applyProtection="0"/>
    <xf numFmtId="0" fontId="16" fillId="24" borderId="176" applyNumberFormat="0" applyAlignment="0" applyProtection="0"/>
    <xf numFmtId="0" fontId="16" fillId="24" borderId="176" applyNumberFormat="0" applyAlignment="0" applyProtection="0"/>
    <xf numFmtId="0" fontId="16" fillId="24" borderId="176" applyNumberFormat="0" applyAlignment="0" applyProtection="0"/>
    <xf numFmtId="0" fontId="16" fillId="24" borderId="176" applyNumberFormat="0" applyAlignment="0" applyProtection="0"/>
    <xf numFmtId="0" fontId="16" fillId="24" borderId="176" applyNumberFormat="0" applyAlignment="0" applyProtection="0"/>
    <xf numFmtId="0" fontId="16" fillId="24" borderId="176" applyNumberFormat="0" applyAlignment="0" applyProtection="0"/>
    <xf numFmtId="0" fontId="16" fillId="24" borderId="176" applyNumberFormat="0" applyAlignment="0" applyProtection="0"/>
    <xf numFmtId="0" fontId="16" fillId="24" borderId="176" applyNumberFormat="0" applyAlignment="0" applyProtection="0"/>
    <xf numFmtId="0" fontId="16" fillId="24" borderId="176" applyNumberFormat="0" applyAlignment="0" applyProtection="0"/>
    <xf numFmtId="0" fontId="16" fillId="24" borderId="176" applyNumberFormat="0" applyAlignment="0" applyProtection="0"/>
    <xf numFmtId="0" fontId="16" fillId="24" borderId="176" applyNumberFormat="0" applyAlignment="0" applyProtection="0"/>
    <xf numFmtId="0" fontId="16" fillId="24" borderId="176" applyNumberFormat="0" applyAlignment="0" applyProtection="0"/>
    <xf numFmtId="0" fontId="16" fillId="24" borderId="176" applyNumberFormat="0" applyAlignment="0" applyProtection="0"/>
    <xf numFmtId="0" fontId="16" fillId="24" borderId="176" applyNumberFormat="0" applyAlignment="0" applyProtection="0"/>
    <xf numFmtId="0" fontId="16" fillId="24" borderId="176" applyNumberFormat="0" applyAlignment="0" applyProtection="0"/>
    <xf numFmtId="0" fontId="16" fillId="24" borderId="176" applyNumberFormat="0" applyAlignment="0" applyProtection="0"/>
    <xf numFmtId="0" fontId="16" fillId="24" borderId="176" applyNumberFormat="0" applyAlignment="0" applyProtection="0"/>
    <xf numFmtId="0" fontId="16" fillId="24" borderId="176" applyNumberFormat="0" applyAlignment="0" applyProtection="0"/>
    <xf numFmtId="0" fontId="16" fillId="24" borderId="176" applyNumberFormat="0" applyAlignment="0" applyProtection="0"/>
    <xf numFmtId="0" fontId="16" fillId="24" borderId="176" applyNumberFormat="0" applyAlignment="0" applyProtection="0"/>
    <xf numFmtId="0" fontId="16" fillId="24" borderId="176" applyNumberFormat="0" applyAlignment="0" applyProtection="0"/>
    <xf numFmtId="0" fontId="16" fillId="24" borderId="176" applyNumberFormat="0" applyAlignment="0" applyProtection="0"/>
    <xf numFmtId="0" fontId="16" fillId="24" borderId="176" applyNumberFormat="0" applyAlignment="0" applyProtection="0"/>
    <xf numFmtId="0" fontId="48" fillId="12" borderId="176" applyNumberFormat="0" applyAlignment="0" applyProtection="0"/>
    <xf numFmtId="0" fontId="48" fillId="12" borderId="176" applyNumberFormat="0" applyAlignment="0" applyProtection="0"/>
    <xf numFmtId="0" fontId="48" fillId="12" borderId="176" applyNumberFormat="0" applyAlignment="0" applyProtection="0"/>
    <xf numFmtId="0" fontId="48" fillId="12" borderId="176" applyNumberFormat="0" applyAlignment="0" applyProtection="0"/>
    <xf numFmtId="0" fontId="48" fillId="12" borderId="176" applyNumberFormat="0" applyAlignment="0" applyProtection="0"/>
    <xf numFmtId="0" fontId="48" fillId="12" borderId="176" applyNumberFormat="0" applyAlignment="0" applyProtection="0"/>
    <xf numFmtId="0" fontId="48" fillId="12" borderId="176" applyNumberFormat="0" applyAlignment="0" applyProtection="0"/>
    <xf numFmtId="0" fontId="48" fillId="12" borderId="176" applyNumberFormat="0" applyAlignment="0" applyProtection="0"/>
    <xf numFmtId="0" fontId="48" fillId="12" borderId="176" applyNumberFormat="0" applyAlignment="0" applyProtection="0"/>
    <xf numFmtId="0" fontId="48" fillId="12" borderId="176" applyNumberFormat="0" applyAlignment="0" applyProtection="0"/>
    <xf numFmtId="0" fontId="48" fillId="12" borderId="176" applyNumberFormat="0" applyAlignment="0" applyProtection="0"/>
    <xf numFmtId="0" fontId="48" fillId="12" borderId="176" applyNumberFormat="0" applyAlignment="0" applyProtection="0"/>
    <xf numFmtId="0" fontId="48" fillId="12" borderId="176" applyNumberFormat="0" applyAlignment="0" applyProtection="0"/>
    <xf numFmtId="0" fontId="48" fillId="12" borderId="176" applyNumberFormat="0" applyAlignment="0" applyProtection="0"/>
    <xf numFmtId="0" fontId="48" fillId="12" borderId="176" applyNumberFormat="0" applyAlignment="0" applyProtection="0"/>
    <xf numFmtId="0" fontId="48" fillId="12" borderId="176" applyNumberFormat="0" applyAlignment="0" applyProtection="0"/>
    <xf numFmtId="0" fontId="48" fillId="12" borderId="176" applyNumberFormat="0" applyAlignment="0" applyProtection="0"/>
    <xf numFmtId="0" fontId="48" fillId="12" borderId="176" applyNumberFormat="0" applyAlignment="0" applyProtection="0"/>
    <xf numFmtId="0" fontId="48" fillId="12" borderId="176" applyNumberFormat="0" applyAlignment="0" applyProtection="0"/>
    <xf numFmtId="0" fontId="48" fillId="12" borderId="176" applyNumberFormat="0" applyAlignment="0" applyProtection="0"/>
    <xf numFmtId="0" fontId="48" fillId="12" borderId="176" applyNumberFormat="0" applyAlignment="0" applyProtection="0"/>
    <xf numFmtId="0" fontId="48" fillId="12" borderId="176" applyNumberFormat="0" applyAlignment="0" applyProtection="0"/>
    <xf numFmtId="0" fontId="48" fillId="12" borderId="176" applyNumberFormat="0" applyAlignment="0" applyProtection="0"/>
    <xf numFmtId="0" fontId="48" fillId="12" borderId="176" applyNumberFormat="0" applyAlignment="0" applyProtection="0"/>
    <xf numFmtId="0" fontId="48" fillId="12" borderId="176" applyNumberFormat="0" applyAlignment="0" applyProtection="0"/>
    <xf numFmtId="0" fontId="48" fillId="12" borderId="176" applyNumberFormat="0" applyAlignment="0" applyProtection="0"/>
    <xf numFmtId="0" fontId="48" fillId="12" borderId="176" applyNumberFormat="0" applyAlignment="0" applyProtection="0"/>
    <xf numFmtId="0" fontId="48" fillId="12" borderId="176" applyNumberFormat="0" applyAlignment="0" applyProtection="0"/>
    <xf numFmtId="0" fontId="48" fillId="12" borderId="176" applyNumberFormat="0" applyAlignment="0" applyProtection="0"/>
    <xf numFmtId="0" fontId="48" fillId="12" borderId="176" applyNumberFormat="0" applyAlignment="0" applyProtection="0"/>
    <xf numFmtId="0" fontId="48" fillId="12" borderId="176" applyNumberFormat="0" applyAlignment="0" applyProtection="0"/>
    <xf numFmtId="0" fontId="48" fillId="12" borderId="176" applyNumberFormat="0" applyAlignment="0" applyProtection="0"/>
    <xf numFmtId="0" fontId="48" fillId="12" borderId="176" applyNumberFormat="0" applyAlignment="0" applyProtection="0"/>
    <xf numFmtId="0" fontId="48" fillId="12" borderId="176" applyNumberFormat="0" applyAlignment="0" applyProtection="0"/>
    <xf numFmtId="0" fontId="48" fillId="12" borderId="176" applyNumberFormat="0" applyAlignment="0" applyProtection="0"/>
    <xf numFmtId="0" fontId="48" fillId="12" borderId="176" applyNumberFormat="0" applyAlignment="0" applyProtection="0"/>
    <xf numFmtId="0" fontId="48" fillId="12" borderId="176" applyNumberFormat="0" applyAlignment="0" applyProtection="0"/>
    <xf numFmtId="0" fontId="48" fillId="12" borderId="176" applyNumberFormat="0" applyAlignment="0" applyProtection="0"/>
    <xf numFmtId="0" fontId="48" fillId="12" borderId="176" applyNumberFormat="0" applyAlignment="0" applyProtection="0"/>
    <xf numFmtId="0" fontId="48" fillId="12" borderId="176" applyNumberFormat="0" applyAlignment="0" applyProtection="0"/>
    <xf numFmtId="0" fontId="48" fillId="12" borderId="176" applyNumberFormat="0" applyAlignment="0" applyProtection="0"/>
    <xf numFmtId="0" fontId="48" fillId="12" borderId="176" applyNumberFormat="0" applyAlignment="0" applyProtection="0"/>
    <xf numFmtId="0" fontId="48" fillId="12" borderId="176" applyNumberFormat="0" applyAlignment="0" applyProtection="0"/>
    <xf numFmtId="0" fontId="48" fillId="12" borderId="176" applyNumberFormat="0" applyAlignment="0" applyProtection="0"/>
    <xf numFmtId="0" fontId="48" fillId="12" borderId="176" applyNumberFormat="0" applyAlignment="0" applyProtection="0"/>
    <xf numFmtId="0" fontId="48" fillId="12" borderId="176" applyNumberFormat="0" applyAlignment="0" applyProtection="0"/>
    <xf numFmtId="0" fontId="48" fillId="12" borderId="176" applyNumberFormat="0" applyAlignment="0" applyProtection="0"/>
    <xf numFmtId="0" fontId="48" fillId="12" borderId="176" applyNumberFormat="0" applyAlignment="0" applyProtection="0"/>
    <xf numFmtId="0" fontId="48" fillId="12" borderId="176" applyNumberFormat="0" applyAlignment="0" applyProtection="0"/>
    <xf numFmtId="0" fontId="48" fillId="12" borderId="176" applyNumberFormat="0" applyAlignment="0" applyProtection="0"/>
    <xf numFmtId="0" fontId="48" fillId="12" borderId="176" applyNumberFormat="0" applyAlignment="0" applyProtection="0"/>
    <xf numFmtId="0" fontId="48" fillId="12" borderId="176" applyNumberFormat="0" applyAlignment="0" applyProtection="0"/>
    <xf numFmtId="0" fontId="48" fillId="12" borderId="176" applyNumberFormat="0" applyAlignment="0" applyProtection="0"/>
    <xf numFmtId="0" fontId="48" fillId="12" borderId="176" applyNumberFormat="0" applyAlignment="0" applyProtection="0"/>
    <xf numFmtId="0" fontId="48" fillId="12" borderId="176" applyNumberFormat="0" applyAlignment="0" applyProtection="0"/>
    <xf numFmtId="0" fontId="48" fillId="12" borderId="176" applyNumberFormat="0" applyAlignment="0" applyProtection="0"/>
    <xf numFmtId="0" fontId="48" fillId="12" borderId="176" applyNumberFormat="0" applyAlignment="0" applyProtection="0"/>
    <xf numFmtId="0" fontId="48" fillId="12" borderId="176" applyNumberFormat="0" applyAlignment="0" applyProtection="0"/>
    <xf numFmtId="0" fontId="48" fillId="12" borderId="176" applyNumberFormat="0" applyAlignment="0" applyProtection="0"/>
    <xf numFmtId="0" fontId="48" fillId="12" borderId="176" applyNumberFormat="0" applyAlignment="0" applyProtection="0"/>
    <xf numFmtId="0" fontId="48" fillId="12" borderId="176" applyNumberFormat="0" applyAlignment="0" applyProtection="0"/>
    <xf numFmtId="0" fontId="48" fillId="12" borderId="176" applyNumberFormat="0" applyAlignment="0" applyProtection="0"/>
    <xf numFmtId="0" fontId="48" fillId="12" borderId="176" applyNumberFormat="0" applyAlignment="0" applyProtection="0"/>
    <xf numFmtId="0" fontId="48" fillId="12" borderId="176" applyNumberFormat="0" applyAlignment="0" applyProtection="0"/>
    <xf numFmtId="0" fontId="48" fillId="12" borderId="176" applyNumberFormat="0" applyAlignment="0" applyProtection="0"/>
    <xf numFmtId="0" fontId="48" fillId="12" borderId="176" applyNumberFormat="0" applyAlignment="0" applyProtection="0"/>
    <xf numFmtId="0" fontId="48" fillId="12" borderId="176" applyNumberFormat="0" applyAlignment="0" applyProtection="0"/>
    <xf numFmtId="0" fontId="48" fillId="12" borderId="176" applyNumberFormat="0" applyAlignment="0" applyProtection="0"/>
    <xf numFmtId="0" fontId="48" fillId="12" borderId="176" applyNumberFormat="0" applyAlignment="0" applyProtection="0"/>
    <xf numFmtId="0" fontId="48" fillId="12" borderId="176" applyNumberFormat="0" applyAlignment="0" applyProtection="0"/>
    <xf numFmtId="0" fontId="48" fillId="12" borderId="176" applyNumberFormat="0" applyAlignment="0" applyProtection="0"/>
    <xf numFmtId="0" fontId="48" fillId="12" borderId="176" applyNumberFormat="0" applyAlignment="0" applyProtection="0"/>
    <xf numFmtId="0" fontId="48" fillId="12" borderId="176" applyNumberFormat="0" applyAlignment="0" applyProtection="0"/>
    <xf numFmtId="0" fontId="48" fillId="12" borderId="176" applyNumberFormat="0" applyAlignment="0" applyProtection="0"/>
    <xf numFmtId="0" fontId="48" fillId="12" borderId="176" applyNumberFormat="0" applyAlignment="0" applyProtection="0"/>
    <xf numFmtId="0" fontId="48" fillId="12" borderId="176" applyNumberFormat="0" applyAlignment="0" applyProtection="0"/>
    <xf numFmtId="0" fontId="48" fillId="12" borderId="176" applyNumberFormat="0" applyAlignment="0" applyProtection="0"/>
    <xf numFmtId="0" fontId="16" fillId="24" borderId="176" applyNumberFormat="0" applyAlignment="0" applyProtection="0"/>
    <xf numFmtId="0" fontId="16" fillId="24" borderId="176" applyNumberFormat="0" applyAlignment="0" applyProtection="0"/>
    <xf numFmtId="0" fontId="16" fillId="24" borderId="176" applyNumberFormat="0" applyAlignment="0" applyProtection="0"/>
    <xf numFmtId="0" fontId="16" fillId="24" borderId="176" applyNumberFormat="0" applyAlignment="0" applyProtection="0"/>
    <xf numFmtId="0" fontId="16" fillId="24" borderId="176" applyNumberFormat="0" applyAlignment="0" applyProtection="0"/>
    <xf numFmtId="0" fontId="16" fillId="24" borderId="176" applyNumberFormat="0" applyAlignment="0" applyProtection="0"/>
    <xf numFmtId="0" fontId="16" fillId="24" borderId="176" applyNumberFormat="0" applyAlignment="0" applyProtection="0"/>
    <xf numFmtId="0" fontId="16" fillId="24" borderId="176" applyNumberFormat="0" applyAlignment="0" applyProtection="0"/>
    <xf numFmtId="0" fontId="16" fillId="24" borderId="176" applyNumberFormat="0" applyAlignment="0" applyProtection="0"/>
    <xf numFmtId="0" fontId="16" fillId="24" borderId="176" applyNumberFormat="0" applyAlignment="0" applyProtection="0"/>
    <xf numFmtId="0" fontId="16" fillId="24" borderId="176" applyNumberFormat="0" applyAlignment="0" applyProtection="0"/>
    <xf numFmtId="0" fontId="16" fillId="24" borderId="176" applyNumberFormat="0" applyAlignment="0" applyProtection="0"/>
    <xf numFmtId="0" fontId="16" fillId="24" borderId="176" applyNumberFormat="0" applyAlignment="0" applyProtection="0"/>
    <xf numFmtId="0" fontId="16" fillId="24" borderId="176" applyNumberFormat="0" applyAlignment="0" applyProtection="0"/>
    <xf numFmtId="0" fontId="16" fillId="24" borderId="176" applyNumberFormat="0" applyAlignment="0" applyProtection="0"/>
    <xf numFmtId="0" fontId="16" fillId="24" borderId="176" applyNumberFormat="0" applyAlignment="0" applyProtection="0"/>
    <xf numFmtId="0" fontId="16" fillId="24" borderId="176" applyNumberFormat="0" applyAlignment="0" applyProtection="0"/>
    <xf numFmtId="0" fontId="16" fillId="24" borderId="176" applyNumberFormat="0" applyAlignment="0" applyProtection="0"/>
    <xf numFmtId="0" fontId="16" fillId="24" borderId="176" applyNumberFormat="0" applyAlignment="0" applyProtection="0"/>
    <xf numFmtId="0" fontId="16" fillId="24" borderId="176" applyNumberFormat="0" applyAlignment="0" applyProtection="0"/>
    <xf numFmtId="0" fontId="16" fillId="24" borderId="176" applyNumberFormat="0" applyAlignment="0" applyProtection="0"/>
    <xf numFmtId="0" fontId="16" fillId="24" borderId="176" applyNumberFormat="0" applyAlignment="0" applyProtection="0"/>
    <xf numFmtId="0" fontId="16" fillId="24" borderId="176" applyNumberFormat="0" applyAlignment="0" applyProtection="0"/>
    <xf numFmtId="0" fontId="16" fillId="24" borderId="176" applyNumberFormat="0" applyAlignment="0" applyProtection="0"/>
    <xf numFmtId="0" fontId="16" fillId="24" borderId="176" applyNumberFormat="0" applyAlignment="0" applyProtection="0"/>
    <xf numFmtId="0" fontId="16" fillId="24" borderId="176" applyNumberFormat="0" applyAlignment="0" applyProtection="0"/>
    <xf numFmtId="0" fontId="16" fillId="24" borderId="176" applyNumberFormat="0" applyAlignment="0" applyProtection="0"/>
    <xf numFmtId="0" fontId="16" fillId="24" borderId="176" applyNumberFormat="0" applyAlignment="0" applyProtection="0"/>
    <xf numFmtId="0" fontId="16" fillId="24" borderId="176" applyNumberFormat="0" applyAlignment="0" applyProtection="0"/>
    <xf numFmtId="0" fontId="16" fillId="24" borderId="176" applyNumberFormat="0" applyAlignment="0" applyProtection="0"/>
    <xf numFmtId="0" fontId="16" fillId="24" borderId="176" applyNumberFormat="0" applyAlignment="0" applyProtection="0"/>
    <xf numFmtId="0" fontId="16" fillId="24" borderId="176" applyNumberFormat="0" applyAlignment="0" applyProtection="0"/>
    <xf numFmtId="0" fontId="16" fillId="24" borderId="176" applyNumberFormat="0" applyAlignment="0" applyProtection="0"/>
    <xf numFmtId="0" fontId="16" fillId="24" borderId="176" applyNumberFormat="0" applyAlignment="0" applyProtection="0"/>
    <xf numFmtId="0" fontId="16" fillId="24" borderId="176" applyNumberFormat="0" applyAlignment="0" applyProtection="0"/>
    <xf numFmtId="0" fontId="16" fillId="24" borderId="176" applyNumberFormat="0" applyAlignment="0" applyProtection="0"/>
    <xf numFmtId="0" fontId="16" fillId="24" borderId="176" applyNumberFormat="0" applyAlignment="0" applyProtection="0"/>
    <xf numFmtId="0" fontId="16" fillId="24" borderId="176" applyNumberFormat="0" applyAlignment="0" applyProtection="0"/>
    <xf numFmtId="0" fontId="16" fillId="24" borderId="176" applyNumberFormat="0" applyAlignment="0" applyProtection="0"/>
    <xf numFmtId="0" fontId="16" fillId="24" borderId="176" applyNumberFormat="0" applyAlignment="0" applyProtection="0"/>
    <xf numFmtId="0" fontId="16" fillId="24" borderId="176" applyNumberFormat="0" applyAlignment="0" applyProtection="0"/>
    <xf numFmtId="0" fontId="16" fillId="24" borderId="176" applyNumberFormat="0" applyAlignment="0" applyProtection="0"/>
    <xf numFmtId="0" fontId="16" fillId="24" borderId="176" applyNumberFormat="0" applyAlignment="0" applyProtection="0"/>
    <xf numFmtId="0" fontId="16" fillId="24" borderId="176" applyNumberFormat="0" applyAlignment="0" applyProtection="0"/>
    <xf numFmtId="0" fontId="16" fillId="24" borderId="176" applyNumberFormat="0" applyAlignment="0" applyProtection="0"/>
    <xf numFmtId="0" fontId="16" fillId="24" borderId="176" applyNumberFormat="0" applyAlignment="0" applyProtection="0"/>
    <xf numFmtId="0" fontId="16" fillId="24" borderId="176" applyNumberFormat="0" applyAlignment="0" applyProtection="0"/>
    <xf numFmtId="0" fontId="16" fillId="24" borderId="176" applyNumberFormat="0" applyAlignment="0" applyProtection="0"/>
    <xf numFmtId="0" fontId="16" fillId="24" borderId="176" applyNumberFormat="0" applyAlignment="0" applyProtection="0"/>
    <xf numFmtId="0" fontId="28" fillId="0" borderId="180"/>
    <xf numFmtId="0" fontId="28" fillId="0" borderId="180"/>
    <xf numFmtId="0" fontId="28" fillId="0" borderId="180"/>
    <xf numFmtId="0" fontId="28" fillId="0" borderId="180"/>
    <xf numFmtId="0" fontId="28" fillId="0" borderId="180"/>
    <xf numFmtId="0" fontId="28" fillId="0" borderId="180"/>
    <xf numFmtId="0" fontId="28" fillId="0" borderId="180"/>
    <xf numFmtId="0" fontId="28" fillId="0" borderId="180"/>
    <xf numFmtId="0" fontId="28" fillId="0" borderId="180"/>
    <xf numFmtId="0" fontId="28" fillId="0" borderId="180"/>
    <xf numFmtId="0" fontId="28" fillId="0" borderId="180"/>
    <xf numFmtId="0" fontId="28" fillId="0" borderId="180"/>
    <xf numFmtId="0" fontId="28" fillId="0" borderId="180"/>
    <xf numFmtId="0" fontId="28" fillId="0" borderId="180"/>
    <xf numFmtId="0" fontId="28" fillId="0" borderId="180"/>
    <xf numFmtId="0" fontId="28" fillId="0" borderId="180"/>
    <xf numFmtId="0" fontId="28" fillId="0" borderId="180"/>
    <xf numFmtId="0" fontId="28" fillId="0" borderId="180"/>
    <xf numFmtId="0" fontId="28" fillId="0" borderId="180"/>
    <xf numFmtId="0" fontId="28" fillId="0" borderId="180"/>
    <xf numFmtId="0" fontId="28" fillId="0" borderId="180"/>
    <xf numFmtId="0" fontId="28" fillId="0" borderId="180"/>
    <xf numFmtId="0" fontId="28" fillId="0" borderId="180"/>
    <xf numFmtId="0" fontId="28" fillId="0" borderId="180"/>
    <xf numFmtId="0" fontId="28" fillId="0" borderId="180"/>
    <xf numFmtId="0" fontId="28" fillId="0" borderId="180"/>
    <xf numFmtId="0" fontId="28" fillId="0" borderId="180"/>
    <xf numFmtId="0" fontId="28" fillId="0" borderId="180"/>
    <xf numFmtId="0" fontId="28" fillId="0" borderId="180"/>
    <xf numFmtId="0" fontId="28" fillId="0" borderId="180"/>
    <xf numFmtId="0" fontId="28" fillId="0" borderId="180"/>
    <xf numFmtId="0" fontId="28" fillId="0" borderId="180"/>
    <xf numFmtId="0" fontId="28" fillId="0" borderId="180"/>
    <xf numFmtId="0" fontId="28" fillId="0" borderId="180"/>
    <xf numFmtId="0" fontId="28" fillId="0" borderId="180"/>
    <xf numFmtId="0" fontId="28" fillId="0" borderId="180"/>
    <xf numFmtId="0" fontId="28" fillId="0" borderId="180"/>
    <xf numFmtId="0" fontId="28" fillId="0" borderId="180"/>
    <xf numFmtId="0" fontId="28" fillId="0" borderId="180"/>
    <xf numFmtId="0" fontId="28" fillId="0" borderId="180"/>
    <xf numFmtId="0" fontId="28" fillId="0" borderId="180"/>
    <xf numFmtId="0" fontId="28" fillId="0" borderId="180"/>
    <xf numFmtId="0" fontId="28" fillId="0" borderId="180"/>
    <xf numFmtId="0" fontId="28" fillId="0" borderId="180"/>
    <xf numFmtId="0" fontId="28" fillId="0" borderId="180"/>
    <xf numFmtId="0" fontId="25" fillId="13" borderId="176" applyNumberFormat="0" applyAlignment="0" applyProtection="0"/>
    <xf numFmtId="0" fontId="25" fillId="13" borderId="176" applyNumberFormat="0" applyAlignment="0" applyProtection="0"/>
    <xf numFmtId="0" fontId="25" fillId="13" borderId="176" applyNumberFormat="0" applyAlignment="0" applyProtection="0"/>
    <xf numFmtId="0" fontId="25" fillId="13" borderId="176" applyNumberFormat="0" applyAlignment="0" applyProtection="0"/>
    <xf numFmtId="0" fontId="25" fillId="13" borderId="176" applyNumberFormat="0" applyAlignment="0" applyProtection="0"/>
    <xf numFmtId="0" fontId="25" fillId="13" borderId="176" applyNumberFormat="0" applyAlignment="0" applyProtection="0"/>
    <xf numFmtId="0" fontId="25" fillId="13" borderId="176" applyNumberFormat="0" applyAlignment="0" applyProtection="0"/>
    <xf numFmtId="0" fontId="25" fillId="13" borderId="176" applyNumberFormat="0" applyAlignment="0" applyProtection="0"/>
    <xf numFmtId="0" fontId="25" fillId="13" borderId="176" applyNumberFormat="0" applyAlignment="0" applyProtection="0"/>
    <xf numFmtId="0" fontId="25" fillId="13" borderId="176" applyNumberFormat="0" applyAlignment="0" applyProtection="0"/>
    <xf numFmtId="0" fontId="25" fillId="13" borderId="176" applyNumberFormat="0" applyAlignment="0" applyProtection="0"/>
    <xf numFmtId="0" fontId="25" fillId="13" borderId="176" applyNumberFormat="0" applyAlignment="0" applyProtection="0"/>
    <xf numFmtId="0" fontId="25" fillId="13" borderId="176" applyNumberFormat="0" applyAlignment="0" applyProtection="0"/>
    <xf numFmtId="0" fontId="25" fillId="13" borderId="176" applyNumberFormat="0" applyAlignment="0" applyProtection="0"/>
    <xf numFmtId="0" fontId="25" fillId="13" borderId="176" applyNumberFormat="0" applyAlignment="0" applyProtection="0"/>
    <xf numFmtId="0" fontId="25" fillId="13" borderId="176" applyNumberFormat="0" applyAlignment="0" applyProtection="0"/>
    <xf numFmtId="0" fontId="25" fillId="13" borderId="176" applyNumberFormat="0" applyAlignment="0" applyProtection="0"/>
    <xf numFmtId="0" fontId="25" fillId="13" borderId="176" applyNumberFormat="0" applyAlignment="0" applyProtection="0"/>
    <xf numFmtId="0" fontId="25" fillId="13" borderId="176" applyNumberFormat="0" applyAlignment="0" applyProtection="0"/>
    <xf numFmtId="0" fontId="25" fillId="13" borderId="176" applyNumberFormat="0" applyAlignment="0" applyProtection="0"/>
    <xf numFmtId="0" fontId="25" fillId="13" borderId="176" applyNumberFormat="0" applyAlignment="0" applyProtection="0"/>
    <xf numFmtId="0" fontId="25" fillId="13" borderId="176" applyNumberFormat="0" applyAlignment="0" applyProtection="0"/>
    <xf numFmtId="0" fontId="25" fillId="13" borderId="176" applyNumberFormat="0" applyAlignment="0" applyProtection="0"/>
    <xf numFmtId="0" fontId="25" fillId="13" borderId="176" applyNumberFormat="0" applyAlignment="0" applyProtection="0"/>
    <xf numFmtId="0" fontId="25" fillId="13" borderId="176" applyNumberFormat="0" applyAlignment="0" applyProtection="0"/>
    <xf numFmtId="0" fontId="25" fillId="13" borderId="176" applyNumberFormat="0" applyAlignment="0" applyProtection="0"/>
    <xf numFmtId="0" fontId="25" fillId="13" borderId="176" applyNumberFormat="0" applyAlignment="0" applyProtection="0"/>
    <xf numFmtId="0" fontId="25" fillId="13" borderId="176" applyNumberFormat="0" applyAlignment="0" applyProtection="0"/>
    <xf numFmtId="0" fontId="25" fillId="13" borderId="176" applyNumberFormat="0" applyAlignment="0" applyProtection="0"/>
    <xf numFmtId="0" fontId="25" fillId="13" borderId="176" applyNumberFormat="0" applyAlignment="0" applyProtection="0"/>
    <xf numFmtId="0" fontId="25" fillId="13" borderId="176" applyNumberFormat="0" applyAlignment="0" applyProtection="0"/>
    <xf numFmtId="0" fontId="25" fillId="13" borderId="176" applyNumberFormat="0" applyAlignment="0" applyProtection="0"/>
    <xf numFmtId="0" fontId="25" fillId="13" borderId="176" applyNumberFormat="0" applyAlignment="0" applyProtection="0"/>
    <xf numFmtId="0" fontId="25" fillId="13" borderId="176" applyNumberFormat="0" applyAlignment="0" applyProtection="0"/>
    <xf numFmtId="0" fontId="25" fillId="13" borderId="176" applyNumberFormat="0" applyAlignment="0" applyProtection="0"/>
    <xf numFmtId="0" fontId="25" fillId="13" borderId="176" applyNumberFormat="0" applyAlignment="0" applyProtection="0"/>
    <xf numFmtId="0" fontId="25" fillId="13" borderId="176" applyNumberFormat="0" applyAlignment="0" applyProtection="0"/>
    <xf numFmtId="0" fontId="25" fillId="13" borderId="176" applyNumberFormat="0" applyAlignment="0" applyProtection="0"/>
    <xf numFmtId="0" fontId="25" fillId="13" borderId="176" applyNumberFormat="0" applyAlignment="0" applyProtection="0"/>
    <xf numFmtId="0" fontId="25" fillId="13" borderId="176" applyNumberFormat="0" applyAlignment="0" applyProtection="0"/>
    <xf numFmtId="0" fontId="25" fillId="13" borderId="176" applyNumberFormat="0" applyAlignment="0" applyProtection="0"/>
    <xf numFmtId="0" fontId="25" fillId="13" borderId="176" applyNumberFormat="0" applyAlignment="0" applyProtection="0"/>
    <xf numFmtId="0" fontId="25" fillId="13" borderId="176" applyNumberFormat="0" applyAlignment="0" applyProtection="0"/>
    <xf numFmtId="0" fontId="25" fillId="13" borderId="176" applyNumberFormat="0" applyAlignment="0" applyProtection="0"/>
    <xf numFmtId="0" fontId="25" fillId="13" borderId="176" applyNumberFormat="0" applyAlignment="0" applyProtection="0"/>
    <xf numFmtId="0" fontId="25" fillId="13" borderId="176" applyNumberFormat="0" applyAlignment="0" applyProtection="0"/>
    <xf numFmtId="0" fontId="25" fillId="13" borderId="176" applyNumberFormat="0" applyAlignment="0" applyProtection="0"/>
    <xf numFmtId="0" fontId="25" fillId="13" borderId="176" applyNumberFormat="0" applyAlignment="0" applyProtection="0"/>
    <xf numFmtId="0" fontId="25" fillId="13" borderId="176" applyNumberFormat="0" applyAlignment="0" applyProtection="0"/>
    <xf numFmtId="0" fontId="41" fillId="13" borderId="176" applyNumberFormat="0" applyAlignment="0" applyProtection="0"/>
    <xf numFmtId="0" fontId="41" fillId="13" borderId="176" applyNumberFormat="0" applyAlignment="0" applyProtection="0"/>
    <xf numFmtId="0" fontId="41" fillId="13" borderId="176" applyNumberFormat="0" applyAlignment="0" applyProtection="0"/>
    <xf numFmtId="0" fontId="41" fillId="13" borderId="176" applyNumberFormat="0" applyAlignment="0" applyProtection="0"/>
    <xf numFmtId="0" fontId="41" fillId="13" borderId="176" applyNumberFormat="0" applyAlignment="0" applyProtection="0"/>
    <xf numFmtId="0" fontId="41" fillId="13" borderId="176" applyNumberFormat="0" applyAlignment="0" applyProtection="0"/>
    <xf numFmtId="0" fontId="41" fillId="13" borderId="176" applyNumberFormat="0" applyAlignment="0" applyProtection="0"/>
    <xf numFmtId="0" fontId="41" fillId="13" borderId="176" applyNumberFormat="0" applyAlignment="0" applyProtection="0"/>
    <xf numFmtId="0" fontId="41" fillId="13" borderId="176" applyNumberFormat="0" applyAlignment="0" applyProtection="0"/>
    <xf numFmtId="0" fontId="41" fillId="13" borderId="176" applyNumberFormat="0" applyAlignment="0" applyProtection="0"/>
    <xf numFmtId="0" fontId="41" fillId="13" borderId="176" applyNumberFormat="0" applyAlignment="0" applyProtection="0"/>
    <xf numFmtId="0" fontId="41" fillId="13" borderId="176" applyNumberFormat="0" applyAlignment="0" applyProtection="0"/>
    <xf numFmtId="0" fontId="41" fillId="13" borderId="176" applyNumberFormat="0" applyAlignment="0" applyProtection="0"/>
    <xf numFmtId="0" fontId="41" fillId="13" borderId="176" applyNumberFormat="0" applyAlignment="0" applyProtection="0"/>
    <xf numFmtId="0" fontId="41" fillId="13" borderId="176" applyNumberFormat="0" applyAlignment="0" applyProtection="0"/>
    <xf numFmtId="0" fontId="41" fillId="13" borderId="176" applyNumberFormat="0" applyAlignment="0" applyProtection="0"/>
    <xf numFmtId="0" fontId="41" fillId="13" borderId="176" applyNumberFormat="0" applyAlignment="0" applyProtection="0"/>
    <xf numFmtId="0" fontId="41" fillId="13" borderId="176" applyNumberFormat="0" applyAlignment="0" applyProtection="0"/>
    <xf numFmtId="0" fontId="41" fillId="13" borderId="176" applyNumberFormat="0" applyAlignment="0" applyProtection="0"/>
    <xf numFmtId="0" fontId="41" fillId="13" borderId="176" applyNumberFormat="0" applyAlignment="0" applyProtection="0"/>
    <xf numFmtId="0" fontId="41" fillId="13" borderId="176" applyNumberFormat="0" applyAlignment="0" applyProtection="0"/>
    <xf numFmtId="0" fontId="41" fillId="13" borderId="176" applyNumberFormat="0" applyAlignment="0" applyProtection="0"/>
    <xf numFmtId="0" fontId="41" fillId="13" borderId="176" applyNumberFormat="0" applyAlignment="0" applyProtection="0"/>
    <xf numFmtId="0" fontId="41" fillId="13" borderId="176" applyNumberFormat="0" applyAlignment="0" applyProtection="0"/>
    <xf numFmtId="0" fontId="41" fillId="13" borderId="176" applyNumberFormat="0" applyAlignment="0" applyProtection="0"/>
    <xf numFmtId="0" fontId="41" fillId="13" borderId="176" applyNumberFormat="0" applyAlignment="0" applyProtection="0"/>
    <xf numFmtId="0" fontId="41" fillId="13" borderId="176" applyNumberFormat="0" applyAlignment="0" applyProtection="0"/>
    <xf numFmtId="0" fontId="41" fillId="13" borderId="176" applyNumberFormat="0" applyAlignment="0" applyProtection="0"/>
    <xf numFmtId="0" fontId="41" fillId="13" borderId="176" applyNumberFormat="0" applyAlignment="0" applyProtection="0"/>
    <xf numFmtId="0" fontId="41" fillId="13" borderId="176" applyNumberFormat="0" applyAlignment="0" applyProtection="0"/>
    <xf numFmtId="0" fontId="41" fillId="13" borderId="176" applyNumberFormat="0" applyAlignment="0" applyProtection="0"/>
    <xf numFmtId="0" fontId="41" fillId="13" borderId="176" applyNumberFormat="0" applyAlignment="0" applyProtection="0"/>
    <xf numFmtId="0" fontId="41" fillId="13" borderId="176" applyNumberFormat="0" applyAlignment="0" applyProtection="0"/>
    <xf numFmtId="0" fontId="41" fillId="13" borderId="176" applyNumberFormat="0" applyAlignment="0" applyProtection="0"/>
    <xf numFmtId="0" fontId="41" fillId="13" borderId="176" applyNumberFormat="0" applyAlignment="0" applyProtection="0"/>
    <xf numFmtId="0" fontId="41" fillId="13" borderId="176" applyNumberFormat="0" applyAlignment="0" applyProtection="0"/>
    <xf numFmtId="0" fontId="41" fillId="13" borderId="176" applyNumberFormat="0" applyAlignment="0" applyProtection="0"/>
    <xf numFmtId="0" fontId="41" fillId="13" borderId="176" applyNumberFormat="0" applyAlignment="0" applyProtection="0"/>
    <xf numFmtId="0" fontId="41" fillId="13" borderId="176" applyNumberFormat="0" applyAlignment="0" applyProtection="0"/>
    <xf numFmtId="0" fontId="41" fillId="13" borderId="176" applyNumberFormat="0" applyAlignment="0" applyProtection="0"/>
    <xf numFmtId="0" fontId="41" fillId="13" borderId="176" applyNumberFormat="0" applyAlignment="0" applyProtection="0"/>
    <xf numFmtId="0" fontId="41" fillId="13" borderId="176" applyNumberFormat="0" applyAlignment="0" applyProtection="0"/>
    <xf numFmtId="0" fontId="41" fillId="13" borderId="176" applyNumberFormat="0" applyAlignment="0" applyProtection="0"/>
    <xf numFmtId="0" fontId="41" fillId="13" borderId="176" applyNumberFormat="0" applyAlignment="0" applyProtection="0"/>
    <xf numFmtId="0" fontId="41" fillId="13" borderId="176" applyNumberFormat="0" applyAlignment="0" applyProtection="0"/>
    <xf numFmtId="0" fontId="41" fillId="13" borderId="176" applyNumberFormat="0" applyAlignment="0" applyProtection="0"/>
    <xf numFmtId="0" fontId="41" fillId="13" borderId="176" applyNumberFormat="0" applyAlignment="0" applyProtection="0"/>
    <xf numFmtId="0" fontId="41" fillId="13" borderId="176" applyNumberFormat="0" applyAlignment="0" applyProtection="0"/>
    <xf numFmtId="0" fontId="41" fillId="13" borderId="176" applyNumberFormat="0" applyAlignment="0" applyProtection="0"/>
    <xf numFmtId="0" fontId="25" fillId="13" borderId="176" applyNumberFormat="0" applyAlignment="0" applyProtection="0"/>
    <xf numFmtId="0" fontId="25" fillId="13" borderId="176" applyNumberFormat="0" applyAlignment="0" applyProtection="0"/>
    <xf numFmtId="0" fontId="25" fillId="13" borderId="176" applyNumberFormat="0" applyAlignment="0" applyProtection="0"/>
    <xf numFmtId="0" fontId="25" fillId="13" borderId="176" applyNumberFormat="0" applyAlignment="0" applyProtection="0"/>
    <xf numFmtId="0" fontId="25" fillId="13" borderId="176" applyNumberFormat="0" applyAlignment="0" applyProtection="0"/>
    <xf numFmtId="0" fontId="25" fillId="13" borderId="176" applyNumberFormat="0" applyAlignment="0" applyProtection="0"/>
    <xf numFmtId="0" fontId="25" fillId="13" borderId="176" applyNumberFormat="0" applyAlignment="0" applyProtection="0"/>
    <xf numFmtId="0" fontId="25" fillId="13" borderId="176" applyNumberFormat="0" applyAlignment="0" applyProtection="0"/>
    <xf numFmtId="0" fontId="25" fillId="13" borderId="176" applyNumberFormat="0" applyAlignment="0" applyProtection="0"/>
    <xf numFmtId="0" fontId="25" fillId="13" borderId="176" applyNumberFormat="0" applyAlignment="0" applyProtection="0"/>
    <xf numFmtId="0" fontId="25" fillId="13" borderId="176" applyNumberFormat="0" applyAlignment="0" applyProtection="0"/>
    <xf numFmtId="0" fontId="25" fillId="13" borderId="176" applyNumberFormat="0" applyAlignment="0" applyProtection="0"/>
    <xf numFmtId="0" fontId="25" fillId="13" borderId="176" applyNumberFormat="0" applyAlignment="0" applyProtection="0"/>
    <xf numFmtId="0" fontId="25" fillId="13" borderId="176" applyNumberFormat="0" applyAlignment="0" applyProtection="0"/>
    <xf numFmtId="0" fontId="25" fillId="13" borderId="176" applyNumberFormat="0" applyAlignment="0" applyProtection="0"/>
    <xf numFmtId="0" fontId="25" fillId="13" borderId="176" applyNumberFormat="0" applyAlignment="0" applyProtection="0"/>
    <xf numFmtId="0" fontId="25" fillId="13" borderId="176" applyNumberFormat="0" applyAlignment="0" applyProtection="0"/>
    <xf numFmtId="0" fontId="25" fillId="13" borderId="176" applyNumberFormat="0" applyAlignment="0" applyProtection="0"/>
    <xf numFmtId="0" fontId="25" fillId="13" borderId="176" applyNumberFormat="0" applyAlignment="0" applyProtection="0"/>
    <xf numFmtId="0" fontId="25" fillId="13" borderId="176" applyNumberFormat="0" applyAlignment="0" applyProtection="0"/>
    <xf numFmtId="0" fontId="25" fillId="13" borderId="176" applyNumberFormat="0" applyAlignment="0" applyProtection="0"/>
    <xf numFmtId="0" fontId="25" fillId="13" borderId="176" applyNumberFormat="0" applyAlignment="0" applyProtection="0"/>
    <xf numFmtId="0" fontId="25" fillId="13" borderId="176" applyNumberFormat="0" applyAlignment="0" applyProtection="0"/>
    <xf numFmtId="0" fontId="25" fillId="13" borderId="176" applyNumberFormat="0" applyAlignment="0" applyProtection="0"/>
    <xf numFmtId="0" fontId="25" fillId="13" borderId="176" applyNumberFormat="0" applyAlignment="0" applyProtection="0"/>
    <xf numFmtId="0" fontId="25" fillId="13" borderId="176" applyNumberFormat="0" applyAlignment="0" applyProtection="0"/>
    <xf numFmtId="0" fontId="25" fillId="13" borderId="176" applyNumberFormat="0" applyAlignment="0" applyProtection="0"/>
    <xf numFmtId="0" fontId="25" fillId="13" borderId="176" applyNumberFormat="0" applyAlignment="0" applyProtection="0"/>
    <xf numFmtId="0" fontId="25" fillId="13" borderId="176" applyNumberFormat="0" applyAlignment="0" applyProtection="0"/>
    <xf numFmtId="0" fontId="25" fillId="13" borderId="176" applyNumberFormat="0" applyAlignment="0" applyProtection="0"/>
    <xf numFmtId="0" fontId="25" fillId="13" borderId="176" applyNumberFormat="0" applyAlignment="0" applyProtection="0"/>
    <xf numFmtId="0" fontId="25" fillId="13" borderId="176" applyNumberFormat="0" applyAlignment="0" applyProtection="0"/>
    <xf numFmtId="0" fontId="25" fillId="13" borderId="176" applyNumberFormat="0" applyAlignment="0" applyProtection="0"/>
    <xf numFmtId="0" fontId="25" fillId="13" borderId="176" applyNumberFormat="0" applyAlignment="0" applyProtection="0"/>
    <xf numFmtId="0" fontId="25" fillId="13" borderId="176" applyNumberFormat="0" applyAlignment="0" applyProtection="0"/>
    <xf numFmtId="0" fontId="25" fillId="13" borderId="176" applyNumberFormat="0" applyAlignment="0" applyProtection="0"/>
    <xf numFmtId="0" fontId="25" fillId="13" borderId="176" applyNumberFormat="0" applyAlignment="0" applyProtection="0"/>
    <xf numFmtId="0" fontId="25" fillId="13" borderId="176" applyNumberFormat="0" applyAlignment="0" applyProtection="0"/>
    <xf numFmtId="0" fontId="25" fillId="13" borderId="176" applyNumberFormat="0" applyAlignment="0" applyProtection="0"/>
    <xf numFmtId="0" fontId="25" fillId="13" borderId="176" applyNumberFormat="0" applyAlignment="0" applyProtection="0"/>
    <xf numFmtId="0" fontId="25" fillId="13" borderId="176" applyNumberFormat="0" applyAlignment="0" applyProtection="0"/>
    <xf numFmtId="0" fontId="25" fillId="13" borderId="176" applyNumberFormat="0" applyAlignment="0" applyProtection="0"/>
    <xf numFmtId="0" fontId="25" fillId="13" borderId="176" applyNumberFormat="0" applyAlignment="0" applyProtection="0"/>
    <xf numFmtId="0" fontId="25" fillId="13" borderId="176" applyNumberFormat="0" applyAlignment="0" applyProtection="0"/>
    <xf numFmtId="0" fontId="25" fillId="13" borderId="176" applyNumberFormat="0" applyAlignment="0" applyProtection="0"/>
    <xf numFmtId="0" fontId="25" fillId="13" borderId="176" applyNumberFormat="0" applyAlignment="0" applyProtection="0"/>
    <xf numFmtId="0" fontId="25" fillId="13" borderId="176" applyNumberFormat="0" applyAlignment="0" applyProtection="0"/>
    <xf numFmtId="0" fontId="25" fillId="13" borderId="176" applyNumberFormat="0" applyAlignment="0" applyProtection="0"/>
    <xf numFmtId="0" fontId="25" fillId="13" borderId="176" applyNumberFormat="0" applyAlignment="0" applyProtection="0"/>
    <xf numFmtId="0" fontId="41" fillId="13" borderId="176" applyNumberFormat="0" applyAlignment="0" applyProtection="0"/>
    <xf numFmtId="0" fontId="41" fillId="13" borderId="176" applyNumberFormat="0" applyAlignment="0" applyProtection="0"/>
    <xf numFmtId="0" fontId="41" fillId="13" borderId="176" applyNumberFormat="0" applyAlignment="0" applyProtection="0"/>
    <xf numFmtId="0" fontId="41" fillId="13" borderId="176" applyNumberFormat="0" applyAlignment="0" applyProtection="0"/>
    <xf numFmtId="0" fontId="41" fillId="13" borderId="176" applyNumberFormat="0" applyAlignment="0" applyProtection="0"/>
    <xf numFmtId="0" fontId="41" fillId="13" borderId="176" applyNumberFormat="0" applyAlignment="0" applyProtection="0"/>
    <xf numFmtId="0" fontId="41" fillId="13" borderId="176" applyNumberFormat="0" applyAlignment="0" applyProtection="0"/>
    <xf numFmtId="0" fontId="41" fillId="13" borderId="176" applyNumberFormat="0" applyAlignment="0" applyProtection="0"/>
    <xf numFmtId="0" fontId="41" fillId="13" borderId="176" applyNumberFormat="0" applyAlignment="0" applyProtection="0"/>
    <xf numFmtId="0" fontId="41" fillId="13" borderId="176" applyNumberFormat="0" applyAlignment="0" applyProtection="0"/>
    <xf numFmtId="0" fontId="41" fillId="13" borderId="176" applyNumberFormat="0" applyAlignment="0" applyProtection="0"/>
    <xf numFmtId="0" fontId="41" fillId="13" borderId="176" applyNumberFormat="0" applyAlignment="0" applyProtection="0"/>
    <xf numFmtId="0" fontId="41" fillId="13" borderId="176" applyNumberFormat="0" applyAlignment="0" applyProtection="0"/>
    <xf numFmtId="0" fontId="41" fillId="13" borderId="176" applyNumberFormat="0" applyAlignment="0" applyProtection="0"/>
    <xf numFmtId="0" fontId="41" fillId="13" borderId="176" applyNumberFormat="0" applyAlignment="0" applyProtection="0"/>
    <xf numFmtId="0" fontId="41" fillId="13" borderId="176" applyNumberFormat="0" applyAlignment="0" applyProtection="0"/>
    <xf numFmtId="0" fontId="41" fillId="13" borderId="176" applyNumberFormat="0" applyAlignment="0" applyProtection="0"/>
    <xf numFmtId="0" fontId="41" fillId="13" borderId="176" applyNumberFormat="0" applyAlignment="0" applyProtection="0"/>
    <xf numFmtId="0" fontId="41" fillId="13" borderId="176" applyNumberFormat="0" applyAlignment="0" applyProtection="0"/>
    <xf numFmtId="0" fontId="41" fillId="13" borderId="176" applyNumberFormat="0" applyAlignment="0" applyProtection="0"/>
    <xf numFmtId="0" fontId="41" fillId="13" borderId="176" applyNumberFormat="0" applyAlignment="0" applyProtection="0"/>
    <xf numFmtId="0" fontId="41" fillId="13" borderId="176" applyNumberFormat="0" applyAlignment="0" applyProtection="0"/>
    <xf numFmtId="0" fontId="41" fillId="13" borderId="176" applyNumberFormat="0" applyAlignment="0" applyProtection="0"/>
    <xf numFmtId="0" fontId="41" fillId="13" borderId="176" applyNumberFormat="0" applyAlignment="0" applyProtection="0"/>
    <xf numFmtId="0" fontId="41" fillId="13" borderId="176" applyNumberFormat="0" applyAlignment="0" applyProtection="0"/>
    <xf numFmtId="0" fontId="41" fillId="13" borderId="176" applyNumberFormat="0" applyAlignment="0" applyProtection="0"/>
    <xf numFmtId="0" fontId="41" fillId="13" borderId="176" applyNumberFormat="0" applyAlignment="0" applyProtection="0"/>
    <xf numFmtId="0" fontId="41" fillId="13" borderId="176" applyNumberFormat="0" applyAlignment="0" applyProtection="0"/>
    <xf numFmtId="0" fontId="41" fillId="13" borderId="176" applyNumberFormat="0" applyAlignment="0" applyProtection="0"/>
    <xf numFmtId="0" fontId="41" fillId="13" borderId="176" applyNumberFormat="0" applyAlignment="0" applyProtection="0"/>
    <xf numFmtId="0" fontId="41" fillId="13" borderId="176" applyNumberFormat="0" applyAlignment="0" applyProtection="0"/>
    <xf numFmtId="0" fontId="41" fillId="13" borderId="176" applyNumberFormat="0" applyAlignment="0" applyProtection="0"/>
    <xf numFmtId="0" fontId="41" fillId="13" borderId="176" applyNumberFormat="0" applyAlignment="0" applyProtection="0"/>
    <xf numFmtId="0" fontId="41" fillId="13" borderId="176" applyNumberFormat="0" applyAlignment="0" applyProtection="0"/>
    <xf numFmtId="0" fontId="41" fillId="13" borderId="176" applyNumberFormat="0" applyAlignment="0" applyProtection="0"/>
    <xf numFmtId="0" fontId="41" fillId="13" borderId="176" applyNumberFormat="0" applyAlignment="0" applyProtection="0"/>
    <xf numFmtId="0" fontId="41" fillId="13" borderId="176" applyNumberFormat="0" applyAlignment="0" applyProtection="0"/>
    <xf numFmtId="0" fontId="41" fillId="13" borderId="176" applyNumberFormat="0" applyAlignment="0" applyProtection="0"/>
    <xf numFmtId="0" fontId="41" fillId="13" borderId="176" applyNumberFormat="0" applyAlignment="0" applyProtection="0"/>
    <xf numFmtId="0" fontId="41" fillId="13" borderId="176" applyNumberFormat="0" applyAlignment="0" applyProtection="0"/>
    <xf numFmtId="0" fontId="41" fillId="13" borderId="176" applyNumberFormat="0" applyAlignment="0" applyProtection="0"/>
    <xf numFmtId="0" fontId="41" fillId="13" borderId="176" applyNumberFormat="0" applyAlignment="0" applyProtection="0"/>
    <xf numFmtId="0" fontId="41" fillId="13" borderId="176" applyNumberFormat="0" applyAlignment="0" applyProtection="0"/>
    <xf numFmtId="0" fontId="41" fillId="13" borderId="176" applyNumberFormat="0" applyAlignment="0" applyProtection="0"/>
    <xf numFmtId="0" fontId="41" fillId="13" borderId="176" applyNumberFormat="0" applyAlignment="0" applyProtection="0"/>
    <xf numFmtId="0" fontId="41" fillId="13" borderId="176" applyNumberFormat="0" applyAlignment="0" applyProtection="0"/>
    <xf numFmtId="0" fontId="41" fillId="13" borderId="176" applyNumberFormat="0" applyAlignment="0" applyProtection="0"/>
    <xf numFmtId="0" fontId="41" fillId="13" borderId="176" applyNumberFormat="0" applyAlignment="0" applyProtection="0"/>
    <xf numFmtId="0" fontId="41" fillId="13" borderId="176" applyNumberFormat="0" applyAlignment="0" applyProtection="0"/>
    <xf numFmtId="0" fontId="25" fillId="13" borderId="176" applyNumberFormat="0" applyAlignment="0" applyProtection="0"/>
    <xf numFmtId="0" fontId="25" fillId="13" borderId="176" applyNumberFormat="0" applyAlignment="0" applyProtection="0"/>
    <xf numFmtId="0" fontId="25" fillId="13" borderId="176" applyNumberFormat="0" applyAlignment="0" applyProtection="0"/>
    <xf numFmtId="0" fontId="25" fillId="13" borderId="176" applyNumberFormat="0" applyAlignment="0" applyProtection="0"/>
    <xf numFmtId="0" fontId="25" fillId="13" borderId="176" applyNumberFormat="0" applyAlignment="0" applyProtection="0"/>
    <xf numFmtId="0" fontId="25" fillId="13" borderId="176" applyNumberFormat="0" applyAlignment="0" applyProtection="0"/>
    <xf numFmtId="0" fontId="25" fillId="13" borderId="176" applyNumberFormat="0" applyAlignment="0" applyProtection="0"/>
    <xf numFmtId="0" fontId="25" fillId="13" borderId="176" applyNumberFormat="0" applyAlignment="0" applyProtection="0"/>
    <xf numFmtId="0" fontId="25" fillId="13" borderId="176" applyNumberFormat="0" applyAlignment="0" applyProtection="0"/>
    <xf numFmtId="0" fontId="25" fillId="13" borderId="176" applyNumberFormat="0" applyAlignment="0" applyProtection="0"/>
    <xf numFmtId="0" fontId="25" fillId="13" borderId="176" applyNumberFormat="0" applyAlignment="0" applyProtection="0"/>
    <xf numFmtId="0" fontId="25" fillId="13" borderId="176" applyNumberFormat="0" applyAlignment="0" applyProtection="0"/>
    <xf numFmtId="0" fontId="25" fillId="13" borderId="176" applyNumberFormat="0" applyAlignment="0" applyProtection="0"/>
    <xf numFmtId="0" fontId="25" fillId="13" borderId="176" applyNumberFormat="0" applyAlignment="0" applyProtection="0"/>
    <xf numFmtId="0" fontId="25" fillId="13" borderId="176" applyNumberFormat="0" applyAlignment="0" applyProtection="0"/>
    <xf numFmtId="0" fontId="25" fillId="13" borderId="176" applyNumberFormat="0" applyAlignment="0" applyProtection="0"/>
    <xf numFmtId="0" fontId="25" fillId="13" borderId="176" applyNumberFormat="0" applyAlignment="0" applyProtection="0"/>
    <xf numFmtId="0" fontId="25" fillId="13" borderId="176" applyNumberFormat="0" applyAlignment="0" applyProtection="0"/>
    <xf numFmtId="0" fontId="25" fillId="13" borderId="176" applyNumberFormat="0" applyAlignment="0" applyProtection="0"/>
    <xf numFmtId="0" fontId="25" fillId="13" borderId="176" applyNumberFormat="0" applyAlignment="0" applyProtection="0"/>
    <xf numFmtId="0" fontId="25" fillId="13" borderId="176" applyNumberFormat="0" applyAlignment="0" applyProtection="0"/>
    <xf numFmtId="0" fontId="25" fillId="13" borderId="176" applyNumberFormat="0" applyAlignment="0" applyProtection="0"/>
    <xf numFmtId="0" fontId="25" fillId="13" borderId="176" applyNumberFormat="0" applyAlignment="0" applyProtection="0"/>
    <xf numFmtId="0" fontId="25" fillId="13" borderId="176" applyNumberFormat="0" applyAlignment="0" applyProtection="0"/>
    <xf numFmtId="0" fontId="25" fillId="13" borderId="176" applyNumberFormat="0" applyAlignment="0" applyProtection="0"/>
    <xf numFmtId="0" fontId="25" fillId="13" borderId="176" applyNumberFormat="0" applyAlignment="0" applyProtection="0"/>
    <xf numFmtId="0" fontId="25" fillId="13" borderId="176" applyNumberFormat="0" applyAlignment="0" applyProtection="0"/>
    <xf numFmtId="0" fontId="25" fillId="13" borderId="176" applyNumberFormat="0" applyAlignment="0" applyProtection="0"/>
    <xf numFmtId="0" fontId="25" fillId="13" borderId="176" applyNumberFormat="0" applyAlignment="0" applyProtection="0"/>
    <xf numFmtId="0" fontId="25" fillId="13" borderId="176" applyNumberFormat="0" applyAlignment="0" applyProtection="0"/>
    <xf numFmtId="0" fontId="25" fillId="13" borderId="176" applyNumberFormat="0" applyAlignment="0" applyProtection="0"/>
    <xf numFmtId="0" fontId="25" fillId="13" borderId="176" applyNumberFormat="0" applyAlignment="0" applyProtection="0"/>
    <xf numFmtId="0" fontId="25" fillId="13" borderId="176" applyNumberFormat="0" applyAlignment="0" applyProtection="0"/>
    <xf numFmtId="0" fontId="25" fillId="13" borderId="176" applyNumberFormat="0" applyAlignment="0" applyProtection="0"/>
    <xf numFmtId="0" fontId="25" fillId="13" borderId="176" applyNumberFormat="0" applyAlignment="0" applyProtection="0"/>
    <xf numFmtId="0" fontId="25" fillId="13" borderId="176" applyNumberFormat="0" applyAlignment="0" applyProtection="0"/>
    <xf numFmtId="0" fontId="25" fillId="13" borderId="176" applyNumberFormat="0" applyAlignment="0" applyProtection="0"/>
    <xf numFmtId="0" fontId="25" fillId="13" borderId="176" applyNumberFormat="0" applyAlignment="0" applyProtection="0"/>
    <xf numFmtId="0" fontId="25" fillId="13" borderId="176" applyNumberFormat="0" applyAlignment="0" applyProtection="0"/>
    <xf numFmtId="0" fontId="25" fillId="13" borderId="176" applyNumberFormat="0" applyAlignment="0" applyProtection="0"/>
    <xf numFmtId="0" fontId="25" fillId="13" borderId="176" applyNumberFormat="0" applyAlignment="0" applyProtection="0"/>
    <xf numFmtId="0" fontId="25" fillId="13" borderId="176" applyNumberFormat="0" applyAlignment="0" applyProtection="0"/>
    <xf numFmtId="0" fontId="25" fillId="13" borderId="176" applyNumberFormat="0" applyAlignment="0" applyProtection="0"/>
    <xf numFmtId="0" fontId="25" fillId="13" borderId="176" applyNumberFormat="0" applyAlignment="0" applyProtection="0"/>
    <xf numFmtId="0" fontId="25" fillId="13" borderId="176" applyNumberFormat="0" applyAlignment="0" applyProtection="0"/>
    <xf numFmtId="0" fontId="25" fillId="13" borderId="176" applyNumberFormat="0" applyAlignment="0" applyProtection="0"/>
    <xf numFmtId="0" fontId="25" fillId="13" borderId="176" applyNumberFormat="0" applyAlignment="0" applyProtection="0"/>
    <xf numFmtId="0" fontId="25" fillId="13" borderId="176" applyNumberFormat="0" applyAlignment="0" applyProtection="0"/>
    <xf numFmtId="0" fontId="25" fillId="13" borderId="176" applyNumberFormat="0" applyAlignment="0" applyProtection="0"/>
    <xf numFmtId="0" fontId="25" fillId="8" borderId="176" applyNumberFormat="0" applyAlignment="0" applyProtection="0"/>
    <xf numFmtId="0" fontId="25" fillId="8" borderId="176" applyNumberFormat="0" applyAlignment="0" applyProtection="0"/>
    <xf numFmtId="0" fontId="25" fillId="8" borderId="176" applyNumberFormat="0" applyAlignment="0" applyProtection="0"/>
    <xf numFmtId="0" fontId="25" fillId="8" borderId="176" applyNumberFormat="0" applyAlignment="0" applyProtection="0"/>
    <xf numFmtId="0" fontId="25" fillId="8" borderId="176" applyNumberFormat="0" applyAlignment="0" applyProtection="0"/>
    <xf numFmtId="0" fontId="25" fillId="8" borderId="176" applyNumberFormat="0" applyAlignment="0" applyProtection="0"/>
    <xf numFmtId="0" fontId="25" fillId="8" borderId="176" applyNumberFormat="0" applyAlignment="0" applyProtection="0"/>
    <xf numFmtId="0" fontId="25" fillId="8" borderId="176" applyNumberFormat="0" applyAlignment="0" applyProtection="0"/>
    <xf numFmtId="0" fontId="25" fillId="8" borderId="176" applyNumberFormat="0" applyAlignment="0" applyProtection="0"/>
    <xf numFmtId="0" fontId="25" fillId="8" borderId="176" applyNumberFormat="0" applyAlignment="0" applyProtection="0"/>
    <xf numFmtId="0" fontId="25" fillId="8" borderId="176" applyNumberFormat="0" applyAlignment="0" applyProtection="0"/>
    <xf numFmtId="0" fontId="25" fillId="8" borderId="176" applyNumberFormat="0" applyAlignment="0" applyProtection="0"/>
    <xf numFmtId="0" fontId="25" fillId="8" borderId="176" applyNumberFormat="0" applyAlignment="0" applyProtection="0"/>
    <xf numFmtId="0" fontId="25" fillId="8" borderId="176" applyNumberFormat="0" applyAlignment="0" applyProtection="0"/>
    <xf numFmtId="0" fontId="25" fillId="8" borderId="176" applyNumberFormat="0" applyAlignment="0" applyProtection="0"/>
    <xf numFmtId="0" fontId="25" fillId="8" borderId="176" applyNumberFormat="0" applyAlignment="0" applyProtection="0"/>
    <xf numFmtId="0" fontId="25" fillId="8" borderId="176" applyNumberFormat="0" applyAlignment="0" applyProtection="0"/>
    <xf numFmtId="0" fontId="25" fillId="8" borderId="176" applyNumberFormat="0" applyAlignment="0" applyProtection="0"/>
    <xf numFmtId="0" fontId="25" fillId="8" borderId="176" applyNumberFormat="0" applyAlignment="0" applyProtection="0"/>
    <xf numFmtId="0" fontId="25" fillId="8" borderId="176" applyNumberFormat="0" applyAlignment="0" applyProtection="0"/>
    <xf numFmtId="0" fontId="25" fillId="8" borderId="176" applyNumberFormat="0" applyAlignment="0" applyProtection="0"/>
    <xf numFmtId="0" fontId="25" fillId="8" borderId="176" applyNumberFormat="0" applyAlignment="0" applyProtection="0"/>
    <xf numFmtId="0" fontId="25" fillId="8" borderId="176" applyNumberFormat="0" applyAlignment="0" applyProtection="0"/>
    <xf numFmtId="0" fontId="25" fillId="8" borderId="176" applyNumberFormat="0" applyAlignment="0" applyProtection="0"/>
    <xf numFmtId="0" fontId="25" fillId="8" borderId="176" applyNumberFormat="0" applyAlignment="0" applyProtection="0"/>
    <xf numFmtId="0" fontId="25" fillId="8" borderId="176" applyNumberFormat="0" applyAlignment="0" applyProtection="0"/>
    <xf numFmtId="0" fontId="25" fillId="8" borderId="176" applyNumberFormat="0" applyAlignment="0" applyProtection="0"/>
    <xf numFmtId="0" fontId="25" fillId="8" borderId="176" applyNumberFormat="0" applyAlignment="0" applyProtection="0"/>
    <xf numFmtId="0" fontId="25" fillId="8" borderId="176" applyNumberFormat="0" applyAlignment="0" applyProtection="0"/>
    <xf numFmtId="0" fontId="25" fillId="8" borderId="176" applyNumberFormat="0" applyAlignment="0" applyProtection="0"/>
    <xf numFmtId="0" fontId="25" fillId="8" borderId="176" applyNumberFormat="0" applyAlignment="0" applyProtection="0"/>
    <xf numFmtId="0" fontId="25" fillId="8" borderId="176" applyNumberFormat="0" applyAlignment="0" applyProtection="0"/>
    <xf numFmtId="0" fontId="25" fillId="8" borderId="176" applyNumberFormat="0" applyAlignment="0" applyProtection="0"/>
    <xf numFmtId="0" fontId="25" fillId="8" borderId="176" applyNumberFormat="0" applyAlignment="0" applyProtection="0"/>
    <xf numFmtId="0" fontId="25" fillId="8" borderId="176" applyNumberFormat="0" applyAlignment="0" applyProtection="0"/>
    <xf numFmtId="0" fontId="25" fillId="8" borderId="176" applyNumberFormat="0" applyAlignment="0" applyProtection="0"/>
    <xf numFmtId="0" fontId="25" fillId="8" borderId="176" applyNumberFormat="0" applyAlignment="0" applyProtection="0"/>
    <xf numFmtId="0" fontId="25" fillId="8" borderId="176" applyNumberFormat="0" applyAlignment="0" applyProtection="0"/>
    <xf numFmtId="0" fontId="25" fillId="8" borderId="176" applyNumberFormat="0" applyAlignment="0" applyProtection="0"/>
    <xf numFmtId="0" fontId="25" fillId="8" borderId="176" applyNumberFormat="0" applyAlignment="0" applyProtection="0"/>
    <xf numFmtId="0" fontId="25" fillId="8" borderId="176" applyNumberFormat="0" applyAlignment="0" applyProtection="0"/>
    <xf numFmtId="0" fontId="25" fillId="8" borderId="176" applyNumberFormat="0" applyAlignment="0" applyProtection="0"/>
    <xf numFmtId="0" fontId="25" fillId="8" borderId="176" applyNumberFormat="0" applyAlignment="0" applyProtection="0"/>
    <xf numFmtId="0" fontId="25" fillId="8" borderId="176" applyNumberFormat="0" applyAlignment="0" applyProtection="0"/>
    <xf numFmtId="0" fontId="25" fillId="8" borderId="176" applyNumberFormat="0" applyAlignment="0" applyProtection="0"/>
    <xf numFmtId="0" fontId="25" fillId="8" borderId="176" applyNumberFormat="0" applyAlignment="0" applyProtection="0"/>
    <xf numFmtId="0" fontId="25" fillId="8" borderId="176" applyNumberFormat="0" applyAlignment="0" applyProtection="0"/>
    <xf numFmtId="0" fontId="25" fillId="8" borderId="176" applyNumberFormat="0" applyAlignment="0" applyProtection="0"/>
    <xf numFmtId="0" fontId="25" fillId="8" borderId="176" applyNumberFormat="0" applyAlignment="0" applyProtection="0"/>
    <xf numFmtId="0" fontId="25" fillId="8" borderId="176" applyNumberFormat="0" applyAlignment="0" applyProtection="0"/>
    <xf numFmtId="0" fontId="25" fillId="8" borderId="176" applyNumberFormat="0" applyAlignment="0" applyProtection="0"/>
    <xf numFmtId="0" fontId="25" fillId="8" borderId="176" applyNumberFormat="0" applyAlignment="0" applyProtection="0"/>
    <xf numFmtId="0" fontId="25" fillId="8" borderId="176" applyNumberFormat="0" applyAlignment="0" applyProtection="0"/>
    <xf numFmtId="0" fontId="25" fillId="8" borderId="176" applyNumberFormat="0" applyAlignment="0" applyProtection="0"/>
    <xf numFmtId="0" fontId="25" fillId="8" borderId="176" applyNumberFormat="0" applyAlignment="0" applyProtection="0"/>
    <xf numFmtId="0" fontId="25" fillId="8" borderId="176" applyNumberFormat="0" applyAlignment="0" applyProtection="0"/>
    <xf numFmtId="0" fontId="25" fillId="8" borderId="176" applyNumberFormat="0" applyAlignment="0" applyProtection="0"/>
    <xf numFmtId="0" fontId="25" fillId="8" borderId="176" applyNumberFormat="0" applyAlignment="0" applyProtection="0"/>
    <xf numFmtId="0" fontId="25" fillId="8" borderId="176" applyNumberFormat="0" applyAlignment="0" applyProtection="0"/>
    <xf numFmtId="0" fontId="25" fillId="8" borderId="176" applyNumberFormat="0" applyAlignment="0" applyProtection="0"/>
    <xf numFmtId="0" fontId="25" fillId="8" borderId="176" applyNumberFormat="0" applyAlignment="0" applyProtection="0"/>
    <xf numFmtId="0" fontId="25" fillId="8" borderId="176" applyNumberFormat="0" applyAlignment="0" applyProtection="0"/>
    <xf numFmtId="0" fontId="25" fillId="8" borderId="176" applyNumberFormat="0" applyAlignment="0" applyProtection="0"/>
    <xf numFmtId="0" fontId="25" fillId="8" borderId="176" applyNumberFormat="0" applyAlignment="0" applyProtection="0"/>
    <xf numFmtId="0" fontId="25" fillId="8" borderId="176" applyNumberFormat="0" applyAlignment="0" applyProtection="0"/>
    <xf numFmtId="0" fontId="25" fillId="8" borderId="176" applyNumberFormat="0" applyAlignment="0" applyProtection="0"/>
    <xf numFmtId="0" fontId="25" fillId="8" borderId="176" applyNumberFormat="0" applyAlignment="0" applyProtection="0"/>
    <xf numFmtId="0" fontId="25" fillId="8" borderId="176" applyNumberFormat="0" applyAlignment="0" applyProtection="0"/>
    <xf numFmtId="0" fontId="25" fillId="8" borderId="176" applyNumberFormat="0" applyAlignment="0" applyProtection="0"/>
    <xf numFmtId="0" fontId="25" fillId="8" borderId="176" applyNumberFormat="0" applyAlignment="0" applyProtection="0"/>
    <xf numFmtId="0" fontId="25" fillId="8" borderId="176" applyNumberFormat="0" applyAlignment="0" applyProtection="0"/>
    <xf numFmtId="0" fontId="25" fillId="8" borderId="176" applyNumberFormat="0" applyAlignment="0" applyProtection="0"/>
    <xf numFmtId="0" fontId="25" fillId="8" borderId="176" applyNumberFormat="0" applyAlignment="0" applyProtection="0"/>
    <xf numFmtId="0" fontId="25" fillId="8" borderId="176" applyNumberFormat="0" applyAlignment="0" applyProtection="0"/>
    <xf numFmtId="0" fontId="25" fillId="8" borderId="176" applyNumberFormat="0" applyAlignment="0" applyProtection="0"/>
    <xf numFmtId="0" fontId="25" fillId="8" borderId="176" applyNumberFormat="0" applyAlignment="0" applyProtection="0"/>
    <xf numFmtId="0" fontId="25" fillId="8" borderId="176" applyNumberFormat="0" applyAlignment="0" applyProtection="0"/>
    <xf numFmtId="0" fontId="84" fillId="73" borderId="180"/>
    <xf numFmtId="0" fontId="84" fillId="73" borderId="180"/>
    <xf numFmtId="0" fontId="84" fillId="73" borderId="180"/>
    <xf numFmtId="0" fontId="84" fillId="73" borderId="180"/>
    <xf numFmtId="0" fontId="84" fillId="73" borderId="180"/>
    <xf numFmtId="0" fontId="84" fillId="73" borderId="180"/>
    <xf numFmtId="0" fontId="84" fillId="73" borderId="180"/>
    <xf numFmtId="0" fontId="84" fillId="73" borderId="180"/>
    <xf numFmtId="0" fontId="84" fillId="73" borderId="180"/>
    <xf numFmtId="0" fontId="84" fillId="73" borderId="180"/>
    <xf numFmtId="0" fontId="84" fillId="73" borderId="180"/>
    <xf numFmtId="0" fontId="84" fillId="73" borderId="180"/>
    <xf numFmtId="0" fontId="84" fillId="73" borderId="180"/>
    <xf numFmtId="0" fontId="84" fillId="73" borderId="180"/>
    <xf numFmtId="0" fontId="84" fillId="73" borderId="180"/>
    <xf numFmtId="0" fontId="84" fillId="73" borderId="180"/>
    <xf numFmtId="0" fontId="84" fillId="73" borderId="180"/>
    <xf numFmtId="0" fontId="84" fillId="73" borderId="180"/>
    <xf numFmtId="0" fontId="84" fillId="73" borderId="180"/>
    <xf numFmtId="0" fontId="84" fillId="73" borderId="180"/>
    <xf numFmtId="0" fontId="84" fillId="73" borderId="180"/>
    <xf numFmtId="0" fontId="84" fillId="73" borderId="180"/>
    <xf numFmtId="0" fontId="84" fillId="73" borderId="180"/>
    <xf numFmtId="0" fontId="84" fillId="73" borderId="180"/>
    <xf numFmtId="0" fontId="84" fillId="73" borderId="180"/>
    <xf numFmtId="0" fontId="84" fillId="73" borderId="180"/>
    <xf numFmtId="0" fontId="84" fillId="73" borderId="180"/>
    <xf numFmtId="0" fontId="84" fillId="73" borderId="180"/>
    <xf numFmtId="0" fontId="84" fillId="73" borderId="180"/>
    <xf numFmtId="0" fontId="84" fillId="73" borderId="180"/>
    <xf numFmtId="0" fontId="84" fillId="73" borderId="180"/>
    <xf numFmtId="0" fontId="84" fillId="73" borderId="180"/>
    <xf numFmtId="0" fontId="84" fillId="73" borderId="180"/>
    <xf numFmtId="0" fontId="84" fillId="73" borderId="180"/>
    <xf numFmtId="0" fontId="84" fillId="73" borderId="180"/>
    <xf numFmtId="0" fontId="84" fillId="73" borderId="180"/>
    <xf numFmtId="0" fontId="84" fillId="73" borderId="180"/>
    <xf numFmtId="0" fontId="84" fillId="73" borderId="180"/>
    <xf numFmtId="0" fontId="84" fillId="73" borderId="180"/>
    <xf numFmtId="0" fontId="84" fillId="73" borderId="180"/>
    <xf numFmtId="0" fontId="84" fillId="73" borderId="180"/>
    <xf numFmtId="0" fontId="84" fillId="73" borderId="180"/>
    <xf numFmtId="0" fontId="84" fillId="73" borderId="180"/>
    <xf numFmtId="0" fontId="84" fillId="73" borderId="180"/>
    <xf numFmtId="0" fontId="84" fillId="73" borderId="180"/>
    <xf numFmtId="0" fontId="72" fillId="0" borderId="181" applyBorder="0">
      <alignment horizontal="center" vertical="center" wrapText="1"/>
    </xf>
    <xf numFmtId="0" fontId="72" fillId="0" borderId="181" applyBorder="0">
      <alignment horizontal="center" vertical="center" wrapText="1"/>
    </xf>
    <xf numFmtId="0" fontId="72" fillId="0" borderId="181" applyBorder="0">
      <alignment horizontal="center" vertical="center" wrapText="1"/>
    </xf>
    <xf numFmtId="0" fontId="72" fillId="0" borderId="181" applyBorder="0">
      <alignment horizontal="center" vertical="center" wrapText="1"/>
    </xf>
    <xf numFmtId="0" fontId="72" fillId="0" borderId="181" applyBorder="0">
      <alignment horizontal="center" vertical="center" wrapText="1"/>
    </xf>
    <xf numFmtId="0" fontId="72" fillId="0" borderId="181" applyBorder="0">
      <alignment horizontal="center" vertical="center" wrapText="1"/>
    </xf>
    <xf numFmtId="0" fontId="72" fillId="0" borderId="181" applyBorder="0">
      <alignment horizontal="center" vertical="center" wrapText="1"/>
    </xf>
    <xf numFmtId="0" fontId="72" fillId="0" borderId="181" applyBorder="0">
      <alignment horizontal="center" vertical="center" wrapText="1"/>
    </xf>
    <xf numFmtId="0" fontId="72" fillId="0" borderId="181" applyBorder="0">
      <alignment horizontal="center" vertical="center" wrapText="1"/>
    </xf>
    <xf numFmtId="0" fontId="72" fillId="0" borderId="181" applyBorder="0">
      <alignment horizontal="center" vertical="center" wrapText="1"/>
    </xf>
    <xf numFmtId="0" fontId="72" fillId="0" borderId="181" applyBorder="0">
      <alignment horizontal="center" vertical="center" wrapText="1"/>
    </xf>
    <xf numFmtId="0" fontId="72" fillId="0" borderId="181" applyBorder="0">
      <alignment horizontal="center" vertical="center" wrapText="1"/>
    </xf>
    <xf numFmtId="0" fontId="72" fillId="0" borderId="181" applyBorder="0">
      <alignment horizontal="center" vertical="center" wrapText="1"/>
    </xf>
    <xf numFmtId="0" fontId="72" fillId="0" borderId="181" applyBorder="0">
      <alignment horizontal="center" vertical="center" wrapText="1"/>
    </xf>
    <xf numFmtId="0" fontId="72" fillId="0" borderId="181" applyBorder="0">
      <alignment horizontal="center" vertical="center" wrapText="1"/>
    </xf>
    <xf numFmtId="0" fontId="72" fillId="0" borderId="181" applyBorder="0">
      <alignment horizontal="center" vertical="center" wrapText="1"/>
    </xf>
    <xf numFmtId="0" fontId="72" fillId="0" borderId="181" applyBorder="0">
      <alignment horizontal="center" vertical="center" wrapText="1"/>
    </xf>
    <xf numFmtId="0" fontId="72" fillId="0" borderId="181" applyBorder="0">
      <alignment horizontal="center" vertical="center" wrapText="1"/>
    </xf>
    <xf numFmtId="0" fontId="72" fillId="0" borderId="181" applyBorder="0">
      <alignment horizontal="center" vertical="center" wrapText="1"/>
    </xf>
    <xf numFmtId="0" fontId="72" fillId="0" borderId="181" applyBorder="0">
      <alignment horizontal="center" vertical="center" wrapText="1"/>
    </xf>
    <xf numFmtId="0" fontId="72" fillId="0" borderId="181" applyBorder="0">
      <alignment horizontal="center" vertical="center" wrapText="1"/>
    </xf>
    <xf numFmtId="0" fontId="72" fillId="0" borderId="181" applyBorder="0">
      <alignment horizontal="center" vertical="center" wrapText="1"/>
    </xf>
    <xf numFmtId="0" fontId="72" fillId="0" borderId="181" applyBorder="0">
      <alignment horizontal="center" vertical="center" wrapText="1"/>
    </xf>
    <xf numFmtId="0" fontId="72" fillId="0" borderId="181" applyBorder="0">
      <alignment horizontal="center" vertical="center" wrapText="1"/>
    </xf>
    <xf numFmtId="0" fontId="72" fillId="0" borderId="181" applyBorder="0">
      <alignment horizontal="center" vertical="center" wrapText="1"/>
    </xf>
    <xf numFmtId="0" fontId="72" fillId="0" borderId="181" applyBorder="0">
      <alignment horizontal="center" vertical="center" wrapText="1"/>
    </xf>
    <xf numFmtId="0" fontId="72" fillId="0" borderId="181" applyBorder="0">
      <alignment horizontal="center" vertical="center" wrapText="1"/>
    </xf>
    <xf numFmtId="0" fontId="72" fillId="0" borderId="181" applyBorder="0">
      <alignment horizontal="center" vertical="center" wrapText="1"/>
    </xf>
    <xf numFmtId="0" fontId="72" fillId="0" borderId="181" applyBorder="0">
      <alignment horizontal="center" vertical="center" wrapText="1"/>
    </xf>
    <xf numFmtId="0" fontId="72" fillId="0" borderId="181" applyBorder="0">
      <alignment horizontal="center" vertical="center" wrapText="1"/>
    </xf>
    <xf numFmtId="0" fontId="72" fillId="0" borderId="181" applyBorder="0">
      <alignment horizontal="center" vertical="center" wrapText="1"/>
    </xf>
    <xf numFmtId="0" fontId="72" fillId="0" borderId="181" applyBorder="0">
      <alignment horizontal="center" vertical="center" wrapText="1"/>
    </xf>
    <xf numFmtId="0" fontId="72" fillId="0" borderId="181" applyBorder="0">
      <alignment horizontal="center" vertical="center" wrapText="1"/>
    </xf>
    <xf numFmtId="0" fontId="72" fillId="0" borderId="181" applyBorder="0">
      <alignment horizontal="center" vertical="center" wrapText="1"/>
    </xf>
    <xf numFmtId="0" fontId="72" fillId="0" borderId="181" applyBorder="0">
      <alignment horizontal="center" vertical="center" wrapText="1"/>
    </xf>
    <xf numFmtId="0" fontId="72" fillId="0" borderId="181" applyBorder="0">
      <alignment horizontal="center" vertical="center" wrapText="1"/>
    </xf>
    <xf numFmtId="0" fontId="72" fillId="0" borderId="181" applyBorder="0">
      <alignment horizontal="center" vertical="center" wrapText="1"/>
    </xf>
    <xf numFmtId="0" fontId="72" fillId="0" borderId="181" applyBorder="0">
      <alignment horizontal="center" vertical="center" wrapText="1"/>
    </xf>
    <xf numFmtId="0" fontId="72" fillId="0" borderId="181" applyBorder="0">
      <alignment horizontal="center" vertical="center" wrapText="1"/>
    </xf>
    <xf numFmtId="0" fontId="72" fillId="0" borderId="181" applyBorder="0">
      <alignment horizontal="center" vertical="center" wrapText="1"/>
    </xf>
    <xf numFmtId="0" fontId="72" fillId="0" borderId="181" applyBorder="0">
      <alignment horizontal="center" vertical="center" wrapText="1"/>
    </xf>
    <xf numFmtId="0" fontId="72" fillId="0" borderId="181" applyBorder="0">
      <alignment horizontal="center" vertical="center" wrapText="1"/>
    </xf>
    <xf numFmtId="0" fontId="72" fillId="0" borderId="181" applyBorder="0">
      <alignment horizontal="center" vertical="center" wrapText="1"/>
    </xf>
    <xf numFmtId="0" fontId="72" fillId="0" borderId="181" applyBorder="0">
      <alignment horizontal="center" vertical="center" wrapText="1"/>
    </xf>
    <xf numFmtId="0" fontId="72" fillId="0" borderId="181" applyBorder="0">
      <alignment horizontal="center" vertical="center" wrapText="1"/>
    </xf>
    <xf numFmtId="0" fontId="72" fillId="0" borderId="181" applyBorder="0">
      <alignment horizontal="center" vertical="center" wrapText="1"/>
    </xf>
    <xf numFmtId="0" fontId="72" fillId="0" borderId="181" applyBorder="0">
      <alignment horizontal="center" vertical="center" wrapText="1"/>
    </xf>
    <xf numFmtId="0" fontId="72" fillId="0" borderId="181" applyBorder="0">
      <alignment horizontal="center" vertical="center" wrapText="1"/>
    </xf>
    <xf numFmtId="0" fontId="72" fillId="0" borderId="181" applyBorder="0">
      <alignment horizontal="center" vertical="center" wrapText="1"/>
    </xf>
    <xf numFmtId="0" fontId="72" fillId="0" borderId="181" applyBorder="0">
      <alignment horizontal="center" vertical="center" wrapText="1"/>
    </xf>
    <xf numFmtId="0" fontId="72" fillId="0" borderId="181" applyBorder="0">
      <alignment horizontal="center" vertical="center" wrapText="1"/>
    </xf>
    <xf numFmtId="0" fontId="72" fillId="0" borderId="181" applyBorder="0">
      <alignment horizontal="center" vertical="center" wrapText="1"/>
    </xf>
    <xf numFmtId="0" fontId="72" fillId="0" borderId="181" applyBorder="0">
      <alignment horizontal="center" vertical="center" wrapText="1"/>
    </xf>
    <xf numFmtId="0" fontId="72" fillId="0" borderId="181" applyBorder="0">
      <alignment horizontal="center" vertical="center" wrapText="1"/>
    </xf>
    <xf numFmtId="0" fontId="72" fillId="0" borderId="181" applyBorder="0">
      <alignment horizontal="center" vertical="center" wrapText="1"/>
    </xf>
    <xf numFmtId="0" fontId="72" fillId="0" borderId="181" applyBorder="0">
      <alignment horizontal="center" vertical="center" wrapText="1"/>
    </xf>
    <xf numFmtId="0" fontId="72" fillId="0" borderId="181" applyBorder="0">
      <alignment horizontal="center" vertical="center" wrapText="1"/>
    </xf>
    <xf numFmtId="0" fontId="72" fillId="0" borderId="181" applyBorder="0">
      <alignment horizontal="center" vertical="center" wrapText="1"/>
    </xf>
    <xf numFmtId="0" fontId="72" fillId="0" borderId="181" applyBorder="0">
      <alignment horizontal="center" vertical="center" wrapText="1"/>
    </xf>
    <xf numFmtId="0" fontId="72" fillId="0" borderId="181" applyBorder="0">
      <alignment horizontal="center" vertical="center" wrapText="1"/>
    </xf>
    <xf numFmtId="0" fontId="49" fillId="10" borderId="177" applyNumberFormat="0" applyFont="0" applyAlignment="0" applyProtection="0"/>
    <xf numFmtId="0" fontId="48" fillId="12" borderId="176" applyNumberFormat="0" applyAlignment="0" applyProtection="0"/>
    <xf numFmtId="0" fontId="25" fillId="8" borderId="176" applyNumberFormat="0" applyAlignment="0" applyProtection="0"/>
    <xf numFmtId="0" fontId="31" fillId="0" borderId="182" applyNumberFormat="0" applyFill="0" applyAlignment="0" applyProtection="0"/>
    <xf numFmtId="0" fontId="31" fillId="0" borderId="179" applyNumberFormat="0" applyFill="0" applyAlignment="0" applyProtection="0"/>
    <xf numFmtId="0" fontId="24" fillId="24" borderId="178" applyNumberFormat="0" applyAlignment="0" applyProtection="0"/>
    <xf numFmtId="0" fontId="8" fillId="10" borderId="177" applyNumberFormat="0" applyFont="0" applyAlignment="0" applyProtection="0"/>
    <xf numFmtId="0" fontId="41" fillId="13" borderId="176" applyNumberFormat="0" applyAlignment="0" applyProtection="0"/>
    <xf numFmtId="0" fontId="48" fillId="12" borderId="176" applyNumberFormat="0" applyAlignment="0" applyProtection="0"/>
    <xf numFmtId="0" fontId="48" fillId="24" borderId="176" applyNumberFormat="0" applyAlignment="0" applyProtection="0"/>
    <xf numFmtId="0" fontId="31" fillId="0" borderId="182" applyNumberFormat="0" applyFill="0" applyAlignment="0" applyProtection="0"/>
    <xf numFmtId="0" fontId="48" fillId="24" borderId="176" applyNumberFormat="0" applyAlignment="0" applyProtection="0"/>
    <xf numFmtId="0" fontId="49" fillId="10" borderId="177" applyNumberFormat="0" applyFont="0" applyAlignment="0" applyProtection="0"/>
    <xf numFmtId="0" fontId="29" fillId="12" borderId="183" applyNumberFormat="0" applyAlignment="0" applyProtection="0"/>
    <xf numFmtId="0" fontId="8" fillId="10" borderId="177" applyNumberFormat="0" applyFont="0" applyAlignment="0" applyProtection="0"/>
    <xf numFmtId="0" fontId="8" fillId="10" borderId="177" applyNumberFormat="0" applyFont="0" applyAlignment="0" applyProtection="0"/>
    <xf numFmtId="0" fontId="49" fillId="10" borderId="177" applyNumberFormat="0" applyFont="0" applyAlignment="0" applyProtection="0"/>
    <xf numFmtId="0" fontId="31" fillId="0" borderId="179" applyNumberFormat="0" applyFill="0" applyAlignment="0" applyProtection="0"/>
    <xf numFmtId="0" fontId="31" fillId="0" borderId="182" applyNumberFormat="0" applyFill="0" applyAlignment="0" applyProtection="0"/>
    <xf numFmtId="0" fontId="31" fillId="0" borderId="179" applyNumberFormat="0" applyFill="0" applyAlignment="0" applyProtection="0"/>
    <xf numFmtId="0" fontId="31" fillId="0" borderId="182" applyNumberFormat="0" applyFill="0" applyAlignment="0" applyProtection="0"/>
    <xf numFmtId="0" fontId="16" fillId="24" borderId="194" applyNumberFormat="0" applyAlignment="0" applyProtection="0"/>
    <xf numFmtId="0" fontId="72" fillId="0" borderId="198" applyBorder="0">
      <alignment horizontal="center" vertical="center" wrapText="1"/>
    </xf>
    <xf numFmtId="0" fontId="25" fillId="13" borderId="194" applyNumberFormat="0" applyAlignment="0" applyProtection="0"/>
    <xf numFmtId="0" fontId="48" fillId="24" borderId="187" applyNumberFormat="0" applyAlignment="0" applyProtection="0"/>
    <xf numFmtId="0" fontId="48" fillId="24" borderId="187" applyNumberFormat="0" applyAlignment="0" applyProtection="0"/>
    <xf numFmtId="0" fontId="48" fillId="24" borderId="187" applyNumberFormat="0" applyAlignment="0" applyProtection="0"/>
    <xf numFmtId="0" fontId="48" fillId="24" borderId="187" applyNumberFormat="0" applyAlignment="0" applyProtection="0"/>
    <xf numFmtId="0" fontId="48" fillId="24" borderId="187" applyNumberFormat="0" applyAlignment="0" applyProtection="0"/>
    <xf numFmtId="0" fontId="48" fillId="24" borderId="187" applyNumberFormat="0" applyAlignment="0" applyProtection="0"/>
    <xf numFmtId="0" fontId="48" fillId="24" borderId="187" applyNumberFormat="0" applyAlignment="0" applyProtection="0"/>
    <xf numFmtId="0" fontId="48" fillId="24" borderId="187" applyNumberFormat="0" applyAlignment="0" applyProtection="0"/>
    <xf numFmtId="0" fontId="48" fillId="24" borderId="187" applyNumberFormat="0" applyAlignment="0" applyProtection="0"/>
    <xf numFmtId="0" fontId="48" fillId="24" borderId="187" applyNumberFormat="0" applyAlignment="0" applyProtection="0"/>
    <xf numFmtId="0" fontId="48" fillId="24" borderId="187" applyNumberFormat="0" applyAlignment="0" applyProtection="0"/>
    <xf numFmtId="0" fontId="48" fillId="24" borderId="187" applyNumberFormat="0" applyAlignment="0" applyProtection="0"/>
    <xf numFmtId="0" fontId="48" fillId="24" borderId="187" applyNumberFormat="0" applyAlignment="0" applyProtection="0"/>
    <xf numFmtId="0" fontId="48" fillId="24" borderId="187" applyNumberFormat="0" applyAlignment="0" applyProtection="0"/>
    <xf numFmtId="0" fontId="48" fillId="24" borderId="187" applyNumberFormat="0" applyAlignment="0" applyProtection="0"/>
    <xf numFmtId="0" fontId="48" fillId="24" borderId="187" applyNumberFormat="0" applyAlignment="0" applyProtection="0"/>
    <xf numFmtId="0" fontId="48" fillId="24" borderId="187" applyNumberFormat="0" applyAlignment="0" applyProtection="0"/>
    <xf numFmtId="0" fontId="48" fillId="24" borderId="187" applyNumberFormat="0" applyAlignment="0" applyProtection="0"/>
    <xf numFmtId="0" fontId="48" fillId="24" borderId="187" applyNumberFormat="0" applyAlignment="0" applyProtection="0"/>
    <xf numFmtId="0" fontId="48" fillId="24" borderId="187" applyNumberFormat="0" applyAlignment="0" applyProtection="0"/>
    <xf numFmtId="0" fontId="48" fillId="24" borderId="187" applyNumberFormat="0" applyAlignment="0" applyProtection="0"/>
    <xf numFmtId="0" fontId="48" fillId="24" borderId="187" applyNumberFormat="0" applyAlignment="0" applyProtection="0"/>
    <xf numFmtId="0" fontId="48" fillId="24" borderId="187" applyNumberFormat="0" applyAlignment="0" applyProtection="0"/>
    <xf numFmtId="0" fontId="48" fillId="24" borderId="187" applyNumberFormat="0" applyAlignment="0" applyProtection="0"/>
    <xf numFmtId="0" fontId="48" fillId="24" borderId="187" applyNumberFormat="0" applyAlignment="0" applyProtection="0"/>
    <xf numFmtId="0" fontId="48" fillId="24" borderId="187" applyNumberFormat="0" applyAlignment="0" applyProtection="0"/>
    <xf numFmtId="0" fontId="48" fillId="24" borderId="187" applyNumberFormat="0" applyAlignment="0" applyProtection="0"/>
    <xf numFmtId="0" fontId="48" fillId="24" borderId="187" applyNumberFormat="0" applyAlignment="0" applyProtection="0"/>
    <xf numFmtId="0" fontId="48" fillId="24" borderId="187" applyNumberFormat="0" applyAlignment="0" applyProtection="0"/>
    <xf numFmtId="0" fontId="48" fillId="24" borderId="187" applyNumberFormat="0" applyAlignment="0" applyProtection="0"/>
    <xf numFmtId="0" fontId="48" fillId="24" borderId="187" applyNumberFormat="0" applyAlignment="0" applyProtection="0"/>
    <xf numFmtId="0" fontId="48" fillId="24" borderId="187" applyNumberFormat="0" applyAlignment="0" applyProtection="0"/>
    <xf numFmtId="0" fontId="48" fillId="24" borderId="187" applyNumberFormat="0" applyAlignment="0" applyProtection="0"/>
    <xf numFmtId="0" fontId="48" fillId="24" borderId="187" applyNumberFormat="0" applyAlignment="0" applyProtection="0"/>
    <xf numFmtId="0" fontId="48" fillId="24" borderId="187" applyNumberFormat="0" applyAlignment="0" applyProtection="0"/>
    <xf numFmtId="0" fontId="48" fillId="24" borderId="187" applyNumberFormat="0" applyAlignment="0" applyProtection="0"/>
    <xf numFmtId="0" fontId="48" fillId="24" borderId="187" applyNumberFormat="0" applyAlignment="0" applyProtection="0"/>
    <xf numFmtId="0" fontId="48" fillId="24" borderId="187" applyNumberFormat="0" applyAlignment="0" applyProtection="0"/>
    <xf numFmtId="0" fontId="48" fillId="24" borderId="187" applyNumberFormat="0" applyAlignment="0" applyProtection="0"/>
    <xf numFmtId="0" fontId="48" fillId="24" borderId="187" applyNumberFormat="0" applyAlignment="0" applyProtection="0"/>
    <xf numFmtId="0" fontId="48" fillId="24" borderId="187" applyNumberFormat="0" applyAlignment="0" applyProtection="0"/>
    <xf numFmtId="0" fontId="48" fillId="24" borderId="187" applyNumberFormat="0" applyAlignment="0" applyProtection="0"/>
    <xf numFmtId="0" fontId="48" fillId="24" borderId="187" applyNumberFormat="0" applyAlignment="0" applyProtection="0"/>
    <xf numFmtId="0" fontId="48" fillId="24" borderId="187" applyNumberFormat="0" applyAlignment="0" applyProtection="0"/>
    <xf numFmtId="0" fontId="48" fillId="24" borderId="187" applyNumberFormat="0" applyAlignment="0" applyProtection="0"/>
    <xf numFmtId="0" fontId="48" fillId="24" borderId="187" applyNumberFormat="0" applyAlignment="0" applyProtection="0"/>
    <xf numFmtId="0" fontId="48" fillId="24" borderId="187" applyNumberFormat="0" applyAlignment="0" applyProtection="0"/>
    <xf numFmtId="0" fontId="48" fillId="24" borderId="187" applyNumberFormat="0" applyAlignment="0" applyProtection="0"/>
    <xf numFmtId="0" fontId="48" fillId="24" borderId="187" applyNumberFormat="0" applyAlignment="0" applyProtection="0"/>
    <xf numFmtId="0" fontId="48" fillId="24" borderId="187" applyNumberFormat="0" applyAlignment="0" applyProtection="0"/>
    <xf numFmtId="0" fontId="48" fillId="24" borderId="187" applyNumberFormat="0" applyAlignment="0" applyProtection="0"/>
    <xf numFmtId="0" fontId="48" fillId="24" borderId="187" applyNumberFormat="0" applyAlignment="0" applyProtection="0"/>
    <xf numFmtId="0" fontId="48" fillId="24" borderId="187" applyNumberFormat="0" applyAlignment="0" applyProtection="0"/>
    <xf numFmtId="0" fontId="48" fillId="24" borderId="187" applyNumberFormat="0" applyAlignment="0" applyProtection="0"/>
    <xf numFmtId="0" fontId="48" fillId="24" borderId="187" applyNumberFormat="0" applyAlignment="0" applyProtection="0"/>
    <xf numFmtId="0" fontId="48" fillId="24" borderId="187" applyNumberFormat="0" applyAlignment="0" applyProtection="0"/>
    <xf numFmtId="0" fontId="48" fillId="24" borderId="187" applyNumberFormat="0" applyAlignment="0" applyProtection="0"/>
    <xf numFmtId="0" fontId="48" fillId="24" borderId="187" applyNumberFormat="0" applyAlignment="0" applyProtection="0"/>
    <xf numFmtId="0" fontId="48" fillId="24" borderId="187" applyNumberFormat="0" applyAlignment="0" applyProtection="0"/>
    <xf numFmtId="0" fontId="48" fillId="24" borderId="187" applyNumberFormat="0" applyAlignment="0" applyProtection="0"/>
    <xf numFmtId="0" fontId="48" fillId="24" borderId="187" applyNumberFormat="0" applyAlignment="0" applyProtection="0"/>
    <xf numFmtId="0" fontId="48" fillId="24" borderId="187" applyNumberFormat="0" applyAlignment="0" applyProtection="0"/>
    <xf numFmtId="0" fontId="48" fillId="24" borderId="187" applyNumberFormat="0" applyAlignment="0" applyProtection="0"/>
    <xf numFmtId="0" fontId="48" fillId="24" borderId="187" applyNumberFormat="0" applyAlignment="0" applyProtection="0"/>
    <xf numFmtId="0" fontId="48" fillId="24" borderId="187" applyNumberFormat="0" applyAlignment="0" applyProtection="0"/>
    <xf numFmtId="0" fontId="48" fillId="24" borderId="187" applyNumberFormat="0" applyAlignment="0" applyProtection="0"/>
    <xf numFmtId="0" fontId="48" fillId="24" borderId="187" applyNumberFormat="0" applyAlignment="0" applyProtection="0"/>
    <xf numFmtId="0" fontId="48" fillId="24" borderId="187" applyNumberFormat="0" applyAlignment="0" applyProtection="0"/>
    <xf numFmtId="0" fontId="48" fillId="24" borderId="187" applyNumberFormat="0" applyAlignment="0" applyProtection="0"/>
    <xf numFmtId="0" fontId="48" fillId="24" borderId="187" applyNumberFormat="0" applyAlignment="0" applyProtection="0"/>
    <xf numFmtId="0" fontId="48" fillId="24" borderId="187" applyNumberFormat="0" applyAlignment="0" applyProtection="0"/>
    <xf numFmtId="0" fontId="48" fillId="24" borderId="187" applyNumberFormat="0" applyAlignment="0" applyProtection="0"/>
    <xf numFmtId="0" fontId="48" fillId="24" borderId="187" applyNumberFormat="0" applyAlignment="0" applyProtection="0"/>
    <xf numFmtId="0" fontId="48" fillId="24" borderId="187" applyNumberFormat="0" applyAlignment="0" applyProtection="0"/>
    <xf numFmtId="0" fontId="48" fillId="24" borderId="187" applyNumberFormat="0" applyAlignment="0" applyProtection="0"/>
    <xf numFmtId="0" fontId="48" fillId="24" borderId="187" applyNumberFormat="0" applyAlignment="0" applyProtection="0"/>
    <xf numFmtId="0" fontId="48" fillId="24" borderId="187" applyNumberFormat="0" applyAlignment="0" applyProtection="0"/>
    <xf numFmtId="0" fontId="48" fillId="24" borderId="187" applyNumberFormat="0" applyAlignment="0" applyProtection="0"/>
    <xf numFmtId="0" fontId="32" fillId="24" borderId="187" applyNumberFormat="0" applyAlignment="0" applyProtection="0"/>
    <xf numFmtId="0" fontId="32" fillId="24" borderId="187" applyNumberFormat="0" applyAlignment="0" applyProtection="0"/>
    <xf numFmtId="0" fontId="32" fillId="24" borderId="187" applyNumberFormat="0" applyAlignment="0" applyProtection="0"/>
    <xf numFmtId="0" fontId="32" fillId="24" borderId="187" applyNumberFormat="0" applyAlignment="0" applyProtection="0"/>
    <xf numFmtId="0" fontId="32" fillId="24" borderId="187" applyNumberFormat="0" applyAlignment="0" applyProtection="0"/>
    <xf numFmtId="0" fontId="32" fillId="24" borderId="187" applyNumberFormat="0" applyAlignment="0" applyProtection="0"/>
    <xf numFmtId="0" fontId="32" fillId="24" borderId="187" applyNumberFormat="0" applyAlignment="0" applyProtection="0"/>
    <xf numFmtId="0" fontId="32" fillId="24" borderId="187" applyNumberFormat="0" applyAlignment="0" applyProtection="0"/>
    <xf numFmtId="0" fontId="32" fillId="24" borderId="187" applyNumberFormat="0" applyAlignment="0" applyProtection="0"/>
    <xf numFmtId="0" fontId="32" fillId="24" borderId="187" applyNumberFormat="0" applyAlignment="0" applyProtection="0"/>
    <xf numFmtId="0" fontId="32" fillId="24" borderId="187" applyNumberFormat="0" applyAlignment="0" applyProtection="0"/>
    <xf numFmtId="0" fontId="32" fillId="24" borderId="187" applyNumberFormat="0" applyAlignment="0" applyProtection="0"/>
    <xf numFmtId="0" fontId="32" fillId="24" borderId="187" applyNumberFormat="0" applyAlignment="0" applyProtection="0"/>
    <xf numFmtId="0" fontId="32" fillId="24" borderId="187" applyNumberFormat="0" applyAlignment="0" applyProtection="0"/>
    <xf numFmtId="0" fontId="32" fillId="24" borderId="187" applyNumberFormat="0" applyAlignment="0" applyProtection="0"/>
    <xf numFmtId="0" fontId="32" fillId="24" borderId="187" applyNumberFormat="0" applyAlignment="0" applyProtection="0"/>
    <xf numFmtId="0" fontId="32" fillId="24" borderId="187" applyNumberFormat="0" applyAlignment="0" applyProtection="0"/>
    <xf numFmtId="0" fontId="32" fillId="24" borderId="187" applyNumberFormat="0" applyAlignment="0" applyProtection="0"/>
    <xf numFmtId="0" fontId="32" fillId="24" borderId="187" applyNumberFormat="0" applyAlignment="0" applyProtection="0"/>
    <xf numFmtId="0" fontId="32" fillId="24" borderId="187" applyNumberFormat="0" applyAlignment="0" applyProtection="0"/>
    <xf numFmtId="0" fontId="32" fillId="24" borderId="187" applyNumberFormat="0" applyAlignment="0" applyProtection="0"/>
    <xf numFmtId="0" fontId="32" fillId="24" borderId="187" applyNumberFormat="0" applyAlignment="0" applyProtection="0"/>
    <xf numFmtId="0" fontId="32" fillId="24" borderId="187" applyNumberFormat="0" applyAlignment="0" applyProtection="0"/>
    <xf numFmtId="0" fontId="32" fillId="24" borderId="187" applyNumberFormat="0" applyAlignment="0" applyProtection="0"/>
    <xf numFmtId="0" fontId="32" fillId="24" borderId="187" applyNumberFormat="0" applyAlignment="0" applyProtection="0"/>
    <xf numFmtId="0" fontId="32" fillId="24" borderId="187" applyNumberFormat="0" applyAlignment="0" applyProtection="0"/>
    <xf numFmtId="0" fontId="32" fillId="24" borderId="187" applyNumberFormat="0" applyAlignment="0" applyProtection="0"/>
    <xf numFmtId="0" fontId="32" fillId="24" borderId="187" applyNumberFormat="0" applyAlignment="0" applyProtection="0"/>
    <xf numFmtId="0" fontId="32" fillId="24" borderId="187" applyNumberFormat="0" applyAlignment="0" applyProtection="0"/>
    <xf numFmtId="0" fontId="32" fillId="24" borderId="187" applyNumberFormat="0" applyAlignment="0" applyProtection="0"/>
    <xf numFmtId="0" fontId="32" fillId="24" borderId="187" applyNumberFormat="0" applyAlignment="0" applyProtection="0"/>
    <xf numFmtId="0" fontId="32" fillId="24" borderId="187" applyNumberFormat="0" applyAlignment="0" applyProtection="0"/>
    <xf numFmtId="0" fontId="32" fillId="24" borderId="187" applyNumberFormat="0" applyAlignment="0" applyProtection="0"/>
    <xf numFmtId="0" fontId="32" fillId="24" borderId="187" applyNumberFormat="0" applyAlignment="0" applyProtection="0"/>
    <xf numFmtId="0" fontId="32" fillId="24" borderId="187" applyNumberFormat="0" applyAlignment="0" applyProtection="0"/>
    <xf numFmtId="0" fontId="32" fillId="24" borderId="187" applyNumberFormat="0" applyAlignment="0" applyProtection="0"/>
    <xf numFmtId="0" fontId="32" fillId="24" borderId="187" applyNumberFormat="0" applyAlignment="0" applyProtection="0"/>
    <xf numFmtId="0" fontId="32" fillId="24" borderId="187" applyNumberFormat="0" applyAlignment="0" applyProtection="0"/>
    <xf numFmtId="0" fontId="32" fillId="24" borderId="187" applyNumberFormat="0" applyAlignment="0" applyProtection="0"/>
    <xf numFmtId="0" fontId="32" fillId="24" borderId="187" applyNumberFormat="0" applyAlignment="0" applyProtection="0"/>
    <xf numFmtId="0" fontId="32" fillId="24" borderId="187" applyNumberFormat="0" applyAlignment="0" applyProtection="0"/>
    <xf numFmtId="0" fontId="32" fillId="24" borderId="187" applyNumberFormat="0" applyAlignment="0" applyProtection="0"/>
    <xf numFmtId="0" fontId="32" fillId="24" borderId="187" applyNumberFormat="0" applyAlignment="0" applyProtection="0"/>
    <xf numFmtId="0" fontId="32" fillId="24" borderId="187" applyNumberFormat="0" applyAlignment="0" applyProtection="0"/>
    <xf numFmtId="0" fontId="32" fillId="24" borderId="187" applyNumberFormat="0" applyAlignment="0" applyProtection="0"/>
    <xf numFmtId="0" fontId="32" fillId="24" borderId="187" applyNumberFormat="0" applyAlignment="0" applyProtection="0"/>
    <xf numFmtId="0" fontId="32" fillId="24" borderId="187" applyNumberFormat="0" applyAlignment="0" applyProtection="0"/>
    <xf numFmtId="0" fontId="32" fillId="24" borderId="187" applyNumberFormat="0" applyAlignment="0" applyProtection="0"/>
    <xf numFmtId="0" fontId="32" fillId="24" borderId="187" applyNumberFormat="0" applyAlignment="0" applyProtection="0"/>
    <xf numFmtId="0" fontId="16" fillId="24" borderId="187" applyNumberFormat="0" applyAlignment="0" applyProtection="0"/>
    <xf numFmtId="0" fontId="16" fillId="24" borderId="187" applyNumberFormat="0" applyAlignment="0" applyProtection="0"/>
    <xf numFmtId="0" fontId="16" fillId="24" borderId="187" applyNumberFormat="0" applyAlignment="0" applyProtection="0"/>
    <xf numFmtId="0" fontId="16" fillId="24" borderId="187" applyNumberFormat="0" applyAlignment="0" applyProtection="0"/>
    <xf numFmtId="0" fontId="16" fillId="24" borderId="187" applyNumberFormat="0" applyAlignment="0" applyProtection="0"/>
    <xf numFmtId="0" fontId="16" fillId="24" borderId="187" applyNumberFormat="0" applyAlignment="0" applyProtection="0"/>
    <xf numFmtId="0" fontId="16" fillId="24" borderId="187" applyNumberFormat="0" applyAlignment="0" applyProtection="0"/>
    <xf numFmtId="0" fontId="16" fillId="24" borderId="187" applyNumberFormat="0" applyAlignment="0" applyProtection="0"/>
    <xf numFmtId="0" fontId="16" fillId="24" borderId="187" applyNumberFormat="0" applyAlignment="0" applyProtection="0"/>
    <xf numFmtId="0" fontId="16" fillId="24" borderId="187" applyNumberFormat="0" applyAlignment="0" applyProtection="0"/>
    <xf numFmtId="0" fontId="16" fillId="24" borderId="187" applyNumberFormat="0" applyAlignment="0" applyProtection="0"/>
    <xf numFmtId="0" fontId="16" fillId="24" borderId="187" applyNumberFormat="0" applyAlignment="0" applyProtection="0"/>
    <xf numFmtId="0" fontId="16" fillId="24" borderId="187" applyNumberFormat="0" applyAlignment="0" applyProtection="0"/>
    <xf numFmtId="0" fontId="16" fillId="24" borderId="187" applyNumberFormat="0" applyAlignment="0" applyProtection="0"/>
    <xf numFmtId="0" fontId="16" fillId="24" borderId="187" applyNumberFormat="0" applyAlignment="0" applyProtection="0"/>
    <xf numFmtId="0" fontId="16" fillId="24" borderId="187" applyNumberFormat="0" applyAlignment="0" applyProtection="0"/>
    <xf numFmtId="0" fontId="16" fillId="24" borderId="187" applyNumberFormat="0" applyAlignment="0" applyProtection="0"/>
    <xf numFmtId="0" fontId="16" fillId="24" borderId="187" applyNumberFormat="0" applyAlignment="0" applyProtection="0"/>
    <xf numFmtId="0" fontId="16" fillId="24" borderId="187" applyNumberFormat="0" applyAlignment="0" applyProtection="0"/>
    <xf numFmtId="0" fontId="16" fillId="24" borderId="187" applyNumberFormat="0" applyAlignment="0" applyProtection="0"/>
    <xf numFmtId="0" fontId="16" fillId="24" borderId="187" applyNumberFormat="0" applyAlignment="0" applyProtection="0"/>
    <xf numFmtId="0" fontId="16" fillId="24" borderId="187" applyNumberFormat="0" applyAlignment="0" applyProtection="0"/>
    <xf numFmtId="0" fontId="16" fillId="24" borderId="187" applyNumberFormat="0" applyAlignment="0" applyProtection="0"/>
    <xf numFmtId="0" fontId="16" fillId="24" borderId="187" applyNumberFormat="0" applyAlignment="0" applyProtection="0"/>
    <xf numFmtId="0" fontId="16" fillId="24" borderId="187" applyNumberFormat="0" applyAlignment="0" applyProtection="0"/>
    <xf numFmtId="0" fontId="16" fillId="24" borderId="187" applyNumberFormat="0" applyAlignment="0" applyProtection="0"/>
    <xf numFmtId="0" fontId="16" fillId="24" borderId="187" applyNumberFormat="0" applyAlignment="0" applyProtection="0"/>
    <xf numFmtId="0" fontId="16" fillId="24" borderId="187" applyNumberFormat="0" applyAlignment="0" applyProtection="0"/>
    <xf numFmtId="0" fontId="16" fillId="24" borderId="187" applyNumberFormat="0" applyAlignment="0" applyProtection="0"/>
    <xf numFmtId="0" fontId="16" fillId="24" borderId="187" applyNumberFormat="0" applyAlignment="0" applyProtection="0"/>
    <xf numFmtId="0" fontId="16" fillId="24" borderId="187" applyNumberFormat="0" applyAlignment="0" applyProtection="0"/>
    <xf numFmtId="0" fontId="16" fillId="24" borderId="187" applyNumberFormat="0" applyAlignment="0" applyProtection="0"/>
    <xf numFmtId="0" fontId="16" fillId="24" borderId="187" applyNumberFormat="0" applyAlignment="0" applyProtection="0"/>
    <xf numFmtId="0" fontId="16" fillId="24" borderId="187" applyNumberFormat="0" applyAlignment="0" applyProtection="0"/>
    <xf numFmtId="0" fontId="16" fillId="24" borderId="187" applyNumberFormat="0" applyAlignment="0" applyProtection="0"/>
    <xf numFmtId="0" fontId="16" fillId="24" borderId="187" applyNumberFormat="0" applyAlignment="0" applyProtection="0"/>
    <xf numFmtId="0" fontId="16" fillId="24" borderId="187" applyNumberFormat="0" applyAlignment="0" applyProtection="0"/>
    <xf numFmtId="0" fontId="16" fillId="24" borderId="187" applyNumberFormat="0" applyAlignment="0" applyProtection="0"/>
    <xf numFmtId="0" fontId="16" fillId="24" borderId="187" applyNumberFormat="0" applyAlignment="0" applyProtection="0"/>
    <xf numFmtId="0" fontId="16" fillId="24" borderId="187" applyNumberFormat="0" applyAlignment="0" applyProtection="0"/>
    <xf numFmtId="0" fontId="16" fillId="24" borderId="187" applyNumberFormat="0" applyAlignment="0" applyProtection="0"/>
    <xf numFmtId="0" fontId="16" fillId="24" borderId="187" applyNumberFormat="0" applyAlignment="0" applyProtection="0"/>
    <xf numFmtId="0" fontId="16" fillId="24" borderId="187" applyNumberFormat="0" applyAlignment="0" applyProtection="0"/>
    <xf numFmtId="0" fontId="16" fillId="24" borderId="187" applyNumberFormat="0" applyAlignment="0" applyProtection="0"/>
    <xf numFmtId="0" fontId="16" fillId="24" borderId="187" applyNumberFormat="0" applyAlignment="0" applyProtection="0"/>
    <xf numFmtId="0" fontId="16" fillId="24" borderId="187" applyNumberFormat="0" applyAlignment="0" applyProtection="0"/>
    <xf numFmtId="0" fontId="16" fillId="24" borderId="187" applyNumberFormat="0" applyAlignment="0" applyProtection="0"/>
    <xf numFmtId="0" fontId="16" fillId="24" borderId="187" applyNumberFormat="0" applyAlignment="0" applyProtection="0"/>
    <xf numFmtId="0" fontId="16" fillId="24" borderId="187" applyNumberFormat="0" applyAlignment="0" applyProtection="0"/>
    <xf numFmtId="0" fontId="48" fillId="24" borderId="187" applyNumberFormat="0" applyAlignment="0" applyProtection="0"/>
    <xf numFmtId="0" fontId="48" fillId="24" borderId="187" applyNumberFormat="0" applyAlignment="0" applyProtection="0"/>
    <xf numFmtId="0" fontId="48" fillId="24" borderId="187" applyNumberFormat="0" applyAlignment="0" applyProtection="0"/>
    <xf numFmtId="0" fontId="48" fillId="24" borderId="187" applyNumberFormat="0" applyAlignment="0" applyProtection="0"/>
    <xf numFmtId="0" fontId="48" fillId="24" borderId="187" applyNumberFormat="0" applyAlignment="0" applyProtection="0"/>
    <xf numFmtId="0" fontId="48" fillId="24" borderId="187" applyNumberFormat="0" applyAlignment="0" applyProtection="0"/>
    <xf numFmtId="0" fontId="48" fillId="24" borderId="187" applyNumberFormat="0" applyAlignment="0" applyProtection="0"/>
    <xf numFmtId="0" fontId="48" fillId="24" borderId="187" applyNumberFormat="0" applyAlignment="0" applyProtection="0"/>
    <xf numFmtId="0" fontId="48" fillId="24" borderId="187" applyNumberFormat="0" applyAlignment="0" applyProtection="0"/>
    <xf numFmtId="0" fontId="48" fillId="24" borderId="187" applyNumberFormat="0" applyAlignment="0" applyProtection="0"/>
    <xf numFmtId="0" fontId="48" fillId="24" borderId="187" applyNumberFormat="0" applyAlignment="0" applyProtection="0"/>
    <xf numFmtId="0" fontId="48" fillId="24" borderId="187" applyNumberFormat="0" applyAlignment="0" applyProtection="0"/>
    <xf numFmtId="0" fontId="48" fillId="24" borderId="187" applyNumberFormat="0" applyAlignment="0" applyProtection="0"/>
    <xf numFmtId="0" fontId="48" fillId="24" borderId="187" applyNumberFormat="0" applyAlignment="0" applyProtection="0"/>
    <xf numFmtId="0" fontId="48" fillId="24" borderId="187" applyNumberFormat="0" applyAlignment="0" applyProtection="0"/>
    <xf numFmtId="0" fontId="48" fillId="24" borderId="187" applyNumberFormat="0" applyAlignment="0" applyProtection="0"/>
    <xf numFmtId="0" fontId="48" fillId="24" borderId="187" applyNumberFormat="0" applyAlignment="0" applyProtection="0"/>
    <xf numFmtId="0" fontId="48" fillId="24" borderId="187" applyNumberFormat="0" applyAlignment="0" applyProtection="0"/>
    <xf numFmtId="0" fontId="48" fillId="24" borderId="187" applyNumberFormat="0" applyAlignment="0" applyProtection="0"/>
    <xf numFmtId="0" fontId="48" fillId="24" borderId="187" applyNumberFormat="0" applyAlignment="0" applyProtection="0"/>
    <xf numFmtId="0" fontId="48" fillId="24" borderId="187" applyNumberFormat="0" applyAlignment="0" applyProtection="0"/>
    <xf numFmtId="0" fontId="48" fillId="24" borderId="187" applyNumberFormat="0" applyAlignment="0" applyProtection="0"/>
    <xf numFmtId="0" fontId="48" fillId="24" borderId="187" applyNumberFormat="0" applyAlignment="0" applyProtection="0"/>
    <xf numFmtId="0" fontId="48" fillId="24" borderId="187" applyNumberFormat="0" applyAlignment="0" applyProtection="0"/>
    <xf numFmtId="0" fontId="48" fillId="24" borderId="187" applyNumberFormat="0" applyAlignment="0" applyProtection="0"/>
    <xf numFmtId="0" fontId="48" fillId="24" borderId="187" applyNumberFormat="0" applyAlignment="0" applyProtection="0"/>
    <xf numFmtId="0" fontId="48" fillId="24" borderId="187" applyNumberFormat="0" applyAlignment="0" applyProtection="0"/>
    <xf numFmtId="0" fontId="48" fillId="24" borderId="187" applyNumberFormat="0" applyAlignment="0" applyProtection="0"/>
    <xf numFmtId="0" fontId="48" fillId="24" borderId="187" applyNumberFormat="0" applyAlignment="0" applyProtection="0"/>
    <xf numFmtId="0" fontId="48" fillId="24" borderId="187" applyNumberFormat="0" applyAlignment="0" applyProtection="0"/>
    <xf numFmtId="0" fontId="48" fillId="24" borderId="187" applyNumberFormat="0" applyAlignment="0" applyProtection="0"/>
    <xf numFmtId="0" fontId="48" fillId="24" borderId="187" applyNumberFormat="0" applyAlignment="0" applyProtection="0"/>
    <xf numFmtId="0" fontId="48" fillId="24" borderId="187" applyNumberFormat="0" applyAlignment="0" applyProtection="0"/>
    <xf numFmtId="0" fontId="48" fillId="24" borderId="187" applyNumberFormat="0" applyAlignment="0" applyProtection="0"/>
    <xf numFmtId="0" fontId="48" fillId="24" borderId="187" applyNumberFormat="0" applyAlignment="0" applyProtection="0"/>
    <xf numFmtId="0" fontId="48" fillId="24" borderId="187" applyNumberFormat="0" applyAlignment="0" applyProtection="0"/>
    <xf numFmtId="0" fontId="48" fillId="24" borderId="187" applyNumberFormat="0" applyAlignment="0" applyProtection="0"/>
    <xf numFmtId="0" fontId="48" fillId="24" borderId="187" applyNumberFormat="0" applyAlignment="0" applyProtection="0"/>
    <xf numFmtId="0" fontId="48" fillId="24" borderId="187" applyNumberFormat="0" applyAlignment="0" applyProtection="0"/>
    <xf numFmtId="0" fontId="48" fillId="24" borderId="187" applyNumberFormat="0" applyAlignment="0" applyProtection="0"/>
    <xf numFmtId="0" fontId="48" fillId="24" borderId="187" applyNumberFormat="0" applyAlignment="0" applyProtection="0"/>
    <xf numFmtId="0" fontId="48" fillId="24" borderId="187" applyNumberFormat="0" applyAlignment="0" applyProtection="0"/>
    <xf numFmtId="0" fontId="48" fillId="24" borderId="187" applyNumberFormat="0" applyAlignment="0" applyProtection="0"/>
    <xf numFmtId="0" fontId="48" fillId="24" borderId="187" applyNumberFormat="0" applyAlignment="0" applyProtection="0"/>
    <xf numFmtId="0" fontId="48" fillId="24" borderId="187" applyNumberFormat="0" applyAlignment="0" applyProtection="0"/>
    <xf numFmtId="0" fontId="48" fillId="24" borderId="187" applyNumberFormat="0" applyAlignment="0" applyProtection="0"/>
    <xf numFmtId="0" fontId="48" fillId="24" borderId="187" applyNumberFormat="0" applyAlignment="0" applyProtection="0"/>
    <xf numFmtId="0" fontId="48" fillId="24" borderId="187" applyNumberFormat="0" applyAlignment="0" applyProtection="0"/>
    <xf numFmtId="0" fontId="48" fillId="12" borderId="187" applyNumberFormat="0" applyAlignment="0" applyProtection="0"/>
    <xf numFmtId="0" fontId="48" fillId="12" borderId="187" applyNumberFormat="0" applyAlignment="0" applyProtection="0"/>
    <xf numFmtId="0" fontId="48" fillId="12" borderId="187" applyNumberFormat="0" applyAlignment="0" applyProtection="0"/>
    <xf numFmtId="0" fontId="48" fillId="12" borderId="187" applyNumberFormat="0" applyAlignment="0" applyProtection="0"/>
    <xf numFmtId="0" fontId="48" fillId="12" borderId="187" applyNumberFormat="0" applyAlignment="0" applyProtection="0"/>
    <xf numFmtId="0" fontId="48" fillId="12" borderId="187" applyNumberFormat="0" applyAlignment="0" applyProtection="0"/>
    <xf numFmtId="0" fontId="48" fillId="12" borderId="187" applyNumberFormat="0" applyAlignment="0" applyProtection="0"/>
    <xf numFmtId="0" fontId="48" fillId="12" borderId="187" applyNumberFormat="0" applyAlignment="0" applyProtection="0"/>
    <xf numFmtId="0" fontId="48" fillId="12" borderId="187" applyNumberFormat="0" applyAlignment="0" applyProtection="0"/>
    <xf numFmtId="0" fontId="48" fillId="12" borderId="187" applyNumberFormat="0" applyAlignment="0" applyProtection="0"/>
    <xf numFmtId="0" fontId="48" fillId="12" borderId="187" applyNumberFormat="0" applyAlignment="0" applyProtection="0"/>
    <xf numFmtId="0" fontId="48" fillId="12" borderId="187" applyNumberFormat="0" applyAlignment="0" applyProtection="0"/>
    <xf numFmtId="0" fontId="48" fillId="12" borderId="187" applyNumberFormat="0" applyAlignment="0" applyProtection="0"/>
    <xf numFmtId="0" fontId="48" fillId="12" borderId="187" applyNumberFormat="0" applyAlignment="0" applyProtection="0"/>
    <xf numFmtId="0" fontId="48" fillId="12" borderId="187" applyNumberFormat="0" applyAlignment="0" applyProtection="0"/>
    <xf numFmtId="0" fontId="48" fillId="12" borderId="187" applyNumberFormat="0" applyAlignment="0" applyProtection="0"/>
    <xf numFmtId="0" fontId="48" fillId="12" borderId="187" applyNumberFormat="0" applyAlignment="0" applyProtection="0"/>
    <xf numFmtId="0" fontId="48" fillId="12" borderId="187" applyNumberFormat="0" applyAlignment="0" applyProtection="0"/>
    <xf numFmtId="0" fontId="48" fillId="12" borderId="187" applyNumberFormat="0" applyAlignment="0" applyProtection="0"/>
    <xf numFmtId="0" fontId="48" fillId="12" borderId="187" applyNumberFormat="0" applyAlignment="0" applyProtection="0"/>
    <xf numFmtId="0" fontId="48" fillId="12" borderId="187" applyNumberFormat="0" applyAlignment="0" applyProtection="0"/>
    <xf numFmtId="0" fontId="48" fillId="12" borderId="187" applyNumberFormat="0" applyAlignment="0" applyProtection="0"/>
    <xf numFmtId="0" fontId="48" fillId="12" borderId="187" applyNumberFormat="0" applyAlignment="0" applyProtection="0"/>
    <xf numFmtId="0" fontId="48" fillId="12" borderId="187" applyNumberFormat="0" applyAlignment="0" applyProtection="0"/>
    <xf numFmtId="0" fontId="48" fillId="12" borderId="187" applyNumberFormat="0" applyAlignment="0" applyProtection="0"/>
    <xf numFmtId="0" fontId="48" fillId="12" borderId="187" applyNumberFormat="0" applyAlignment="0" applyProtection="0"/>
    <xf numFmtId="0" fontId="48" fillId="12" borderId="187" applyNumberFormat="0" applyAlignment="0" applyProtection="0"/>
    <xf numFmtId="0" fontId="48" fillId="12" borderId="187" applyNumberFormat="0" applyAlignment="0" applyProtection="0"/>
    <xf numFmtId="0" fontId="48" fillId="12" borderId="187" applyNumberFormat="0" applyAlignment="0" applyProtection="0"/>
    <xf numFmtId="0" fontId="48" fillId="12" borderId="187" applyNumberFormat="0" applyAlignment="0" applyProtection="0"/>
    <xf numFmtId="0" fontId="48" fillId="12" borderId="187" applyNumberFormat="0" applyAlignment="0" applyProtection="0"/>
    <xf numFmtId="0" fontId="48" fillId="12" borderId="187" applyNumberFormat="0" applyAlignment="0" applyProtection="0"/>
    <xf numFmtId="0" fontId="48" fillId="12" borderId="187" applyNumberFormat="0" applyAlignment="0" applyProtection="0"/>
    <xf numFmtId="0" fontId="48" fillId="12" borderId="187" applyNumberFormat="0" applyAlignment="0" applyProtection="0"/>
    <xf numFmtId="0" fontId="48" fillId="12" borderId="187" applyNumberFormat="0" applyAlignment="0" applyProtection="0"/>
    <xf numFmtId="0" fontId="48" fillId="12" borderId="187" applyNumberFormat="0" applyAlignment="0" applyProtection="0"/>
    <xf numFmtId="0" fontId="48" fillId="12" borderId="187" applyNumberFormat="0" applyAlignment="0" applyProtection="0"/>
    <xf numFmtId="0" fontId="48" fillId="12" borderId="187" applyNumberFormat="0" applyAlignment="0" applyProtection="0"/>
    <xf numFmtId="0" fontId="48" fillId="12" borderId="187" applyNumberFormat="0" applyAlignment="0" applyProtection="0"/>
    <xf numFmtId="0" fontId="48" fillId="12" borderId="187" applyNumberFormat="0" applyAlignment="0" applyProtection="0"/>
    <xf numFmtId="0" fontId="48" fillId="12" borderId="187" applyNumberFormat="0" applyAlignment="0" applyProtection="0"/>
    <xf numFmtId="0" fontId="48" fillId="12" borderId="187" applyNumberFormat="0" applyAlignment="0" applyProtection="0"/>
    <xf numFmtId="0" fontId="48" fillId="12" borderId="187" applyNumberFormat="0" applyAlignment="0" applyProtection="0"/>
    <xf numFmtId="0" fontId="48" fillId="12" borderId="187" applyNumberFormat="0" applyAlignment="0" applyProtection="0"/>
    <xf numFmtId="0" fontId="48" fillId="12" borderId="187" applyNumberFormat="0" applyAlignment="0" applyProtection="0"/>
    <xf numFmtId="0" fontId="48" fillId="12" borderId="187" applyNumberFormat="0" applyAlignment="0" applyProtection="0"/>
    <xf numFmtId="0" fontId="48" fillId="12" borderId="187" applyNumberFormat="0" applyAlignment="0" applyProtection="0"/>
    <xf numFmtId="0" fontId="48" fillId="12" borderId="187" applyNumberFormat="0" applyAlignment="0" applyProtection="0"/>
    <xf numFmtId="0" fontId="48" fillId="12" borderId="187" applyNumberFormat="0" applyAlignment="0" applyProtection="0"/>
    <xf numFmtId="0" fontId="48" fillId="12" borderId="187" applyNumberFormat="0" applyAlignment="0" applyProtection="0"/>
    <xf numFmtId="0" fontId="48" fillId="12" borderId="187" applyNumberFormat="0" applyAlignment="0" applyProtection="0"/>
    <xf numFmtId="0" fontId="48" fillId="12" borderId="187" applyNumberFormat="0" applyAlignment="0" applyProtection="0"/>
    <xf numFmtId="0" fontId="48" fillId="12" borderId="187" applyNumberFormat="0" applyAlignment="0" applyProtection="0"/>
    <xf numFmtId="0" fontId="48" fillId="12" borderId="187" applyNumberFormat="0" applyAlignment="0" applyProtection="0"/>
    <xf numFmtId="0" fontId="48" fillId="12" borderId="187" applyNumberFormat="0" applyAlignment="0" applyProtection="0"/>
    <xf numFmtId="0" fontId="48" fillId="12" borderId="187" applyNumberFormat="0" applyAlignment="0" applyProtection="0"/>
    <xf numFmtId="0" fontId="48" fillId="12" borderId="187" applyNumberFormat="0" applyAlignment="0" applyProtection="0"/>
    <xf numFmtId="0" fontId="48" fillId="12" borderId="187" applyNumberFormat="0" applyAlignment="0" applyProtection="0"/>
    <xf numFmtId="0" fontId="48" fillId="12" borderId="187" applyNumberFormat="0" applyAlignment="0" applyProtection="0"/>
    <xf numFmtId="0" fontId="48" fillId="12" borderId="187" applyNumberFormat="0" applyAlignment="0" applyProtection="0"/>
    <xf numFmtId="0" fontId="48" fillId="12" borderId="187" applyNumberFormat="0" applyAlignment="0" applyProtection="0"/>
    <xf numFmtId="0" fontId="48" fillId="12" borderId="187" applyNumberFormat="0" applyAlignment="0" applyProtection="0"/>
    <xf numFmtId="0" fontId="48" fillId="12" borderId="187" applyNumberFormat="0" applyAlignment="0" applyProtection="0"/>
    <xf numFmtId="0" fontId="48" fillId="12" borderId="187" applyNumberFormat="0" applyAlignment="0" applyProtection="0"/>
    <xf numFmtId="0" fontId="48" fillId="12" borderId="187" applyNumberFormat="0" applyAlignment="0" applyProtection="0"/>
    <xf numFmtId="0" fontId="48" fillId="12" borderId="187" applyNumberFormat="0" applyAlignment="0" applyProtection="0"/>
    <xf numFmtId="0" fontId="48" fillId="12" borderId="187" applyNumberFormat="0" applyAlignment="0" applyProtection="0"/>
    <xf numFmtId="0" fontId="48" fillId="12" borderId="187" applyNumberFormat="0" applyAlignment="0" applyProtection="0"/>
    <xf numFmtId="0" fontId="48" fillId="12" borderId="187" applyNumberFormat="0" applyAlignment="0" applyProtection="0"/>
    <xf numFmtId="0" fontId="48" fillId="12" borderId="187" applyNumberFormat="0" applyAlignment="0" applyProtection="0"/>
    <xf numFmtId="0" fontId="48" fillId="12" borderId="187" applyNumberFormat="0" applyAlignment="0" applyProtection="0"/>
    <xf numFmtId="0" fontId="48" fillId="12" borderId="187" applyNumberFormat="0" applyAlignment="0" applyProtection="0"/>
    <xf numFmtId="0" fontId="48" fillId="12" borderId="187" applyNumberFormat="0" applyAlignment="0" applyProtection="0"/>
    <xf numFmtId="0" fontId="48" fillId="12" borderId="187" applyNumberFormat="0" applyAlignment="0" applyProtection="0"/>
    <xf numFmtId="0" fontId="48" fillId="12" borderId="187" applyNumberFormat="0" applyAlignment="0" applyProtection="0"/>
    <xf numFmtId="0" fontId="48" fillId="12" borderId="187" applyNumberFormat="0" applyAlignment="0" applyProtection="0"/>
    <xf numFmtId="0" fontId="48" fillId="12" borderId="187" applyNumberFormat="0" applyAlignment="0" applyProtection="0"/>
    <xf numFmtId="0" fontId="16" fillId="24" borderId="187" applyNumberFormat="0" applyAlignment="0" applyProtection="0"/>
    <xf numFmtId="0" fontId="16" fillId="24" borderId="187" applyNumberFormat="0" applyAlignment="0" applyProtection="0"/>
    <xf numFmtId="0" fontId="16" fillId="24" borderId="187" applyNumberFormat="0" applyAlignment="0" applyProtection="0"/>
    <xf numFmtId="0" fontId="16" fillId="24" borderId="187" applyNumberFormat="0" applyAlignment="0" applyProtection="0"/>
    <xf numFmtId="0" fontId="16" fillId="24" borderId="187" applyNumberFormat="0" applyAlignment="0" applyProtection="0"/>
    <xf numFmtId="0" fontId="16" fillId="24" borderId="187" applyNumberFormat="0" applyAlignment="0" applyProtection="0"/>
    <xf numFmtId="0" fontId="16" fillId="24" borderId="187" applyNumberFormat="0" applyAlignment="0" applyProtection="0"/>
    <xf numFmtId="0" fontId="16" fillId="24" borderId="187" applyNumberFormat="0" applyAlignment="0" applyProtection="0"/>
    <xf numFmtId="0" fontId="16" fillId="24" borderId="187" applyNumberFormat="0" applyAlignment="0" applyProtection="0"/>
    <xf numFmtId="0" fontId="16" fillId="24" borderId="187" applyNumberFormat="0" applyAlignment="0" applyProtection="0"/>
    <xf numFmtId="0" fontId="16" fillId="24" borderId="187" applyNumberFormat="0" applyAlignment="0" applyProtection="0"/>
    <xf numFmtId="0" fontId="16" fillId="24" borderId="187" applyNumberFormat="0" applyAlignment="0" applyProtection="0"/>
    <xf numFmtId="0" fontId="16" fillId="24" borderId="187" applyNumberFormat="0" applyAlignment="0" applyProtection="0"/>
    <xf numFmtId="0" fontId="16" fillId="24" borderId="187" applyNumberFormat="0" applyAlignment="0" applyProtection="0"/>
    <xf numFmtId="0" fontId="16" fillId="24" borderId="187" applyNumberFormat="0" applyAlignment="0" applyProtection="0"/>
    <xf numFmtId="0" fontId="16" fillId="24" borderId="187" applyNumberFormat="0" applyAlignment="0" applyProtection="0"/>
    <xf numFmtId="0" fontId="16" fillId="24" borderId="187" applyNumberFormat="0" applyAlignment="0" applyProtection="0"/>
    <xf numFmtId="0" fontId="16" fillId="24" borderId="187" applyNumberFormat="0" applyAlignment="0" applyProtection="0"/>
    <xf numFmtId="0" fontId="16" fillId="24" borderId="187" applyNumberFormat="0" applyAlignment="0" applyProtection="0"/>
    <xf numFmtId="0" fontId="16" fillId="24" borderId="187" applyNumberFormat="0" applyAlignment="0" applyProtection="0"/>
    <xf numFmtId="0" fontId="16" fillId="24" borderId="187" applyNumberFormat="0" applyAlignment="0" applyProtection="0"/>
    <xf numFmtId="0" fontId="16" fillId="24" borderId="187" applyNumberFormat="0" applyAlignment="0" applyProtection="0"/>
    <xf numFmtId="0" fontId="16" fillId="24" borderId="187" applyNumberFormat="0" applyAlignment="0" applyProtection="0"/>
    <xf numFmtId="0" fontId="16" fillId="24" borderId="187" applyNumberFormat="0" applyAlignment="0" applyProtection="0"/>
    <xf numFmtId="0" fontId="16" fillId="24" borderId="187" applyNumberFormat="0" applyAlignment="0" applyProtection="0"/>
    <xf numFmtId="0" fontId="16" fillId="24" borderId="187" applyNumberFormat="0" applyAlignment="0" applyProtection="0"/>
    <xf numFmtId="0" fontId="16" fillId="24" borderId="187" applyNumberFormat="0" applyAlignment="0" applyProtection="0"/>
    <xf numFmtId="0" fontId="16" fillId="24" borderId="187" applyNumberFormat="0" applyAlignment="0" applyProtection="0"/>
    <xf numFmtId="0" fontId="16" fillId="24" borderId="187" applyNumberFormat="0" applyAlignment="0" applyProtection="0"/>
    <xf numFmtId="0" fontId="16" fillId="24" borderId="187" applyNumberFormat="0" applyAlignment="0" applyProtection="0"/>
    <xf numFmtId="0" fontId="16" fillId="24" borderId="187" applyNumberFormat="0" applyAlignment="0" applyProtection="0"/>
    <xf numFmtId="0" fontId="16" fillId="24" borderId="187" applyNumberFormat="0" applyAlignment="0" applyProtection="0"/>
    <xf numFmtId="0" fontId="16" fillId="24" borderId="187" applyNumberFormat="0" applyAlignment="0" applyProtection="0"/>
    <xf numFmtId="0" fontId="16" fillId="24" borderId="187" applyNumberFormat="0" applyAlignment="0" applyProtection="0"/>
    <xf numFmtId="0" fontId="16" fillId="24" borderId="187" applyNumberFormat="0" applyAlignment="0" applyProtection="0"/>
    <xf numFmtId="0" fontId="16" fillId="24" borderId="187" applyNumberFormat="0" applyAlignment="0" applyProtection="0"/>
    <xf numFmtId="0" fontId="16" fillId="24" borderId="187" applyNumberFormat="0" applyAlignment="0" applyProtection="0"/>
    <xf numFmtId="0" fontId="16" fillId="24" borderId="187" applyNumberFormat="0" applyAlignment="0" applyProtection="0"/>
    <xf numFmtId="0" fontId="16" fillId="24" borderId="187" applyNumberFormat="0" applyAlignment="0" applyProtection="0"/>
    <xf numFmtId="0" fontId="16" fillId="24" borderId="187" applyNumberFormat="0" applyAlignment="0" applyProtection="0"/>
    <xf numFmtId="0" fontId="16" fillId="24" borderId="187" applyNumberFormat="0" applyAlignment="0" applyProtection="0"/>
    <xf numFmtId="0" fontId="16" fillId="24" borderId="187" applyNumberFormat="0" applyAlignment="0" applyProtection="0"/>
    <xf numFmtId="0" fontId="16" fillId="24" borderId="187" applyNumberFormat="0" applyAlignment="0" applyProtection="0"/>
    <xf numFmtId="0" fontId="16" fillId="24" borderId="187" applyNumberFormat="0" applyAlignment="0" applyProtection="0"/>
    <xf numFmtId="0" fontId="16" fillId="24" borderId="187" applyNumberFormat="0" applyAlignment="0" applyProtection="0"/>
    <xf numFmtId="0" fontId="16" fillId="24" borderId="187" applyNumberFormat="0" applyAlignment="0" applyProtection="0"/>
    <xf numFmtId="0" fontId="16" fillId="24" borderId="187" applyNumberFormat="0" applyAlignment="0" applyProtection="0"/>
    <xf numFmtId="0" fontId="16" fillId="24" borderId="187" applyNumberFormat="0" applyAlignment="0" applyProtection="0"/>
    <xf numFmtId="0" fontId="16" fillId="24" borderId="187" applyNumberFormat="0" applyAlignment="0" applyProtection="0"/>
    <xf numFmtId="0" fontId="48" fillId="12" borderId="187" applyNumberFormat="0" applyAlignment="0" applyProtection="0"/>
    <xf numFmtId="0" fontId="48" fillId="12" borderId="187" applyNumberFormat="0" applyAlignment="0" applyProtection="0"/>
    <xf numFmtId="0" fontId="48" fillId="12" borderId="187" applyNumberFormat="0" applyAlignment="0" applyProtection="0"/>
    <xf numFmtId="0" fontId="48" fillId="12" borderId="187" applyNumberFormat="0" applyAlignment="0" applyProtection="0"/>
    <xf numFmtId="0" fontId="48" fillId="12" borderId="187" applyNumberFormat="0" applyAlignment="0" applyProtection="0"/>
    <xf numFmtId="0" fontId="48" fillId="12" borderId="187" applyNumberFormat="0" applyAlignment="0" applyProtection="0"/>
    <xf numFmtId="0" fontId="48" fillId="12" borderId="187" applyNumberFormat="0" applyAlignment="0" applyProtection="0"/>
    <xf numFmtId="0" fontId="48" fillId="12" borderId="187" applyNumberFormat="0" applyAlignment="0" applyProtection="0"/>
    <xf numFmtId="0" fontId="48" fillId="12" borderId="187" applyNumberFormat="0" applyAlignment="0" applyProtection="0"/>
    <xf numFmtId="0" fontId="48" fillId="12" borderId="187" applyNumberFormat="0" applyAlignment="0" applyProtection="0"/>
    <xf numFmtId="0" fontId="48" fillId="12" borderId="187" applyNumberFormat="0" applyAlignment="0" applyProtection="0"/>
    <xf numFmtId="0" fontId="48" fillId="12" borderId="187" applyNumberFormat="0" applyAlignment="0" applyProtection="0"/>
    <xf numFmtId="0" fontId="48" fillId="12" borderId="187" applyNumberFormat="0" applyAlignment="0" applyProtection="0"/>
    <xf numFmtId="0" fontId="48" fillId="12" borderId="187" applyNumberFormat="0" applyAlignment="0" applyProtection="0"/>
    <xf numFmtId="0" fontId="48" fillId="12" borderId="187" applyNumberFormat="0" applyAlignment="0" applyProtection="0"/>
    <xf numFmtId="0" fontId="48" fillId="12" borderId="187" applyNumberFormat="0" applyAlignment="0" applyProtection="0"/>
    <xf numFmtId="0" fontId="48" fillId="12" borderId="187" applyNumberFormat="0" applyAlignment="0" applyProtection="0"/>
    <xf numFmtId="0" fontId="48" fillId="12" borderId="187" applyNumberFormat="0" applyAlignment="0" applyProtection="0"/>
    <xf numFmtId="0" fontId="48" fillId="12" borderId="187" applyNumberFormat="0" applyAlignment="0" applyProtection="0"/>
    <xf numFmtId="0" fontId="48" fillId="12" borderId="187" applyNumberFormat="0" applyAlignment="0" applyProtection="0"/>
    <xf numFmtId="0" fontId="48" fillId="12" borderId="187" applyNumberFormat="0" applyAlignment="0" applyProtection="0"/>
    <xf numFmtId="0" fontId="48" fillId="12" borderId="187" applyNumberFormat="0" applyAlignment="0" applyProtection="0"/>
    <xf numFmtId="0" fontId="48" fillId="12" borderId="187" applyNumberFormat="0" applyAlignment="0" applyProtection="0"/>
    <xf numFmtId="0" fontId="48" fillId="12" borderId="187" applyNumberFormat="0" applyAlignment="0" applyProtection="0"/>
    <xf numFmtId="0" fontId="48" fillId="12" borderId="187" applyNumberFormat="0" applyAlignment="0" applyProtection="0"/>
    <xf numFmtId="0" fontId="48" fillId="12" borderId="187" applyNumberFormat="0" applyAlignment="0" applyProtection="0"/>
    <xf numFmtId="0" fontId="48" fillId="12" borderId="187" applyNumberFormat="0" applyAlignment="0" applyProtection="0"/>
    <xf numFmtId="0" fontId="48" fillId="12" borderId="187" applyNumberFormat="0" applyAlignment="0" applyProtection="0"/>
    <xf numFmtId="0" fontId="48" fillId="12" borderId="187" applyNumberFormat="0" applyAlignment="0" applyProtection="0"/>
    <xf numFmtId="0" fontId="48" fillId="12" borderId="187" applyNumberFormat="0" applyAlignment="0" applyProtection="0"/>
    <xf numFmtId="0" fontId="48" fillId="12" borderId="187" applyNumberFormat="0" applyAlignment="0" applyProtection="0"/>
    <xf numFmtId="0" fontId="48" fillId="12" borderId="187" applyNumberFormat="0" applyAlignment="0" applyProtection="0"/>
    <xf numFmtId="0" fontId="48" fillId="12" borderId="187" applyNumberFormat="0" applyAlignment="0" applyProtection="0"/>
    <xf numFmtId="0" fontId="48" fillId="12" borderId="187" applyNumberFormat="0" applyAlignment="0" applyProtection="0"/>
    <xf numFmtId="0" fontId="48" fillId="12" borderId="187" applyNumberFormat="0" applyAlignment="0" applyProtection="0"/>
    <xf numFmtId="0" fontId="48" fillId="12" borderId="187" applyNumberFormat="0" applyAlignment="0" applyProtection="0"/>
    <xf numFmtId="0" fontId="48" fillId="12" borderId="187" applyNumberFormat="0" applyAlignment="0" applyProtection="0"/>
    <xf numFmtId="0" fontId="48" fillId="12" borderId="187" applyNumberFormat="0" applyAlignment="0" applyProtection="0"/>
    <xf numFmtId="0" fontId="48" fillId="12" borderId="187" applyNumberFormat="0" applyAlignment="0" applyProtection="0"/>
    <xf numFmtId="0" fontId="48" fillId="12" borderId="187" applyNumberFormat="0" applyAlignment="0" applyProtection="0"/>
    <xf numFmtId="0" fontId="48" fillId="12" borderId="187" applyNumberFormat="0" applyAlignment="0" applyProtection="0"/>
    <xf numFmtId="0" fontId="48" fillId="12" borderId="187" applyNumberFormat="0" applyAlignment="0" applyProtection="0"/>
    <xf numFmtId="0" fontId="48" fillId="12" borderId="187" applyNumberFormat="0" applyAlignment="0" applyProtection="0"/>
    <xf numFmtId="0" fontId="48" fillId="12" borderId="187" applyNumberFormat="0" applyAlignment="0" applyProtection="0"/>
    <xf numFmtId="0" fontId="48" fillId="12" borderId="187" applyNumberFormat="0" applyAlignment="0" applyProtection="0"/>
    <xf numFmtId="0" fontId="48" fillId="12" borderId="187" applyNumberFormat="0" applyAlignment="0" applyProtection="0"/>
    <xf numFmtId="0" fontId="48" fillId="12" borderId="187" applyNumberFormat="0" applyAlignment="0" applyProtection="0"/>
    <xf numFmtId="0" fontId="48" fillId="12" borderId="187" applyNumberFormat="0" applyAlignment="0" applyProtection="0"/>
    <xf numFmtId="0" fontId="48" fillId="12" borderId="187" applyNumberFormat="0" applyAlignment="0" applyProtection="0"/>
    <xf numFmtId="0" fontId="48" fillId="12" borderId="187" applyNumberFormat="0" applyAlignment="0" applyProtection="0"/>
    <xf numFmtId="0" fontId="48" fillId="12" borderId="187" applyNumberFormat="0" applyAlignment="0" applyProtection="0"/>
    <xf numFmtId="0" fontId="48" fillId="12" borderId="187" applyNumberFormat="0" applyAlignment="0" applyProtection="0"/>
    <xf numFmtId="0" fontId="48" fillId="12" borderId="187" applyNumberFormat="0" applyAlignment="0" applyProtection="0"/>
    <xf numFmtId="0" fontId="48" fillId="12" borderId="187" applyNumberFormat="0" applyAlignment="0" applyProtection="0"/>
    <xf numFmtId="0" fontId="48" fillId="12" borderId="187" applyNumberFormat="0" applyAlignment="0" applyProtection="0"/>
    <xf numFmtId="0" fontId="48" fillId="12" borderId="187" applyNumberFormat="0" applyAlignment="0" applyProtection="0"/>
    <xf numFmtId="0" fontId="48" fillId="12" borderId="187" applyNumberFormat="0" applyAlignment="0" applyProtection="0"/>
    <xf numFmtId="0" fontId="48" fillId="12" borderId="187" applyNumberFormat="0" applyAlignment="0" applyProtection="0"/>
    <xf numFmtId="0" fontId="48" fillId="12" borderId="187" applyNumberFormat="0" applyAlignment="0" applyProtection="0"/>
    <xf numFmtId="0" fontId="48" fillId="12" borderId="187" applyNumberFormat="0" applyAlignment="0" applyProtection="0"/>
    <xf numFmtId="0" fontId="48" fillId="12" borderId="187" applyNumberFormat="0" applyAlignment="0" applyProtection="0"/>
    <xf numFmtId="0" fontId="48" fillId="12" borderId="187" applyNumberFormat="0" applyAlignment="0" applyProtection="0"/>
    <xf numFmtId="0" fontId="48" fillId="12" borderId="187" applyNumberFormat="0" applyAlignment="0" applyProtection="0"/>
    <xf numFmtId="0" fontId="48" fillId="12" borderId="187" applyNumberFormat="0" applyAlignment="0" applyProtection="0"/>
    <xf numFmtId="0" fontId="48" fillId="12" borderId="187" applyNumberFormat="0" applyAlignment="0" applyProtection="0"/>
    <xf numFmtId="0" fontId="48" fillId="12" borderId="187" applyNumberFormat="0" applyAlignment="0" applyProtection="0"/>
    <xf numFmtId="0" fontId="48" fillId="12" borderId="187" applyNumberFormat="0" applyAlignment="0" applyProtection="0"/>
    <xf numFmtId="0" fontId="48" fillId="12" borderId="187" applyNumberFormat="0" applyAlignment="0" applyProtection="0"/>
    <xf numFmtId="0" fontId="48" fillId="12" borderId="187" applyNumberFormat="0" applyAlignment="0" applyProtection="0"/>
    <xf numFmtId="0" fontId="48" fillId="12" borderId="187" applyNumberFormat="0" applyAlignment="0" applyProtection="0"/>
    <xf numFmtId="0" fontId="48" fillId="12" borderId="187" applyNumberFormat="0" applyAlignment="0" applyProtection="0"/>
    <xf numFmtId="0" fontId="48" fillId="12" borderId="187" applyNumberFormat="0" applyAlignment="0" applyProtection="0"/>
    <xf numFmtId="0" fontId="48" fillId="12" borderId="187" applyNumberFormat="0" applyAlignment="0" applyProtection="0"/>
    <xf numFmtId="0" fontId="48" fillId="12" borderId="187" applyNumberFormat="0" applyAlignment="0" applyProtection="0"/>
    <xf numFmtId="0" fontId="48" fillId="12" borderId="187" applyNumberFormat="0" applyAlignment="0" applyProtection="0"/>
    <xf numFmtId="0" fontId="48" fillId="12" borderId="187" applyNumberFormat="0" applyAlignment="0" applyProtection="0"/>
    <xf numFmtId="0" fontId="48" fillId="12" borderId="187" applyNumberFormat="0" applyAlignment="0" applyProtection="0"/>
    <xf numFmtId="0" fontId="16" fillId="24" borderId="187" applyNumberFormat="0" applyAlignment="0" applyProtection="0"/>
    <xf numFmtId="0" fontId="16" fillId="24" borderId="187" applyNumberFormat="0" applyAlignment="0" applyProtection="0"/>
    <xf numFmtId="0" fontId="16" fillId="24" borderId="187" applyNumberFormat="0" applyAlignment="0" applyProtection="0"/>
    <xf numFmtId="0" fontId="16" fillId="24" borderId="187" applyNumberFormat="0" applyAlignment="0" applyProtection="0"/>
    <xf numFmtId="0" fontId="16" fillId="24" borderId="187" applyNumberFormat="0" applyAlignment="0" applyProtection="0"/>
    <xf numFmtId="0" fontId="16" fillId="24" borderId="187" applyNumberFormat="0" applyAlignment="0" applyProtection="0"/>
    <xf numFmtId="0" fontId="16" fillId="24" borderId="187" applyNumberFormat="0" applyAlignment="0" applyProtection="0"/>
    <xf numFmtId="0" fontId="16" fillId="24" borderId="187" applyNumberFormat="0" applyAlignment="0" applyProtection="0"/>
    <xf numFmtId="0" fontId="16" fillId="24" borderId="187" applyNumberFormat="0" applyAlignment="0" applyProtection="0"/>
    <xf numFmtId="0" fontId="16" fillId="24" borderId="187" applyNumberFormat="0" applyAlignment="0" applyProtection="0"/>
    <xf numFmtId="0" fontId="16" fillId="24" borderId="187" applyNumberFormat="0" applyAlignment="0" applyProtection="0"/>
    <xf numFmtId="0" fontId="16" fillId="24" borderId="187" applyNumberFormat="0" applyAlignment="0" applyProtection="0"/>
    <xf numFmtId="0" fontId="16" fillId="24" borderId="187" applyNumberFormat="0" applyAlignment="0" applyProtection="0"/>
    <xf numFmtId="0" fontId="16" fillId="24" borderId="187" applyNumberFormat="0" applyAlignment="0" applyProtection="0"/>
    <xf numFmtId="0" fontId="16" fillId="24" borderId="187" applyNumberFormat="0" applyAlignment="0" applyProtection="0"/>
    <xf numFmtId="0" fontId="16" fillId="24" borderId="187" applyNumberFormat="0" applyAlignment="0" applyProtection="0"/>
    <xf numFmtId="0" fontId="16" fillId="24" borderId="187" applyNumberFormat="0" applyAlignment="0" applyProtection="0"/>
    <xf numFmtId="0" fontId="16" fillId="24" borderId="187" applyNumberFormat="0" applyAlignment="0" applyProtection="0"/>
    <xf numFmtId="0" fontId="16" fillId="24" borderId="187" applyNumberFormat="0" applyAlignment="0" applyProtection="0"/>
    <xf numFmtId="0" fontId="16" fillId="24" borderId="187" applyNumberFormat="0" applyAlignment="0" applyProtection="0"/>
    <xf numFmtId="0" fontId="16" fillId="24" borderId="187" applyNumberFormat="0" applyAlignment="0" applyProtection="0"/>
    <xf numFmtId="0" fontId="16" fillId="24" borderId="187" applyNumberFormat="0" applyAlignment="0" applyProtection="0"/>
    <xf numFmtId="0" fontId="16" fillId="24" borderId="187" applyNumberFormat="0" applyAlignment="0" applyProtection="0"/>
    <xf numFmtId="0" fontId="16" fillId="24" borderId="187" applyNumberFormat="0" applyAlignment="0" applyProtection="0"/>
    <xf numFmtId="0" fontId="16" fillId="24" borderId="187" applyNumberFormat="0" applyAlignment="0" applyProtection="0"/>
    <xf numFmtId="0" fontId="16" fillId="24" borderId="187" applyNumberFormat="0" applyAlignment="0" applyProtection="0"/>
    <xf numFmtId="0" fontId="16" fillId="24" borderId="187" applyNumberFormat="0" applyAlignment="0" applyProtection="0"/>
    <xf numFmtId="0" fontId="16" fillId="24" borderId="187" applyNumberFormat="0" applyAlignment="0" applyProtection="0"/>
    <xf numFmtId="0" fontId="16" fillId="24" borderId="187" applyNumberFormat="0" applyAlignment="0" applyProtection="0"/>
    <xf numFmtId="0" fontId="16" fillId="24" borderId="187" applyNumberFormat="0" applyAlignment="0" applyProtection="0"/>
    <xf numFmtId="0" fontId="16" fillId="24" borderId="187" applyNumberFormat="0" applyAlignment="0" applyProtection="0"/>
    <xf numFmtId="0" fontId="16" fillId="24" borderId="187" applyNumberFormat="0" applyAlignment="0" applyProtection="0"/>
    <xf numFmtId="0" fontId="16" fillId="24" borderId="187" applyNumberFormat="0" applyAlignment="0" applyProtection="0"/>
    <xf numFmtId="0" fontId="16" fillId="24" borderId="187" applyNumberFormat="0" applyAlignment="0" applyProtection="0"/>
    <xf numFmtId="0" fontId="16" fillId="24" borderId="187" applyNumberFormat="0" applyAlignment="0" applyProtection="0"/>
    <xf numFmtId="0" fontId="16" fillId="24" borderId="187" applyNumberFormat="0" applyAlignment="0" applyProtection="0"/>
    <xf numFmtId="0" fontId="16" fillId="24" borderId="187" applyNumberFormat="0" applyAlignment="0" applyProtection="0"/>
    <xf numFmtId="0" fontId="16" fillId="24" borderId="187" applyNumberFormat="0" applyAlignment="0" applyProtection="0"/>
    <xf numFmtId="0" fontId="16" fillId="24" borderId="187" applyNumberFormat="0" applyAlignment="0" applyProtection="0"/>
    <xf numFmtId="0" fontId="16" fillId="24" borderId="187" applyNumberFormat="0" applyAlignment="0" applyProtection="0"/>
    <xf numFmtId="0" fontId="16" fillId="24" borderId="187" applyNumberFormat="0" applyAlignment="0" applyProtection="0"/>
    <xf numFmtId="0" fontId="16" fillId="24" borderId="187" applyNumberFormat="0" applyAlignment="0" applyProtection="0"/>
    <xf numFmtId="0" fontId="16" fillId="24" borderId="187" applyNumberFormat="0" applyAlignment="0" applyProtection="0"/>
    <xf numFmtId="0" fontId="16" fillId="24" borderId="187" applyNumberFormat="0" applyAlignment="0" applyProtection="0"/>
    <xf numFmtId="0" fontId="16" fillId="24" borderId="187" applyNumberFormat="0" applyAlignment="0" applyProtection="0"/>
    <xf numFmtId="0" fontId="16" fillId="24" borderId="187" applyNumberFormat="0" applyAlignment="0" applyProtection="0"/>
    <xf numFmtId="0" fontId="16" fillId="24" borderId="187" applyNumberFormat="0" applyAlignment="0" applyProtection="0"/>
    <xf numFmtId="0" fontId="16" fillId="24" borderId="187" applyNumberFormat="0" applyAlignment="0" applyProtection="0"/>
    <xf numFmtId="0" fontId="16" fillId="24" borderId="187" applyNumberFormat="0" applyAlignment="0" applyProtection="0"/>
    <xf numFmtId="0" fontId="28" fillId="0" borderId="191"/>
    <xf numFmtId="0" fontId="28" fillId="0" borderId="191"/>
    <xf numFmtId="0" fontId="28" fillId="0" borderId="191"/>
    <xf numFmtId="0" fontId="28" fillId="0" borderId="191"/>
    <xf numFmtId="0" fontId="28" fillId="0" borderId="191"/>
    <xf numFmtId="0" fontId="28" fillId="0" borderId="191"/>
    <xf numFmtId="0" fontId="28" fillId="0" borderId="191"/>
    <xf numFmtId="0" fontId="28" fillId="0" borderId="191"/>
    <xf numFmtId="0" fontId="28" fillId="0" borderId="191"/>
    <xf numFmtId="0" fontId="28" fillId="0" borderId="191"/>
    <xf numFmtId="0" fontId="28" fillId="0" borderId="191"/>
    <xf numFmtId="0" fontId="28" fillId="0" borderId="191"/>
    <xf numFmtId="0" fontId="28" fillId="0" borderId="191"/>
    <xf numFmtId="0" fontId="28" fillId="0" borderId="191"/>
    <xf numFmtId="0" fontId="28" fillId="0" borderId="191"/>
    <xf numFmtId="0" fontId="28" fillId="0" borderId="191"/>
    <xf numFmtId="0" fontId="28" fillId="0" borderId="191"/>
    <xf numFmtId="0" fontId="28" fillId="0" borderId="191"/>
    <xf numFmtId="0" fontId="28" fillId="0" borderId="191"/>
    <xf numFmtId="0" fontId="28" fillId="0" borderId="191"/>
    <xf numFmtId="0" fontId="28" fillId="0" borderId="191"/>
    <xf numFmtId="0" fontId="28" fillId="0" borderId="191"/>
    <xf numFmtId="0" fontId="28" fillId="0" borderId="191"/>
    <xf numFmtId="0" fontId="28" fillId="0" borderId="191"/>
    <xf numFmtId="0" fontId="28" fillId="0" borderId="191"/>
    <xf numFmtId="0" fontId="28" fillId="0" borderId="191"/>
    <xf numFmtId="0" fontId="28" fillId="0" borderId="191"/>
    <xf numFmtId="0" fontId="28" fillId="0" borderId="191"/>
    <xf numFmtId="0" fontId="28" fillId="0" borderId="191"/>
    <xf numFmtId="0" fontId="28" fillId="0" borderId="191"/>
    <xf numFmtId="0" fontId="28" fillId="0" borderId="191"/>
    <xf numFmtId="0" fontId="28" fillId="0" borderId="191"/>
    <xf numFmtId="0" fontId="28" fillId="0" borderId="191"/>
    <xf numFmtId="0" fontId="28" fillId="0" borderId="191"/>
    <xf numFmtId="0" fontId="28" fillId="0" borderId="191"/>
    <xf numFmtId="0" fontId="28" fillId="0" borderId="191"/>
    <xf numFmtId="0" fontId="28" fillId="0" borderId="191"/>
    <xf numFmtId="0" fontId="28" fillId="0" borderId="191"/>
    <xf numFmtId="0" fontId="28" fillId="0" borderId="191"/>
    <xf numFmtId="0" fontId="28" fillId="0" borderId="191"/>
    <xf numFmtId="0" fontId="28" fillId="0" borderId="191"/>
    <xf numFmtId="0" fontId="28" fillId="0" borderId="191"/>
    <xf numFmtId="0" fontId="28" fillId="0" borderId="191"/>
    <xf numFmtId="0" fontId="28" fillId="0" borderId="191"/>
    <xf numFmtId="0" fontId="28" fillId="0" borderId="191"/>
    <xf numFmtId="0" fontId="25" fillId="13" borderId="187" applyNumberFormat="0" applyAlignment="0" applyProtection="0"/>
    <xf numFmtId="0" fontId="25" fillId="13" borderId="187" applyNumberFormat="0" applyAlignment="0" applyProtection="0"/>
    <xf numFmtId="0" fontId="25" fillId="13" borderId="187" applyNumberFormat="0" applyAlignment="0" applyProtection="0"/>
    <xf numFmtId="0" fontId="25" fillId="13" borderId="187" applyNumberFormat="0" applyAlignment="0" applyProtection="0"/>
    <xf numFmtId="0" fontId="25" fillId="13" borderId="187" applyNumberFormat="0" applyAlignment="0" applyProtection="0"/>
    <xf numFmtId="0" fontId="25" fillId="13" borderId="187" applyNumberFormat="0" applyAlignment="0" applyProtection="0"/>
    <xf numFmtId="0" fontId="25" fillId="13" borderId="187" applyNumberFormat="0" applyAlignment="0" applyProtection="0"/>
    <xf numFmtId="0" fontId="25" fillId="13" borderId="187" applyNumberFormat="0" applyAlignment="0" applyProtection="0"/>
    <xf numFmtId="0" fontId="25" fillId="13" borderId="187" applyNumberFormat="0" applyAlignment="0" applyProtection="0"/>
    <xf numFmtId="0" fontId="25" fillId="13" borderId="187" applyNumberFormat="0" applyAlignment="0" applyProtection="0"/>
    <xf numFmtId="0" fontId="25" fillId="13" borderId="187" applyNumberFormat="0" applyAlignment="0" applyProtection="0"/>
    <xf numFmtId="0" fontId="25" fillId="13" borderId="187" applyNumberFormat="0" applyAlignment="0" applyProtection="0"/>
    <xf numFmtId="0" fontId="25" fillId="13" borderId="187" applyNumberFormat="0" applyAlignment="0" applyProtection="0"/>
    <xf numFmtId="0" fontId="25" fillId="13" borderId="187" applyNumberFormat="0" applyAlignment="0" applyProtection="0"/>
    <xf numFmtId="0" fontId="25" fillId="13" borderId="187" applyNumberFormat="0" applyAlignment="0" applyProtection="0"/>
    <xf numFmtId="0" fontId="25" fillId="13" borderId="187" applyNumberFormat="0" applyAlignment="0" applyProtection="0"/>
    <xf numFmtId="0" fontId="25" fillId="13" borderId="187" applyNumberFormat="0" applyAlignment="0" applyProtection="0"/>
    <xf numFmtId="0" fontId="25" fillId="13" borderId="187" applyNumberFormat="0" applyAlignment="0" applyProtection="0"/>
    <xf numFmtId="0" fontId="25" fillId="13" borderId="187" applyNumberFormat="0" applyAlignment="0" applyProtection="0"/>
    <xf numFmtId="0" fontId="25" fillId="13" borderId="187" applyNumberFormat="0" applyAlignment="0" applyProtection="0"/>
    <xf numFmtId="0" fontId="25" fillId="13" borderId="187" applyNumberFormat="0" applyAlignment="0" applyProtection="0"/>
    <xf numFmtId="0" fontId="25" fillId="13" borderId="187" applyNumberFormat="0" applyAlignment="0" applyProtection="0"/>
    <xf numFmtId="0" fontId="25" fillId="13" borderId="187" applyNumberFormat="0" applyAlignment="0" applyProtection="0"/>
    <xf numFmtId="0" fontId="25" fillId="13" borderId="187" applyNumberFormat="0" applyAlignment="0" applyProtection="0"/>
    <xf numFmtId="0" fontId="25" fillId="13" borderId="187" applyNumberFormat="0" applyAlignment="0" applyProtection="0"/>
    <xf numFmtId="0" fontId="25" fillId="13" borderId="187" applyNumberFormat="0" applyAlignment="0" applyProtection="0"/>
    <xf numFmtId="0" fontId="25" fillId="13" borderId="187" applyNumberFormat="0" applyAlignment="0" applyProtection="0"/>
    <xf numFmtId="0" fontId="25" fillId="13" borderId="187" applyNumberFormat="0" applyAlignment="0" applyProtection="0"/>
    <xf numFmtId="0" fontId="25" fillId="13" borderId="187" applyNumberFormat="0" applyAlignment="0" applyProtection="0"/>
    <xf numFmtId="0" fontId="25" fillId="13" borderId="187" applyNumberFormat="0" applyAlignment="0" applyProtection="0"/>
    <xf numFmtId="0" fontId="25" fillId="13" borderId="187" applyNumberFormat="0" applyAlignment="0" applyProtection="0"/>
    <xf numFmtId="0" fontId="25" fillId="13" borderId="187" applyNumberFormat="0" applyAlignment="0" applyProtection="0"/>
    <xf numFmtId="0" fontId="25" fillId="13" borderId="187" applyNumberFormat="0" applyAlignment="0" applyProtection="0"/>
    <xf numFmtId="0" fontId="25" fillId="13" borderId="187" applyNumberFormat="0" applyAlignment="0" applyProtection="0"/>
    <xf numFmtId="0" fontId="25" fillId="13" borderId="187" applyNumberFormat="0" applyAlignment="0" applyProtection="0"/>
    <xf numFmtId="0" fontId="25" fillId="13" borderId="187" applyNumberFormat="0" applyAlignment="0" applyProtection="0"/>
    <xf numFmtId="0" fontId="25" fillId="13" borderId="187" applyNumberFormat="0" applyAlignment="0" applyProtection="0"/>
    <xf numFmtId="0" fontId="25" fillId="13" borderId="187" applyNumberFormat="0" applyAlignment="0" applyProtection="0"/>
    <xf numFmtId="0" fontId="25" fillId="13" borderId="187" applyNumberFormat="0" applyAlignment="0" applyProtection="0"/>
    <xf numFmtId="0" fontId="25" fillId="13" borderId="187" applyNumberFormat="0" applyAlignment="0" applyProtection="0"/>
    <xf numFmtId="0" fontId="25" fillId="13" borderId="187" applyNumberFormat="0" applyAlignment="0" applyProtection="0"/>
    <xf numFmtId="0" fontId="25" fillId="13" borderId="187" applyNumberFormat="0" applyAlignment="0" applyProtection="0"/>
    <xf numFmtId="0" fontId="25" fillId="13" borderId="187" applyNumberFormat="0" applyAlignment="0" applyProtection="0"/>
    <xf numFmtId="0" fontId="25" fillId="13" borderId="187" applyNumberFormat="0" applyAlignment="0" applyProtection="0"/>
    <xf numFmtId="0" fontId="25" fillId="13" borderId="187" applyNumberFormat="0" applyAlignment="0" applyProtection="0"/>
    <xf numFmtId="0" fontId="25" fillId="13" borderId="187" applyNumberFormat="0" applyAlignment="0" applyProtection="0"/>
    <xf numFmtId="0" fontId="25" fillId="13" borderId="187" applyNumberFormat="0" applyAlignment="0" applyProtection="0"/>
    <xf numFmtId="0" fontId="25" fillId="13" borderId="187" applyNumberFormat="0" applyAlignment="0" applyProtection="0"/>
    <xf numFmtId="0" fontId="25" fillId="13" borderId="187" applyNumberFormat="0" applyAlignment="0" applyProtection="0"/>
    <xf numFmtId="0" fontId="41" fillId="13" borderId="187" applyNumberFormat="0" applyAlignment="0" applyProtection="0"/>
    <xf numFmtId="0" fontId="41" fillId="13" borderId="187" applyNumberFormat="0" applyAlignment="0" applyProtection="0"/>
    <xf numFmtId="0" fontId="41" fillId="13" borderId="187" applyNumberFormat="0" applyAlignment="0" applyProtection="0"/>
    <xf numFmtId="0" fontId="41" fillId="13" borderId="187" applyNumberFormat="0" applyAlignment="0" applyProtection="0"/>
    <xf numFmtId="0" fontId="41" fillId="13" borderId="187" applyNumberFormat="0" applyAlignment="0" applyProtection="0"/>
    <xf numFmtId="0" fontId="41" fillId="13" borderId="187" applyNumberFormat="0" applyAlignment="0" applyProtection="0"/>
    <xf numFmtId="0" fontId="41" fillId="13" borderId="187" applyNumberFormat="0" applyAlignment="0" applyProtection="0"/>
    <xf numFmtId="0" fontId="41" fillId="13" borderId="187" applyNumberFormat="0" applyAlignment="0" applyProtection="0"/>
    <xf numFmtId="0" fontId="41" fillId="13" borderId="187" applyNumberFormat="0" applyAlignment="0" applyProtection="0"/>
    <xf numFmtId="0" fontId="41" fillId="13" borderId="187" applyNumberFormat="0" applyAlignment="0" applyProtection="0"/>
    <xf numFmtId="0" fontId="41" fillId="13" borderId="187" applyNumberFormat="0" applyAlignment="0" applyProtection="0"/>
    <xf numFmtId="0" fontId="41" fillId="13" borderId="187" applyNumberFormat="0" applyAlignment="0" applyProtection="0"/>
    <xf numFmtId="0" fontId="41" fillId="13" borderId="187" applyNumberFormat="0" applyAlignment="0" applyProtection="0"/>
    <xf numFmtId="0" fontId="41" fillId="13" borderId="187" applyNumberFormat="0" applyAlignment="0" applyProtection="0"/>
    <xf numFmtId="0" fontId="41" fillId="13" borderId="187" applyNumberFormat="0" applyAlignment="0" applyProtection="0"/>
    <xf numFmtId="0" fontId="41" fillId="13" borderId="187" applyNumberFormat="0" applyAlignment="0" applyProtection="0"/>
    <xf numFmtId="0" fontId="41" fillId="13" borderId="187" applyNumberFormat="0" applyAlignment="0" applyProtection="0"/>
    <xf numFmtId="0" fontId="41" fillId="13" borderId="187" applyNumberFormat="0" applyAlignment="0" applyProtection="0"/>
    <xf numFmtId="0" fontId="41" fillId="13" borderId="187" applyNumberFormat="0" applyAlignment="0" applyProtection="0"/>
    <xf numFmtId="0" fontId="41" fillId="13" borderId="187" applyNumberFormat="0" applyAlignment="0" applyProtection="0"/>
    <xf numFmtId="0" fontId="41" fillId="13" borderId="187" applyNumberFormat="0" applyAlignment="0" applyProtection="0"/>
    <xf numFmtId="0" fontId="41" fillId="13" borderId="187" applyNumberFormat="0" applyAlignment="0" applyProtection="0"/>
    <xf numFmtId="0" fontId="41" fillId="13" borderId="187" applyNumberFormat="0" applyAlignment="0" applyProtection="0"/>
    <xf numFmtId="0" fontId="41" fillId="13" borderId="187" applyNumberFormat="0" applyAlignment="0" applyProtection="0"/>
    <xf numFmtId="0" fontId="41" fillId="13" borderId="187" applyNumberFormat="0" applyAlignment="0" applyProtection="0"/>
    <xf numFmtId="0" fontId="41" fillId="13" borderId="187" applyNumberFormat="0" applyAlignment="0" applyProtection="0"/>
    <xf numFmtId="0" fontId="41" fillId="13" borderId="187" applyNumberFormat="0" applyAlignment="0" applyProtection="0"/>
    <xf numFmtId="0" fontId="41" fillId="13" borderId="187" applyNumberFormat="0" applyAlignment="0" applyProtection="0"/>
    <xf numFmtId="0" fontId="41" fillId="13" borderId="187" applyNumberFormat="0" applyAlignment="0" applyProtection="0"/>
    <xf numFmtId="0" fontId="41" fillId="13" borderId="187" applyNumberFormat="0" applyAlignment="0" applyProtection="0"/>
    <xf numFmtId="0" fontId="41" fillId="13" borderId="187" applyNumberFormat="0" applyAlignment="0" applyProtection="0"/>
    <xf numFmtId="0" fontId="41" fillId="13" borderId="187" applyNumberFormat="0" applyAlignment="0" applyProtection="0"/>
    <xf numFmtId="0" fontId="41" fillId="13" borderId="187" applyNumberFormat="0" applyAlignment="0" applyProtection="0"/>
    <xf numFmtId="0" fontId="41" fillId="13" borderId="187" applyNumberFormat="0" applyAlignment="0" applyProtection="0"/>
    <xf numFmtId="0" fontId="41" fillId="13" borderId="187" applyNumberFormat="0" applyAlignment="0" applyProtection="0"/>
    <xf numFmtId="0" fontId="41" fillId="13" borderId="187" applyNumberFormat="0" applyAlignment="0" applyProtection="0"/>
    <xf numFmtId="0" fontId="41" fillId="13" borderId="187" applyNumberFormat="0" applyAlignment="0" applyProtection="0"/>
    <xf numFmtId="0" fontId="41" fillId="13" borderId="187" applyNumberFormat="0" applyAlignment="0" applyProtection="0"/>
    <xf numFmtId="0" fontId="41" fillId="13" borderId="187" applyNumberFormat="0" applyAlignment="0" applyProtection="0"/>
    <xf numFmtId="0" fontId="41" fillId="13" borderId="187" applyNumberFormat="0" applyAlignment="0" applyProtection="0"/>
    <xf numFmtId="0" fontId="41" fillId="13" borderId="187" applyNumberFormat="0" applyAlignment="0" applyProtection="0"/>
    <xf numFmtId="0" fontId="41" fillId="13" borderId="187" applyNumberFormat="0" applyAlignment="0" applyProtection="0"/>
    <xf numFmtId="0" fontId="41" fillId="13" borderId="187" applyNumberFormat="0" applyAlignment="0" applyProtection="0"/>
    <xf numFmtId="0" fontId="41" fillId="13" borderId="187" applyNumberFormat="0" applyAlignment="0" applyProtection="0"/>
    <xf numFmtId="0" fontId="41" fillId="13" borderId="187" applyNumberFormat="0" applyAlignment="0" applyProtection="0"/>
    <xf numFmtId="0" fontId="41" fillId="13" borderId="187" applyNumberFormat="0" applyAlignment="0" applyProtection="0"/>
    <xf numFmtId="0" fontId="41" fillId="13" borderId="187" applyNumberFormat="0" applyAlignment="0" applyProtection="0"/>
    <xf numFmtId="0" fontId="41" fillId="13" borderId="187" applyNumberFormat="0" applyAlignment="0" applyProtection="0"/>
    <xf numFmtId="0" fontId="41" fillId="13" borderId="187" applyNumberFormat="0" applyAlignment="0" applyProtection="0"/>
    <xf numFmtId="0" fontId="25" fillId="13" borderId="187" applyNumberFormat="0" applyAlignment="0" applyProtection="0"/>
    <xf numFmtId="0" fontId="25" fillId="13" borderId="187" applyNumberFormat="0" applyAlignment="0" applyProtection="0"/>
    <xf numFmtId="0" fontId="25" fillId="13" borderId="187" applyNumberFormat="0" applyAlignment="0" applyProtection="0"/>
    <xf numFmtId="0" fontId="25" fillId="13" borderId="187" applyNumberFormat="0" applyAlignment="0" applyProtection="0"/>
    <xf numFmtId="0" fontId="25" fillId="13" borderId="187" applyNumberFormat="0" applyAlignment="0" applyProtection="0"/>
    <xf numFmtId="0" fontId="25" fillId="13" borderId="187" applyNumberFormat="0" applyAlignment="0" applyProtection="0"/>
    <xf numFmtId="0" fontId="25" fillId="13" borderId="187" applyNumberFormat="0" applyAlignment="0" applyProtection="0"/>
    <xf numFmtId="0" fontId="25" fillId="13" borderId="187" applyNumberFormat="0" applyAlignment="0" applyProtection="0"/>
    <xf numFmtId="0" fontId="25" fillId="13" borderId="187" applyNumberFormat="0" applyAlignment="0" applyProtection="0"/>
    <xf numFmtId="0" fontId="25" fillId="13" borderId="187" applyNumberFormat="0" applyAlignment="0" applyProtection="0"/>
    <xf numFmtId="0" fontId="25" fillId="13" borderId="187" applyNumberFormat="0" applyAlignment="0" applyProtection="0"/>
    <xf numFmtId="0" fontId="25" fillId="13" borderId="187" applyNumberFormat="0" applyAlignment="0" applyProtection="0"/>
    <xf numFmtId="0" fontId="25" fillId="13" borderId="187" applyNumberFormat="0" applyAlignment="0" applyProtection="0"/>
    <xf numFmtId="0" fontId="25" fillId="13" borderId="187" applyNumberFormat="0" applyAlignment="0" applyProtection="0"/>
    <xf numFmtId="0" fontId="25" fillId="13" borderId="187" applyNumberFormat="0" applyAlignment="0" applyProtection="0"/>
    <xf numFmtId="0" fontId="25" fillId="13" borderId="187" applyNumberFormat="0" applyAlignment="0" applyProtection="0"/>
    <xf numFmtId="0" fontId="25" fillId="13" borderId="187" applyNumberFormat="0" applyAlignment="0" applyProtection="0"/>
    <xf numFmtId="0" fontId="25" fillId="13" borderId="187" applyNumberFormat="0" applyAlignment="0" applyProtection="0"/>
    <xf numFmtId="0" fontId="25" fillId="13" borderId="187" applyNumberFormat="0" applyAlignment="0" applyProtection="0"/>
    <xf numFmtId="0" fontId="25" fillId="13" borderId="187" applyNumberFormat="0" applyAlignment="0" applyProtection="0"/>
    <xf numFmtId="0" fontId="25" fillId="13" borderId="187" applyNumberFormat="0" applyAlignment="0" applyProtection="0"/>
    <xf numFmtId="0" fontId="25" fillId="13" borderId="187" applyNumberFormat="0" applyAlignment="0" applyProtection="0"/>
    <xf numFmtId="0" fontId="25" fillId="13" borderId="187" applyNumberFormat="0" applyAlignment="0" applyProtection="0"/>
    <xf numFmtId="0" fontId="25" fillId="13" borderId="187" applyNumberFormat="0" applyAlignment="0" applyProtection="0"/>
    <xf numFmtId="0" fontId="25" fillId="13" borderId="187" applyNumberFormat="0" applyAlignment="0" applyProtection="0"/>
    <xf numFmtId="0" fontId="25" fillId="13" borderId="187" applyNumberFormat="0" applyAlignment="0" applyProtection="0"/>
    <xf numFmtId="0" fontId="25" fillId="13" borderId="187" applyNumberFormat="0" applyAlignment="0" applyProtection="0"/>
    <xf numFmtId="0" fontId="25" fillId="13" borderId="187" applyNumberFormat="0" applyAlignment="0" applyProtection="0"/>
    <xf numFmtId="0" fontId="25" fillId="13" borderId="187" applyNumberFormat="0" applyAlignment="0" applyProtection="0"/>
    <xf numFmtId="0" fontId="25" fillId="13" borderId="187" applyNumberFormat="0" applyAlignment="0" applyProtection="0"/>
    <xf numFmtId="0" fontId="25" fillId="13" borderId="187" applyNumberFormat="0" applyAlignment="0" applyProtection="0"/>
    <xf numFmtId="0" fontId="25" fillId="13" borderId="187" applyNumberFormat="0" applyAlignment="0" applyProtection="0"/>
    <xf numFmtId="0" fontId="25" fillId="13" borderId="187" applyNumberFormat="0" applyAlignment="0" applyProtection="0"/>
    <xf numFmtId="0" fontId="25" fillId="13" borderId="187" applyNumberFormat="0" applyAlignment="0" applyProtection="0"/>
    <xf numFmtId="0" fontId="25" fillId="13" borderId="187" applyNumberFormat="0" applyAlignment="0" applyProtection="0"/>
    <xf numFmtId="0" fontId="25" fillId="13" borderId="187" applyNumberFormat="0" applyAlignment="0" applyProtection="0"/>
    <xf numFmtId="0" fontId="25" fillId="13" borderId="187" applyNumberFormat="0" applyAlignment="0" applyProtection="0"/>
    <xf numFmtId="0" fontId="25" fillId="13" borderId="187" applyNumberFormat="0" applyAlignment="0" applyProtection="0"/>
    <xf numFmtId="0" fontId="25" fillId="13" borderId="187" applyNumberFormat="0" applyAlignment="0" applyProtection="0"/>
    <xf numFmtId="0" fontId="25" fillId="13" borderId="187" applyNumberFormat="0" applyAlignment="0" applyProtection="0"/>
    <xf numFmtId="0" fontId="25" fillId="13" borderId="187" applyNumberFormat="0" applyAlignment="0" applyProtection="0"/>
    <xf numFmtId="0" fontId="25" fillId="13" borderId="187" applyNumberFormat="0" applyAlignment="0" applyProtection="0"/>
    <xf numFmtId="0" fontId="25" fillId="13" borderId="187" applyNumberFormat="0" applyAlignment="0" applyProtection="0"/>
    <xf numFmtId="0" fontId="25" fillId="13" borderId="187" applyNumberFormat="0" applyAlignment="0" applyProtection="0"/>
    <xf numFmtId="0" fontId="25" fillId="13" borderId="187" applyNumberFormat="0" applyAlignment="0" applyProtection="0"/>
    <xf numFmtId="0" fontId="25" fillId="13" borderId="187" applyNumberFormat="0" applyAlignment="0" applyProtection="0"/>
    <xf numFmtId="0" fontId="25" fillId="13" borderId="187" applyNumberFormat="0" applyAlignment="0" applyProtection="0"/>
    <xf numFmtId="0" fontId="25" fillId="13" borderId="187" applyNumberFormat="0" applyAlignment="0" applyProtection="0"/>
    <xf numFmtId="0" fontId="25" fillId="13" borderId="187" applyNumberFormat="0" applyAlignment="0" applyProtection="0"/>
    <xf numFmtId="0" fontId="41" fillId="13" borderId="187" applyNumberFormat="0" applyAlignment="0" applyProtection="0"/>
    <xf numFmtId="0" fontId="41" fillId="13" borderId="187" applyNumberFormat="0" applyAlignment="0" applyProtection="0"/>
    <xf numFmtId="0" fontId="41" fillId="13" borderId="187" applyNumberFormat="0" applyAlignment="0" applyProtection="0"/>
    <xf numFmtId="0" fontId="41" fillId="13" borderId="187" applyNumberFormat="0" applyAlignment="0" applyProtection="0"/>
    <xf numFmtId="0" fontId="41" fillId="13" borderId="187" applyNumberFormat="0" applyAlignment="0" applyProtection="0"/>
    <xf numFmtId="0" fontId="41" fillId="13" borderId="187" applyNumberFormat="0" applyAlignment="0" applyProtection="0"/>
    <xf numFmtId="0" fontId="41" fillId="13" borderId="187" applyNumberFormat="0" applyAlignment="0" applyProtection="0"/>
    <xf numFmtId="0" fontId="41" fillId="13" borderId="187" applyNumberFormat="0" applyAlignment="0" applyProtection="0"/>
    <xf numFmtId="0" fontId="41" fillId="13" borderId="187" applyNumberFormat="0" applyAlignment="0" applyProtection="0"/>
    <xf numFmtId="0" fontId="41" fillId="13" borderId="187" applyNumberFormat="0" applyAlignment="0" applyProtection="0"/>
    <xf numFmtId="0" fontId="41" fillId="13" borderId="187" applyNumberFormat="0" applyAlignment="0" applyProtection="0"/>
    <xf numFmtId="0" fontId="41" fillId="13" borderId="187" applyNumberFormat="0" applyAlignment="0" applyProtection="0"/>
    <xf numFmtId="0" fontId="41" fillId="13" borderId="187" applyNumberFormat="0" applyAlignment="0" applyProtection="0"/>
    <xf numFmtId="0" fontId="41" fillId="13" borderId="187" applyNumberFormat="0" applyAlignment="0" applyProtection="0"/>
    <xf numFmtId="0" fontId="41" fillId="13" borderId="187" applyNumberFormat="0" applyAlignment="0" applyProtection="0"/>
    <xf numFmtId="0" fontId="41" fillId="13" borderId="187" applyNumberFormat="0" applyAlignment="0" applyProtection="0"/>
    <xf numFmtId="0" fontId="41" fillId="13" borderId="187" applyNumberFormat="0" applyAlignment="0" applyProtection="0"/>
    <xf numFmtId="0" fontId="41" fillId="13" borderId="187" applyNumberFormat="0" applyAlignment="0" applyProtection="0"/>
    <xf numFmtId="0" fontId="41" fillId="13" borderId="187" applyNumberFormat="0" applyAlignment="0" applyProtection="0"/>
    <xf numFmtId="0" fontId="41" fillId="13" borderId="187" applyNumberFormat="0" applyAlignment="0" applyProtection="0"/>
    <xf numFmtId="0" fontId="41" fillId="13" borderId="187" applyNumberFormat="0" applyAlignment="0" applyProtection="0"/>
    <xf numFmtId="0" fontId="41" fillId="13" borderId="187" applyNumberFormat="0" applyAlignment="0" applyProtection="0"/>
    <xf numFmtId="0" fontId="41" fillId="13" borderId="187" applyNumberFormat="0" applyAlignment="0" applyProtection="0"/>
    <xf numFmtId="0" fontId="41" fillId="13" borderId="187" applyNumberFormat="0" applyAlignment="0" applyProtection="0"/>
    <xf numFmtId="0" fontId="41" fillId="13" borderId="187" applyNumberFormat="0" applyAlignment="0" applyProtection="0"/>
    <xf numFmtId="0" fontId="41" fillId="13" borderId="187" applyNumberFormat="0" applyAlignment="0" applyProtection="0"/>
    <xf numFmtId="0" fontId="41" fillId="13" borderId="187" applyNumberFormat="0" applyAlignment="0" applyProtection="0"/>
    <xf numFmtId="0" fontId="41" fillId="13" borderId="187" applyNumberFormat="0" applyAlignment="0" applyProtection="0"/>
    <xf numFmtId="0" fontId="41" fillId="13" borderId="187" applyNumberFormat="0" applyAlignment="0" applyProtection="0"/>
    <xf numFmtId="0" fontId="41" fillId="13" borderId="187" applyNumberFormat="0" applyAlignment="0" applyProtection="0"/>
    <xf numFmtId="0" fontId="41" fillId="13" borderId="187" applyNumberFormat="0" applyAlignment="0" applyProtection="0"/>
    <xf numFmtId="0" fontId="41" fillId="13" borderId="187" applyNumberFormat="0" applyAlignment="0" applyProtection="0"/>
    <xf numFmtId="0" fontId="41" fillId="13" borderId="187" applyNumberFormat="0" applyAlignment="0" applyProtection="0"/>
    <xf numFmtId="0" fontId="41" fillId="13" borderId="187" applyNumberFormat="0" applyAlignment="0" applyProtection="0"/>
    <xf numFmtId="0" fontId="41" fillId="13" borderId="187" applyNumberFormat="0" applyAlignment="0" applyProtection="0"/>
    <xf numFmtId="0" fontId="41" fillId="13" borderId="187" applyNumberFormat="0" applyAlignment="0" applyProtection="0"/>
    <xf numFmtId="0" fontId="41" fillId="13" borderId="187" applyNumberFormat="0" applyAlignment="0" applyProtection="0"/>
    <xf numFmtId="0" fontId="41" fillId="13" borderId="187" applyNumberFormat="0" applyAlignment="0" applyProtection="0"/>
    <xf numFmtId="0" fontId="41" fillId="13" borderId="187" applyNumberFormat="0" applyAlignment="0" applyProtection="0"/>
    <xf numFmtId="0" fontId="41" fillId="13" borderId="187" applyNumberFormat="0" applyAlignment="0" applyProtection="0"/>
    <xf numFmtId="0" fontId="41" fillId="13" borderId="187" applyNumberFormat="0" applyAlignment="0" applyProtection="0"/>
    <xf numFmtId="0" fontId="41" fillId="13" borderId="187" applyNumberFormat="0" applyAlignment="0" applyProtection="0"/>
    <xf numFmtId="0" fontId="41" fillId="13" borderId="187" applyNumberFormat="0" applyAlignment="0" applyProtection="0"/>
    <xf numFmtId="0" fontId="41" fillId="13" borderId="187" applyNumberFormat="0" applyAlignment="0" applyProtection="0"/>
    <xf numFmtId="0" fontId="41" fillId="13" borderId="187" applyNumberFormat="0" applyAlignment="0" applyProtection="0"/>
    <xf numFmtId="0" fontId="41" fillId="13" borderId="187" applyNumberFormat="0" applyAlignment="0" applyProtection="0"/>
    <xf numFmtId="0" fontId="41" fillId="13" borderId="187" applyNumberFormat="0" applyAlignment="0" applyProtection="0"/>
    <xf numFmtId="0" fontId="41" fillId="13" borderId="187" applyNumberFormat="0" applyAlignment="0" applyProtection="0"/>
    <xf numFmtId="0" fontId="41" fillId="13" borderId="187" applyNumberFormat="0" applyAlignment="0" applyProtection="0"/>
    <xf numFmtId="0" fontId="25" fillId="13" borderId="187" applyNumberFormat="0" applyAlignment="0" applyProtection="0"/>
    <xf numFmtId="0" fontId="25" fillId="13" borderId="187" applyNumberFormat="0" applyAlignment="0" applyProtection="0"/>
    <xf numFmtId="0" fontId="25" fillId="13" borderId="187" applyNumberFormat="0" applyAlignment="0" applyProtection="0"/>
    <xf numFmtId="0" fontId="25" fillId="13" borderId="187" applyNumberFormat="0" applyAlignment="0" applyProtection="0"/>
    <xf numFmtId="0" fontId="25" fillId="13" borderId="187" applyNumberFormat="0" applyAlignment="0" applyProtection="0"/>
    <xf numFmtId="0" fontId="25" fillId="13" borderId="187" applyNumberFormat="0" applyAlignment="0" applyProtection="0"/>
    <xf numFmtId="0" fontId="25" fillId="13" borderId="187" applyNumberFormat="0" applyAlignment="0" applyProtection="0"/>
    <xf numFmtId="0" fontId="25" fillId="13" borderId="187" applyNumberFormat="0" applyAlignment="0" applyProtection="0"/>
    <xf numFmtId="0" fontId="25" fillId="13" borderId="187" applyNumberFormat="0" applyAlignment="0" applyProtection="0"/>
    <xf numFmtId="0" fontId="25" fillId="13" borderId="187" applyNumberFormat="0" applyAlignment="0" applyProtection="0"/>
    <xf numFmtId="0" fontId="25" fillId="13" borderId="187" applyNumberFormat="0" applyAlignment="0" applyProtection="0"/>
    <xf numFmtId="0" fontId="25" fillId="13" borderId="187" applyNumberFormat="0" applyAlignment="0" applyProtection="0"/>
    <xf numFmtId="0" fontId="25" fillId="13" borderId="187" applyNumberFormat="0" applyAlignment="0" applyProtection="0"/>
    <xf numFmtId="0" fontId="25" fillId="13" borderId="187" applyNumberFormat="0" applyAlignment="0" applyProtection="0"/>
    <xf numFmtId="0" fontId="25" fillId="13" borderId="187" applyNumberFormat="0" applyAlignment="0" applyProtection="0"/>
    <xf numFmtId="0" fontId="25" fillId="13" borderId="187" applyNumberFormat="0" applyAlignment="0" applyProtection="0"/>
    <xf numFmtId="0" fontId="25" fillId="13" borderId="187" applyNumberFormat="0" applyAlignment="0" applyProtection="0"/>
    <xf numFmtId="0" fontId="25" fillId="13" borderId="187" applyNumberFormat="0" applyAlignment="0" applyProtection="0"/>
    <xf numFmtId="0" fontId="25" fillId="13" borderId="187" applyNumberFormat="0" applyAlignment="0" applyProtection="0"/>
    <xf numFmtId="0" fontId="25" fillId="13" borderId="187" applyNumberFormat="0" applyAlignment="0" applyProtection="0"/>
    <xf numFmtId="0" fontId="25" fillId="13" borderId="187" applyNumberFormat="0" applyAlignment="0" applyProtection="0"/>
    <xf numFmtId="0" fontId="25" fillId="13" borderId="187" applyNumberFormat="0" applyAlignment="0" applyProtection="0"/>
    <xf numFmtId="0" fontId="25" fillId="13" borderId="187" applyNumberFormat="0" applyAlignment="0" applyProtection="0"/>
    <xf numFmtId="0" fontId="25" fillId="13" borderId="187" applyNumberFormat="0" applyAlignment="0" applyProtection="0"/>
    <xf numFmtId="0" fontId="25" fillId="13" borderId="187" applyNumberFormat="0" applyAlignment="0" applyProtection="0"/>
    <xf numFmtId="0" fontId="25" fillId="13" borderId="187" applyNumberFormat="0" applyAlignment="0" applyProtection="0"/>
    <xf numFmtId="0" fontId="25" fillId="13" borderId="187" applyNumberFormat="0" applyAlignment="0" applyProtection="0"/>
    <xf numFmtId="0" fontId="25" fillId="13" borderId="187" applyNumberFormat="0" applyAlignment="0" applyProtection="0"/>
    <xf numFmtId="0" fontId="25" fillId="13" borderId="187" applyNumberFormat="0" applyAlignment="0" applyProtection="0"/>
    <xf numFmtId="0" fontId="25" fillId="13" borderId="187" applyNumberFormat="0" applyAlignment="0" applyProtection="0"/>
    <xf numFmtId="0" fontId="25" fillId="13" borderId="187" applyNumberFormat="0" applyAlignment="0" applyProtection="0"/>
    <xf numFmtId="0" fontId="25" fillId="13" borderId="187" applyNumberFormat="0" applyAlignment="0" applyProtection="0"/>
    <xf numFmtId="0" fontId="25" fillId="13" borderId="187" applyNumberFormat="0" applyAlignment="0" applyProtection="0"/>
    <xf numFmtId="0" fontId="25" fillId="13" borderId="187" applyNumberFormat="0" applyAlignment="0" applyProtection="0"/>
    <xf numFmtId="0" fontId="25" fillId="13" borderId="187" applyNumberFormat="0" applyAlignment="0" applyProtection="0"/>
    <xf numFmtId="0" fontId="25" fillId="13" borderId="187" applyNumberFormat="0" applyAlignment="0" applyProtection="0"/>
    <xf numFmtId="0" fontId="25" fillId="13" borderId="187" applyNumberFormat="0" applyAlignment="0" applyProtection="0"/>
    <xf numFmtId="0" fontId="25" fillId="13" borderId="187" applyNumberFormat="0" applyAlignment="0" applyProtection="0"/>
    <xf numFmtId="0" fontId="25" fillId="13" borderId="187" applyNumberFormat="0" applyAlignment="0" applyProtection="0"/>
    <xf numFmtId="0" fontId="25" fillId="13" borderId="187" applyNumberFormat="0" applyAlignment="0" applyProtection="0"/>
    <xf numFmtId="0" fontId="25" fillId="13" borderId="187" applyNumberFormat="0" applyAlignment="0" applyProtection="0"/>
    <xf numFmtId="0" fontId="25" fillId="13" borderId="187" applyNumberFormat="0" applyAlignment="0" applyProtection="0"/>
    <xf numFmtId="0" fontId="25" fillId="13" borderId="187" applyNumberFormat="0" applyAlignment="0" applyProtection="0"/>
    <xf numFmtId="0" fontId="25" fillId="13" borderId="187" applyNumberFormat="0" applyAlignment="0" applyProtection="0"/>
    <xf numFmtId="0" fontId="25" fillId="13" borderId="187" applyNumberFormat="0" applyAlignment="0" applyProtection="0"/>
    <xf numFmtId="0" fontId="25" fillId="13" borderId="187" applyNumberFormat="0" applyAlignment="0" applyProtection="0"/>
    <xf numFmtId="0" fontId="25" fillId="13" borderId="187" applyNumberFormat="0" applyAlignment="0" applyProtection="0"/>
    <xf numFmtId="0" fontId="25" fillId="13" borderId="187" applyNumberFormat="0" applyAlignment="0" applyProtection="0"/>
    <xf numFmtId="0" fontId="25" fillId="13" borderId="187" applyNumberFormat="0" applyAlignment="0" applyProtection="0"/>
    <xf numFmtId="0" fontId="25" fillId="8" borderId="187" applyNumberFormat="0" applyAlignment="0" applyProtection="0"/>
    <xf numFmtId="0" fontId="25" fillId="8" borderId="187" applyNumberFormat="0" applyAlignment="0" applyProtection="0"/>
    <xf numFmtId="0" fontId="25" fillId="8" borderId="187" applyNumberFormat="0" applyAlignment="0" applyProtection="0"/>
    <xf numFmtId="0" fontId="25" fillId="8" borderId="187" applyNumberFormat="0" applyAlignment="0" applyProtection="0"/>
    <xf numFmtId="0" fontId="25" fillId="8" borderId="187" applyNumberFormat="0" applyAlignment="0" applyProtection="0"/>
    <xf numFmtId="0" fontId="25" fillId="8" borderId="187" applyNumberFormat="0" applyAlignment="0" applyProtection="0"/>
    <xf numFmtId="0" fontId="25" fillId="8" borderId="187" applyNumberFormat="0" applyAlignment="0" applyProtection="0"/>
    <xf numFmtId="0" fontId="25" fillId="8" borderId="187" applyNumberFormat="0" applyAlignment="0" applyProtection="0"/>
    <xf numFmtId="0" fontId="25" fillId="8" borderId="187" applyNumberFormat="0" applyAlignment="0" applyProtection="0"/>
    <xf numFmtId="0" fontId="25" fillId="8" borderId="187" applyNumberFormat="0" applyAlignment="0" applyProtection="0"/>
    <xf numFmtId="0" fontId="25" fillId="8" borderId="187" applyNumberFormat="0" applyAlignment="0" applyProtection="0"/>
    <xf numFmtId="0" fontId="25" fillId="8" borderId="187" applyNumberFormat="0" applyAlignment="0" applyProtection="0"/>
    <xf numFmtId="0" fontId="25" fillId="8" borderId="187" applyNumberFormat="0" applyAlignment="0" applyProtection="0"/>
    <xf numFmtId="0" fontId="25" fillId="8" borderId="187" applyNumberFormat="0" applyAlignment="0" applyProtection="0"/>
    <xf numFmtId="0" fontId="25" fillId="8" borderId="187" applyNumberFormat="0" applyAlignment="0" applyProtection="0"/>
    <xf numFmtId="0" fontId="25" fillId="8" borderId="187" applyNumberFormat="0" applyAlignment="0" applyProtection="0"/>
    <xf numFmtId="0" fontId="25" fillId="8" borderId="187" applyNumberFormat="0" applyAlignment="0" applyProtection="0"/>
    <xf numFmtId="0" fontId="25" fillId="8" borderId="187" applyNumberFormat="0" applyAlignment="0" applyProtection="0"/>
    <xf numFmtId="0" fontId="25" fillId="8" borderId="187" applyNumberFormat="0" applyAlignment="0" applyProtection="0"/>
    <xf numFmtId="0" fontId="25" fillId="8" borderId="187" applyNumberFormat="0" applyAlignment="0" applyProtection="0"/>
    <xf numFmtId="0" fontId="25" fillId="8" borderId="187" applyNumberFormat="0" applyAlignment="0" applyProtection="0"/>
    <xf numFmtId="0" fontId="25" fillId="8" borderId="187" applyNumberFormat="0" applyAlignment="0" applyProtection="0"/>
    <xf numFmtId="0" fontId="25" fillId="8" borderId="187" applyNumberFormat="0" applyAlignment="0" applyProtection="0"/>
    <xf numFmtId="0" fontId="25" fillId="8" borderId="187" applyNumberFormat="0" applyAlignment="0" applyProtection="0"/>
    <xf numFmtId="0" fontId="25" fillId="8" borderId="187" applyNumberFormat="0" applyAlignment="0" applyProtection="0"/>
    <xf numFmtId="0" fontId="25" fillId="8" borderId="187" applyNumberFormat="0" applyAlignment="0" applyProtection="0"/>
    <xf numFmtId="0" fontId="25" fillId="8" borderId="187" applyNumberFormat="0" applyAlignment="0" applyProtection="0"/>
    <xf numFmtId="0" fontId="25" fillId="8" borderId="187" applyNumberFormat="0" applyAlignment="0" applyProtection="0"/>
    <xf numFmtId="0" fontId="25" fillId="8" borderId="187" applyNumberFormat="0" applyAlignment="0" applyProtection="0"/>
    <xf numFmtId="0" fontId="25" fillId="8" borderId="187" applyNumberFormat="0" applyAlignment="0" applyProtection="0"/>
    <xf numFmtId="0" fontId="25" fillId="8" borderId="187" applyNumberFormat="0" applyAlignment="0" applyProtection="0"/>
    <xf numFmtId="0" fontId="25" fillId="8" borderId="187" applyNumberFormat="0" applyAlignment="0" applyProtection="0"/>
    <xf numFmtId="0" fontId="25" fillId="8" borderId="187" applyNumberFormat="0" applyAlignment="0" applyProtection="0"/>
    <xf numFmtId="0" fontId="25" fillId="8" borderId="187" applyNumberFormat="0" applyAlignment="0" applyProtection="0"/>
    <xf numFmtId="0" fontId="25" fillId="8" borderId="187" applyNumberFormat="0" applyAlignment="0" applyProtection="0"/>
    <xf numFmtId="0" fontId="25" fillId="8" borderId="187" applyNumberFormat="0" applyAlignment="0" applyProtection="0"/>
    <xf numFmtId="0" fontId="25" fillId="8" borderId="187" applyNumberFormat="0" applyAlignment="0" applyProtection="0"/>
    <xf numFmtId="0" fontId="25" fillId="8" borderId="187" applyNumberFormat="0" applyAlignment="0" applyProtection="0"/>
    <xf numFmtId="0" fontId="25" fillId="8" borderId="187" applyNumberFormat="0" applyAlignment="0" applyProtection="0"/>
    <xf numFmtId="0" fontId="25" fillId="8" borderId="187" applyNumberFormat="0" applyAlignment="0" applyProtection="0"/>
    <xf numFmtId="0" fontId="25" fillId="8" borderId="187" applyNumberFormat="0" applyAlignment="0" applyProtection="0"/>
    <xf numFmtId="0" fontId="25" fillId="8" borderId="187" applyNumberFormat="0" applyAlignment="0" applyProtection="0"/>
    <xf numFmtId="0" fontId="25" fillId="8" borderId="187" applyNumberFormat="0" applyAlignment="0" applyProtection="0"/>
    <xf numFmtId="0" fontId="25" fillId="8" borderId="187" applyNumberFormat="0" applyAlignment="0" applyProtection="0"/>
    <xf numFmtId="0" fontId="25" fillId="8" borderId="187" applyNumberFormat="0" applyAlignment="0" applyProtection="0"/>
    <xf numFmtId="0" fontId="25" fillId="8" borderId="187" applyNumberFormat="0" applyAlignment="0" applyProtection="0"/>
    <xf numFmtId="0" fontId="25" fillId="8" borderId="187" applyNumberFormat="0" applyAlignment="0" applyProtection="0"/>
    <xf numFmtId="0" fontId="25" fillId="8" borderId="187" applyNumberFormat="0" applyAlignment="0" applyProtection="0"/>
    <xf numFmtId="0" fontId="25" fillId="8" borderId="187" applyNumberFormat="0" applyAlignment="0" applyProtection="0"/>
    <xf numFmtId="0" fontId="25" fillId="8" borderId="187" applyNumberFormat="0" applyAlignment="0" applyProtection="0"/>
    <xf numFmtId="0" fontId="25" fillId="8" borderId="187" applyNumberFormat="0" applyAlignment="0" applyProtection="0"/>
    <xf numFmtId="0" fontId="25" fillId="8" borderId="187" applyNumberFormat="0" applyAlignment="0" applyProtection="0"/>
    <xf numFmtId="0" fontId="25" fillId="8" borderId="187" applyNumberFormat="0" applyAlignment="0" applyProtection="0"/>
    <xf numFmtId="0" fontId="25" fillId="8" borderId="187" applyNumberFormat="0" applyAlignment="0" applyProtection="0"/>
    <xf numFmtId="0" fontId="25" fillId="8" borderId="187" applyNumberFormat="0" applyAlignment="0" applyProtection="0"/>
    <xf numFmtId="0" fontId="25" fillId="8" borderId="187" applyNumberFormat="0" applyAlignment="0" applyProtection="0"/>
    <xf numFmtId="0" fontId="25" fillId="8" borderId="187" applyNumberFormat="0" applyAlignment="0" applyProtection="0"/>
    <xf numFmtId="0" fontId="25" fillId="8" borderId="187" applyNumberFormat="0" applyAlignment="0" applyProtection="0"/>
    <xf numFmtId="0" fontId="25" fillId="8" borderId="187" applyNumberFormat="0" applyAlignment="0" applyProtection="0"/>
    <xf numFmtId="0" fontId="25" fillId="8" borderId="187" applyNumberFormat="0" applyAlignment="0" applyProtection="0"/>
    <xf numFmtId="0" fontId="25" fillId="8" borderId="187" applyNumberFormat="0" applyAlignment="0" applyProtection="0"/>
    <xf numFmtId="0" fontId="25" fillId="8" borderId="187" applyNumberFormat="0" applyAlignment="0" applyProtection="0"/>
    <xf numFmtId="0" fontId="25" fillId="8" borderId="187" applyNumberFormat="0" applyAlignment="0" applyProtection="0"/>
    <xf numFmtId="0" fontId="25" fillId="8" borderId="187" applyNumberFormat="0" applyAlignment="0" applyProtection="0"/>
    <xf numFmtId="0" fontId="25" fillId="8" borderId="187" applyNumberFormat="0" applyAlignment="0" applyProtection="0"/>
    <xf numFmtId="0" fontId="25" fillId="8" borderId="187" applyNumberFormat="0" applyAlignment="0" applyProtection="0"/>
    <xf numFmtId="0" fontId="25" fillId="8" borderId="187" applyNumberFormat="0" applyAlignment="0" applyProtection="0"/>
    <xf numFmtId="0" fontId="25" fillId="8" borderId="187" applyNumberFormat="0" applyAlignment="0" applyProtection="0"/>
    <xf numFmtId="0" fontId="25" fillId="8" borderId="187" applyNumberFormat="0" applyAlignment="0" applyProtection="0"/>
    <xf numFmtId="0" fontId="25" fillId="8" borderId="187" applyNumberFormat="0" applyAlignment="0" applyProtection="0"/>
    <xf numFmtId="0" fontId="25" fillId="8" borderId="187" applyNumberFormat="0" applyAlignment="0" applyProtection="0"/>
    <xf numFmtId="0" fontId="25" fillId="8" borderId="187" applyNumberFormat="0" applyAlignment="0" applyProtection="0"/>
    <xf numFmtId="0" fontId="25" fillId="8" borderId="187" applyNumberFormat="0" applyAlignment="0" applyProtection="0"/>
    <xf numFmtId="0" fontId="25" fillId="8" borderId="187" applyNumberFormat="0" applyAlignment="0" applyProtection="0"/>
    <xf numFmtId="0" fontId="25" fillId="8" borderId="187" applyNumberFormat="0" applyAlignment="0" applyProtection="0"/>
    <xf numFmtId="0" fontId="25" fillId="8" borderId="187" applyNumberFormat="0" applyAlignment="0" applyProtection="0"/>
    <xf numFmtId="0" fontId="25" fillId="8" borderId="187" applyNumberFormat="0" applyAlignment="0" applyProtection="0"/>
    <xf numFmtId="0" fontId="84" fillId="73" borderId="191"/>
    <xf numFmtId="0" fontId="84" fillId="73" borderId="191"/>
    <xf numFmtId="0" fontId="84" fillId="73" borderId="191"/>
    <xf numFmtId="0" fontId="84" fillId="73" borderId="191"/>
    <xf numFmtId="0" fontId="84" fillId="73" borderId="191"/>
    <xf numFmtId="0" fontId="84" fillId="73" borderId="191"/>
    <xf numFmtId="0" fontId="84" fillId="73" borderId="191"/>
    <xf numFmtId="0" fontId="84" fillId="73" borderId="191"/>
    <xf numFmtId="0" fontId="84" fillId="73" borderId="191"/>
    <xf numFmtId="0" fontId="84" fillId="73" borderId="191"/>
    <xf numFmtId="0" fontId="84" fillId="73" borderId="191"/>
    <xf numFmtId="0" fontId="84" fillId="73" borderId="191"/>
    <xf numFmtId="0" fontId="84" fillId="73" borderId="191"/>
    <xf numFmtId="0" fontId="84" fillId="73" borderId="191"/>
    <xf numFmtId="0" fontId="84" fillId="73" borderId="191"/>
    <xf numFmtId="0" fontId="84" fillId="73" borderId="191"/>
    <xf numFmtId="0" fontId="84" fillId="73" borderId="191"/>
    <xf numFmtId="0" fontId="84" fillId="73" borderId="191"/>
    <xf numFmtId="0" fontId="84" fillId="73" borderId="191"/>
    <xf numFmtId="0" fontId="84" fillId="73" borderId="191"/>
    <xf numFmtId="0" fontId="84" fillId="73" borderId="191"/>
    <xf numFmtId="0" fontId="84" fillId="73" borderId="191"/>
    <xf numFmtId="0" fontId="84" fillId="73" borderId="191"/>
    <xf numFmtId="0" fontId="84" fillId="73" borderId="191"/>
    <xf numFmtId="0" fontId="84" fillId="73" borderId="191"/>
    <xf numFmtId="0" fontId="84" fillId="73" borderId="191"/>
    <xf numFmtId="0" fontId="84" fillId="73" borderId="191"/>
    <xf numFmtId="0" fontId="84" fillId="73" borderId="191"/>
    <xf numFmtId="0" fontId="84" fillId="73" borderId="191"/>
    <xf numFmtId="0" fontId="84" fillId="73" borderId="191"/>
    <xf numFmtId="0" fontId="84" fillId="73" borderId="191"/>
    <xf numFmtId="0" fontId="84" fillId="73" borderId="191"/>
    <xf numFmtId="0" fontId="84" fillId="73" borderId="191"/>
    <xf numFmtId="0" fontId="84" fillId="73" borderId="191"/>
    <xf numFmtId="0" fontId="84" fillId="73" borderId="191"/>
    <xf numFmtId="0" fontId="84" fillId="73" borderId="191"/>
    <xf numFmtId="0" fontId="84" fillId="73" borderId="191"/>
    <xf numFmtId="0" fontId="84" fillId="73" borderId="191"/>
    <xf numFmtId="0" fontId="84" fillId="73" borderId="191"/>
    <xf numFmtId="0" fontId="84" fillId="73" borderId="191"/>
    <xf numFmtId="0" fontId="84" fillId="73" borderId="191"/>
    <xf numFmtId="0" fontId="84" fillId="73" borderId="191"/>
    <xf numFmtId="0" fontId="84" fillId="73" borderId="191"/>
    <xf numFmtId="0" fontId="84" fillId="73" borderId="191"/>
    <xf numFmtId="0" fontId="84" fillId="73" borderId="191"/>
    <xf numFmtId="0" fontId="72" fillId="0" borderId="173" applyBorder="0">
      <alignment horizontal="center" vertical="center" wrapText="1"/>
    </xf>
    <xf numFmtId="0" fontId="72" fillId="0" borderId="173" applyBorder="0">
      <alignment horizontal="center" vertical="center" wrapText="1"/>
    </xf>
    <xf numFmtId="0" fontId="72" fillId="0" borderId="173" applyBorder="0">
      <alignment horizontal="center" vertical="center" wrapText="1"/>
    </xf>
    <xf numFmtId="0" fontId="72" fillId="0" borderId="173" applyBorder="0">
      <alignment horizontal="center" vertical="center" wrapText="1"/>
    </xf>
    <xf numFmtId="0" fontId="72" fillId="0" borderId="173" applyBorder="0">
      <alignment horizontal="center" vertical="center" wrapText="1"/>
    </xf>
    <xf numFmtId="0" fontId="72" fillId="0" borderId="173" applyBorder="0">
      <alignment horizontal="center" vertical="center" wrapText="1"/>
    </xf>
    <xf numFmtId="0" fontId="72" fillId="0" borderId="173" applyBorder="0">
      <alignment horizontal="center" vertical="center" wrapText="1"/>
    </xf>
    <xf numFmtId="0" fontId="72" fillId="0" borderId="173" applyBorder="0">
      <alignment horizontal="center" vertical="center" wrapText="1"/>
    </xf>
    <xf numFmtId="0" fontId="72" fillId="0" borderId="173" applyBorder="0">
      <alignment horizontal="center" vertical="center" wrapText="1"/>
    </xf>
    <xf numFmtId="0" fontId="72" fillId="0" borderId="173" applyBorder="0">
      <alignment horizontal="center" vertical="center" wrapText="1"/>
    </xf>
    <xf numFmtId="0" fontId="72" fillId="0" borderId="173" applyBorder="0">
      <alignment horizontal="center" vertical="center" wrapText="1"/>
    </xf>
    <xf numFmtId="0" fontId="72" fillId="0" borderId="173" applyBorder="0">
      <alignment horizontal="center" vertical="center" wrapText="1"/>
    </xf>
    <xf numFmtId="0" fontId="72" fillId="0" borderId="173" applyBorder="0">
      <alignment horizontal="center" vertical="center" wrapText="1"/>
    </xf>
    <xf numFmtId="0" fontId="72" fillId="0" borderId="173" applyBorder="0">
      <alignment horizontal="center" vertical="center" wrapText="1"/>
    </xf>
    <xf numFmtId="0" fontId="72" fillId="0" borderId="173" applyBorder="0">
      <alignment horizontal="center" vertical="center" wrapText="1"/>
    </xf>
    <xf numFmtId="0" fontId="72" fillId="0" borderId="173" applyBorder="0">
      <alignment horizontal="center" vertical="center" wrapText="1"/>
    </xf>
    <xf numFmtId="0" fontId="72" fillId="0" borderId="173" applyBorder="0">
      <alignment horizontal="center" vertical="center" wrapText="1"/>
    </xf>
    <xf numFmtId="0" fontId="72" fillId="0" borderId="173" applyBorder="0">
      <alignment horizontal="center" vertical="center" wrapText="1"/>
    </xf>
    <xf numFmtId="0" fontId="72" fillId="0" borderId="173" applyBorder="0">
      <alignment horizontal="center" vertical="center" wrapText="1"/>
    </xf>
    <xf numFmtId="0" fontId="72" fillId="0" borderId="173" applyBorder="0">
      <alignment horizontal="center" vertical="center" wrapText="1"/>
    </xf>
    <xf numFmtId="0" fontId="72" fillId="0" borderId="173" applyBorder="0">
      <alignment horizontal="center" vertical="center" wrapText="1"/>
    </xf>
    <xf numFmtId="0" fontId="72" fillId="0" borderId="173" applyBorder="0">
      <alignment horizontal="center" vertical="center" wrapText="1"/>
    </xf>
    <xf numFmtId="0" fontId="72" fillId="0" borderId="173" applyBorder="0">
      <alignment horizontal="center" vertical="center" wrapText="1"/>
    </xf>
    <xf numFmtId="0" fontId="72" fillId="0" borderId="173" applyBorder="0">
      <alignment horizontal="center" vertical="center" wrapText="1"/>
    </xf>
    <xf numFmtId="0" fontId="72" fillId="0" borderId="173" applyBorder="0">
      <alignment horizontal="center" vertical="center" wrapText="1"/>
    </xf>
    <xf numFmtId="0" fontId="72" fillId="0" borderId="173" applyBorder="0">
      <alignment horizontal="center" vertical="center" wrapText="1"/>
    </xf>
    <xf numFmtId="0" fontId="72" fillId="0" borderId="173" applyBorder="0">
      <alignment horizontal="center" vertical="center" wrapText="1"/>
    </xf>
    <xf numFmtId="0" fontId="72" fillId="0" borderId="173" applyBorder="0">
      <alignment horizontal="center" vertical="center" wrapText="1"/>
    </xf>
    <xf numFmtId="0" fontId="72" fillId="0" borderId="173" applyBorder="0">
      <alignment horizontal="center" vertical="center" wrapText="1"/>
    </xf>
    <xf numFmtId="0" fontId="72" fillId="0" borderId="173" applyBorder="0">
      <alignment horizontal="center" vertical="center" wrapText="1"/>
    </xf>
    <xf numFmtId="0" fontId="72" fillId="0" borderId="173" applyBorder="0">
      <alignment horizontal="center" vertical="center" wrapText="1"/>
    </xf>
    <xf numFmtId="0" fontId="72" fillId="0" borderId="173" applyBorder="0">
      <alignment horizontal="center" vertical="center" wrapText="1"/>
    </xf>
    <xf numFmtId="0" fontId="72" fillId="0" borderId="173" applyBorder="0">
      <alignment horizontal="center" vertical="center" wrapText="1"/>
    </xf>
    <xf numFmtId="0" fontId="72" fillId="0" borderId="173" applyBorder="0">
      <alignment horizontal="center" vertical="center" wrapText="1"/>
    </xf>
    <xf numFmtId="0" fontId="72" fillId="0" borderId="173" applyBorder="0">
      <alignment horizontal="center" vertical="center" wrapText="1"/>
    </xf>
    <xf numFmtId="0" fontId="72" fillId="0" borderId="173" applyBorder="0">
      <alignment horizontal="center" vertical="center" wrapText="1"/>
    </xf>
    <xf numFmtId="0" fontId="72" fillId="0" borderId="173" applyBorder="0">
      <alignment horizontal="center" vertical="center" wrapText="1"/>
    </xf>
    <xf numFmtId="0" fontId="72" fillId="0" borderId="173" applyBorder="0">
      <alignment horizontal="center" vertical="center" wrapText="1"/>
    </xf>
    <xf numFmtId="0" fontId="72" fillId="0" borderId="173" applyBorder="0">
      <alignment horizontal="center" vertical="center" wrapText="1"/>
    </xf>
    <xf numFmtId="0" fontId="72" fillId="0" borderId="173" applyBorder="0">
      <alignment horizontal="center" vertical="center" wrapText="1"/>
    </xf>
    <xf numFmtId="0" fontId="72" fillId="0" borderId="173" applyBorder="0">
      <alignment horizontal="center" vertical="center" wrapText="1"/>
    </xf>
    <xf numFmtId="0" fontId="72" fillId="0" borderId="173" applyBorder="0">
      <alignment horizontal="center" vertical="center" wrapText="1"/>
    </xf>
    <xf numFmtId="0" fontId="72" fillId="0" borderId="173" applyBorder="0">
      <alignment horizontal="center" vertical="center" wrapText="1"/>
    </xf>
    <xf numFmtId="0" fontId="72" fillId="0" borderId="173" applyBorder="0">
      <alignment horizontal="center" vertical="center" wrapText="1"/>
    </xf>
    <xf numFmtId="0" fontId="72" fillId="0" borderId="173" applyBorder="0">
      <alignment horizontal="center" vertical="center" wrapText="1"/>
    </xf>
    <xf numFmtId="0" fontId="72" fillId="0" borderId="173" applyBorder="0">
      <alignment horizontal="center" vertical="center" wrapText="1"/>
    </xf>
    <xf numFmtId="0" fontId="72" fillId="0" borderId="173" applyBorder="0">
      <alignment horizontal="center" vertical="center" wrapText="1"/>
    </xf>
    <xf numFmtId="0" fontId="72" fillId="0" borderId="173" applyBorder="0">
      <alignment horizontal="center" vertical="center" wrapText="1"/>
    </xf>
    <xf numFmtId="0" fontId="72" fillId="0" borderId="173" applyBorder="0">
      <alignment horizontal="center" vertical="center" wrapText="1"/>
    </xf>
    <xf numFmtId="0" fontId="72" fillId="0" borderId="173" applyBorder="0">
      <alignment horizontal="center" vertical="center" wrapText="1"/>
    </xf>
    <xf numFmtId="0" fontId="72" fillId="0" borderId="173" applyBorder="0">
      <alignment horizontal="center" vertical="center" wrapText="1"/>
    </xf>
    <xf numFmtId="0" fontId="72" fillId="0" borderId="173" applyBorder="0">
      <alignment horizontal="center" vertical="center" wrapText="1"/>
    </xf>
    <xf numFmtId="0" fontId="72" fillId="0" borderId="173" applyBorder="0">
      <alignment horizontal="center" vertical="center" wrapText="1"/>
    </xf>
    <xf numFmtId="0" fontId="72" fillId="0" borderId="173" applyBorder="0">
      <alignment horizontal="center" vertical="center" wrapText="1"/>
    </xf>
    <xf numFmtId="0" fontId="72" fillId="0" borderId="173" applyBorder="0">
      <alignment horizontal="center" vertical="center" wrapText="1"/>
    </xf>
    <xf numFmtId="0" fontId="72" fillId="0" borderId="173" applyBorder="0">
      <alignment horizontal="center" vertical="center" wrapText="1"/>
    </xf>
    <xf numFmtId="0" fontId="72" fillId="0" borderId="173" applyBorder="0">
      <alignment horizontal="center" vertical="center" wrapText="1"/>
    </xf>
    <xf numFmtId="0" fontId="72" fillId="0" borderId="173" applyBorder="0">
      <alignment horizontal="center" vertical="center" wrapText="1"/>
    </xf>
    <xf numFmtId="0" fontId="72" fillId="0" borderId="173" applyBorder="0">
      <alignment horizontal="center" vertical="center" wrapText="1"/>
    </xf>
    <xf numFmtId="0" fontId="72" fillId="0" borderId="173" applyBorder="0">
      <alignment horizontal="center" vertical="center" wrapText="1"/>
    </xf>
    <xf numFmtId="0" fontId="49" fillId="10" borderId="195" applyNumberFormat="0" applyFont="0" applyAlignment="0" applyProtection="0"/>
    <xf numFmtId="0" fontId="48" fillId="12" borderId="194" applyNumberFormat="0" applyAlignment="0" applyProtection="0"/>
    <xf numFmtId="0" fontId="25" fillId="8" borderId="194" applyNumberFormat="0" applyAlignment="0" applyProtection="0"/>
    <xf numFmtId="0" fontId="31" fillId="0" borderId="192" applyNumberFormat="0" applyFill="0" applyAlignment="0" applyProtection="0"/>
    <xf numFmtId="0" fontId="31" fillId="0" borderId="197" applyNumberFormat="0" applyFill="0" applyAlignment="0" applyProtection="0"/>
    <xf numFmtId="0" fontId="24" fillId="24" borderId="196" applyNumberFormat="0" applyAlignment="0" applyProtection="0"/>
    <xf numFmtId="0" fontId="8" fillId="10" borderId="195" applyNumberFormat="0" applyFont="0" applyAlignment="0" applyProtection="0"/>
    <xf numFmtId="0" fontId="41" fillId="13" borderId="194" applyNumberFormat="0" applyAlignment="0" applyProtection="0"/>
    <xf numFmtId="0" fontId="48" fillId="12" borderId="194" applyNumberFormat="0" applyAlignment="0" applyProtection="0"/>
    <xf numFmtId="0" fontId="48" fillId="24" borderId="194" applyNumberFormat="0" applyAlignment="0" applyProtection="0"/>
    <xf numFmtId="0" fontId="31" fillId="0" borderId="192" applyNumberFormat="0" applyFill="0" applyAlignment="0" applyProtection="0"/>
    <xf numFmtId="0" fontId="48" fillId="24" borderId="194" applyNumberFormat="0" applyAlignment="0" applyProtection="0"/>
    <xf numFmtId="0" fontId="49" fillId="10" borderId="195" applyNumberFormat="0" applyFont="0" applyAlignment="0" applyProtection="0"/>
    <xf numFmtId="0" fontId="29" fillId="12" borderId="193" applyNumberFormat="0" applyAlignment="0" applyProtection="0"/>
    <xf numFmtId="0" fontId="8" fillId="10" borderId="195" applyNumberFormat="0" applyFont="0" applyAlignment="0" applyProtection="0"/>
    <xf numFmtId="0" fontId="8" fillId="10" borderId="188" applyNumberFormat="0" applyFont="0" applyAlignment="0" applyProtection="0"/>
    <xf numFmtId="0" fontId="49" fillId="10" borderId="188" applyNumberFormat="0" applyFont="0" applyAlignment="0" applyProtection="0"/>
    <xf numFmtId="0" fontId="31" fillId="0" borderId="190" applyNumberFormat="0" applyFill="0" applyAlignment="0" applyProtection="0"/>
    <xf numFmtId="0" fontId="31" fillId="0" borderId="192" applyNumberFormat="0" applyFill="0" applyAlignment="0" applyProtection="0"/>
    <xf numFmtId="0" fontId="31" fillId="0" borderId="197" applyNumberFormat="0" applyFill="0" applyAlignment="0" applyProtection="0"/>
    <xf numFmtId="0" fontId="31" fillId="0" borderId="192" applyNumberFormat="0" applyFill="0" applyAlignment="0" applyProtection="0"/>
    <xf numFmtId="0" fontId="72" fillId="0" borderId="201" applyBorder="0">
      <alignment horizontal="center" vertical="center" wrapText="1"/>
    </xf>
    <xf numFmtId="0" fontId="72" fillId="0" borderId="201" applyBorder="0">
      <alignment horizontal="center" vertical="center" wrapText="1"/>
    </xf>
    <xf numFmtId="0" fontId="72" fillId="0" borderId="201" applyBorder="0">
      <alignment horizontal="center" vertical="center" wrapText="1"/>
    </xf>
    <xf numFmtId="0" fontId="72" fillId="0" borderId="201" applyBorder="0">
      <alignment horizontal="center" vertical="center" wrapText="1"/>
    </xf>
    <xf numFmtId="0" fontId="72" fillId="0" borderId="201" applyBorder="0">
      <alignment horizontal="center" vertical="center" wrapText="1"/>
    </xf>
    <xf numFmtId="0" fontId="72" fillId="0" borderId="201" applyBorder="0">
      <alignment horizontal="center" vertical="center" wrapText="1"/>
    </xf>
    <xf numFmtId="0" fontId="72" fillId="0" borderId="201" applyBorder="0">
      <alignment horizontal="center" vertical="center" wrapText="1"/>
    </xf>
    <xf numFmtId="0" fontId="72" fillId="0" borderId="201" applyBorder="0">
      <alignment horizontal="center" vertical="center" wrapText="1"/>
    </xf>
    <xf numFmtId="0" fontId="72" fillId="0" borderId="201" applyBorder="0">
      <alignment horizontal="center" vertical="center" wrapText="1"/>
    </xf>
    <xf numFmtId="0" fontId="72" fillId="0" borderId="201" applyBorder="0">
      <alignment horizontal="center" vertical="center" wrapText="1"/>
    </xf>
    <xf numFmtId="0" fontId="72" fillId="0" borderId="201" applyBorder="0">
      <alignment horizontal="center" vertical="center" wrapText="1"/>
    </xf>
    <xf numFmtId="0" fontId="72" fillId="0" borderId="201" applyBorder="0">
      <alignment horizontal="center" vertical="center" wrapText="1"/>
    </xf>
    <xf numFmtId="0" fontId="72" fillId="0" borderId="201" applyBorder="0">
      <alignment horizontal="center" vertical="center" wrapText="1"/>
    </xf>
    <xf numFmtId="0" fontId="72" fillId="0" borderId="201" applyBorder="0">
      <alignment horizontal="center" vertical="center" wrapText="1"/>
    </xf>
    <xf numFmtId="0" fontId="72" fillId="0" borderId="201" applyBorder="0">
      <alignment horizontal="center" vertical="center" wrapText="1"/>
    </xf>
    <xf numFmtId="0" fontId="72" fillId="0" borderId="201" applyBorder="0">
      <alignment horizontal="center" vertical="center" wrapText="1"/>
    </xf>
    <xf numFmtId="0" fontId="72" fillId="0" borderId="201" applyBorder="0">
      <alignment horizontal="center" vertical="center" wrapText="1"/>
    </xf>
    <xf numFmtId="0" fontId="72" fillId="0" borderId="201" applyBorder="0">
      <alignment horizontal="center" vertical="center" wrapText="1"/>
    </xf>
    <xf numFmtId="0" fontId="72" fillId="0" borderId="201" applyBorder="0">
      <alignment horizontal="center" vertical="center" wrapText="1"/>
    </xf>
    <xf numFmtId="0" fontId="72" fillId="0" borderId="201" applyBorder="0">
      <alignment horizontal="center" vertical="center" wrapText="1"/>
    </xf>
    <xf numFmtId="0" fontId="72" fillId="0" borderId="201" applyBorder="0">
      <alignment horizontal="center" vertical="center" wrapText="1"/>
    </xf>
    <xf numFmtId="0" fontId="72" fillId="0" borderId="201" applyBorder="0">
      <alignment horizontal="center" vertical="center" wrapText="1"/>
    </xf>
    <xf numFmtId="0" fontId="72" fillId="0" borderId="201" applyBorder="0">
      <alignment horizontal="center" vertical="center" wrapText="1"/>
    </xf>
    <xf numFmtId="0" fontId="72" fillId="0" borderId="201" applyBorder="0">
      <alignment horizontal="center" vertical="center" wrapText="1"/>
    </xf>
    <xf numFmtId="0" fontId="72" fillId="0" borderId="201" applyBorder="0">
      <alignment horizontal="center" vertical="center" wrapText="1"/>
    </xf>
    <xf numFmtId="0" fontId="72" fillId="0" borderId="201" applyBorder="0">
      <alignment horizontal="center" vertical="center" wrapText="1"/>
    </xf>
    <xf numFmtId="0" fontId="72" fillId="0" borderId="201" applyBorder="0">
      <alignment horizontal="center" vertical="center" wrapText="1"/>
    </xf>
    <xf numFmtId="0" fontId="72" fillId="0" borderId="201" applyBorder="0">
      <alignment horizontal="center" vertical="center" wrapText="1"/>
    </xf>
    <xf numFmtId="0" fontId="72" fillId="0" borderId="201" applyBorder="0">
      <alignment horizontal="center" vertical="center" wrapText="1"/>
    </xf>
    <xf numFmtId="0" fontId="72" fillId="0" borderId="201" applyBorder="0">
      <alignment horizontal="center" vertical="center" wrapText="1"/>
    </xf>
    <xf numFmtId="0" fontId="48" fillId="24" borderId="203" applyNumberFormat="0" applyAlignment="0" applyProtection="0"/>
    <xf numFmtId="0" fontId="48" fillId="24" borderId="203" applyNumberFormat="0" applyAlignment="0" applyProtection="0"/>
    <xf numFmtId="0" fontId="48" fillId="24" borderId="203" applyNumberFormat="0" applyAlignment="0" applyProtection="0"/>
    <xf numFmtId="0" fontId="48" fillId="24" borderId="203" applyNumberFormat="0" applyAlignment="0" applyProtection="0"/>
    <xf numFmtId="0" fontId="48" fillId="24" borderId="203" applyNumberFormat="0" applyAlignment="0" applyProtection="0"/>
    <xf numFmtId="0" fontId="48" fillId="24" borderId="203" applyNumberFormat="0" applyAlignment="0" applyProtection="0"/>
    <xf numFmtId="0" fontId="48" fillId="24" borderId="203" applyNumberFormat="0" applyAlignment="0" applyProtection="0"/>
    <xf numFmtId="0" fontId="48" fillId="24" borderId="203" applyNumberFormat="0" applyAlignment="0" applyProtection="0"/>
    <xf numFmtId="0" fontId="48" fillId="24" borderId="203" applyNumberFormat="0" applyAlignment="0" applyProtection="0"/>
    <xf numFmtId="0" fontId="48" fillId="24" borderId="203" applyNumberFormat="0" applyAlignment="0" applyProtection="0"/>
    <xf numFmtId="0" fontId="48" fillId="24" borderId="203" applyNumberFormat="0" applyAlignment="0" applyProtection="0"/>
    <xf numFmtId="0" fontId="48" fillId="24" borderId="203" applyNumberFormat="0" applyAlignment="0" applyProtection="0"/>
    <xf numFmtId="0" fontId="48" fillId="24" borderId="203" applyNumberFormat="0" applyAlignment="0" applyProtection="0"/>
    <xf numFmtId="0" fontId="48" fillId="24" borderId="203" applyNumberFormat="0" applyAlignment="0" applyProtection="0"/>
    <xf numFmtId="0" fontId="48" fillId="24" borderId="203" applyNumberFormat="0" applyAlignment="0" applyProtection="0"/>
    <xf numFmtId="0" fontId="48" fillId="24" borderId="203" applyNumberFormat="0" applyAlignment="0" applyProtection="0"/>
    <xf numFmtId="0" fontId="48" fillId="24" borderId="203" applyNumberFormat="0" applyAlignment="0" applyProtection="0"/>
    <xf numFmtId="0" fontId="48" fillId="24" borderId="203" applyNumberFormat="0" applyAlignment="0" applyProtection="0"/>
    <xf numFmtId="0" fontId="48" fillId="24" borderId="203" applyNumberFormat="0" applyAlignment="0" applyProtection="0"/>
    <xf numFmtId="0" fontId="48" fillId="24" borderId="203" applyNumberFormat="0" applyAlignment="0" applyProtection="0"/>
    <xf numFmtId="0" fontId="48" fillId="24" borderId="203" applyNumberFormat="0" applyAlignment="0" applyProtection="0"/>
    <xf numFmtId="0" fontId="48" fillId="24" borderId="203" applyNumberFormat="0" applyAlignment="0" applyProtection="0"/>
    <xf numFmtId="0" fontId="48" fillId="24" borderId="203" applyNumberFormat="0" applyAlignment="0" applyProtection="0"/>
    <xf numFmtId="0" fontId="48" fillId="24" borderId="203" applyNumberFormat="0" applyAlignment="0" applyProtection="0"/>
    <xf numFmtId="0" fontId="48" fillId="24" borderId="203" applyNumberFormat="0" applyAlignment="0" applyProtection="0"/>
    <xf numFmtId="0" fontId="48" fillId="24" borderId="203" applyNumberFormat="0" applyAlignment="0" applyProtection="0"/>
    <xf numFmtId="0" fontId="48" fillId="24" borderId="203" applyNumberFormat="0" applyAlignment="0" applyProtection="0"/>
    <xf numFmtId="0" fontId="48" fillId="24" borderId="203" applyNumberFormat="0" applyAlignment="0" applyProtection="0"/>
    <xf numFmtId="0" fontId="48" fillId="24" borderId="203" applyNumberFormat="0" applyAlignment="0" applyProtection="0"/>
    <xf numFmtId="0" fontId="48" fillId="24" borderId="203" applyNumberFormat="0" applyAlignment="0" applyProtection="0"/>
    <xf numFmtId="0" fontId="48" fillId="24" borderId="203" applyNumberFormat="0" applyAlignment="0" applyProtection="0"/>
    <xf numFmtId="0" fontId="48" fillId="24" borderId="203" applyNumberFormat="0" applyAlignment="0" applyProtection="0"/>
    <xf numFmtId="0" fontId="48" fillId="24" borderId="203" applyNumberFormat="0" applyAlignment="0" applyProtection="0"/>
    <xf numFmtId="0" fontId="48" fillId="24" borderId="203" applyNumberFormat="0" applyAlignment="0" applyProtection="0"/>
    <xf numFmtId="0" fontId="48" fillId="24" borderId="203" applyNumberFormat="0" applyAlignment="0" applyProtection="0"/>
    <xf numFmtId="0" fontId="48" fillId="24" borderId="203" applyNumberFormat="0" applyAlignment="0" applyProtection="0"/>
    <xf numFmtId="0" fontId="48" fillId="24" borderId="203" applyNumberFormat="0" applyAlignment="0" applyProtection="0"/>
    <xf numFmtId="0" fontId="48" fillId="24" borderId="203" applyNumberFormat="0" applyAlignment="0" applyProtection="0"/>
    <xf numFmtId="0" fontId="48" fillId="24" borderId="203" applyNumberFormat="0" applyAlignment="0" applyProtection="0"/>
    <xf numFmtId="0" fontId="48" fillId="24" borderId="203" applyNumberFormat="0" applyAlignment="0" applyProtection="0"/>
    <xf numFmtId="0" fontId="48" fillId="24" borderId="203" applyNumberFormat="0" applyAlignment="0" applyProtection="0"/>
    <xf numFmtId="0" fontId="48" fillId="24" borderId="203" applyNumberFormat="0" applyAlignment="0" applyProtection="0"/>
    <xf numFmtId="0" fontId="48" fillId="24" borderId="203" applyNumberFormat="0" applyAlignment="0" applyProtection="0"/>
    <xf numFmtId="0" fontId="48" fillId="24" borderId="203" applyNumberFormat="0" applyAlignment="0" applyProtection="0"/>
    <xf numFmtId="0" fontId="48" fillId="24" borderId="203" applyNumberFormat="0" applyAlignment="0" applyProtection="0"/>
    <xf numFmtId="0" fontId="48" fillId="24" borderId="203" applyNumberFormat="0" applyAlignment="0" applyProtection="0"/>
    <xf numFmtId="0" fontId="48" fillId="24" borderId="203" applyNumberFormat="0" applyAlignment="0" applyProtection="0"/>
    <xf numFmtId="0" fontId="48" fillId="24" borderId="203" applyNumberFormat="0" applyAlignment="0" applyProtection="0"/>
    <xf numFmtId="0" fontId="48" fillId="24" borderId="203" applyNumberFormat="0" applyAlignment="0" applyProtection="0"/>
    <xf numFmtId="0" fontId="48" fillId="24" borderId="203" applyNumberFormat="0" applyAlignment="0" applyProtection="0"/>
    <xf numFmtId="0" fontId="48" fillId="24" borderId="203" applyNumberFormat="0" applyAlignment="0" applyProtection="0"/>
    <xf numFmtId="0" fontId="48" fillId="24" borderId="203" applyNumberFormat="0" applyAlignment="0" applyProtection="0"/>
    <xf numFmtId="0" fontId="48" fillId="24" borderId="203" applyNumberFormat="0" applyAlignment="0" applyProtection="0"/>
    <xf numFmtId="0" fontId="48" fillId="24" borderId="203" applyNumberFormat="0" applyAlignment="0" applyProtection="0"/>
    <xf numFmtId="0" fontId="48" fillId="24" borderId="203" applyNumberFormat="0" applyAlignment="0" applyProtection="0"/>
    <xf numFmtId="0" fontId="48" fillId="24" borderId="203" applyNumberFormat="0" applyAlignment="0" applyProtection="0"/>
    <xf numFmtId="0" fontId="48" fillId="24" borderId="203" applyNumberFormat="0" applyAlignment="0" applyProtection="0"/>
    <xf numFmtId="0" fontId="48" fillId="24" borderId="203" applyNumberFormat="0" applyAlignment="0" applyProtection="0"/>
    <xf numFmtId="0" fontId="48" fillId="24" borderId="203" applyNumberFormat="0" applyAlignment="0" applyProtection="0"/>
    <xf numFmtId="0" fontId="48" fillId="24" borderId="203" applyNumberFormat="0" applyAlignment="0" applyProtection="0"/>
    <xf numFmtId="0" fontId="48" fillId="24" borderId="203" applyNumberFormat="0" applyAlignment="0" applyProtection="0"/>
    <xf numFmtId="0" fontId="48" fillId="24" borderId="203" applyNumberFormat="0" applyAlignment="0" applyProtection="0"/>
    <xf numFmtId="0" fontId="48" fillId="24" borderId="203" applyNumberFormat="0" applyAlignment="0" applyProtection="0"/>
    <xf numFmtId="0" fontId="48" fillId="24" borderId="203" applyNumberFormat="0" applyAlignment="0" applyProtection="0"/>
    <xf numFmtId="0" fontId="48" fillId="24" borderId="203" applyNumberFormat="0" applyAlignment="0" applyProtection="0"/>
    <xf numFmtId="0" fontId="48" fillId="24" borderId="203" applyNumberFormat="0" applyAlignment="0" applyProtection="0"/>
    <xf numFmtId="0" fontId="48" fillId="24" borderId="203" applyNumberFormat="0" applyAlignment="0" applyProtection="0"/>
    <xf numFmtId="0" fontId="48" fillId="24" borderId="203" applyNumberFormat="0" applyAlignment="0" applyProtection="0"/>
    <xf numFmtId="0" fontId="48" fillId="24" borderId="203" applyNumberFormat="0" applyAlignment="0" applyProtection="0"/>
    <xf numFmtId="0" fontId="48" fillId="24" borderId="203" applyNumberFormat="0" applyAlignment="0" applyProtection="0"/>
    <xf numFmtId="0" fontId="48" fillId="24" borderId="203" applyNumberFormat="0" applyAlignment="0" applyProtection="0"/>
    <xf numFmtId="0" fontId="48" fillId="24" borderId="203" applyNumberFormat="0" applyAlignment="0" applyProtection="0"/>
    <xf numFmtId="0" fontId="48" fillId="24" borderId="203" applyNumberFormat="0" applyAlignment="0" applyProtection="0"/>
    <xf numFmtId="0" fontId="48" fillId="24" borderId="203" applyNumberFormat="0" applyAlignment="0" applyProtection="0"/>
    <xf numFmtId="0" fontId="48" fillId="24" borderId="203" applyNumberFormat="0" applyAlignment="0" applyProtection="0"/>
    <xf numFmtId="0" fontId="48" fillId="24" borderId="203" applyNumberFormat="0" applyAlignment="0" applyProtection="0"/>
    <xf numFmtId="0" fontId="48" fillId="24" borderId="203" applyNumberFormat="0" applyAlignment="0" applyProtection="0"/>
    <xf numFmtId="0" fontId="48" fillId="24" borderId="203" applyNumberFormat="0" applyAlignment="0" applyProtection="0"/>
    <xf numFmtId="0" fontId="32" fillId="24" borderId="203" applyNumberFormat="0" applyAlignment="0" applyProtection="0"/>
    <xf numFmtId="0" fontId="32" fillId="24" borderId="203" applyNumberFormat="0" applyAlignment="0" applyProtection="0"/>
    <xf numFmtId="0" fontId="32" fillId="24" borderId="203" applyNumberFormat="0" applyAlignment="0" applyProtection="0"/>
    <xf numFmtId="0" fontId="32" fillId="24" borderId="203" applyNumberFormat="0" applyAlignment="0" applyProtection="0"/>
    <xf numFmtId="0" fontId="32" fillId="24" borderId="203" applyNumberFormat="0" applyAlignment="0" applyProtection="0"/>
    <xf numFmtId="0" fontId="32" fillId="24" borderId="203" applyNumberFormat="0" applyAlignment="0" applyProtection="0"/>
    <xf numFmtId="0" fontId="32" fillId="24" borderId="203" applyNumberFormat="0" applyAlignment="0" applyProtection="0"/>
    <xf numFmtId="0" fontId="32" fillId="24" borderId="203" applyNumberFormat="0" applyAlignment="0" applyProtection="0"/>
    <xf numFmtId="0" fontId="32" fillId="24" borderId="203" applyNumberFormat="0" applyAlignment="0" applyProtection="0"/>
    <xf numFmtId="0" fontId="32" fillId="24" borderId="203" applyNumberFormat="0" applyAlignment="0" applyProtection="0"/>
    <xf numFmtId="0" fontId="32" fillId="24" borderId="203" applyNumberFormat="0" applyAlignment="0" applyProtection="0"/>
    <xf numFmtId="0" fontId="32" fillId="24" borderId="203" applyNumberFormat="0" applyAlignment="0" applyProtection="0"/>
    <xf numFmtId="0" fontId="32" fillId="24" borderId="203" applyNumberFormat="0" applyAlignment="0" applyProtection="0"/>
    <xf numFmtId="0" fontId="32" fillId="24" borderId="203" applyNumberFormat="0" applyAlignment="0" applyProtection="0"/>
    <xf numFmtId="0" fontId="32" fillId="24" borderId="203" applyNumberFormat="0" applyAlignment="0" applyProtection="0"/>
    <xf numFmtId="0" fontId="32" fillId="24" borderId="203" applyNumberFormat="0" applyAlignment="0" applyProtection="0"/>
    <xf numFmtId="0" fontId="32" fillId="24" borderId="203" applyNumberFormat="0" applyAlignment="0" applyProtection="0"/>
    <xf numFmtId="0" fontId="32" fillId="24" borderId="203" applyNumberFormat="0" applyAlignment="0" applyProtection="0"/>
    <xf numFmtId="0" fontId="32" fillId="24" borderId="203" applyNumberFormat="0" applyAlignment="0" applyProtection="0"/>
    <xf numFmtId="0" fontId="32" fillId="24" borderId="203" applyNumberFormat="0" applyAlignment="0" applyProtection="0"/>
    <xf numFmtId="0" fontId="32" fillId="24" borderId="203" applyNumberFormat="0" applyAlignment="0" applyProtection="0"/>
    <xf numFmtId="0" fontId="32" fillId="24" borderId="203" applyNumberFormat="0" applyAlignment="0" applyProtection="0"/>
    <xf numFmtId="0" fontId="32" fillId="24" borderId="203" applyNumberFormat="0" applyAlignment="0" applyProtection="0"/>
    <xf numFmtId="0" fontId="32" fillId="24" borderId="203" applyNumberFormat="0" applyAlignment="0" applyProtection="0"/>
    <xf numFmtId="0" fontId="32" fillId="24" borderId="203" applyNumberFormat="0" applyAlignment="0" applyProtection="0"/>
    <xf numFmtId="0" fontId="32" fillId="24" borderId="203" applyNumberFormat="0" applyAlignment="0" applyProtection="0"/>
    <xf numFmtId="0" fontId="32" fillId="24" borderId="203" applyNumberFormat="0" applyAlignment="0" applyProtection="0"/>
    <xf numFmtId="0" fontId="32" fillId="24" borderId="203" applyNumberFormat="0" applyAlignment="0" applyProtection="0"/>
    <xf numFmtId="0" fontId="32" fillId="24" borderId="203" applyNumberFormat="0" applyAlignment="0" applyProtection="0"/>
    <xf numFmtId="0" fontId="32" fillId="24" borderId="203" applyNumberFormat="0" applyAlignment="0" applyProtection="0"/>
    <xf numFmtId="0" fontId="32" fillId="24" borderId="203" applyNumberFormat="0" applyAlignment="0" applyProtection="0"/>
    <xf numFmtId="0" fontId="32" fillId="24" borderId="203" applyNumberFormat="0" applyAlignment="0" applyProtection="0"/>
    <xf numFmtId="0" fontId="32" fillId="24" borderId="203" applyNumberFormat="0" applyAlignment="0" applyProtection="0"/>
    <xf numFmtId="0" fontId="32" fillId="24" borderId="203" applyNumberFormat="0" applyAlignment="0" applyProtection="0"/>
    <xf numFmtId="0" fontId="32" fillId="24" borderId="203" applyNumberFormat="0" applyAlignment="0" applyProtection="0"/>
    <xf numFmtId="0" fontId="32" fillId="24" borderId="203" applyNumberFormat="0" applyAlignment="0" applyProtection="0"/>
    <xf numFmtId="0" fontId="32" fillId="24" borderId="203" applyNumberFormat="0" applyAlignment="0" applyProtection="0"/>
    <xf numFmtId="0" fontId="32" fillId="24" borderId="203" applyNumberFormat="0" applyAlignment="0" applyProtection="0"/>
    <xf numFmtId="0" fontId="32" fillId="24" borderId="203" applyNumberFormat="0" applyAlignment="0" applyProtection="0"/>
    <xf numFmtId="0" fontId="32" fillId="24" borderId="203" applyNumberFormat="0" applyAlignment="0" applyProtection="0"/>
    <xf numFmtId="0" fontId="32" fillId="24" borderId="203" applyNumberFormat="0" applyAlignment="0" applyProtection="0"/>
    <xf numFmtId="0" fontId="32" fillId="24" borderId="203" applyNumberFormat="0" applyAlignment="0" applyProtection="0"/>
    <xf numFmtId="0" fontId="32" fillId="24" borderId="203" applyNumberFormat="0" applyAlignment="0" applyProtection="0"/>
    <xf numFmtId="0" fontId="32" fillId="24" borderId="203" applyNumberFormat="0" applyAlignment="0" applyProtection="0"/>
    <xf numFmtId="0" fontId="32" fillId="24" borderId="203" applyNumberFormat="0" applyAlignment="0" applyProtection="0"/>
    <xf numFmtId="0" fontId="32" fillId="24" borderId="203" applyNumberFormat="0" applyAlignment="0" applyProtection="0"/>
    <xf numFmtId="0" fontId="32" fillId="24" borderId="203" applyNumberFormat="0" applyAlignment="0" applyProtection="0"/>
    <xf numFmtId="0" fontId="32" fillId="24" borderId="203" applyNumberFormat="0" applyAlignment="0" applyProtection="0"/>
    <xf numFmtId="0" fontId="32" fillId="24" borderId="203" applyNumberFormat="0" applyAlignment="0" applyProtection="0"/>
    <xf numFmtId="0" fontId="16" fillId="24" borderId="203" applyNumberFormat="0" applyAlignment="0" applyProtection="0"/>
    <xf numFmtId="0" fontId="16" fillId="24" borderId="203" applyNumberFormat="0" applyAlignment="0" applyProtection="0"/>
    <xf numFmtId="0" fontId="16" fillId="24" borderId="203" applyNumberFormat="0" applyAlignment="0" applyProtection="0"/>
    <xf numFmtId="0" fontId="16" fillId="24" borderId="203" applyNumberFormat="0" applyAlignment="0" applyProtection="0"/>
    <xf numFmtId="0" fontId="16" fillId="24" borderId="203" applyNumberFormat="0" applyAlignment="0" applyProtection="0"/>
    <xf numFmtId="0" fontId="16" fillId="24" borderId="203" applyNumberFormat="0" applyAlignment="0" applyProtection="0"/>
    <xf numFmtId="0" fontId="16" fillId="24" borderId="203" applyNumberFormat="0" applyAlignment="0" applyProtection="0"/>
    <xf numFmtId="0" fontId="16" fillId="24" borderId="203" applyNumberFormat="0" applyAlignment="0" applyProtection="0"/>
    <xf numFmtId="0" fontId="16" fillId="24" borderId="203" applyNumberFormat="0" applyAlignment="0" applyProtection="0"/>
    <xf numFmtId="0" fontId="16" fillId="24" borderId="203" applyNumberFormat="0" applyAlignment="0" applyProtection="0"/>
    <xf numFmtId="0" fontId="16" fillId="24" borderId="203" applyNumberFormat="0" applyAlignment="0" applyProtection="0"/>
    <xf numFmtId="0" fontId="16" fillId="24" borderId="203" applyNumberFormat="0" applyAlignment="0" applyProtection="0"/>
    <xf numFmtId="0" fontId="16" fillId="24" borderId="203" applyNumberFormat="0" applyAlignment="0" applyProtection="0"/>
    <xf numFmtId="0" fontId="16" fillId="24" borderId="203" applyNumberFormat="0" applyAlignment="0" applyProtection="0"/>
    <xf numFmtId="0" fontId="16" fillId="24" borderId="203" applyNumberFormat="0" applyAlignment="0" applyProtection="0"/>
    <xf numFmtId="0" fontId="16" fillId="24" borderId="203" applyNumberFormat="0" applyAlignment="0" applyProtection="0"/>
    <xf numFmtId="0" fontId="16" fillId="24" borderId="203" applyNumberFormat="0" applyAlignment="0" applyProtection="0"/>
    <xf numFmtId="0" fontId="16" fillId="24" borderId="203" applyNumberFormat="0" applyAlignment="0" applyProtection="0"/>
    <xf numFmtId="0" fontId="16" fillId="24" borderId="203" applyNumberFormat="0" applyAlignment="0" applyProtection="0"/>
    <xf numFmtId="0" fontId="16" fillId="24" borderId="203" applyNumberFormat="0" applyAlignment="0" applyProtection="0"/>
    <xf numFmtId="0" fontId="16" fillId="24" borderId="203" applyNumberFormat="0" applyAlignment="0" applyProtection="0"/>
    <xf numFmtId="0" fontId="16" fillId="24" borderId="203" applyNumberFormat="0" applyAlignment="0" applyProtection="0"/>
    <xf numFmtId="0" fontId="16" fillId="24" borderId="203" applyNumberFormat="0" applyAlignment="0" applyProtection="0"/>
    <xf numFmtId="0" fontId="16" fillId="24" borderId="203" applyNumberFormat="0" applyAlignment="0" applyProtection="0"/>
    <xf numFmtId="0" fontId="16" fillId="24" borderId="203" applyNumberFormat="0" applyAlignment="0" applyProtection="0"/>
    <xf numFmtId="0" fontId="16" fillId="24" borderId="203" applyNumberFormat="0" applyAlignment="0" applyProtection="0"/>
    <xf numFmtId="0" fontId="16" fillId="24" borderId="203" applyNumberFormat="0" applyAlignment="0" applyProtection="0"/>
    <xf numFmtId="0" fontId="16" fillId="24" borderId="203" applyNumberFormat="0" applyAlignment="0" applyProtection="0"/>
    <xf numFmtId="0" fontId="16" fillId="24" borderId="203" applyNumberFormat="0" applyAlignment="0" applyProtection="0"/>
    <xf numFmtId="0" fontId="16" fillId="24" borderId="203" applyNumberFormat="0" applyAlignment="0" applyProtection="0"/>
    <xf numFmtId="0" fontId="16" fillId="24" borderId="203" applyNumberFormat="0" applyAlignment="0" applyProtection="0"/>
    <xf numFmtId="0" fontId="16" fillId="24" borderId="203" applyNumberFormat="0" applyAlignment="0" applyProtection="0"/>
    <xf numFmtId="0" fontId="16" fillId="24" borderId="203" applyNumberFormat="0" applyAlignment="0" applyProtection="0"/>
    <xf numFmtId="0" fontId="16" fillId="24" borderId="203" applyNumberFormat="0" applyAlignment="0" applyProtection="0"/>
    <xf numFmtId="0" fontId="16" fillId="24" borderId="203" applyNumberFormat="0" applyAlignment="0" applyProtection="0"/>
    <xf numFmtId="0" fontId="16" fillId="24" borderId="203" applyNumberFormat="0" applyAlignment="0" applyProtection="0"/>
    <xf numFmtId="0" fontId="16" fillId="24" borderId="203" applyNumberFormat="0" applyAlignment="0" applyProtection="0"/>
    <xf numFmtId="0" fontId="16" fillId="24" borderId="203" applyNumberFormat="0" applyAlignment="0" applyProtection="0"/>
    <xf numFmtId="0" fontId="16" fillId="24" borderId="203" applyNumberFormat="0" applyAlignment="0" applyProtection="0"/>
    <xf numFmtId="0" fontId="16" fillId="24" borderId="203" applyNumberFormat="0" applyAlignment="0" applyProtection="0"/>
    <xf numFmtId="0" fontId="16" fillId="24" borderId="203" applyNumberFormat="0" applyAlignment="0" applyProtection="0"/>
    <xf numFmtId="0" fontId="16" fillId="24" borderId="203" applyNumberFormat="0" applyAlignment="0" applyProtection="0"/>
    <xf numFmtId="0" fontId="16" fillId="24" borderId="203" applyNumberFormat="0" applyAlignment="0" applyProtection="0"/>
    <xf numFmtId="0" fontId="16" fillId="24" borderId="203" applyNumberFormat="0" applyAlignment="0" applyProtection="0"/>
    <xf numFmtId="0" fontId="16" fillId="24" borderId="203" applyNumberFormat="0" applyAlignment="0" applyProtection="0"/>
    <xf numFmtId="0" fontId="16" fillId="24" borderId="203" applyNumberFormat="0" applyAlignment="0" applyProtection="0"/>
    <xf numFmtId="0" fontId="16" fillId="24" borderId="203" applyNumberFormat="0" applyAlignment="0" applyProtection="0"/>
    <xf numFmtId="0" fontId="16" fillId="24" borderId="203" applyNumberFormat="0" applyAlignment="0" applyProtection="0"/>
    <xf numFmtId="0" fontId="16" fillId="24" borderId="203" applyNumberFormat="0" applyAlignment="0" applyProtection="0"/>
    <xf numFmtId="0" fontId="48" fillId="24" borderId="203" applyNumberFormat="0" applyAlignment="0" applyProtection="0"/>
    <xf numFmtId="0" fontId="48" fillId="24" borderId="203" applyNumberFormat="0" applyAlignment="0" applyProtection="0"/>
    <xf numFmtId="0" fontId="48" fillId="24" borderId="203" applyNumberFormat="0" applyAlignment="0" applyProtection="0"/>
    <xf numFmtId="0" fontId="48" fillId="24" borderId="203" applyNumberFormat="0" applyAlignment="0" applyProtection="0"/>
    <xf numFmtId="0" fontId="48" fillId="24" borderId="203" applyNumberFormat="0" applyAlignment="0" applyProtection="0"/>
    <xf numFmtId="0" fontId="48" fillId="24" borderId="203" applyNumberFormat="0" applyAlignment="0" applyProtection="0"/>
    <xf numFmtId="0" fontId="48" fillId="24" borderId="203" applyNumberFormat="0" applyAlignment="0" applyProtection="0"/>
    <xf numFmtId="0" fontId="48" fillId="24" borderId="203" applyNumberFormat="0" applyAlignment="0" applyProtection="0"/>
    <xf numFmtId="0" fontId="48" fillId="24" borderId="203" applyNumberFormat="0" applyAlignment="0" applyProtection="0"/>
    <xf numFmtId="0" fontId="48" fillId="24" borderId="203" applyNumberFormat="0" applyAlignment="0" applyProtection="0"/>
    <xf numFmtId="0" fontId="48" fillId="24" borderId="203" applyNumberFormat="0" applyAlignment="0" applyProtection="0"/>
    <xf numFmtId="0" fontId="48" fillId="24" borderId="203" applyNumberFormat="0" applyAlignment="0" applyProtection="0"/>
    <xf numFmtId="0" fontId="48" fillId="24" borderId="203" applyNumberFormat="0" applyAlignment="0" applyProtection="0"/>
    <xf numFmtId="0" fontId="48" fillId="24" borderId="203" applyNumberFormat="0" applyAlignment="0" applyProtection="0"/>
    <xf numFmtId="0" fontId="48" fillId="24" borderId="203" applyNumberFormat="0" applyAlignment="0" applyProtection="0"/>
    <xf numFmtId="0" fontId="48" fillId="24" borderId="203" applyNumberFormat="0" applyAlignment="0" applyProtection="0"/>
    <xf numFmtId="0" fontId="48" fillId="24" borderId="203" applyNumberFormat="0" applyAlignment="0" applyProtection="0"/>
    <xf numFmtId="0" fontId="48" fillId="24" borderId="203" applyNumberFormat="0" applyAlignment="0" applyProtection="0"/>
    <xf numFmtId="0" fontId="48" fillId="24" borderId="203" applyNumberFormat="0" applyAlignment="0" applyProtection="0"/>
    <xf numFmtId="0" fontId="48" fillId="24" borderId="203" applyNumberFormat="0" applyAlignment="0" applyProtection="0"/>
    <xf numFmtId="0" fontId="48" fillId="24" borderId="203" applyNumberFormat="0" applyAlignment="0" applyProtection="0"/>
    <xf numFmtId="0" fontId="48" fillId="24" borderId="203" applyNumberFormat="0" applyAlignment="0" applyProtection="0"/>
    <xf numFmtId="0" fontId="48" fillId="24" borderId="203" applyNumberFormat="0" applyAlignment="0" applyProtection="0"/>
    <xf numFmtId="0" fontId="48" fillId="24" borderId="203" applyNumberFormat="0" applyAlignment="0" applyProtection="0"/>
    <xf numFmtId="0" fontId="48" fillId="24" borderId="203" applyNumberFormat="0" applyAlignment="0" applyProtection="0"/>
    <xf numFmtId="0" fontId="48" fillId="24" borderId="203" applyNumberFormat="0" applyAlignment="0" applyProtection="0"/>
    <xf numFmtId="0" fontId="48" fillId="24" borderId="203" applyNumberFormat="0" applyAlignment="0" applyProtection="0"/>
    <xf numFmtId="0" fontId="48" fillId="24" borderId="203" applyNumberFormat="0" applyAlignment="0" applyProtection="0"/>
    <xf numFmtId="0" fontId="48" fillId="24" borderId="203" applyNumberFormat="0" applyAlignment="0" applyProtection="0"/>
    <xf numFmtId="0" fontId="48" fillId="24" borderId="203" applyNumberFormat="0" applyAlignment="0" applyProtection="0"/>
    <xf numFmtId="0" fontId="48" fillId="24" borderId="203" applyNumberFormat="0" applyAlignment="0" applyProtection="0"/>
    <xf numFmtId="0" fontId="48" fillId="24" borderId="203" applyNumberFormat="0" applyAlignment="0" applyProtection="0"/>
    <xf numFmtId="0" fontId="48" fillId="24" borderId="203" applyNumberFormat="0" applyAlignment="0" applyProtection="0"/>
    <xf numFmtId="0" fontId="48" fillId="24" borderId="203" applyNumberFormat="0" applyAlignment="0" applyProtection="0"/>
    <xf numFmtId="0" fontId="48" fillId="24" borderId="203" applyNumberFormat="0" applyAlignment="0" applyProtection="0"/>
    <xf numFmtId="0" fontId="48" fillId="24" borderId="203" applyNumberFormat="0" applyAlignment="0" applyProtection="0"/>
    <xf numFmtId="0" fontId="48" fillId="24" borderId="203" applyNumberFormat="0" applyAlignment="0" applyProtection="0"/>
    <xf numFmtId="0" fontId="48" fillId="24" borderId="203" applyNumberFormat="0" applyAlignment="0" applyProtection="0"/>
    <xf numFmtId="0" fontId="48" fillId="24" borderId="203" applyNumberFormat="0" applyAlignment="0" applyProtection="0"/>
    <xf numFmtId="0" fontId="48" fillId="24" borderId="203" applyNumberFormat="0" applyAlignment="0" applyProtection="0"/>
    <xf numFmtId="0" fontId="48" fillId="24" borderId="203" applyNumberFormat="0" applyAlignment="0" applyProtection="0"/>
    <xf numFmtId="0" fontId="48" fillId="24" borderId="203" applyNumberFormat="0" applyAlignment="0" applyProtection="0"/>
    <xf numFmtId="0" fontId="48" fillId="24" borderId="203" applyNumberFormat="0" applyAlignment="0" applyProtection="0"/>
    <xf numFmtId="0" fontId="48" fillId="24" borderId="203" applyNumberFormat="0" applyAlignment="0" applyProtection="0"/>
    <xf numFmtId="0" fontId="48" fillId="24" borderId="203" applyNumberFormat="0" applyAlignment="0" applyProtection="0"/>
    <xf numFmtId="0" fontId="48" fillId="24" borderId="203" applyNumberFormat="0" applyAlignment="0" applyProtection="0"/>
    <xf numFmtId="0" fontId="48" fillId="24" borderId="203" applyNumberFormat="0" applyAlignment="0" applyProtection="0"/>
    <xf numFmtId="0" fontId="48" fillId="24" borderId="203" applyNumberFormat="0" applyAlignment="0" applyProtection="0"/>
    <xf numFmtId="0" fontId="48" fillId="12" borderId="203" applyNumberFormat="0" applyAlignment="0" applyProtection="0"/>
    <xf numFmtId="0" fontId="48" fillId="12" borderId="203" applyNumberFormat="0" applyAlignment="0" applyProtection="0"/>
    <xf numFmtId="0" fontId="48" fillId="12" borderId="203" applyNumberFormat="0" applyAlignment="0" applyProtection="0"/>
    <xf numFmtId="0" fontId="48" fillId="12" borderId="203" applyNumberFormat="0" applyAlignment="0" applyProtection="0"/>
    <xf numFmtId="0" fontId="48" fillId="12" borderId="203" applyNumberFormat="0" applyAlignment="0" applyProtection="0"/>
    <xf numFmtId="0" fontId="48" fillId="12" borderId="203" applyNumberFormat="0" applyAlignment="0" applyProtection="0"/>
    <xf numFmtId="0" fontId="48" fillId="12" borderId="203" applyNumberFormat="0" applyAlignment="0" applyProtection="0"/>
    <xf numFmtId="0" fontId="48" fillId="12" borderId="203" applyNumberFormat="0" applyAlignment="0" applyProtection="0"/>
    <xf numFmtId="0" fontId="48" fillId="12" borderId="203" applyNumberFormat="0" applyAlignment="0" applyProtection="0"/>
    <xf numFmtId="0" fontId="48" fillId="12" borderId="203" applyNumberFormat="0" applyAlignment="0" applyProtection="0"/>
    <xf numFmtId="0" fontId="48" fillId="12" borderId="203" applyNumberFormat="0" applyAlignment="0" applyProtection="0"/>
    <xf numFmtId="0" fontId="48" fillId="12" borderId="203" applyNumberFormat="0" applyAlignment="0" applyProtection="0"/>
    <xf numFmtId="0" fontId="48" fillId="12" borderId="203" applyNumberFormat="0" applyAlignment="0" applyProtection="0"/>
    <xf numFmtId="0" fontId="48" fillId="12" borderId="203" applyNumberFormat="0" applyAlignment="0" applyProtection="0"/>
    <xf numFmtId="0" fontId="48" fillId="12" borderId="203" applyNumberFormat="0" applyAlignment="0" applyProtection="0"/>
    <xf numFmtId="0" fontId="48" fillId="12" borderId="203" applyNumberFormat="0" applyAlignment="0" applyProtection="0"/>
    <xf numFmtId="0" fontId="48" fillId="12" borderId="203" applyNumberFormat="0" applyAlignment="0" applyProtection="0"/>
    <xf numFmtId="0" fontId="48" fillId="12" borderId="203" applyNumberFormat="0" applyAlignment="0" applyProtection="0"/>
    <xf numFmtId="0" fontId="48" fillId="12" borderId="203" applyNumberFormat="0" applyAlignment="0" applyProtection="0"/>
    <xf numFmtId="0" fontId="48" fillId="12" borderId="203" applyNumberFormat="0" applyAlignment="0" applyProtection="0"/>
    <xf numFmtId="0" fontId="48" fillId="12" borderId="203" applyNumberFormat="0" applyAlignment="0" applyProtection="0"/>
    <xf numFmtId="0" fontId="48" fillId="12" borderId="203" applyNumberFormat="0" applyAlignment="0" applyProtection="0"/>
    <xf numFmtId="0" fontId="48" fillId="12" borderId="203" applyNumberFormat="0" applyAlignment="0" applyProtection="0"/>
    <xf numFmtId="0" fontId="48" fillId="12" borderId="203" applyNumberFormat="0" applyAlignment="0" applyProtection="0"/>
    <xf numFmtId="0" fontId="48" fillId="12" borderId="203" applyNumberFormat="0" applyAlignment="0" applyProtection="0"/>
    <xf numFmtId="0" fontId="48" fillId="12" borderId="203" applyNumberFormat="0" applyAlignment="0" applyProtection="0"/>
    <xf numFmtId="0" fontId="48" fillId="12" borderId="203" applyNumberFormat="0" applyAlignment="0" applyProtection="0"/>
    <xf numFmtId="0" fontId="48" fillId="12" borderId="203" applyNumberFormat="0" applyAlignment="0" applyProtection="0"/>
    <xf numFmtId="0" fontId="48" fillId="12" borderId="203" applyNumberFormat="0" applyAlignment="0" applyProtection="0"/>
    <xf numFmtId="0" fontId="48" fillId="12" borderId="203" applyNumberFormat="0" applyAlignment="0" applyProtection="0"/>
    <xf numFmtId="0" fontId="48" fillId="12" borderId="203" applyNumberFormat="0" applyAlignment="0" applyProtection="0"/>
    <xf numFmtId="0" fontId="48" fillId="12" borderId="203" applyNumberFormat="0" applyAlignment="0" applyProtection="0"/>
    <xf numFmtId="0" fontId="48" fillId="12" borderId="203" applyNumberFormat="0" applyAlignment="0" applyProtection="0"/>
    <xf numFmtId="0" fontId="48" fillId="12" borderId="203" applyNumberFormat="0" applyAlignment="0" applyProtection="0"/>
    <xf numFmtId="0" fontId="48" fillId="12" borderId="203" applyNumberFormat="0" applyAlignment="0" applyProtection="0"/>
    <xf numFmtId="0" fontId="48" fillId="12" borderId="203" applyNumberFormat="0" applyAlignment="0" applyProtection="0"/>
    <xf numFmtId="0" fontId="48" fillId="12" borderId="203" applyNumberFormat="0" applyAlignment="0" applyProtection="0"/>
    <xf numFmtId="0" fontId="48" fillId="12" borderId="203" applyNumberFormat="0" applyAlignment="0" applyProtection="0"/>
    <xf numFmtId="0" fontId="48" fillId="12" borderId="203" applyNumberFormat="0" applyAlignment="0" applyProtection="0"/>
    <xf numFmtId="0" fontId="48" fillId="12" borderId="203" applyNumberFormat="0" applyAlignment="0" applyProtection="0"/>
    <xf numFmtId="0" fontId="48" fillId="12" borderId="203" applyNumberFormat="0" applyAlignment="0" applyProtection="0"/>
    <xf numFmtId="0" fontId="48" fillId="12" borderId="203" applyNumberFormat="0" applyAlignment="0" applyProtection="0"/>
    <xf numFmtId="0" fontId="48" fillId="12" borderId="203" applyNumberFormat="0" applyAlignment="0" applyProtection="0"/>
    <xf numFmtId="0" fontId="48" fillId="12" borderId="203" applyNumberFormat="0" applyAlignment="0" applyProtection="0"/>
    <xf numFmtId="0" fontId="48" fillId="12" borderId="203" applyNumberFormat="0" applyAlignment="0" applyProtection="0"/>
    <xf numFmtId="0" fontId="48" fillId="12" borderId="203" applyNumberFormat="0" applyAlignment="0" applyProtection="0"/>
    <xf numFmtId="0" fontId="48" fillId="12" borderId="203" applyNumberFormat="0" applyAlignment="0" applyProtection="0"/>
    <xf numFmtId="0" fontId="48" fillId="12" borderId="203" applyNumberFormat="0" applyAlignment="0" applyProtection="0"/>
    <xf numFmtId="0" fontId="48" fillId="12" borderId="203" applyNumberFormat="0" applyAlignment="0" applyProtection="0"/>
    <xf numFmtId="0" fontId="48" fillId="12" borderId="203" applyNumberFormat="0" applyAlignment="0" applyProtection="0"/>
    <xf numFmtId="0" fontId="48" fillId="12" borderId="203" applyNumberFormat="0" applyAlignment="0" applyProtection="0"/>
    <xf numFmtId="0" fontId="48" fillId="12" borderId="203" applyNumberFormat="0" applyAlignment="0" applyProtection="0"/>
    <xf numFmtId="0" fontId="48" fillId="12" borderId="203" applyNumberFormat="0" applyAlignment="0" applyProtection="0"/>
    <xf numFmtId="0" fontId="48" fillId="12" borderId="203" applyNumberFormat="0" applyAlignment="0" applyProtection="0"/>
    <xf numFmtId="0" fontId="48" fillId="12" borderId="203" applyNumberFormat="0" applyAlignment="0" applyProtection="0"/>
    <xf numFmtId="0" fontId="48" fillId="12" borderId="203" applyNumberFormat="0" applyAlignment="0" applyProtection="0"/>
    <xf numFmtId="0" fontId="48" fillId="12" borderId="203" applyNumberFormat="0" applyAlignment="0" applyProtection="0"/>
    <xf numFmtId="0" fontId="48" fillId="12" borderId="203" applyNumberFormat="0" applyAlignment="0" applyProtection="0"/>
    <xf numFmtId="0" fontId="48" fillId="12" borderId="203" applyNumberFormat="0" applyAlignment="0" applyProtection="0"/>
    <xf numFmtId="0" fontId="48" fillId="12" borderId="203" applyNumberFormat="0" applyAlignment="0" applyProtection="0"/>
    <xf numFmtId="0" fontId="48" fillId="12" borderId="203" applyNumberFormat="0" applyAlignment="0" applyProtection="0"/>
    <xf numFmtId="0" fontId="48" fillId="12" borderId="203" applyNumberFormat="0" applyAlignment="0" applyProtection="0"/>
    <xf numFmtId="0" fontId="48" fillId="12" borderId="203" applyNumberFormat="0" applyAlignment="0" applyProtection="0"/>
    <xf numFmtId="0" fontId="48" fillId="12" borderId="203" applyNumberFormat="0" applyAlignment="0" applyProtection="0"/>
    <xf numFmtId="0" fontId="48" fillId="12" borderId="203" applyNumberFormat="0" applyAlignment="0" applyProtection="0"/>
    <xf numFmtId="0" fontId="48" fillId="12" borderId="203" applyNumberFormat="0" applyAlignment="0" applyProtection="0"/>
    <xf numFmtId="0" fontId="48" fillId="12" borderId="203" applyNumberFormat="0" applyAlignment="0" applyProtection="0"/>
    <xf numFmtId="0" fontId="48" fillId="12" borderId="203" applyNumberFormat="0" applyAlignment="0" applyProtection="0"/>
    <xf numFmtId="0" fontId="48" fillId="12" borderId="203" applyNumberFormat="0" applyAlignment="0" applyProtection="0"/>
    <xf numFmtId="0" fontId="48" fillId="12" borderId="203" applyNumberFormat="0" applyAlignment="0" applyProtection="0"/>
    <xf numFmtId="0" fontId="48" fillId="12" borderId="203" applyNumberFormat="0" applyAlignment="0" applyProtection="0"/>
    <xf numFmtId="0" fontId="48" fillId="12" borderId="203" applyNumberFormat="0" applyAlignment="0" applyProtection="0"/>
    <xf numFmtId="0" fontId="48" fillId="12" borderId="203" applyNumberFormat="0" applyAlignment="0" applyProtection="0"/>
    <xf numFmtId="0" fontId="48" fillId="12" borderId="203" applyNumberFormat="0" applyAlignment="0" applyProtection="0"/>
    <xf numFmtId="0" fontId="48" fillId="12" borderId="203" applyNumberFormat="0" applyAlignment="0" applyProtection="0"/>
    <xf numFmtId="0" fontId="48" fillId="12" borderId="203" applyNumberFormat="0" applyAlignment="0" applyProtection="0"/>
    <xf numFmtId="0" fontId="48" fillId="12" borderId="203" applyNumberFormat="0" applyAlignment="0" applyProtection="0"/>
    <xf numFmtId="0" fontId="16" fillId="24" borderId="203" applyNumberFormat="0" applyAlignment="0" applyProtection="0"/>
    <xf numFmtId="0" fontId="16" fillId="24" borderId="203" applyNumberFormat="0" applyAlignment="0" applyProtection="0"/>
    <xf numFmtId="0" fontId="16" fillId="24" borderId="203" applyNumberFormat="0" applyAlignment="0" applyProtection="0"/>
    <xf numFmtId="0" fontId="16" fillId="24" borderId="203" applyNumberFormat="0" applyAlignment="0" applyProtection="0"/>
    <xf numFmtId="0" fontId="16" fillId="24" borderId="203" applyNumberFormat="0" applyAlignment="0" applyProtection="0"/>
    <xf numFmtId="0" fontId="16" fillId="24" borderId="203" applyNumberFormat="0" applyAlignment="0" applyProtection="0"/>
    <xf numFmtId="0" fontId="16" fillId="24" borderId="203" applyNumberFormat="0" applyAlignment="0" applyProtection="0"/>
    <xf numFmtId="0" fontId="16" fillId="24" borderId="203" applyNumberFormat="0" applyAlignment="0" applyProtection="0"/>
    <xf numFmtId="0" fontId="16" fillId="24" borderId="203" applyNumberFormat="0" applyAlignment="0" applyProtection="0"/>
    <xf numFmtId="0" fontId="16" fillId="24" borderId="203" applyNumberFormat="0" applyAlignment="0" applyProtection="0"/>
    <xf numFmtId="0" fontId="16" fillId="24" borderId="203" applyNumberFormat="0" applyAlignment="0" applyProtection="0"/>
    <xf numFmtId="0" fontId="16" fillId="24" borderId="203" applyNumberFormat="0" applyAlignment="0" applyProtection="0"/>
    <xf numFmtId="0" fontId="16" fillId="24" borderId="203" applyNumberFormat="0" applyAlignment="0" applyProtection="0"/>
    <xf numFmtId="0" fontId="16" fillId="24" borderId="203" applyNumberFormat="0" applyAlignment="0" applyProtection="0"/>
    <xf numFmtId="0" fontId="16" fillId="24" borderId="203" applyNumberFormat="0" applyAlignment="0" applyProtection="0"/>
    <xf numFmtId="0" fontId="16" fillId="24" borderId="203" applyNumberFormat="0" applyAlignment="0" applyProtection="0"/>
    <xf numFmtId="0" fontId="16" fillId="24" borderId="203" applyNumberFormat="0" applyAlignment="0" applyProtection="0"/>
    <xf numFmtId="0" fontId="16" fillId="24" borderId="203" applyNumberFormat="0" applyAlignment="0" applyProtection="0"/>
    <xf numFmtId="0" fontId="16" fillId="24" borderId="203" applyNumberFormat="0" applyAlignment="0" applyProtection="0"/>
    <xf numFmtId="0" fontId="16" fillId="24" borderId="203" applyNumberFormat="0" applyAlignment="0" applyProtection="0"/>
    <xf numFmtId="0" fontId="16" fillId="24" borderId="203" applyNumberFormat="0" applyAlignment="0" applyProtection="0"/>
    <xf numFmtId="0" fontId="16" fillId="24" borderId="203" applyNumberFormat="0" applyAlignment="0" applyProtection="0"/>
    <xf numFmtId="0" fontId="16" fillId="24" borderId="203" applyNumberFormat="0" applyAlignment="0" applyProtection="0"/>
    <xf numFmtId="0" fontId="16" fillId="24" borderId="203" applyNumberFormat="0" applyAlignment="0" applyProtection="0"/>
    <xf numFmtId="0" fontId="16" fillId="24" borderId="203" applyNumberFormat="0" applyAlignment="0" applyProtection="0"/>
    <xf numFmtId="0" fontId="16" fillId="24" borderId="203" applyNumberFormat="0" applyAlignment="0" applyProtection="0"/>
    <xf numFmtId="0" fontId="16" fillId="24" borderId="203" applyNumberFormat="0" applyAlignment="0" applyProtection="0"/>
    <xf numFmtId="0" fontId="16" fillId="24" borderId="203" applyNumberFormat="0" applyAlignment="0" applyProtection="0"/>
    <xf numFmtId="0" fontId="16" fillId="24" borderId="203" applyNumberFormat="0" applyAlignment="0" applyProtection="0"/>
    <xf numFmtId="0" fontId="16" fillId="24" borderId="203" applyNumberFormat="0" applyAlignment="0" applyProtection="0"/>
    <xf numFmtId="0" fontId="16" fillId="24" borderId="203" applyNumberFormat="0" applyAlignment="0" applyProtection="0"/>
    <xf numFmtId="0" fontId="16" fillId="24" borderId="203" applyNumberFormat="0" applyAlignment="0" applyProtection="0"/>
    <xf numFmtId="0" fontId="16" fillId="24" borderId="203" applyNumberFormat="0" applyAlignment="0" applyProtection="0"/>
    <xf numFmtId="0" fontId="16" fillId="24" borderId="203" applyNumberFormat="0" applyAlignment="0" applyProtection="0"/>
    <xf numFmtId="0" fontId="16" fillId="24" borderId="203" applyNumberFormat="0" applyAlignment="0" applyProtection="0"/>
    <xf numFmtId="0" fontId="16" fillId="24" borderId="203" applyNumberFormat="0" applyAlignment="0" applyProtection="0"/>
    <xf numFmtId="0" fontId="16" fillId="24" borderId="203" applyNumberFormat="0" applyAlignment="0" applyProtection="0"/>
    <xf numFmtId="0" fontId="16" fillId="24" borderId="203" applyNumberFormat="0" applyAlignment="0" applyProtection="0"/>
    <xf numFmtId="0" fontId="16" fillId="24" borderId="203" applyNumberFormat="0" applyAlignment="0" applyProtection="0"/>
    <xf numFmtId="0" fontId="16" fillId="24" borderId="203" applyNumberFormat="0" applyAlignment="0" applyProtection="0"/>
    <xf numFmtId="0" fontId="16" fillId="24" borderId="203" applyNumberFormat="0" applyAlignment="0" applyProtection="0"/>
    <xf numFmtId="0" fontId="16" fillId="24" borderId="203" applyNumberFormat="0" applyAlignment="0" applyProtection="0"/>
    <xf numFmtId="0" fontId="16" fillId="24" borderId="203" applyNumberFormat="0" applyAlignment="0" applyProtection="0"/>
    <xf numFmtId="0" fontId="16" fillId="24" borderId="203" applyNumberFormat="0" applyAlignment="0" applyProtection="0"/>
    <xf numFmtId="0" fontId="16" fillId="24" borderId="203" applyNumberFormat="0" applyAlignment="0" applyProtection="0"/>
    <xf numFmtId="0" fontId="16" fillId="24" borderId="203" applyNumberFormat="0" applyAlignment="0" applyProtection="0"/>
    <xf numFmtId="0" fontId="16" fillId="24" borderId="203" applyNumberFormat="0" applyAlignment="0" applyProtection="0"/>
    <xf numFmtId="0" fontId="16" fillId="24" borderId="203" applyNumberFormat="0" applyAlignment="0" applyProtection="0"/>
    <xf numFmtId="0" fontId="16" fillId="24" borderId="203" applyNumberFormat="0" applyAlignment="0" applyProtection="0"/>
    <xf numFmtId="0" fontId="48" fillId="12" borderId="203" applyNumberFormat="0" applyAlignment="0" applyProtection="0"/>
    <xf numFmtId="0" fontId="48" fillId="12" borderId="203" applyNumberFormat="0" applyAlignment="0" applyProtection="0"/>
    <xf numFmtId="0" fontId="48" fillId="12" borderId="203" applyNumberFormat="0" applyAlignment="0" applyProtection="0"/>
    <xf numFmtId="0" fontId="48" fillId="12" borderId="203" applyNumberFormat="0" applyAlignment="0" applyProtection="0"/>
    <xf numFmtId="0" fontId="48" fillId="12" borderId="203" applyNumberFormat="0" applyAlignment="0" applyProtection="0"/>
    <xf numFmtId="0" fontId="48" fillId="12" borderId="203" applyNumberFormat="0" applyAlignment="0" applyProtection="0"/>
    <xf numFmtId="0" fontId="48" fillId="12" borderId="203" applyNumberFormat="0" applyAlignment="0" applyProtection="0"/>
    <xf numFmtId="0" fontId="48" fillId="12" borderId="203" applyNumberFormat="0" applyAlignment="0" applyProtection="0"/>
    <xf numFmtId="0" fontId="48" fillId="12" borderId="203" applyNumberFormat="0" applyAlignment="0" applyProtection="0"/>
    <xf numFmtId="0" fontId="48" fillId="12" borderId="203" applyNumberFormat="0" applyAlignment="0" applyProtection="0"/>
    <xf numFmtId="0" fontId="48" fillId="12" borderId="203" applyNumberFormat="0" applyAlignment="0" applyProtection="0"/>
    <xf numFmtId="0" fontId="48" fillId="12" borderId="203" applyNumberFormat="0" applyAlignment="0" applyProtection="0"/>
    <xf numFmtId="0" fontId="48" fillId="12" borderId="203" applyNumberFormat="0" applyAlignment="0" applyProtection="0"/>
    <xf numFmtId="0" fontId="48" fillId="12" borderId="203" applyNumberFormat="0" applyAlignment="0" applyProtection="0"/>
    <xf numFmtId="0" fontId="48" fillId="12" borderId="203" applyNumberFormat="0" applyAlignment="0" applyProtection="0"/>
    <xf numFmtId="0" fontId="48" fillId="12" borderId="203" applyNumberFormat="0" applyAlignment="0" applyProtection="0"/>
    <xf numFmtId="0" fontId="48" fillId="12" borderId="203" applyNumberFormat="0" applyAlignment="0" applyProtection="0"/>
    <xf numFmtId="0" fontId="48" fillId="12" borderId="203" applyNumberFormat="0" applyAlignment="0" applyProtection="0"/>
    <xf numFmtId="0" fontId="48" fillId="12" borderId="203" applyNumberFormat="0" applyAlignment="0" applyProtection="0"/>
    <xf numFmtId="0" fontId="48" fillId="12" borderId="203" applyNumberFormat="0" applyAlignment="0" applyProtection="0"/>
    <xf numFmtId="0" fontId="48" fillId="12" borderId="203" applyNumberFormat="0" applyAlignment="0" applyProtection="0"/>
    <xf numFmtId="0" fontId="48" fillId="12" borderId="203" applyNumberFormat="0" applyAlignment="0" applyProtection="0"/>
    <xf numFmtId="0" fontId="48" fillId="12" borderId="203" applyNumberFormat="0" applyAlignment="0" applyProtection="0"/>
    <xf numFmtId="0" fontId="48" fillId="12" borderId="203" applyNumberFormat="0" applyAlignment="0" applyProtection="0"/>
    <xf numFmtId="0" fontId="48" fillId="12" borderId="203" applyNumberFormat="0" applyAlignment="0" applyProtection="0"/>
    <xf numFmtId="0" fontId="48" fillId="12" borderId="203" applyNumberFormat="0" applyAlignment="0" applyProtection="0"/>
    <xf numFmtId="0" fontId="48" fillId="12" borderId="203" applyNumberFormat="0" applyAlignment="0" applyProtection="0"/>
    <xf numFmtId="0" fontId="48" fillId="12" borderId="203" applyNumberFormat="0" applyAlignment="0" applyProtection="0"/>
    <xf numFmtId="0" fontId="48" fillId="12" borderId="203" applyNumberFormat="0" applyAlignment="0" applyProtection="0"/>
    <xf numFmtId="0" fontId="48" fillId="12" borderId="203" applyNumberFormat="0" applyAlignment="0" applyProtection="0"/>
    <xf numFmtId="0" fontId="48" fillId="12" borderId="203" applyNumberFormat="0" applyAlignment="0" applyProtection="0"/>
    <xf numFmtId="0" fontId="48" fillId="12" borderId="203" applyNumberFormat="0" applyAlignment="0" applyProtection="0"/>
    <xf numFmtId="0" fontId="48" fillId="12" borderId="203" applyNumberFormat="0" applyAlignment="0" applyProtection="0"/>
    <xf numFmtId="0" fontId="48" fillId="12" borderId="203" applyNumberFormat="0" applyAlignment="0" applyProtection="0"/>
    <xf numFmtId="0" fontId="48" fillId="12" borderId="203" applyNumberFormat="0" applyAlignment="0" applyProtection="0"/>
    <xf numFmtId="0" fontId="48" fillId="12" borderId="203" applyNumberFormat="0" applyAlignment="0" applyProtection="0"/>
    <xf numFmtId="0" fontId="48" fillId="12" borderId="203" applyNumberFormat="0" applyAlignment="0" applyProtection="0"/>
    <xf numFmtId="0" fontId="48" fillId="12" borderId="203" applyNumberFormat="0" applyAlignment="0" applyProtection="0"/>
    <xf numFmtId="0" fontId="48" fillId="12" borderId="203" applyNumberFormat="0" applyAlignment="0" applyProtection="0"/>
    <xf numFmtId="0" fontId="48" fillId="12" borderId="203" applyNumberFormat="0" applyAlignment="0" applyProtection="0"/>
    <xf numFmtId="0" fontId="48" fillId="12" borderId="203" applyNumberFormat="0" applyAlignment="0" applyProtection="0"/>
    <xf numFmtId="0" fontId="48" fillId="12" borderId="203" applyNumberFormat="0" applyAlignment="0" applyProtection="0"/>
    <xf numFmtId="0" fontId="48" fillId="12" borderId="203" applyNumberFormat="0" applyAlignment="0" applyProtection="0"/>
    <xf numFmtId="0" fontId="48" fillId="12" borderId="203" applyNumberFormat="0" applyAlignment="0" applyProtection="0"/>
    <xf numFmtId="0" fontId="48" fillId="12" borderId="203" applyNumberFormat="0" applyAlignment="0" applyProtection="0"/>
    <xf numFmtId="0" fontId="48" fillId="12" borderId="203" applyNumberFormat="0" applyAlignment="0" applyProtection="0"/>
    <xf numFmtId="0" fontId="48" fillId="12" borderId="203" applyNumberFormat="0" applyAlignment="0" applyProtection="0"/>
    <xf numFmtId="0" fontId="48" fillId="12" borderId="203" applyNumberFormat="0" applyAlignment="0" applyProtection="0"/>
    <xf numFmtId="0" fontId="48" fillId="12" borderId="203" applyNumberFormat="0" applyAlignment="0" applyProtection="0"/>
    <xf numFmtId="0" fontId="48" fillId="12" borderId="203" applyNumberFormat="0" applyAlignment="0" applyProtection="0"/>
    <xf numFmtId="0" fontId="48" fillId="12" borderId="203" applyNumberFormat="0" applyAlignment="0" applyProtection="0"/>
    <xf numFmtId="0" fontId="48" fillId="12" borderId="203" applyNumberFormat="0" applyAlignment="0" applyProtection="0"/>
    <xf numFmtId="0" fontId="48" fillId="12" borderId="203" applyNumberFormat="0" applyAlignment="0" applyProtection="0"/>
    <xf numFmtId="0" fontId="48" fillId="12" borderId="203" applyNumberFormat="0" applyAlignment="0" applyProtection="0"/>
    <xf numFmtId="0" fontId="48" fillId="12" borderId="203" applyNumberFormat="0" applyAlignment="0" applyProtection="0"/>
    <xf numFmtId="0" fontId="48" fillId="12" borderId="203" applyNumberFormat="0" applyAlignment="0" applyProtection="0"/>
    <xf numFmtId="0" fontId="48" fillId="12" borderId="203" applyNumberFormat="0" applyAlignment="0" applyProtection="0"/>
    <xf numFmtId="0" fontId="48" fillId="12" borderId="203" applyNumberFormat="0" applyAlignment="0" applyProtection="0"/>
    <xf numFmtId="0" fontId="48" fillId="12" borderId="203" applyNumberFormat="0" applyAlignment="0" applyProtection="0"/>
    <xf numFmtId="0" fontId="48" fillId="12" borderId="203" applyNumberFormat="0" applyAlignment="0" applyProtection="0"/>
    <xf numFmtId="0" fontId="48" fillId="12" borderId="203" applyNumberFormat="0" applyAlignment="0" applyProtection="0"/>
    <xf numFmtId="0" fontId="48" fillId="12" borderId="203" applyNumberFormat="0" applyAlignment="0" applyProtection="0"/>
    <xf numFmtId="0" fontId="48" fillId="12" borderId="203" applyNumberFormat="0" applyAlignment="0" applyProtection="0"/>
    <xf numFmtId="0" fontId="48" fillId="12" borderId="203" applyNumberFormat="0" applyAlignment="0" applyProtection="0"/>
    <xf numFmtId="0" fontId="48" fillId="12" borderId="203" applyNumberFormat="0" applyAlignment="0" applyProtection="0"/>
    <xf numFmtId="0" fontId="48" fillId="12" borderId="203" applyNumberFormat="0" applyAlignment="0" applyProtection="0"/>
    <xf numFmtId="0" fontId="48" fillId="12" borderId="203" applyNumberFormat="0" applyAlignment="0" applyProtection="0"/>
    <xf numFmtId="0" fontId="48" fillId="12" borderId="203" applyNumberFormat="0" applyAlignment="0" applyProtection="0"/>
    <xf numFmtId="0" fontId="48" fillId="12" borderId="203" applyNumberFormat="0" applyAlignment="0" applyProtection="0"/>
    <xf numFmtId="0" fontId="48" fillId="12" borderId="203" applyNumberFormat="0" applyAlignment="0" applyProtection="0"/>
    <xf numFmtId="0" fontId="48" fillId="12" borderId="203" applyNumberFormat="0" applyAlignment="0" applyProtection="0"/>
    <xf numFmtId="0" fontId="48" fillId="12" borderId="203" applyNumberFormat="0" applyAlignment="0" applyProtection="0"/>
    <xf numFmtId="0" fontId="48" fillId="12" borderId="203" applyNumberFormat="0" applyAlignment="0" applyProtection="0"/>
    <xf numFmtId="0" fontId="48" fillId="12" borderId="203" applyNumberFormat="0" applyAlignment="0" applyProtection="0"/>
    <xf numFmtId="0" fontId="48" fillId="12" borderId="203" applyNumberFormat="0" applyAlignment="0" applyProtection="0"/>
    <xf numFmtId="0" fontId="48" fillId="12" borderId="203" applyNumberFormat="0" applyAlignment="0" applyProtection="0"/>
    <xf numFmtId="0" fontId="48" fillId="12" borderId="203" applyNumberFormat="0" applyAlignment="0" applyProtection="0"/>
    <xf numFmtId="0" fontId="16" fillId="24" borderId="203" applyNumberFormat="0" applyAlignment="0" applyProtection="0"/>
    <xf numFmtId="0" fontId="16" fillId="24" borderId="203" applyNumberFormat="0" applyAlignment="0" applyProtection="0"/>
    <xf numFmtId="0" fontId="16" fillId="24" borderId="203" applyNumberFormat="0" applyAlignment="0" applyProtection="0"/>
    <xf numFmtId="0" fontId="16" fillId="24" borderId="203" applyNumberFormat="0" applyAlignment="0" applyProtection="0"/>
    <xf numFmtId="0" fontId="16" fillId="24" borderId="203" applyNumberFormat="0" applyAlignment="0" applyProtection="0"/>
    <xf numFmtId="0" fontId="16" fillId="24" borderId="203" applyNumberFormat="0" applyAlignment="0" applyProtection="0"/>
    <xf numFmtId="0" fontId="16" fillId="24" borderId="203" applyNumberFormat="0" applyAlignment="0" applyProtection="0"/>
    <xf numFmtId="0" fontId="16" fillId="24" borderId="203" applyNumberFormat="0" applyAlignment="0" applyProtection="0"/>
    <xf numFmtId="0" fontId="16" fillId="24" borderId="203" applyNumberFormat="0" applyAlignment="0" applyProtection="0"/>
    <xf numFmtId="0" fontId="16" fillId="24" borderId="203" applyNumberFormat="0" applyAlignment="0" applyProtection="0"/>
    <xf numFmtId="0" fontId="16" fillId="24" borderId="203" applyNumberFormat="0" applyAlignment="0" applyProtection="0"/>
    <xf numFmtId="0" fontId="16" fillId="24" borderId="203" applyNumberFormat="0" applyAlignment="0" applyProtection="0"/>
    <xf numFmtId="0" fontId="16" fillId="24" borderId="203" applyNumberFormat="0" applyAlignment="0" applyProtection="0"/>
    <xf numFmtId="0" fontId="16" fillId="24" borderId="203" applyNumberFormat="0" applyAlignment="0" applyProtection="0"/>
    <xf numFmtId="0" fontId="16" fillId="24" borderId="203" applyNumberFormat="0" applyAlignment="0" applyProtection="0"/>
    <xf numFmtId="0" fontId="16" fillId="24" borderId="203" applyNumberFormat="0" applyAlignment="0" applyProtection="0"/>
    <xf numFmtId="0" fontId="16" fillId="24" borderId="203" applyNumberFormat="0" applyAlignment="0" applyProtection="0"/>
    <xf numFmtId="0" fontId="16" fillId="24" borderId="203" applyNumberFormat="0" applyAlignment="0" applyProtection="0"/>
    <xf numFmtId="0" fontId="16" fillId="24" borderId="203" applyNumberFormat="0" applyAlignment="0" applyProtection="0"/>
    <xf numFmtId="0" fontId="16" fillId="24" borderId="203" applyNumberFormat="0" applyAlignment="0" applyProtection="0"/>
    <xf numFmtId="0" fontId="16" fillId="24" borderId="203" applyNumberFormat="0" applyAlignment="0" applyProtection="0"/>
    <xf numFmtId="0" fontId="16" fillId="24" borderId="203" applyNumberFormat="0" applyAlignment="0" applyProtection="0"/>
    <xf numFmtId="0" fontId="16" fillId="24" borderId="203" applyNumberFormat="0" applyAlignment="0" applyProtection="0"/>
    <xf numFmtId="0" fontId="16" fillId="24" borderId="203" applyNumberFormat="0" applyAlignment="0" applyProtection="0"/>
    <xf numFmtId="0" fontId="16" fillId="24" borderId="203" applyNumberFormat="0" applyAlignment="0" applyProtection="0"/>
    <xf numFmtId="0" fontId="16" fillId="24" borderId="203" applyNumberFormat="0" applyAlignment="0" applyProtection="0"/>
    <xf numFmtId="0" fontId="16" fillId="24" borderId="203" applyNumberFormat="0" applyAlignment="0" applyProtection="0"/>
    <xf numFmtId="0" fontId="16" fillId="24" borderId="203" applyNumberFormat="0" applyAlignment="0" applyProtection="0"/>
    <xf numFmtId="0" fontId="16" fillId="24" borderId="203" applyNumberFormat="0" applyAlignment="0" applyProtection="0"/>
    <xf numFmtId="0" fontId="16" fillId="24" borderId="203" applyNumberFormat="0" applyAlignment="0" applyProtection="0"/>
    <xf numFmtId="0" fontId="16" fillId="24" borderId="203" applyNumberFormat="0" applyAlignment="0" applyProtection="0"/>
    <xf numFmtId="0" fontId="16" fillId="24" borderId="203" applyNumberFormat="0" applyAlignment="0" applyProtection="0"/>
    <xf numFmtId="0" fontId="16" fillId="24" borderId="203" applyNumberFormat="0" applyAlignment="0" applyProtection="0"/>
    <xf numFmtId="0" fontId="16" fillId="24" borderId="203" applyNumberFormat="0" applyAlignment="0" applyProtection="0"/>
    <xf numFmtId="0" fontId="16" fillId="24" borderId="203" applyNumberFormat="0" applyAlignment="0" applyProtection="0"/>
    <xf numFmtId="0" fontId="16" fillId="24" borderId="203" applyNumberFormat="0" applyAlignment="0" applyProtection="0"/>
    <xf numFmtId="0" fontId="16" fillId="24" borderId="203" applyNumberFormat="0" applyAlignment="0" applyProtection="0"/>
    <xf numFmtId="0" fontId="16" fillId="24" borderId="203" applyNumberFormat="0" applyAlignment="0" applyProtection="0"/>
    <xf numFmtId="0" fontId="16" fillId="24" borderId="203" applyNumberFormat="0" applyAlignment="0" applyProtection="0"/>
    <xf numFmtId="0" fontId="16" fillId="24" borderId="203" applyNumberFormat="0" applyAlignment="0" applyProtection="0"/>
    <xf numFmtId="0" fontId="16" fillId="24" borderId="203" applyNumberFormat="0" applyAlignment="0" applyProtection="0"/>
    <xf numFmtId="0" fontId="16" fillId="24" borderId="203" applyNumberFormat="0" applyAlignment="0" applyProtection="0"/>
    <xf numFmtId="0" fontId="16" fillId="24" borderId="203" applyNumberFormat="0" applyAlignment="0" applyProtection="0"/>
    <xf numFmtId="0" fontId="16" fillId="24" borderId="203" applyNumberFormat="0" applyAlignment="0" applyProtection="0"/>
    <xf numFmtId="0" fontId="16" fillId="24" borderId="203" applyNumberFormat="0" applyAlignment="0" applyProtection="0"/>
    <xf numFmtId="0" fontId="16" fillId="24" borderId="203" applyNumberFormat="0" applyAlignment="0" applyProtection="0"/>
    <xf numFmtId="0" fontId="16" fillId="24" borderId="203" applyNumberFormat="0" applyAlignment="0" applyProtection="0"/>
    <xf numFmtId="0" fontId="16" fillId="24" borderId="203" applyNumberFormat="0" applyAlignment="0" applyProtection="0"/>
    <xf numFmtId="0" fontId="16" fillId="24" borderId="203" applyNumberFormat="0" applyAlignment="0" applyProtection="0"/>
    <xf numFmtId="0" fontId="28" fillId="0" borderId="207"/>
    <xf numFmtId="0" fontId="28" fillId="0" borderId="207"/>
    <xf numFmtId="0" fontId="28" fillId="0" borderId="207"/>
    <xf numFmtId="0" fontId="28" fillId="0" borderId="207"/>
    <xf numFmtId="0" fontId="28" fillId="0" borderId="207"/>
    <xf numFmtId="0" fontId="28" fillId="0" borderId="207"/>
    <xf numFmtId="0" fontId="28" fillId="0" borderId="207"/>
    <xf numFmtId="0" fontId="28" fillId="0" borderId="207"/>
    <xf numFmtId="0" fontId="28" fillId="0" borderId="207"/>
    <xf numFmtId="0" fontId="28" fillId="0" borderId="207"/>
    <xf numFmtId="0" fontId="28" fillId="0" borderId="207"/>
    <xf numFmtId="0" fontId="28" fillId="0" borderId="207"/>
    <xf numFmtId="0" fontId="28" fillId="0" borderId="207"/>
    <xf numFmtId="0" fontId="28" fillId="0" borderId="207"/>
    <xf numFmtId="0" fontId="28" fillId="0" borderId="207"/>
    <xf numFmtId="0" fontId="28" fillId="0" borderId="207"/>
    <xf numFmtId="0" fontId="28" fillId="0" borderId="207"/>
    <xf numFmtId="0" fontId="28" fillId="0" borderId="207"/>
    <xf numFmtId="0" fontId="28" fillId="0" borderId="207"/>
    <xf numFmtId="0" fontId="28" fillId="0" borderId="207"/>
    <xf numFmtId="0" fontId="28" fillId="0" borderId="207"/>
    <xf numFmtId="0" fontId="28" fillId="0" borderId="207"/>
    <xf numFmtId="0" fontId="28" fillId="0" borderId="207"/>
    <xf numFmtId="0" fontId="28" fillId="0" borderId="207"/>
    <xf numFmtId="0" fontId="28" fillId="0" borderId="207"/>
    <xf numFmtId="0" fontId="28" fillId="0" borderId="207"/>
    <xf numFmtId="0" fontId="28" fillId="0" borderId="207"/>
    <xf numFmtId="0" fontId="28" fillId="0" borderId="207"/>
    <xf numFmtId="0" fontId="28" fillId="0" borderId="207"/>
    <xf numFmtId="0" fontId="28" fillId="0" borderId="207"/>
    <xf numFmtId="0" fontId="28" fillId="0" borderId="207"/>
    <xf numFmtId="0" fontId="28" fillId="0" borderId="207"/>
    <xf numFmtId="0" fontId="28" fillId="0" borderId="207"/>
    <xf numFmtId="0" fontId="28" fillId="0" borderId="207"/>
    <xf numFmtId="0" fontId="28" fillId="0" borderId="207"/>
    <xf numFmtId="0" fontId="28" fillId="0" borderId="207"/>
    <xf numFmtId="0" fontId="28" fillId="0" borderId="207"/>
    <xf numFmtId="0" fontId="28" fillId="0" borderId="207"/>
    <xf numFmtId="0" fontId="28" fillId="0" borderId="207"/>
    <xf numFmtId="0" fontId="28" fillId="0" borderId="207"/>
    <xf numFmtId="0" fontId="28" fillId="0" borderId="207"/>
    <xf numFmtId="0" fontId="28" fillId="0" borderId="207"/>
    <xf numFmtId="0" fontId="28" fillId="0" borderId="207"/>
    <xf numFmtId="0" fontId="28" fillId="0" borderId="207"/>
    <xf numFmtId="0" fontId="28" fillId="0" borderId="207"/>
    <xf numFmtId="0" fontId="25" fillId="13" borderId="203" applyNumberFormat="0" applyAlignment="0" applyProtection="0"/>
    <xf numFmtId="0" fontId="25" fillId="13" borderId="203" applyNumberFormat="0" applyAlignment="0" applyProtection="0"/>
    <xf numFmtId="0" fontId="25" fillId="13" borderId="203" applyNumberFormat="0" applyAlignment="0" applyProtection="0"/>
    <xf numFmtId="0" fontId="25" fillId="13" borderId="203" applyNumberFormat="0" applyAlignment="0" applyProtection="0"/>
    <xf numFmtId="0" fontId="25" fillId="13" borderId="203" applyNumberFormat="0" applyAlignment="0" applyProtection="0"/>
    <xf numFmtId="0" fontId="25" fillId="13" borderId="203" applyNumberFormat="0" applyAlignment="0" applyProtection="0"/>
    <xf numFmtId="0" fontId="25" fillId="13" borderId="203" applyNumberFormat="0" applyAlignment="0" applyProtection="0"/>
    <xf numFmtId="0" fontId="25" fillId="13" borderId="203" applyNumberFormat="0" applyAlignment="0" applyProtection="0"/>
    <xf numFmtId="0" fontId="25" fillId="13" borderId="203" applyNumberFormat="0" applyAlignment="0" applyProtection="0"/>
    <xf numFmtId="0" fontId="25" fillId="13" borderId="203" applyNumberFormat="0" applyAlignment="0" applyProtection="0"/>
    <xf numFmtId="0" fontId="25" fillId="13" borderId="203" applyNumberFormat="0" applyAlignment="0" applyProtection="0"/>
    <xf numFmtId="0" fontId="25" fillId="13" borderId="203" applyNumberFormat="0" applyAlignment="0" applyProtection="0"/>
    <xf numFmtId="0" fontId="25" fillId="13" borderId="203" applyNumberFormat="0" applyAlignment="0" applyProtection="0"/>
    <xf numFmtId="0" fontId="25" fillId="13" borderId="203" applyNumberFormat="0" applyAlignment="0" applyProtection="0"/>
    <xf numFmtId="0" fontId="25" fillId="13" borderId="203" applyNumberFormat="0" applyAlignment="0" applyProtection="0"/>
    <xf numFmtId="0" fontId="25" fillId="13" borderId="203" applyNumberFormat="0" applyAlignment="0" applyProtection="0"/>
    <xf numFmtId="0" fontId="25" fillId="13" borderId="203" applyNumberFormat="0" applyAlignment="0" applyProtection="0"/>
    <xf numFmtId="0" fontId="25" fillId="13" borderId="203" applyNumberFormat="0" applyAlignment="0" applyProtection="0"/>
    <xf numFmtId="0" fontId="25" fillId="13" borderId="203" applyNumberFormat="0" applyAlignment="0" applyProtection="0"/>
    <xf numFmtId="0" fontId="25" fillId="13" borderId="203" applyNumberFormat="0" applyAlignment="0" applyProtection="0"/>
    <xf numFmtId="0" fontId="25" fillId="13" borderId="203" applyNumberFormat="0" applyAlignment="0" applyProtection="0"/>
    <xf numFmtId="0" fontId="25" fillId="13" borderId="203" applyNumberFormat="0" applyAlignment="0" applyProtection="0"/>
    <xf numFmtId="0" fontId="25" fillId="13" borderId="203" applyNumberFormat="0" applyAlignment="0" applyProtection="0"/>
    <xf numFmtId="0" fontId="25" fillId="13" borderId="203" applyNumberFormat="0" applyAlignment="0" applyProtection="0"/>
    <xf numFmtId="0" fontId="25" fillId="13" borderId="203" applyNumberFormat="0" applyAlignment="0" applyProtection="0"/>
    <xf numFmtId="0" fontId="25" fillId="13" borderId="203" applyNumberFormat="0" applyAlignment="0" applyProtection="0"/>
    <xf numFmtId="0" fontId="25" fillId="13" borderId="203" applyNumberFormat="0" applyAlignment="0" applyProtection="0"/>
    <xf numFmtId="0" fontId="25" fillId="13" borderId="203" applyNumberFormat="0" applyAlignment="0" applyProtection="0"/>
    <xf numFmtId="0" fontId="25" fillId="13" borderId="203" applyNumberFormat="0" applyAlignment="0" applyProtection="0"/>
    <xf numFmtId="0" fontId="25" fillId="13" borderId="203" applyNumberFormat="0" applyAlignment="0" applyProtection="0"/>
    <xf numFmtId="0" fontId="25" fillId="13" borderId="203" applyNumberFormat="0" applyAlignment="0" applyProtection="0"/>
    <xf numFmtId="0" fontId="25" fillId="13" borderId="203" applyNumberFormat="0" applyAlignment="0" applyProtection="0"/>
    <xf numFmtId="0" fontId="25" fillId="13" borderId="203" applyNumberFormat="0" applyAlignment="0" applyProtection="0"/>
    <xf numFmtId="0" fontId="25" fillId="13" borderId="203" applyNumberFormat="0" applyAlignment="0" applyProtection="0"/>
    <xf numFmtId="0" fontId="25" fillId="13" borderId="203" applyNumberFormat="0" applyAlignment="0" applyProtection="0"/>
    <xf numFmtId="0" fontId="25" fillId="13" borderId="203" applyNumberFormat="0" applyAlignment="0" applyProtection="0"/>
    <xf numFmtId="0" fontId="25" fillId="13" borderId="203" applyNumberFormat="0" applyAlignment="0" applyProtection="0"/>
    <xf numFmtId="0" fontId="25" fillId="13" borderId="203" applyNumberFormat="0" applyAlignment="0" applyProtection="0"/>
    <xf numFmtId="0" fontId="25" fillId="13" borderId="203" applyNumberFormat="0" applyAlignment="0" applyProtection="0"/>
    <xf numFmtId="0" fontId="25" fillId="13" borderId="203" applyNumberFormat="0" applyAlignment="0" applyProtection="0"/>
    <xf numFmtId="0" fontId="25" fillId="13" borderId="203" applyNumberFormat="0" applyAlignment="0" applyProtection="0"/>
    <xf numFmtId="0" fontId="25" fillId="13" borderId="203" applyNumberFormat="0" applyAlignment="0" applyProtection="0"/>
    <xf numFmtId="0" fontId="25" fillId="13" borderId="203" applyNumberFormat="0" applyAlignment="0" applyProtection="0"/>
    <xf numFmtId="0" fontId="25" fillId="13" borderId="203" applyNumberFormat="0" applyAlignment="0" applyProtection="0"/>
    <xf numFmtId="0" fontId="25" fillId="13" borderId="203" applyNumberFormat="0" applyAlignment="0" applyProtection="0"/>
    <xf numFmtId="0" fontId="25" fillId="13" borderId="203" applyNumberFormat="0" applyAlignment="0" applyProtection="0"/>
    <xf numFmtId="0" fontId="25" fillId="13" borderId="203" applyNumberFormat="0" applyAlignment="0" applyProtection="0"/>
    <xf numFmtId="0" fontId="25" fillId="13" borderId="203" applyNumberFormat="0" applyAlignment="0" applyProtection="0"/>
    <xf numFmtId="0" fontId="25" fillId="13" borderId="203" applyNumberFormat="0" applyAlignment="0" applyProtection="0"/>
    <xf numFmtId="0" fontId="41" fillId="13" borderId="203" applyNumberFormat="0" applyAlignment="0" applyProtection="0"/>
    <xf numFmtId="0" fontId="41" fillId="13" borderId="203" applyNumberFormat="0" applyAlignment="0" applyProtection="0"/>
    <xf numFmtId="0" fontId="41" fillId="13" borderId="203" applyNumberFormat="0" applyAlignment="0" applyProtection="0"/>
    <xf numFmtId="0" fontId="41" fillId="13" borderId="203" applyNumberFormat="0" applyAlignment="0" applyProtection="0"/>
    <xf numFmtId="0" fontId="41" fillId="13" borderId="203" applyNumberFormat="0" applyAlignment="0" applyProtection="0"/>
    <xf numFmtId="0" fontId="41" fillId="13" borderId="203" applyNumberFormat="0" applyAlignment="0" applyProtection="0"/>
    <xf numFmtId="0" fontId="41" fillId="13" borderId="203" applyNumberFormat="0" applyAlignment="0" applyProtection="0"/>
    <xf numFmtId="0" fontId="41" fillId="13" borderId="203" applyNumberFormat="0" applyAlignment="0" applyProtection="0"/>
    <xf numFmtId="0" fontId="41" fillId="13" borderId="203" applyNumberFormat="0" applyAlignment="0" applyProtection="0"/>
    <xf numFmtId="0" fontId="41" fillId="13" borderId="203" applyNumberFormat="0" applyAlignment="0" applyProtection="0"/>
    <xf numFmtId="0" fontId="41" fillId="13" borderId="203" applyNumberFormat="0" applyAlignment="0" applyProtection="0"/>
    <xf numFmtId="0" fontId="41" fillId="13" borderId="203" applyNumberFormat="0" applyAlignment="0" applyProtection="0"/>
    <xf numFmtId="0" fontId="41" fillId="13" borderId="203" applyNumberFormat="0" applyAlignment="0" applyProtection="0"/>
    <xf numFmtId="0" fontId="41" fillId="13" borderId="203" applyNumberFormat="0" applyAlignment="0" applyProtection="0"/>
    <xf numFmtId="0" fontId="41" fillId="13" borderId="203" applyNumberFormat="0" applyAlignment="0" applyProtection="0"/>
    <xf numFmtId="0" fontId="41" fillId="13" borderId="203" applyNumberFormat="0" applyAlignment="0" applyProtection="0"/>
    <xf numFmtId="0" fontId="41" fillId="13" borderId="203" applyNumberFormat="0" applyAlignment="0" applyProtection="0"/>
    <xf numFmtId="0" fontId="41" fillId="13" borderId="203" applyNumberFormat="0" applyAlignment="0" applyProtection="0"/>
    <xf numFmtId="0" fontId="41" fillId="13" borderId="203" applyNumberFormat="0" applyAlignment="0" applyProtection="0"/>
    <xf numFmtId="0" fontId="41" fillId="13" borderId="203" applyNumberFormat="0" applyAlignment="0" applyProtection="0"/>
    <xf numFmtId="0" fontId="41" fillId="13" borderId="203" applyNumberFormat="0" applyAlignment="0" applyProtection="0"/>
    <xf numFmtId="0" fontId="41" fillId="13" borderId="203" applyNumberFormat="0" applyAlignment="0" applyProtection="0"/>
    <xf numFmtId="0" fontId="41" fillId="13" borderId="203" applyNumberFormat="0" applyAlignment="0" applyProtection="0"/>
    <xf numFmtId="0" fontId="41" fillId="13" borderId="203" applyNumberFormat="0" applyAlignment="0" applyProtection="0"/>
    <xf numFmtId="0" fontId="41" fillId="13" borderId="203" applyNumberFormat="0" applyAlignment="0" applyProtection="0"/>
    <xf numFmtId="0" fontId="41" fillId="13" borderId="203" applyNumberFormat="0" applyAlignment="0" applyProtection="0"/>
    <xf numFmtId="0" fontId="41" fillId="13" borderId="203" applyNumberFormat="0" applyAlignment="0" applyProtection="0"/>
    <xf numFmtId="0" fontId="41" fillId="13" borderId="203" applyNumberFormat="0" applyAlignment="0" applyProtection="0"/>
    <xf numFmtId="0" fontId="41" fillId="13" borderId="203" applyNumberFormat="0" applyAlignment="0" applyProtection="0"/>
    <xf numFmtId="0" fontId="41" fillId="13" borderId="203" applyNumberFormat="0" applyAlignment="0" applyProtection="0"/>
    <xf numFmtId="0" fontId="41" fillId="13" borderId="203" applyNumberFormat="0" applyAlignment="0" applyProtection="0"/>
    <xf numFmtId="0" fontId="41" fillId="13" borderId="203" applyNumberFormat="0" applyAlignment="0" applyProtection="0"/>
    <xf numFmtId="0" fontId="41" fillId="13" borderId="203" applyNumberFormat="0" applyAlignment="0" applyProtection="0"/>
    <xf numFmtId="0" fontId="41" fillId="13" borderId="203" applyNumberFormat="0" applyAlignment="0" applyProtection="0"/>
    <xf numFmtId="0" fontId="41" fillId="13" borderId="203" applyNumberFormat="0" applyAlignment="0" applyProtection="0"/>
    <xf numFmtId="0" fontId="41" fillId="13" borderId="203" applyNumberFormat="0" applyAlignment="0" applyProtection="0"/>
    <xf numFmtId="0" fontId="41" fillId="13" borderId="203" applyNumberFormat="0" applyAlignment="0" applyProtection="0"/>
    <xf numFmtId="0" fontId="41" fillId="13" borderId="203" applyNumberFormat="0" applyAlignment="0" applyProtection="0"/>
    <xf numFmtId="0" fontId="41" fillId="13" borderId="203" applyNumberFormat="0" applyAlignment="0" applyProtection="0"/>
    <xf numFmtId="0" fontId="41" fillId="13" borderId="203" applyNumberFormat="0" applyAlignment="0" applyProtection="0"/>
    <xf numFmtId="0" fontId="41" fillId="13" borderId="203" applyNumberFormat="0" applyAlignment="0" applyProtection="0"/>
    <xf numFmtId="0" fontId="41" fillId="13" borderId="203" applyNumberFormat="0" applyAlignment="0" applyProtection="0"/>
    <xf numFmtId="0" fontId="41" fillId="13" borderId="203" applyNumberFormat="0" applyAlignment="0" applyProtection="0"/>
    <xf numFmtId="0" fontId="41" fillId="13" borderId="203" applyNumberFormat="0" applyAlignment="0" applyProtection="0"/>
    <xf numFmtId="0" fontId="41" fillId="13" borderId="203" applyNumberFormat="0" applyAlignment="0" applyProtection="0"/>
    <xf numFmtId="0" fontId="41" fillId="13" borderId="203" applyNumberFormat="0" applyAlignment="0" applyProtection="0"/>
    <xf numFmtId="0" fontId="41" fillId="13" borderId="203" applyNumberFormat="0" applyAlignment="0" applyProtection="0"/>
    <xf numFmtId="0" fontId="41" fillId="13" borderId="203" applyNumberFormat="0" applyAlignment="0" applyProtection="0"/>
    <xf numFmtId="0" fontId="41" fillId="13" borderId="203" applyNumberFormat="0" applyAlignment="0" applyProtection="0"/>
    <xf numFmtId="0" fontId="25" fillId="13" borderId="203" applyNumberFormat="0" applyAlignment="0" applyProtection="0"/>
    <xf numFmtId="0" fontId="25" fillId="13" borderId="203" applyNumberFormat="0" applyAlignment="0" applyProtection="0"/>
    <xf numFmtId="0" fontId="25" fillId="13" borderId="203" applyNumberFormat="0" applyAlignment="0" applyProtection="0"/>
    <xf numFmtId="0" fontId="25" fillId="13" borderId="203" applyNumberFormat="0" applyAlignment="0" applyProtection="0"/>
    <xf numFmtId="0" fontId="25" fillId="13" borderId="203" applyNumberFormat="0" applyAlignment="0" applyProtection="0"/>
    <xf numFmtId="0" fontId="25" fillId="13" borderId="203" applyNumberFormat="0" applyAlignment="0" applyProtection="0"/>
    <xf numFmtId="0" fontId="25" fillId="13" borderId="203" applyNumberFormat="0" applyAlignment="0" applyProtection="0"/>
    <xf numFmtId="0" fontId="25" fillId="13" borderId="203" applyNumberFormat="0" applyAlignment="0" applyProtection="0"/>
    <xf numFmtId="0" fontId="25" fillId="13" borderId="203" applyNumberFormat="0" applyAlignment="0" applyProtection="0"/>
    <xf numFmtId="0" fontId="25" fillId="13" borderId="203" applyNumberFormat="0" applyAlignment="0" applyProtection="0"/>
    <xf numFmtId="0" fontId="25" fillId="13" borderId="203" applyNumberFormat="0" applyAlignment="0" applyProtection="0"/>
    <xf numFmtId="0" fontId="25" fillId="13" borderId="203" applyNumberFormat="0" applyAlignment="0" applyProtection="0"/>
    <xf numFmtId="0" fontId="25" fillId="13" borderId="203" applyNumberFormat="0" applyAlignment="0" applyProtection="0"/>
    <xf numFmtId="0" fontId="25" fillId="13" borderId="203" applyNumberFormat="0" applyAlignment="0" applyProtection="0"/>
    <xf numFmtId="0" fontId="25" fillId="13" borderId="203" applyNumberFormat="0" applyAlignment="0" applyProtection="0"/>
    <xf numFmtId="0" fontId="25" fillId="13" borderId="203" applyNumberFormat="0" applyAlignment="0" applyProtection="0"/>
    <xf numFmtId="0" fontId="25" fillId="13" borderId="203" applyNumberFormat="0" applyAlignment="0" applyProtection="0"/>
    <xf numFmtId="0" fontId="25" fillId="13" borderId="203" applyNumberFormat="0" applyAlignment="0" applyProtection="0"/>
    <xf numFmtId="0" fontId="25" fillId="13" borderId="203" applyNumberFormat="0" applyAlignment="0" applyProtection="0"/>
    <xf numFmtId="0" fontId="25" fillId="13" borderId="203" applyNumberFormat="0" applyAlignment="0" applyProtection="0"/>
    <xf numFmtId="0" fontId="25" fillId="13" borderId="203" applyNumberFormat="0" applyAlignment="0" applyProtection="0"/>
    <xf numFmtId="0" fontId="25" fillId="13" borderId="203" applyNumberFormat="0" applyAlignment="0" applyProtection="0"/>
    <xf numFmtId="0" fontId="25" fillId="13" borderId="203" applyNumberFormat="0" applyAlignment="0" applyProtection="0"/>
    <xf numFmtId="0" fontId="25" fillId="13" borderId="203" applyNumberFormat="0" applyAlignment="0" applyProtection="0"/>
    <xf numFmtId="0" fontId="25" fillId="13" borderId="203" applyNumberFormat="0" applyAlignment="0" applyProtection="0"/>
    <xf numFmtId="0" fontId="25" fillId="13" borderId="203" applyNumberFormat="0" applyAlignment="0" applyProtection="0"/>
    <xf numFmtId="0" fontId="25" fillId="13" borderId="203" applyNumberFormat="0" applyAlignment="0" applyProtection="0"/>
    <xf numFmtId="0" fontId="25" fillId="13" borderId="203" applyNumberFormat="0" applyAlignment="0" applyProtection="0"/>
    <xf numFmtId="0" fontId="25" fillId="13" borderId="203" applyNumberFormat="0" applyAlignment="0" applyProtection="0"/>
    <xf numFmtId="0" fontId="25" fillId="13" borderId="203" applyNumberFormat="0" applyAlignment="0" applyProtection="0"/>
    <xf numFmtId="0" fontId="25" fillId="13" borderId="203" applyNumberFormat="0" applyAlignment="0" applyProtection="0"/>
    <xf numFmtId="0" fontId="25" fillId="13" borderId="203" applyNumberFormat="0" applyAlignment="0" applyProtection="0"/>
    <xf numFmtId="0" fontId="25" fillId="13" borderId="203" applyNumberFormat="0" applyAlignment="0" applyProtection="0"/>
    <xf numFmtId="0" fontId="25" fillId="13" borderId="203" applyNumberFormat="0" applyAlignment="0" applyProtection="0"/>
    <xf numFmtId="0" fontId="25" fillId="13" borderId="203" applyNumberFormat="0" applyAlignment="0" applyProtection="0"/>
    <xf numFmtId="0" fontId="25" fillId="13" borderId="203" applyNumberFormat="0" applyAlignment="0" applyProtection="0"/>
    <xf numFmtId="0" fontId="25" fillId="13" borderId="203" applyNumberFormat="0" applyAlignment="0" applyProtection="0"/>
    <xf numFmtId="0" fontId="25" fillId="13" borderId="203" applyNumberFormat="0" applyAlignment="0" applyProtection="0"/>
    <xf numFmtId="0" fontId="25" fillId="13" borderId="203" applyNumberFormat="0" applyAlignment="0" applyProtection="0"/>
    <xf numFmtId="0" fontId="25" fillId="13" borderId="203" applyNumberFormat="0" applyAlignment="0" applyProtection="0"/>
    <xf numFmtId="0" fontId="25" fillId="13" borderId="203" applyNumberFormat="0" applyAlignment="0" applyProtection="0"/>
    <xf numFmtId="0" fontId="25" fillId="13" borderId="203" applyNumberFormat="0" applyAlignment="0" applyProtection="0"/>
    <xf numFmtId="0" fontId="25" fillId="13" borderId="203" applyNumberFormat="0" applyAlignment="0" applyProtection="0"/>
    <xf numFmtId="0" fontId="25" fillId="13" borderId="203" applyNumberFormat="0" applyAlignment="0" applyProtection="0"/>
    <xf numFmtId="0" fontId="25" fillId="13" borderId="203" applyNumberFormat="0" applyAlignment="0" applyProtection="0"/>
    <xf numFmtId="0" fontId="25" fillId="13" borderId="203" applyNumberFormat="0" applyAlignment="0" applyProtection="0"/>
    <xf numFmtId="0" fontId="25" fillId="13" borderId="203" applyNumberFormat="0" applyAlignment="0" applyProtection="0"/>
    <xf numFmtId="0" fontId="25" fillId="13" borderId="203" applyNumberFormat="0" applyAlignment="0" applyProtection="0"/>
    <xf numFmtId="0" fontId="25" fillId="13" borderId="203" applyNumberFormat="0" applyAlignment="0" applyProtection="0"/>
    <xf numFmtId="0" fontId="41" fillId="13" borderId="203" applyNumberFormat="0" applyAlignment="0" applyProtection="0"/>
    <xf numFmtId="0" fontId="41" fillId="13" borderId="203" applyNumberFormat="0" applyAlignment="0" applyProtection="0"/>
    <xf numFmtId="0" fontId="41" fillId="13" borderId="203" applyNumberFormat="0" applyAlignment="0" applyProtection="0"/>
    <xf numFmtId="0" fontId="41" fillId="13" borderId="203" applyNumberFormat="0" applyAlignment="0" applyProtection="0"/>
    <xf numFmtId="0" fontId="41" fillId="13" borderId="203" applyNumberFormat="0" applyAlignment="0" applyProtection="0"/>
    <xf numFmtId="0" fontId="41" fillId="13" borderId="203" applyNumberFormat="0" applyAlignment="0" applyProtection="0"/>
    <xf numFmtId="0" fontId="41" fillId="13" borderId="203" applyNumberFormat="0" applyAlignment="0" applyProtection="0"/>
    <xf numFmtId="0" fontId="41" fillId="13" borderId="203" applyNumberFormat="0" applyAlignment="0" applyProtection="0"/>
    <xf numFmtId="0" fontId="41" fillId="13" borderId="203" applyNumberFormat="0" applyAlignment="0" applyProtection="0"/>
    <xf numFmtId="0" fontId="41" fillId="13" borderId="203" applyNumberFormat="0" applyAlignment="0" applyProtection="0"/>
    <xf numFmtId="0" fontId="41" fillId="13" borderId="203" applyNumberFormat="0" applyAlignment="0" applyProtection="0"/>
    <xf numFmtId="0" fontId="41" fillId="13" borderId="203" applyNumberFormat="0" applyAlignment="0" applyProtection="0"/>
    <xf numFmtId="0" fontId="41" fillId="13" borderId="203" applyNumberFormat="0" applyAlignment="0" applyProtection="0"/>
    <xf numFmtId="0" fontId="41" fillId="13" borderId="203" applyNumberFormat="0" applyAlignment="0" applyProtection="0"/>
    <xf numFmtId="0" fontId="41" fillId="13" borderId="203" applyNumberFormat="0" applyAlignment="0" applyProtection="0"/>
    <xf numFmtId="0" fontId="41" fillId="13" borderId="203" applyNumberFormat="0" applyAlignment="0" applyProtection="0"/>
    <xf numFmtId="0" fontId="41" fillId="13" borderId="203" applyNumberFormat="0" applyAlignment="0" applyProtection="0"/>
    <xf numFmtId="0" fontId="41" fillId="13" borderId="203" applyNumberFormat="0" applyAlignment="0" applyProtection="0"/>
    <xf numFmtId="0" fontId="41" fillId="13" borderId="203" applyNumberFormat="0" applyAlignment="0" applyProtection="0"/>
    <xf numFmtId="0" fontId="41" fillId="13" borderId="203" applyNumberFormat="0" applyAlignment="0" applyProtection="0"/>
    <xf numFmtId="0" fontId="41" fillId="13" borderId="203" applyNumberFormat="0" applyAlignment="0" applyProtection="0"/>
    <xf numFmtId="0" fontId="41" fillId="13" borderId="203" applyNumberFormat="0" applyAlignment="0" applyProtection="0"/>
    <xf numFmtId="0" fontId="41" fillId="13" borderId="203" applyNumberFormat="0" applyAlignment="0" applyProtection="0"/>
    <xf numFmtId="0" fontId="41" fillId="13" borderId="203" applyNumberFormat="0" applyAlignment="0" applyProtection="0"/>
    <xf numFmtId="0" fontId="41" fillId="13" borderId="203" applyNumberFormat="0" applyAlignment="0" applyProtection="0"/>
    <xf numFmtId="0" fontId="41" fillId="13" borderId="203" applyNumberFormat="0" applyAlignment="0" applyProtection="0"/>
    <xf numFmtId="0" fontId="41" fillId="13" borderId="203" applyNumberFormat="0" applyAlignment="0" applyProtection="0"/>
    <xf numFmtId="0" fontId="41" fillId="13" borderId="203" applyNumberFormat="0" applyAlignment="0" applyProtection="0"/>
    <xf numFmtId="0" fontId="41" fillId="13" borderId="203" applyNumberFormat="0" applyAlignment="0" applyProtection="0"/>
    <xf numFmtId="0" fontId="41" fillId="13" borderId="203" applyNumberFormat="0" applyAlignment="0" applyProtection="0"/>
    <xf numFmtId="0" fontId="41" fillId="13" borderId="203" applyNumberFormat="0" applyAlignment="0" applyProtection="0"/>
    <xf numFmtId="0" fontId="41" fillId="13" borderId="203" applyNumberFormat="0" applyAlignment="0" applyProtection="0"/>
    <xf numFmtId="0" fontId="41" fillId="13" borderId="203" applyNumberFormat="0" applyAlignment="0" applyProtection="0"/>
    <xf numFmtId="0" fontId="41" fillId="13" borderId="203" applyNumberFormat="0" applyAlignment="0" applyProtection="0"/>
    <xf numFmtId="0" fontId="41" fillId="13" borderId="203" applyNumberFormat="0" applyAlignment="0" applyProtection="0"/>
    <xf numFmtId="0" fontId="41" fillId="13" borderId="203" applyNumberFormat="0" applyAlignment="0" applyProtection="0"/>
    <xf numFmtId="0" fontId="41" fillId="13" borderId="203" applyNumberFormat="0" applyAlignment="0" applyProtection="0"/>
    <xf numFmtId="0" fontId="41" fillId="13" borderId="203" applyNumberFormat="0" applyAlignment="0" applyProtection="0"/>
    <xf numFmtId="0" fontId="41" fillId="13" borderId="203" applyNumberFormat="0" applyAlignment="0" applyProtection="0"/>
    <xf numFmtId="0" fontId="41" fillId="13" borderId="203" applyNumberFormat="0" applyAlignment="0" applyProtection="0"/>
    <xf numFmtId="0" fontId="41" fillId="13" borderId="203" applyNumberFormat="0" applyAlignment="0" applyProtection="0"/>
    <xf numFmtId="0" fontId="41" fillId="13" borderId="203" applyNumberFormat="0" applyAlignment="0" applyProtection="0"/>
    <xf numFmtId="0" fontId="41" fillId="13" borderId="203" applyNumberFormat="0" applyAlignment="0" applyProtection="0"/>
    <xf numFmtId="0" fontId="41" fillId="13" borderId="203" applyNumberFormat="0" applyAlignment="0" applyProtection="0"/>
    <xf numFmtId="0" fontId="41" fillId="13" borderId="203" applyNumberFormat="0" applyAlignment="0" applyProtection="0"/>
    <xf numFmtId="0" fontId="41" fillId="13" borderId="203" applyNumberFormat="0" applyAlignment="0" applyProtection="0"/>
    <xf numFmtId="0" fontId="41" fillId="13" borderId="203" applyNumberFormat="0" applyAlignment="0" applyProtection="0"/>
    <xf numFmtId="0" fontId="41" fillId="13" borderId="203" applyNumberFormat="0" applyAlignment="0" applyProtection="0"/>
    <xf numFmtId="0" fontId="41" fillId="13" borderId="203" applyNumberFormat="0" applyAlignment="0" applyProtection="0"/>
    <xf numFmtId="0" fontId="25" fillId="13" borderId="203" applyNumberFormat="0" applyAlignment="0" applyProtection="0"/>
    <xf numFmtId="0" fontId="25" fillId="13" borderId="203" applyNumberFormat="0" applyAlignment="0" applyProtection="0"/>
    <xf numFmtId="0" fontId="25" fillId="13" borderId="203" applyNumberFormat="0" applyAlignment="0" applyProtection="0"/>
    <xf numFmtId="0" fontId="25" fillId="13" borderId="203" applyNumberFormat="0" applyAlignment="0" applyProtection="0"/>
    <xf numFmtId="0" fontId="25" fillId="13" borderId="203" applyNumberFormat="0" applyAlignment="0" applyProtection="0"/>
    <xf numFmtId="0" fontId="25" fillId="13" borderId="203" applyNumberFormat="0" applyAlignment="0" applyProtection="0"/>
    <xf numFmtId="0" fontId="25" fillId="13" borderId="203" applyNumberFormat="0" applyAlignment="0" applyProtection="0"/>
    <xf numFmtId="0" fontId="25" fillId="13" borderId="203" applyNumberFormat="0" applyAlignment="0" applyProtection="0"/>
    <xf numFmtId="0" fontId="25" fillId="13" borderId="203" applyNumberFormat="0" applyAlignment="0" applyProtection="0"/>
    <xf numFmtId="0" fontId="25" fillId="13" borderId="203" applyNumberFormat="0" applyAlignment="0" applyProtection="0"/>
    <xf numFmtId="0" fontId="25" fillId="13" borderId="203" applyNumberFormat="0" applyAlignment="0" applyProtection="0"/>
    <xf numFmtId="0" fontId="25" fillId="13" borderId="203" applyNumberFormat="0" applyAlignment="0" applyProtection="0"/>
    <xf numFmtId="0" fontId="25" fillId="13" borderId="203" applyNumberFormat="0" applyAlignment="0" applyProtection="0"/>
    <xf numFmtId="0" fontId="25" fillId="13" borderId="203" applyNumberFormat="0" applyAlignment="0" applyProtection="0"/>
    <xf numFmtId="0" fontId="25" fillId="13" borderId="203" applyNumberFormat="0" applyAlignment="0" applyProtection="0"/>
    <xf numFmtId="0" fontId="25" fillId="13" borderId="203" applyNumberFormat="0" applyAlignment="0" applyProtection="0"/>
    <xf numFmtId="0" fontId="25" fillId="13" borderId="203" applyNumberFormat="0" applyAlignment="0" applyProtection="0"/>
    <xf numFmtId="0" fontId="25" fillId="13" borderId="203" applyNumberFormat="0" applyAlignment="0" applyProtection="0"/>
    <xf numFmtId="0" fontId="25" fillId="13" borderId="203" applyNumberFormat="0" applyAlignment="0" applyProtection="0"/>
    <xf numFmtId="0" fontId="25" fillId="13" borderId="203" applyNumberFormat="0" applyAlignment="0" applyProtection="0"/>
    <xf numFmtId="0" fontId="25" fillId="13" borderId="203" applyNumberFormat="0" applyAlignment="0" applyProtection="0"/>
    <xf numFmtId="0" fontId="25" fillId="13" borderId="203" applyNumberFormat="0" applyAlignment="0" applyProtection="0"/>
    <xf numFmtId="0" fontId="25" fillId="13" borderId="203" applyNumberFormat="0" applyAlignment="0" applyProtection="0"/>
    <xf numFmtId="0" fontId="25" fillId="13" borderId="203" applyNumberFormat="0" applyAlignment="0" applyProtection="0"/>
    <xf numFmtId="0" fontId="25" fillId="13" borderId="203" applyNumberFormat="0" applyAlignment="0" applyProtection="0"/>
    <xf numFmtId="0" fontId="25" fillId="13" borderId="203" applyNumberFormat="0" applyAlignment="0" applyProtection="0"/>
    <xf numFmtId="0" fontId="25" fillId="13" borderId="203" applyNumberFormat="0" applyAlignment="0" applyProtection="0"/>
    <xf numFmtId="0" fontId="25" fillId="13" borderId="203" applyNumberFormat="0" applyAlignment="0" applyProtection="0"/>
    <xf numFmtId="0" fontId="25" fillId="13" borderId="203" applyNumberFormat="0" applyAlignment="0" applyProtection="0"/>
    <xf numFmtId="0" fontId="25" fillId="13" borderId="203" applyNumberFormat="0" applyAlignment="0" applyProtection="0"/>
    <xf numFmtId="0" fontId="25" fillId="13" borderId="203" applyNumberFormat="0" applyAlignment="0" applyProtection="0"/>
    <xf numFmtId="0" fontId="25" fillId="13" borderId="203" applyNumberFormat="0" applyAlignment="0" applyProtection="0"/>
    <xf numFmtId="0" fontId="25" fillId="13" borderId="203" applyNumberFormat="0" applyAlignment="0" applyProtection="0"/>
    <xf numFmtId="0" fontId="25" fillId="13" borderId="203" applyNumberFormat="0" applyAlignment="0" applyProtection="0"/>
    <xf numFmtId="0" fontId="25" fillId="13" borderId="203" applyNumberFormat="0" applyAlignment="0" applyProtection="0"/>
    <xf numFmtId="0" fontId="25" fillId="13" borderId="203" applyNumberFormat="0" applyAlignment="0" applyProtection="0"/>
    <xf numFmtId="0" fontId="25" fillId="13" borderId="203" applyNumberFormat="0" applyAlignment="0" applyProtection="0"/>
    <xf numFmtId="0" fontId="25" fillId="13" borderId="203" applyNumberFormat="0" applyAlignment="0" applyProtection="0"/>
    <xf numFmtId="0" fontId="25" fillId="13" borderId="203" applyNumberFormat="0" applyAlignment="0" applyProtection="0"/>
    <xf numFmtId="0" fontId="25" fillId="13" borderId="203" applyNumberFormat="0" applyAlignment="0" applyProtection="0"/>
    <xf numFmtId="0" fontId="25" fillId="13" borderId="203" applyNumberFormat="0" applyAlignment="0" applyProtection="0"/>
    <xf numFmtId="0" fontId="25" fillId="13" borderId="203" applyNumberFormat="0" applyAlignment="0" applyProtection="0"/>
    <xf numFmtId="0" fontId="25" fillId="13" borderId="203" applyNumberFormat="0" applyAlignment="0" applyProtection="0"/>
    <xf numFmtId="0" fontId="25" fillId="13" borderId="203" applyNumberFormat="0" applyAlignment="0" applyProtection="0"/>
    <xf numFmtId="0" fontId="25" fillId="13" borderId="203" applyNumberFormat="0" applyAlignment="0" applyProtection="0"/>
    <xf numFmtId="0" fontId="25" fillId="13" borderId="203" applyNumberFormat="0" applyAlignment="0" applyProtection="0"/>
    <xf numFmtId="0" fontId="25" fillId="13" borderId="203" applyNumberFormat="0" applyAlignment="0" applyProtection="0"/>
    <xf numFmtId="0" fontId="25" fillId="13" borderId="203" applyNumberFormat="0" applyAlignment="0" applyProtection="0"/>
    <xf numFmtId="0" fontId="25" fillId="13" borderId="203" applyNumberFormat="0" applyAlignment="0" applyProtection="0"/>
    <xf numFmtId="0" fontId="25" fillId="8" borderId="203" applyNumberFormat="0" applyAlignment="0" applyProtection="0"/>
    <xf numFmtId="0" fontId="25" fillId="8" borderId="203" applyNumberFormat="0" applyAlignment="0" applyProtection="0"/>
    <xf numFmtId="0" fontId="25" fillId="8" borderId="203" applyNumberFormat="0" applyAlignment="0" applyProtection="0"/>
    <xf numFmtId="0" fontId="25" fillId="8" borderId="203" applyNumberFormat="0" applyAlignment="0" applyProtection="0"/>
    <xf numFmtId="0" fontId="25" fillId="8" borderId="203" applyNumberFormat="0" applyAlignment="0" applyProtection="0"/>
    <xf numFmtId="0" fontId="25" fillId="8" borderId="203" applyNumberFormat="0" applyAlignment="0" applyProtection="0"/>
    <xf numFmtId="0" fontId="25" fillId="8" borderId="203" applyNumberFormat="0" applyAlignment="0" applyProtection="0"/>
    <xf numFmtId="0" fontId="25" fillId="8" borderId="203" applyNumberFormat="0" applyAlignment="0" applyProtection="0"/>
    <xf numFmtId="0" fontId="25" fillId="8" borderId="203" applyNumberFormat="0" applyAlignment="0" applyProtection="0"/>
    <xf numFmtId="0" fontId="25" fillId="8" borderId="203" applyNumberFormat="0" applyAlignment="0" applyProtection="0"/>
    <xf numFmtId="0" fontId="25" fillId="8" borderId="203" applyNumberFormat="0" applyAlignment="0" applyProtection="0"/>
    <xf numFmtId="0" fontId="25" fillId="8" borderId="203" applyNumberFormat="0" applyAlignment="0" applyProtection="0"/>
    <xf numFmtId="0" fontId="25" fillId="8" borderId="203" applyNumberFormat="0" applyAlignment="0" applyProtection="0"/>
    <xf numFmtId="0" fontId="25" fillId="8" borderId="203" applyNumberFormat="0" applyAlignment="0" applyProtection="0"/>
    <xf numFmtId="0" fontId="25" fillId="8" borderId="203" applyNumberFormat="0" applyAlignment="0" applyProtection="0"/>
    <xf numFmtId="0" fontId="25" fillId="8" borderId="203" applyNumberFormat="0" applyAlignment="0" applyProtection="0"/>
    <xf numFmtId="0" fontId="25" fillId="8" borderId="203" applyNumberFormat="0" applyAlignment="0" applyProtection="0"/>
    <xf numFmtId="0" fontId="25" fillId="8" borderId="203" applyNumberFormat="0" applyAlignment="0" applyProtection="0"/>
    <xf numFmtId="0" fontId="25" fillId="8" borderId="203" applyNumberFormat="0" applyAlignment="0" applyProtection="0"/>
    <xf numFmtId="0" fontId="25" fillId="8" borderId="203" applyNumberFormat="0" applyAlignment="0" applyProtection="0"/>
    <xf numFmtId="0" fontId="25" fillId="8" borderId="203" applyNumberFormat="0" applyAlignment="0" applyProtection="0"/>
    <xf numFmtId="0" fontId="25" fillId="8" borderId="203" applyNumberFormat="0" applyAlignment="0" applyProtection="0"/>
    <xf numFmtId="0" fontId="25" fillId="8" borderId="203" applyNumberFormat="0" applyAlignment="0" applyProtection="0"/>
    <xf numFmtId="0" fontId="25" fillId="8" borderId="203" applyNumberFormat="0" applyAlignment="0" applyProtection="0"/>
    <xf numFmtId="0" fontId="25" fillId="8" borderId="203" applyNumberFormat="0" applyAlignment="0" applyProtection="0"/>
    <xf numFmtId="0" fontId="25" fillId="8" borderId="203" applyNumberFormat="0" applyAlignment="0" applyProtection="0"/>
    <xf numFmtId="0" fontId="25" fillId="8" borderId="203" applyNumberFormat="0" applyAlignment="0" applyProtection="0"/>
    <xf numFmtId="0" fontId="25" fillId="8" borderId="203" applyNumberFormat="0" applyAlignment="0" applyProtection="0"/>
    <xf numFmtId="0" fontId="25" fillId="8" borderId="203" applyNumberFormat="0" applyAlignment="0" applyProtection="0"/>
    <xf numFmtId="0" fontId="25" fillId="8" borderId="203" applyNumberFormat="0" applyAlignment="0" applyProtection="0"/>
    <xf numFmtId="0" fontId="25" fillId="8" borderId="203" applyNumberFormat="0" applyAlignment="0" applyProtection="0"/>
    <xf numFmtId="0" fontId="25" fillId="8" borderId="203" applyNumberFormat="0" applyAlignment="0" applyProtection="0"/>
    <xf numFmtId="0" fontId="25" fillId="8" borderId="203" applyNumberFormat="0" applyAlignment="0" applyProtection="0"/>
    <xf numFmtId="0" fontId="25" fillId="8" borderId="203" applyNumberFormat="0" applyAlignment="0" applyProtection="0"/>
    <xf numFmtId="0" fontId="25" fillId="8" borderId="203" applyNumberFormat="0" applyAlignment="0" applyProtection="0"/>
    <xf numFmtId="0" fontId="25" fillId="8" borderId="203" applyNumberFormat="0" applyAlignment="0" applyProtection="0"/>
    <xf numFmtId="0" fontId="25" fillId="8" borderId="203" applyNumberFormat="0" applyAlignment="0" applyProtection="0"/>
    <xf numFmtId="0" fontId="25" fillId="8" borderId="203" applyNumberFormat="0" applyAlignment="0" applyProtection="0"/>
    <xf numFmtId="0" fontId="25" fillId="8" borderId="203" applyNumberFormat="0" applyAlignment="0" applyProtection="0"/>
    <xf numFmtId="0" fontId="25" fillId="8" borderId="203" applyNumberFormat="0" applyAlignment="0" applyProtection="0"/>
    <xf numFmtId="0" fontId="25" fillId="8" borderId="203" applyNumberFormat="0" applyAlignment="0" applyProtection="0"/>
    <xf numFmtId="0" fontId="25" fillId="8" borderId="203" applyNumberFormat="0" applyAlignment="0" applyProtection="0"/>
    <xf numFmtId="0" fontId="25" fillId="8" borderId="203" applyNumberFormat="0" applyAlignment="0" applyProtection="0"/>
    <xf numFmtId="0" fontId="25" fillId="8" borderId="203" applyNumberFormat="0" applyAlignment="0" applyProtection="0"/>
    <xf numFmtId="0" fontId="25" fillId="8" borderId="203" applyNumberFormat="0" applyAlignment="0" applyProtection="0"/>
    <xf numFmtId="0" fontId="25" fillId="8" borderId="203" applyNumberFormat="0" applyAlignment="0" applyProtection="0"/>
    <xf numFmtId="0" fontId="25" fillId="8" borderId="203" applyNumberFormat="0" applyAlignment="0" applyProtection="0"/>
    <xf numFmtId="0" fontId="25" fillId="8" borderId="203" applyNumberFormat="0" applyAlignment="0" applyProtection="0"/>
    <xf numFmtId="0" fontId="25" fillId="8" borderId="203" applyNumberFormat="0" applyAlignment="0" applyProtection="0"/>
    <xf numFmtId="0" fontId="25" fillId="8" borderId="203" applyNumberFormat="0" applyAlignment="0" applyProtection="0"/>
    <xf numFmtId="0" fontId="25" fillId="8" borderId="203" applyNumberFormat="0" applyAlignment="0" applyProtection="0"/>
    <xf numFmtId="0" fontId="25" fillId="8" borderId="203" applyNumberFormat="0" applyAlignment="0" applyProtection="0"/>
    <xf numFmtId="0" fontId="25" fillId="8" borderId="203" applyNumberFormat="0" applyAlignment="0" applyProtection="0"/>
    <xf numFmtId="0" fontId="25" fillId="8" borderId="203" applyNumberFormat="0" applyAlignment="0" applyProtection="0"/>
    <xf numFmtId="0" fontId="25" fillId="8" borderId="203" applyNumberFormat="0" applyAlignment="0" applyProtection="0"/>
    <xf numFmtId="0" fontId="25" fillId="8" borderId="203" applyNumberFormat="0" applyAlignment="0" applyProtection="0"/>
    <xf numFmtId="0" fontId="25" fillId="8" borderId="203" applyNumberFormat="0" applyAlignment="0" applyProtection="0"/>
    <xf numFmtId="0" fontId="25" fillId="8" borderId="203" applyNumberFormat="0" applyAlignment="0" applyProtection="0"/>
    <xf numFmtId="0" fontId="25" fillId="8" borderId="203" applyNumberFormat="0" applyAlignment="0" applyProtection="0"/>
    <xf numFmtId="0" fontId="25" fillId="8" borderId="203" applyNumberFormat="0" applyAlignment="0" applyProtection="0"/>
    <xf numFmtId="0" fontId="25" fillId="8" borderId="203" applyNumberFormat="0" applyAlignment="0" applyProtection="0"/>
    <xf numFmtId="0" fontId="25" fillId="8" borderId="203" applyNumberFormat="0" applyAlignment="0" applyProtection="0"/>
    <xf numFmtId="0" fontId="25" fillId="8" borderId="203" applyNumberFormat="0" applyAlignment="0" applyProtection="0"/>
    <xf numFmtId="0" fontId="25" fillId="8" borderId="203" applyNumberFormat="0" applyAlignment="0" applyProtection="0"/>
    <xf numFmtId="0" fontId="25" fillId="8" borderId="203" applyNumberFormat="0" applyAlignment="0" applyProtection="0"/>
    <xf numFmtId="0" fontId="25" fillId="8" borderId="203" applyNumberFormat="0" applyAlignment="0" applyProtection="0"/>
    <xf numFmtId="0" fontId="25" fillId="8" borderId="203" applyNumberFormat="0" applyAlignment="0" applyProtection="0"/>
    <xf numFmtId="0" fontId="25" fillId="8" borderId="203" applyNumberFormat="0" applyAlignment="0" applyProtection="0"/>
    <xf numFmtId="0" fontId="25" fillId="8" borderId="203" applyNumberFormat="0" applyAlignment="0" applyProtection="0"/>
    <xf numFmtId="0" fontId="25" fillId="8" borderId="203" applyNumberFormat="0" applyAlignment="0" applyProtection="0"/>
    <xf numFmtId="0" fontId="25" fillId="8" borderId="203" applyNumberFormat="0" applyAlignment="0" applyProtection="0"/>
    <xf numFmtId="0" fontId="25" fillId="8" borderId="203" applyNumberFormat="0" applyAlignment="0" applyProtection="0"/>
    <xf numFmtId="0" fontId="25" fillId="8" borderId="203" applyNumberFormat="0" applyAlignment="0" applyProtection="0"/>
    <xf numFmtId="0" fontId="25" fillId="8" borderId="203" applyNumberFormat="0" applyAlignment="0" applyProtection="0"/>
    <xf numFmtId="0" fontId="25" fillId="8" borderId="203" applyNumberFormat="0" applyAlignment="0" applyProtection="0"/>
    <xf numFmtId="0" fontId="25" fillId="8" borderId="203" applyNumberFormat="0" applyAlignment="0" applyProtection="0"/>
    <xf numFmtId="0" fontId="25" fillId="8" borderId="203" applyNumberFormat="0" applyAlignment="0" applyProtection="0"/>
    <xf numFmtId="0" fontId="84" fillId="73" borderId="207"/>
    <xf numFmtId="0" fontId="84" fillId="73" borderId="207"/>
    <xf numFmtId="0" fontId="84" fillId="73" borderId="207"/>
    <xf numFmtId="0" fontId="84" fillId="73" borderId="207"/>
    <xf numFmtId="0" fontId="84" fillId="73" borderId="207"/>
    <xf numFmtId="0" fontId="84" fillId="73" borderId="207"/>
    <xf numFmtId="0" fontId="84" fillId="73" borderId="207"/>
    <xf numFmtId="0" fontId="84" fillId="73" borderId="207"/>
    <xf numFmtId="0" fontId="84" fillId="73" borderId="207"/>
    <xf numFmtId="0" fontId="84" fillId="73" borderId="207"/>
    <xf numFmtId="0" fontId="84" fillId="73" borderId="207"/>
    <xf numFmtId="0" fontId="84" fillId="73" borderId="207"/>
    <xf numFmtId="0" fontId="84" fillId="73" borderId="207"/>
    <xf numFmtId="0" fontId="84" fillId="73" borderId="207"/>
    <xf numFmtId="0" fontId="84" fillId="73" borderId="207"/>
    <xf numFmtId="0" fontId="84" fillId="73" borderId="207"/>
    <xf numFmtId="0" fontId="84" fillId="73" borderId="207"/>
    <xf numFmtId="0" fontId="84" fillId="73" borderId="207"/>
    <xf numFmtId="0" fontId="84" fillId="73" borderId="207"/>
    <xf numFmtId="0" fontId="84" fillId="73" borderId="207"/>
    <xf numFmtId="0" fontId="84" fillId="73" borderId="207"/>
    <xf numFmtId="0" fontId="84" fillId="73" borderId="207"/>
    <xf numFmtId="0" fontId="84" fillId="73" borderId="207"/>
    <xf numFmtId="0" fontId="84" fillId="73" borderId="207"/>
    <xf numFmtId="0" fontId="84" fillId="73" borderId="207"/>
    <xf numFmtId="0" fontId="84" fillId="73" borderId="207"/>
    <xf numFmtId="0" fontId="84" fillId="73" borderId="207"/>
    <xf numFmtId="0" fontId="84" fillId="73" borderId="207"/>
    <xf numFmtId="0" fontId="84" fillId="73" borderId="207"/>
    <xf numFmtId="0" fontId="84" fillId="73" borderId="207"/>
    <xf numFmtId="0" fontId="84" fillId="73" borderId="207"/>
    <xf numFmtId="0" fontId="84" fillId="73" borderId="207"/>
    <xf numFmtId="0" fontId="84" fillId="73" borderId="207"/>
    <xf numFmtId="0" fontId="84" fillId="73" borderId="207"/>
    <xf numFmtId="0" fontId="84" fillId="73" borderId="207"/>
    <xf numFmtId="0" fontId="84" fillId="73" borderId="207"/>
    <xf numFmtId="0" fontId="84" fillId="73" borderId="207"/>
    <xf numFmtId="0" fontId="84" fillId="73" borderId="207"/>
    <xf numFmtId="0" fontId="84" fillId="73" borderId="207"/>
    <xf numFmtId="0" fontId="84" fillId="73" borderId="207"/>
    <xf numFmtId="0" fontId="84" fillId="73" borderId="207"/>
    <xf numFmtId="0" fontId="84" fillId="73" borderId="207"/>
    <xf numFmtId="0" fontId="84" fillId="73" borderId="207"/>
    <xf numFmtId="0" fontId="84" fillId="73" borderId="207"/>
    <xf numFmtId="0" fontId="84" fillId="73" borderId="207"/>
    <xf numFmtId="0" fontId="72" fillId="0" borderId="201" applyBorder="0">
      <alignment horizontal="center" vertical="center" wrapText="1"/>
    </xf>
    <xf numFmtId="0" fontId="72" fillId="0" borderId="201" applyBorder="0">
      <alignment horizontal="center" vertical="center" wrapText="1"/>
    </xf>
    <xf numFmtId="0" fontId="72" fillId="0" borderId="201" applyBorder="0">
      <alignment horizontal="center" vertical="center" wrapText="1"/>
    </xf>
    <xf numFmtId="0" fontId="72" fillId="0" borderId="201" applyBorder="0">
      <alignment horizontal="center" vertical="center" wrapText="1"/>
    </xf>
    <xf numFmtId="0" fontId="72" fillId="0" borderId="201" applyBorder="0">
      <alignment horizontal="center" vertical="center" wrapText="1"/>
    </xf>
    <xf numFmtId="0" fontId="72" fillId="0" borderId="201" applyBorder="0">
      <alignment horizontal="center" vertical="center" wrapText="1"/>
    </xf>
    <xf numFmtId="0" fontId="72" fillId="0" borderId="201" applyBorder="0">
      <alignment horizontal="center" vertical="center" wrapText="1"/>
    </xf>
    <xf numFmtId="0" fontId="72" fillId="0" borderId="201" applyBorder="0">
      <alignment horizontal="center" vertical="center" wrapText="1"/>
    </xf>
    <xf numFmtId="0" fontId="72" fillId="0" borderId="201" applyBorder="0">
      <alignment horizontal="center" vertical="center" wrapText="1"/>
    </xf>
    <xf numFmtId="0" fontId="72" fillId="0" borderId="201" applyBorder="0">
      <alignment horizontal="center" vertical="center" wrapText="1"/>
    </xf>
    <xf numFmtId="0" fontId="72" fillId="0" borderId="201" applyBorder="0">
      <alignment horizontal="center" vertical="center" wrapText="1"/>
    </xf>
    <xf numFmtId="0" fontId="72" fillId="0" borderId="201" applyBorder="0">
      <alignment horizontal="center" vertical="center" wrapText="1"/>
    </xf>
    <xf numFmtId="0" fontId="72" fillId="0" borderId="201" applyBorder="0">
      <alignment horizontal="center" vertical="center" wrapText="1"/>
    </xf>
    <xf numFmtId="0" fontId="72" fillId="0" borderId="201" applyBorder="0">
      <alignment horizontal="center" vertical="center" wrapText="1"/>
    </xf>
    <xf numFmtId="0" fontId="72" fillId="0" borderId="201" applyBorder="0">
      <alignment horizontal="center" vertical="center" wrapText="1"/>
    </xf>
    <xf numFmtId="0" fontId="72" fillId="0" borderId="201" applyBorder="0">
      <alignment horizontal="center" vertical="center" wrapText="1"/>
    </xf>
    <xf numFmtId="0" fontId="72" fillId="0" borderId="201" applyBorder="0">
      <alignment horizontal="center" vertical="center" wrapText="1"/>
    </xf>
    <xf numFmtId="0" fontId="72" fillId="0" borderId="201" applyBorder="0">
      <alignment horizontal="center" vertical="center" wrapText="1"/>
    </xf>
    <xf numFmtId="0" fontId="72" fillId="0" borderId="201" applyBorder="0">
      <alignment horizontal="center" vertical="center" wrapText="1"/>
    </xf>
    <xf numFmtId="0" fontId="72" fillId="0" borderId="201" applyBorder="0">
      <alignment horizontal="center" vertical="center" wrapText="1"/>
    </xf>
    <xf numFmtId="0" fontId="72" fillId="0" borderId="201" applyBorder="0">
      <alignment horizontal="center" vertical="center" wrapText="1"/>
    </xf>
    <xf numFmtId="0" fontId="72" fillId="0" borderId="201" applyBorder="0">
      <alignment horizontal="center" vertical="center" wrapText="1"/>
    </xf>
    <xf numFmtId="0" fontId="72" fillId="0" borderId="201" applyBorder="0">
      <alignment horizontal="center" vertical="center" wrapText="1"/>
    </xf>
    <xf numFmtId="0" fontId="72" fillId="0" borderId="201" applyBorder="0">
      <alignment horizontal="center" vertical="center" wrapText="1"/>
    </xf>
    <xf numFmtId="0" fontId="72" fillId="0" borderId="201" applyBorder="0">
      <alignment horizontal="center" vertical="center" wrapText="1"/>
    </xf>
    <xf numFmtId="0" fontId="72" fillId="0" borderId="201" applyBorder="0">
      <alignment horizontal="center" vertical="center" wrapText="1"/>
    </xf>
    <xf numFmtId="0" fontId="72" fillId="0" borderId="201" applyBorder="0">
      <alignment horizontal="center" vertical="center" wrapText="1"/>
    </xf>
    <xf numFmtId="0" fontId="72" fillId="0" borderId="201" applyBorder="0">
      <alignment horizontal="center" vertical="center" wrapText="1"/>
    </xf>
    <xf numFmtId="0" fontId="72" fillId="0" borderId="201" applyBorder="0">
      <alignment horizontal="center" vertical="center" wrapText="1"/>
    </xf>
    <xf numFmtId="0" fontId="72" fillId="0" borderId="201" applyBorder="0">
      <alignment horizontal="center" vertical="center" wrapText="1"/>
    </xf>
    <xf numFmtId="0" fontId="72" fillId="0" borderId="201" applyBorder="0">
      <alignment horizontal="center" vertical="center" wrapText="1"/>
    </xf>
    <xf numFmtId="0" fontId="72" fillId="0" borderId="201" applyBorder="0">
      <alignment horizontal="center" vertical="center" wrapText="1"/>
    </xf>
    <xf numFmtId="0" fontId="72" fillId="0" borderId="201" applyBorder="0">
      <alignment horizontal="center" vertical="center" wrapText="1"/>
    </xf>
    <xf numFmtId="0" fontId="72" fillId="0" borderId="201" applyBorder="0">
      <alignment horizontal="center" vertical="center" wrapText="1"/>
    </xf>
    <xf numFmtId="0" fontId="72" fillId="0" borderId="201" applyBorder="0">
      <alignment horizontal="center" vertical="center" wrapText="1"/>
    </xf>
    <xf numFmtId="0" fontId="72" fillId="0" borderId="201" applyBorder="0">
      <alignment horizontal="center" vertical="center" wrapText="1"/>
    </xf>
    <xf numFmtId="0" fontId="72" fillId="0" borderId="201" applyBorder="0">
      <alignment horizontal="center" vertical="center" wrapText="1"/>
    </xf>
    <xf numFmtId="0" fontId="72" fillId="0" borderId="201" applyBorder="0">
      <alignment horizontal="center" vertical="center" wrapText="1"/>
    </xf>
    <xf numFmtId="0" fontId="72" fillId="0" borderId="201" applyBorder="0">
      <alignment horizontal="center" vertical="center" wrapText="1"/>
    </xf>
    <xf numFmtId="0" fontId="72" fillId="0" borderId="201" applyBorder="0">
      <alignment horizontal="center" vertical="center" wrapText="1"/>
    </xf>
    <xf numFmtId="0" fontId="72" fillId="0" borderId="201" applyBorder="0">
      <alignment horizontal="center" vertical="center" wrapText="1"/>
    </xf>
    <xf numFmtId="0" fontId="72" fillId="0" borderId="201" applyBorder="0">
      <alignment horizontal="center" vertical="center" wrapText="1"/>
    </xf>
    <xf numFmtId="0" fontId="72" fillId="0" borderId="201" applyBorder="0">
      <alignment horizontal="center" vertical="center" wrapText="1"/>
    </xf>
    <xf numFmtId="0" fontId="72" fillId="0" borderId="201" applyBorder="0">
      <alignment horizontal="center" vertical="center" wrapText="1"/>
    </xf>
    <xf numFmtId="0" fontId="72" fillId="0" borderId="201" applyBorder="0">
      <alignment horizontal="center" vertical="center" wrapText="1"/>
    </xf>
    <xf numFmtId="0" fontId="72" fillId="0" borderId="201" applyBorder="0">
      <alignment horizontal="center" vertical="center" wrapText="1"/>
    </xf>
    <xf numFmtId="0" fontId="72" fillId="0" borderId="201" applyBorder="0">
      <alignment horizontal="center" vertical="center" wrapText="1"/>
    </xf>
    <xf numFmtId="0" fontId="72" fillId="0" borderId="201" applyBorder="0">
      <alignment horizontal="center" vertical="center" wrapText="1"/>
    </xf>
    <xf numFmtId="0" fontId="72" fillId="0" borderId="201" applyBorder="0">
      <alignment horizontal="center" vertical="center" wrapText="1"/>
    </xf>
    <xf numFmtId="0" fontId="72" fillId="0" borderId="201" applyBorder="0">
      <alignment horizontal="center" vertical="center" wrapText="1"/>
    </xf>
    <xf numFmtId="0" fontId="72" fillId="0" borderId="201" applyBorder="0">
      <alignment horizontal="center" vertical="center" wrapText="1"/>
    </xf>
    <xf numFmtId="0" fontId="72" fillId="0" borderId="201" applyBorder="0">
      <alignment horizontal="center" vertical="center" wrapText="1"/>
    </xf>
    <xf numFmtId="0" fontId="72" fillId="0" borderId="201" applyBorder="0">
      <alignment horizontal="center" vertical="center" wrapText="1"/>
    </xf>
    <xf numFmtId="0" fontId="72" fillId="0" borderId="201" applyBorder="0">
      <alignment horizontal="center" vertical="center" wrapText="1"/>
    </xf>
    <xf numFmtId="0" fontId="72" fillId="0" borderId="201" applyBorder="0">
      <alignment horizontal="center" vertical="center" wrapText="1"/>
    </xf>
    <xf numFmtId="0" fontId="72" fillId="0" borderId="201" applyBorder="0">
      <alignment horizontal="center" vertical="center" wrapText="1"/>
    </xf>
    <xf numFmtId="0" fontId="72" fillId="0" borderId="201" applyBorder="0">
      <alignment horizontal="center" vertical="center" wrapText="1"/>
    </xf>
    <xf numFmtId="0" fontId="72" fillId="0" borderId="201" applyBorder="0">
      <alignment horizontal="center" vertical="center" wrapText="1"/>
    </xf>
    <xf numFmtId="0" fontId="72" fillId="0" borderId="201" applyBorder="0">
      <alignment horizontal="center" vertical="center" wrapText="1"/>
    </xf>
    <xf numFmtId="0" fontId="72" fillId="0" borderId="201" applyBorder="0">
      <alignment horizontal="center" vertical="center" wrapText="1"/>
    </xf>
    <xf numFmtId="0" fontId="49" fillId="10" borderId="211" applyNumberFormat="0" applyFont="0" applyAlignment="0" applyProtection="0"/>
    <xf numFmtId="0" fontId="48" fillId="12" borderId="210" applyNumberFormat="0" applyAlignment="0" applyProtection="0"/>
    <xf numFmtId="0" fontId="25" fillId="8" borderId="210" applyNumberFormat="0" applyAlignment="0" applyProtection="0"/>
    <xf numFmtId="0" fontId="31" fillId="0" borderId="208" applyNumberFormat="0" applyFill="0" applyAlignment="0" applyProtection="0"/>
    <xf numFmtId="0" fontId="31" fillId="0" borderId="213" applyNumberFormat="0" applyFill="0" applyAlignment="0" applyProtection="0"/>
    <xf numFmtId="0" fontId="24" fillId="24" borderId="212" applyNumberFormat="0" applyAlignment="0" applyProtection="0"/>
    <xf numFmtId="0" fontId="8" fillId="10" borderId="211" applyNumberFormat="0" applyFont="0" applyAlignment="0" applyProtection="0"/>
    <xf numFmtId="0" fontId="41" fillId="13" borderId="210" applyNumberFormat="0" applyAlignment="0" applyProtection="0"/>
    <xf numFmtId="0" fontId="48" fillId="12" borderId="210" applyNumberFormat="0" applyAlignment="0" applyProtection="0"/>
    <xf numFmtId="0" fontId="48" fillId="24" borderId="210" applyNumberFormat="0" applyAlignment="0" applyProtection="0"/>
    <xf numFmtId="0" fontId="31" fillId="0" borderId="208" applyNumberFormat="0" applyFill="0" applyAlignment="0" applyProtection="0"/>
    <xf numFmtId="0" fontId="48" fillId="24" borderId="210" applyNumberFormat="0" applyAlignment="0" applyProtection="0"/>
    <xf numFmtId="0" fontId="49" fillId="10" borderId="211" applyNumberFormat="0" applyFont="0" applyAlignment="0" applyProtection="0"/>
    <xf numFmtId="0" fontId="29" fillId="12" borderId="209" applyNumberFormat="0" applyAlignment="0" applyProtection="0"/>
    <xf numFmtId="0" fontId="8" fillId="10" borderId="211" applyNumberFormat="0" applyFont="0" applyAlignment="0" applyProtection="0"/>
    <xf numFmtId="0" fontId="8" fillId="10" borderId="204" applyNumberFormat="0" applyFont="0" applyAlignment="0" applyProtection="0"/>
    <xf numFmtId="0" fontId="49" fillId="10" borderId="204" applyNumberFormat="0" applyFont="0" applyAlignment="0" applyProtection="0"/>
    <xf numFmtId="0" fontId="31" fillId="0" borderId="206" applyNumberFormat="0" applyFill="0" applyAlignment="0" applyProtection="0"/>
    <xf numFmtId="0" fontId="31" fillId="0" borderId="208" applyNumberFormat="0" applyFill="0" applyAlignment="0" applyProtection="0"/>
    <xf numFmtId="0" fontId="31" fillId="0" borderId="213" applyNumberFormat="0" applyFill="0" applyAlignment="0" applyProtection="0"/>
    <xf numFmtId="0" fontId="31" fillId="0" borderId="208" applyNumberFormat="0" applyFill="0" applyAlignment="0" applyProtection="0"/>
    <xf numFmtId="0" fontId="8" fillId="10" borderId="269" applyNumberFormat="0" applyFont="0" applyAlignment="0" applyProtection="0"/>
    <xf numFmtId="0" fontId="48" fillId="12" borderId="268" applyNumberFormat="0" applyAlignment="0" applyProtection="0"/>
    <xf numFmtId="0" fontId="28" fillId="0" borderId="298"/>
    <xf numFmtId="0" fontId="72" fillId="0" borderId="242" applyBorder="0">
      <alignment horizontal="center" vertical="center" wrapText="1"/>
    </xf>
    <xf numFmtId="0" fontId="84" fillId="0" borderId="234"/>
    <xf numFmtId="0" fontId="32" fillId="24" borderId="237" applyNumberFormat="0" applyAlignment="0" applyProtection="0"/>
    <xf numFmtId="0" fontId="31" fillId="0" borderId="241" applyNumberFormat="0" applyFill="0" applyAlignment="0" applyProtection="0"/>
    <xf numFmtId="0" fontId="49" fillId="10" borderId="238" applyNumberFormat="0" applyFont="0" applyAlignment="0" applyProtection="0"/>
    <xf numFmtId="0" fontId="72" fillId="0" borderId="242" applyBorder="0">
      <alignment horizontal="center" vertical="center" wrapText="1"/>
    </xf>
    <xf numFmtId="0" fontId="48" fillId="24" borderId="237" applyNumberFormat="0" applyAlignment="0" applyProtection="0"/>
    <xf numFmtId="0" fontId="28" fillId="10" borderId="238" applyNumberFormat="0" applyFont="0" applyAlignment="0" applyProtection="0"/>
    <xf numFmtId="0" fontId="49" fillId="10" borderId="238" applyNumberFormat="0" applyFont="0" applyAlignment="0" applyProtection="0"/>
    <xf numFmtId="0" fontId="49" fillId="10" borderId="238" applyNumberFormat="0" applyFont="0" applyAlignment="0" applyProtection="0"/>
    <xf numFmtId="0" fontId="84" fillId="0" borderId="234"/>
    <xf numFmtId="0" fontId="49" fillId="10" borderId="238" applyNumberFormat="0" applyFont="0" applyAlignment="0" applyProtection="0"/>
    <xf numFmtId="0" fontId="49" fillId="10" borderId="244" applyNumberFormat="0" applyFont="0" applyAlignment="0" applyProtection="0"/>
    <xf numFmtId="0" fontId="28" fillId="10" borderId="269" applyNumberFormat="0" applyFont="0" applyAlignment="0" applyProtection="0"/>
    <xf numFmtId="0" fontId="8" fillId="45" borderId="299" applyNumberFormat="0" applyFont="0" applyAlignment="0" applyProtection="0"/>
    <xf numFmtId="0" fontId="24" fillId="24" borderId="263" applyNumberFormat="0" applyAlignment="0" applyProtection="0"/>
    <xf numFmtId="0" fontId="8" fillId="10" borderId="269" applyNumberFormat="0" applyFont="0" applyAlignment="0" applyProtection="0"/>
    <xf numFmtId="0" fontId="29" fillId="12" borderId="250" applyNumberFormat="0" applyAlignment="0" applyProtection="0"/>
    <xf numFmtId="0" fontId="25" fillId="8" borderId="268" applyNumberFormat="0" applyAlignment="0" applyProtection="0"/>
    <xf numFmtId="0" fontId="29" fillId="24" borderId="271" applyNumberFormat="0" applyAlignment="0" applyProtection="0"/>
    <xf numFmtId="0" fontId="31" fillId="0" borderId="227" applyNumberFormat="0" applyFill="0" applyAlignment="0" applyProtection="0"/>
    <xf numFmtId="0" fontId="8" fillId="10" borderId="222" applyNumberFormat="0" applyFont="0" applyAlignment="0" applyProtection="0"/>
    <xf numFmtId="0" fontId="31" fillId="0" borderId="219" applyNumberFormat="0" applyFill="0" applyAlignment="0" applyProtection="0"/>
    <xf numFmtId="0" fontId="24" fillId="24" borderId="223" applyNumberFormat="0" applyAlignment="0" applyProtection="0"/>
    <xf numFmtId="0" fontId="8" fillId="10" borderId="222" applyNumberFormat="0" applyFont="0" applyAlignment="0" applyProtection="0"/>
    <xf numFmtId="0" fontId="48" fillId="24" borderId="221" applyNumberFormat="0" applyAlignment="0" applyProtection="0"/>
    <xf numFmtId="0" fontId="29" fillId="24" borderId="220" applyNumberFormat="0" applyAlignment="0" applyProtection="0"/>
    <xf numFmtId="0" fontId="84" fillId="0" borderId="247"/>
    <xf numFmtId="0" fontId="8" fillId="10" borderId="244" applyNumberFormat="0" applyFont="0" applyAlignment="0" applyProtection="0"/>
    <xf numFmtId="0" fontId="28" fillId="10" borderId="301" applyNumberFormat="0" applyFont="0" applyAlignment="0" applyProtection="0"/>
    <xf numFmtId="0" fontId="28" fillId="10" borderId="244" applyNumberFormat="0" applyFont="0" applyAlignment="0" applyProtection="0"/>
    <xf numFmtId="0" fontId="8" fillId="10" borderId="292" applyNumberFormat="0" applyFont="0" applyAlignment="0" applyProtection="0"/>
    <xf numFmtId="0" fontId="31" fillId="0" borderId="249" applyNumberFormat="0" applyFill="0" applyAlignment="0" applyProtection="0"/>
    <xf numFmtId="0" fontId="31" fillId="0" borderId="249" applyNumberFormat="0" applyFill="0" applyAlignment="0" applyProtection="0"/>
    <xf numFmtId="0" fontId="48" fillId="12" borderId="268" applyNumberFormat="0" applyAlignment="0" applyProtection="0"/>
    <xf numFmtId="0" fontId="29" fillId="24" borderId="260" applyNumberFormat="0" applyAlignment="0" applyProtection="0"/>
    <xf numFmtId="0" fontId="16" fillId="24" borderId="237" applyNumberFormat="0" applyAlignment="0" applyProtection="0"/>
    <xf numFmtId="0" fontId="72" fillId="0" borderId="288" applyBorder="0">
      <alignment horizontal="center" vertical="center" wrapText="1"/>
    </xf>
    <xf numFmtId="0" fontId="28" fillId="10" borderId="238" applyNumberFormat="0" applyFont="0" applyAlignment="0" applyProtection="0"/>
    <xf numFmtId="0" fontId="48" fillId="12" borderId="237" applyNumberFormat="0" applyAlignment="0" applyProtection="0"/>
    <xf numFmtId="0" fontId="29" fillId="12" borderId="220" applyNumberFormat="0" applyAlignment="0" applyProtection="0"/>
    <xf numFmtId="0" fontId="8" fillId="10" borderId="244" applyNumberFormat="0" applyFont="0" applyAlignment="0" applyProtection="0"/>
    <xf numFmtId="0" fontId="16" fillId="24" borderId="268" applyNumberFormat="0" applyAlignment="0" applyProtection="0"/>
    <xf numFmtId="0" fontId="31" fillId="0" borderId="313" applyNumberFormat="0" applyFill="0" applyAlignment="0" applyProtection="0"/>
    <xf numFmtId="0" fontId="25" fillId="8" borderId="237" applyNumberFormat="0" applyAlignment="0" applyProtection="0"/>
    <xf numFmtId="0" fontId="49" fillId="10" borderId="238" applyNumberFormat="0" applyFont="0" applyAlignment="0" applyProtection="0"/>
    <xf numFmtId="0" fontId="24" fillId="24" borderId="270" applyNumberFormat="0" applyAlignment="0" applyProtection="0"/>
    <xf numFmtId="0" fontId="29" fillId="12" borderId="250" applyNumberFormat="0" applyAlignment="0" applyProtection="0"/>
    <xf numFmtId="0" fontId="31" fillId="0" borderId="249" applyNumberFormat="0" applyFill="0" applyAlignment="0" applyProtection="0"/>
    <xf numFmtId="0" fontId="31" fillId="0" borderId="219" applyNumberFormat="0" applyFill="0" applyAlignment="0" applyProtection="0"/>
    <xf numFmtId="0" fontId="8" fillId="10" borderId="269" applyNumberFormat="0" applyFont="0" applyAlignment="0" applyProtection="0"/>
    <xf numFmtId="0" fontId="8" fillId="10" borderId="244" applyNumberFormat="0" applyFont="0" applyAlignment="0" applyProtection="0"/>
    <xf numFmtId="0" fontId="72" fillId="0" borderId="228" applyBorder="0">
      <alignment horizontal="center" vertical="center" wrapText="1"/>
    </xf>
    <xf numFmtId="0" fontId="24" fillId="24" borderId="293" applyNumberFormat="0" applyAlignment="0" applyProtection="0"/>
    <xf numFmtId="0" fontId="28" fillId="0" borderId="234"/>
    <xf numFmtId="0" fontId="84" fillId="73" borderId="298"/>
    <xf numFmtId="0" fontId="31" fillId="0" borderId="241" applyNumberFormat="0" applyFill="0" applyAlignment="0" applyProtection="0"/>
    <xf numFmtId="0" fontId="48" fillId="24" borderId="291" applyNumberFormat="0" applyAlignment="0" applyProtection="0"/>
    <xf numFmtId="0" fontId="25" fillId="8" borderId="237" applyNumberFormat="0" applyAlignment="0" applyProtection="0"/>
    <xf numFmtId="0" fontId="25" fillId="13" borderId="237" applyNumberFormat="0" applyAlignment="0" applyProtection="0"/>
    <xf numFmtId="0" fontId="25" fillId="13" borderId="237" applyNumberFormat="0" applyAlignment="0" applyProtection="0"/>
    <xf numFmtId="0" fontId="28" fillId="10" borderId="238" applyNumberFormat="0" applyFont="0" applyAlignment="0" applyProtection="0"/>
    <xf numFmtId="0" fontId="25" fillId="8" borderId="291" applyNumberFormat="0" applyAlignment="0" applyProtection="0"/>
    <xf numFmtId="0" fontId="16" fillId="24" borderId="237" applyNumberFormat="0" applyAlignment="0" applyProtection="0"/>
    <xf numFmtId="0" fontId="31" fillId="0" borderId="319" applyNumberFormat="0" applyFill="0" applyAlignment="0" applyProtection="0"/>
    <xf numFmtId="0" fontId="49" fillId="10" borderId="269" applyNumberFormat="0" applyFont="0" applyAlignment="0" applyProtection="0"/>
    <xf numFmtId="0" fontId="29" fillId="24" borderId="271" applyNumberFormat="0" applyAlignment="0" applyProtection="0"/>
    <xf numFmtId="0" fontId="84" fillId="73" borderId="275"/>
    <xf numFmtId="0" fontId="31" fillId="0" borderId="273" applyNumberFormat="0" applyFill="0" applyAlignment="0" applyProtection="0"/>
    <xf numFmtId="0" fontId="49" fillId="10" borderId="269" applyNumberFormat="0" applyFont="0" applyAlignment="0" applyProtection="0"/>
    <xf numFmtId="0" fontId="25" fillId="13" borderId="277" applyNumberFormat="0" applyAlignment="0" applyProtection="0"/>
    <xf numFmtId="0" fontId="18" fillId="10" borderId="244" applyNumberFormat="0" applyFont="0" applyAlignment="0" applyProtection="0"/>
    <xf numFmtId="0" fontId="8" fillId="10" borderId="292" applyNumberFormat="0" applyFont="0" applyAlignment="0" applyProtection="0"/>
    <xf numFmtId="0" fontId="8" fillId="10" borderId="324" applyNumberFormat="0" applyFont="0" applyAlignment="0" applyProtection="0"/>
    <xf numFmtId="0" fontId="8" fillId="10" borderId="238" applyNumberFormat="0" applyFont="0" applyAlignment="0" applyProtection="0"/>
    <xf numFmtId="0" fontId="25" fillId="13" borderId="307" applyNumberFormat="0" applyAlignment="0" applyProtection="0"/>
    <xf numFmtId="0" fontId="48" fillId="12" borderId="237" applyNumberFormat="0" applyAlignment="0" applyProtection="0"/>
    <xf numFmtId="0" fontId="49" fillId="10" borderId="238" applyNumberFormat="0" applyFont="0" applyAlignment="0" applyProtection="0"/>
    <xf numFmtId="0" fontId="31" fillId="0" borderId="240" applyNumberFormat="0" applyFill="0" applyAlignment="0" applyProtection="0"/>
    <xf numFmtId="0" fontId="28" fillId="10" borderId="238" applyNumberFormat="0" applyFont="0" applyAlignment="0" applyProtection="0"/>
    <xf numFmtId="0" fontId="28" fillId="10" borderId="238" applyNumberFormat="0" applyFont="0" applyAlignment="0" applyProtection="0"/>
    <xf numFmtId="0" fontId="84" fillId="0" borderId="321"/>
    <xf numFmtId="0" fontId="32" fillId="24" borderId="210" applyNumberFormat="0" applyAlignment="0" applyProtection="0"/>
    <xf numFmtId="0" fontId="16" fillId="24" borderId="210" applyNumberFormat="0" applyAlignment="0" applyProtection="0"/>
    <xf numFmtId="0" fontId="16" fillId="24" borderId="210" applyNumberFormat="0" applyAlignment="0" applyProtection="0"/>
    <xf numFmtId="0" fontId="16" fillId="24" borderId="210" applyNumberFormat="0" applyAlignment="0" applyProtection="0"/>
    <xf numFmtId="0" fontId="72" fillId="0" borderId="265" applyBorder="0">
      <alignment horizontal="center" vertical="center" wrapText="1"/>
    </xf>
    <xf numFmtId="0" fontId="28" fillId="0" borderId="275"/>
    <xf numFmtId="0" fontId="49" fillId="10" borderId="238" applyNumberFormat="0" applyFont="0" applyAlignment="0" applyProtection="0"/>
    <xf numFmtId="0" fontId="84" fillId="0" borderId="234"/>
    <xf numFmtId="0" fontId="31" fillId="0" borderId="241" applyNumberFormat="0" applyFill="0" applyAlignment="0" applyProtection="0"/>
    <xf numFmtId="0" fontId="8" fillId="10" borderId="238" applyNumberFormat="0" applyFont="0" applyAlignment="0" applyProtection="0"/>
    <xf numFmtId="0" fontId="29" fillId="12" borderId="317" applyNumberFormat="0" applyAlignment="0" applyProtection="0"/>
    <xf numFmtId="0" fontId="49" fillId="10" borderId="238" applyNumberFormat="0" applyFont="0" applyAlignment="0" applyProtection="0"/>
    <xf numFmtId="0" fontId="48" fillId="24" borderId="237" applyNumberFormat="0" applyAlignment="0" applyProtection="0"/>
    <xf numFmtId="0" fontId="16" fillId="24" borderId="237" applyNumberFormat="0" applyAlignment="0" applyProtection="0"/>
    <xf numFmtId="0" fontId="25" fillId="13" borderId="237" applyNumberFormat="0" applyAlignment="0" applyProtection="0"/>
    <xf numFmtId="0" fontId="28" fillId="0" borderId="234"/>
    <xf numFmtId="0" fontId="72" fillId="0" borderId="242" applyBorder="0">
      <alignment horizontal="center" vertical="center" wrapText="1"/>
    </xf>
    <xf numFmtId="0" fontId="8" fillId="10" borderId="278" applyNumberFormat="0" applyFont="0" applyAlignment="0" applyProtection="0"/>
    <xf numFmtId="0" fontId="24" fillId="24" borderId="270" applyNumberFormat="0" applyAlignment="0" applyProtection="0"/>
    <xf numFmtId="0" fontId="84" fillId="0" borderId="321"/>
    <xf numFmtId="0" fontId="25" fillId="8" borderId="314" applyNumberFormat="0" applyAlignment="0" applyProtection="0"/>
    <xf numFmtId="0" fontId="49" fillId="10" borderId="244" applyNumberFormat="0" applyFont="0" applyAlignment="0" applyProtection="0"/>
    <xf numFmtId="0" fontId="72" fillId="0" borderId="297" applyBorder="0">
      <alignment horizontal="center" vertical="center" wrapText="1"/>
    </xf>
    <xf numFmtId="0" fontId="49" fillId="10" borderId="292" applyNumberFormat="0" applyFont="0" applyAlignment="0" applyProtection="0"/>
    <xf numFmtId="0" fontId="29" fillId="24" borderId="294" applyNumberFormat="0" applyAlignment="0" applyProtection="0"/>
    <xf numFmtId="0" fontId="8" fillId="10" borderId="244" applyNumberFormat="0" applyFont="0" applyAlignment="0" applyProtection="0"/>
    <xf numFmtId="0" fontId="41" fillId="13" borderId="210" applyNumberFormat="0" applyAlignment="0" applyProtection="0"/>
    <xf numFmtId="0" fontId="25" fillId="13" borderId="210" applyNumberFormat="0" applyAlignment="0" applyProtection="0"/>
    <xf numFmtId="0" fontId="25" fillId="13" borderId="210" applyNumberFormat="0" applyAlignment="0" applyProtection="0"/>
    <xf numFmtId="0" fontId="25" fillId="13" borderId="210" applyNumberFormat="0" applyAlignment="0" applyProtection="0"/>
    <xf numFmtId="0" fontId="72" fillId="0" borderId="201" applyBorder="0">
      <alignment horizontal="center" vertical="center" wrapText="1"/>
    </xf>
    <xf numFmtId="0" fontId="31" fillId="0" borderId="272" applyNumberFormat="0" applyFill="0" applyAlignment="0" applyProtection="0"/>
    <xf numFmtId="0" fontId="31" fillId="0" borderId="267" applyNumberFormat="0" applyFill="0" applyAlignment="0" applyProtection="0"/>
    <xf numFmtId="0" fontId="41" fillId="13" borderId="268" applyNumberFormat="0" applyAlignment="0" applyProtection="0"/>
    <xf numFmtId="0" fontId="8" fillId="10" borderId="269" applyNumberFormat="0" applyFont="0" applyAlignment="0" applyProtection="0"/>
    <xf numFmtId="0" fontId="16" fillId="24" borderId="268" applyNumberFormat="0" applyAlignment="0" applyProtection="0"/>
    <xf numFmtId="0" fontId="25" fillId="13" borderId="291" applyNumberFormat="0" applyAlignment="0" applyProtection="0"/>
    <xf numFmtId="0" fontId="28" fillId="0" borderId="234"/>
    <xf numFmtId="0" fontId="31" fillId="0" borderId="241" applyNumberFormat="0" applyFill="0" applyAlignment="0" applyProtection="0"/>
    <xf numFmtId="0" fontId="48" fillId="12" borderId="314" applyNumberFormat="0" applyAlignment="0" applyProtection="0"/>
    <xf numFmtId="0" fontId="32" fillId="24" borderId="323" applyNumberFormat="0" applyAlignment="0" applyProtection="0"/>
    <xf numFmtId="0" fontId="18" fillId="10" borderId="324" applyNumberFormat="0" applyFont="0" applyAlignment="0" applyProtection="0"/>
    <xf numFmtId="0" fontId="49" fillId="10" borderId="324" applyNumberFormat="0" applyFont="0" applyAlignment="0" applyProtection="0"/>
    <xf numFmtId="0" fontId="18" fillId="10" borderId="278" applyNumberFormat="0" applyFont="0" applyAlignment="0" applyProtection="0"/>
    <xf numFmtId="0" fontId="31" fillId="0" borderId="313" applyNumberFormat="0" applyFill="0" applyAlignment="0" applyProtection="0"/>
    <xf numFmtId="0" fontId="16" fillId="24" borderId="314" applyNumberFormat="0" applyAlignment="0" applyProtection="0"/>
    <xf numFmtId="0" fontId="31" fillId="0" borderId="272" applyNumberFormat="0" applyFill="0" applyAlignment="0" applyProtection="0"/>
    <xf numFmtId="0" fontId="8" fillId="10" borderId="269" applyNumberFormat="0" applyFont="0" applyAlignment="0" applyProtection="0"/>
    <xf numFmtId="0" fontId="48" fillId="24" borderId="314" applyNumberFormat="0" applyAlignment="0" applyProtection="0"/>
    <xf numFmtId="0" fontId="48" fillId="24" borderId="268" applyNumberFormat="0" applyAlignment="0" applyProtection="0"/>
    <xf numFmtId="0" fontId="28" fillId="10" borderId="278" applyNumberFormat="0" applyFont="0" applyAlignment="0" applyProtection="0"/>
    <xf numFmtId="0" fontId="25" fillId="8" borderId="314" applyNumberFormat="0" applyAlignment="0" applyProtection="0"/>
    <xf numFmtId="0" fontId="31" fillId="0" borderId="252" applyNumberFormat="0" applyFill="0" applyAlignment="0" applyProtection="0"/>
    <xf numFmtId="0" fontId="29" fillId="24" borderId="250" applyNumberFormat="0" applyAlignment="0" applyProtection="0"/>
    <xf numFmtId="0" fontId="49" fillId="10" borderId="244" applyNumberFormat="0" applyFont="0" applyAlignment="0" applyProtection="0"/>
    <xf numFmtId="0" fontId="31" fillId="0" borderId="252" applyNumberFormat="0" applyFill="0" applyAlignment="0" applyProtection="0"/>
    <xf numFmtId="0" fontId="31" fillId="0" borderId="252" applyNumberFormat="0" applyFill="0" applyAlignment="0" applyProtection="0"/>
    <xf numFmtId="0" fontId="31" fillId="0" borderId="252" applyNumberFormat="0" applyFill="0" applyAlignment="0" applyProtection="0"/>
    <xf numFmtId="0" fontId="8" fillId="10" borderId="244" applyNumberFormat="0" applyFont="0" applyAlignment="0" applyProtection="0"/>
    <xf numFmtId="0" fontId="28" fillId="10" borderId="285" applyNumberFormat="0" applyFont="0" applyAlignment="0" applyProtection="0"/>
    <xf numFmtId="0" fontId="24" fillId="24" borderId="316" applyNumberFormat="0" applyAlignment="0" applyProtection="0"/>
    <xf numFmtId="0" fontId="32" fillId="24" borderId="291" applyNumberFormat="0" applyAlignment="0" applyProtection="0"/>
    <xf numFmtId="0" fontId="8" fillId="10" borderId="269" applyNumberFormat="0" applyFont="0" applyAlignment="0" applyProtection="0"/>
    <xf numFmtId="0" fontId="25" fillId="13" borderId="221" applyNumberFormat="0" applyAlignment="0" applyProtection="0"/>
    <xf numFmtId="0" fontId="31" fillId="0" borderId="219" applyNumberFormat="0" applyFill="0" applyAlignment="0" applyProtection="0"/>
    <xf numFmtId="0" fontId="72" fillId="0" borderId="225" applyBorder="0">
      <alignment horizontal="center" vertical="center" wrapText="1"/>
    </xf>
    <xf numFmtId="0" fontId="25" fillId="8" borderId="221" applyNumberFormat="0" applyAlignment="0" applyProtection="0"/>
    <xf numFmtId="0" fontId="25" fillId="13" borderId="221" applyNumberFormat="0" applyAlignment="0" applyProtection="0"/>
    <xf numFmtId="0" fontId="49" fillId="10" borderId="222" applyNumberFormat="0" applyFont="0" applyAlignment="0" applyProtection="0"/>
    <xf numFmtId="0" fontId="72" fillId="0" borderId="225" applyBorder="0">
      <alignment horizontal="center" vertical="center" wrapText="1"/>
    </xf>
    <xf numFmtId="0" fontId="31" fillId="0" borderId="224" applyNumberFormat="0" applyFill="0" applyAlignment="0" applyProtection="0"/>
    <xf numFmtId="0" fontId="31" fillId="0" borderId="224" applyNumberFormat="0" applyFill="0" applyAlignment="0" applyProtection="0"/>
    <xf numFmtId="0" fontId="49" fillId="10" borderId="222" applyNumberFormat="0" applyFont="0" applyAlignment="0" applyProtection="0"/>
    <xf numFmtId="0" fontId="8" fillId="10" borderId="222" applyNumberFormat="0" applyFont="0" applyAlignment="0" applyProtection="0"/>
    <xf numFmtId="0" fontId="25" fillId="8" borderId="221" applyNumberFormat="0" applyAlignment="0" applyProtection="0"/>
    <xf numFmtId="0" fontId="41" fillId="13" borderId="221" applyNumberFormat="0" applyAlignment="0" applyProtection="0"/>
    <xf numFmtId="0" fontId="31" fillId="0" borderId="227" applyNumberFormat="0" applyFill="0" applyAlignment="0" applyProtection="0"/>
    <xf numFmtId="0" fontId="31" fillId="0" borderId="226" applyNumberFormat="0" applyFill="0" applyAlignment="0" applyProtection="0"/>
    <xf numFmtId="0" fontId="41" fillId="13" borderId="221" applyNumberFormat="0" applyAlignment="0" applyProtection="0"/>
    <xf numFmtId="0" fontId="16" fillId="24" borderId="221" applyNumberFormat="0" applyAlignment="0" applyProtection="0"/>
    <xf numFmtId="0" fontId="31" fillId="0" borderId="227" applyNumberFormat="0" applyFill="0" applyAlignment="0" applyProtection="0"/>
    <xf numFmtId="0" fontId="31" fillId="0" borderId="227" applyNumberFormat="0" applyFill="0" applyAlignment="0" applyProtection="0"/>
    <xf numFmtId="0" fontId="31" fillId="0" borderId="227" applyNumberFormat="0" applyFill="0" applyAlignment="0" applyProtection="0"/>
    <xf numFmtId="0" fontId="28" fillId="0" borderId="275"/>
    <xf numFmtId="0" fontId="84" fillId="73" borderId="321"/>
    <xf numFmtId="0" fontId="24" fillId="24" borderId="256" applyNumberFormat="0" applyAlignment="0" applyProtection="0"/>
    <xf numFmtId="0" fontId="31" fillId="0" borderId="246" applyNumberFormat="0" applyFill="0" applyAlignment="0" applyProtection="0"/>
    <xf numFmtId="0" fontId="31" fillId="0" borderId="252" applyNumberFormat="0" applyFill="0" applyAlignment="0" applyProtection="0"/>
    <xf numFmtId="0" fontId="49" fillId="10" borderId="244" applyNumberFormat="0" applyFont="0" applyAlignment="0" applyProtection="0"/>
    <xf numFmtId="0" fontId="24" fillId="24" borderId="223" applyNumberFormat="0" applyAlignment="0" applyProtection="0"/>
    <xf numFmtId="0" fontId="49" fillId="10" borderId="222" applyNumberFormat="0" applyFont="0" applyAlignment="0" applyProtection="0"/>
    <xf numFmtId="0" fontId="48" fillId="24" borderId="221" applyNumberFormat="0" applyAlignment="0" applyProtection="0"/>
    <xf numFmtId="0" fontId="48" fillId="24" borderId="221" applyNumberFormat="0" applyAlignment="0" applyProtection="0"/>
    <xf numFmtId="0" fontId="32" fillId="24" borderId="268" applyNumberFormat="0" applyAlignment="0" applyProtection="0"/>
    <xf numFmtId="0" fontId="18" fillId="10" borderId="211" applyNumberFormat="0" applyFont="0" applyAlignment="0" applyProtection="0"/>
    <xf numFmtId="0" fontId="28" fillId="10" borderId="211" applyNumberFormat="0" applyFont="0" applyAlignment="0" applyProtection="0"/>
    <xf numFmtId="0" fontId="28" fillId="10" borderId="211" applyNumberFormat="0" applyFont="0" applyAlignment="0" applyProtection="0"/>
    <xf numFmtId="0" fontId="8" fillId="10" borderId="211" applyNumberFormat="0" applyFont="0" applyAlignment="0" applyProtection="0"/>
    <xf numFmtId="0" fontId="28" fillId="10" borderId="211" applyNumberFormat="0" applyFont="0" applyAlignment="0" applyProtection="0"/>
    <xf numFmtId="0" fontId="29" fillId="24" borderId="250" applyNumberFormat="0" applyAlignment="0" applyProtection="0"/>
    <xf numFmtId="0" fontId="24" fillId="24" borderId="212" applyNumberFormat="0" applyAlignment="0" applyProtection="0"/>
    <xf numFmtId="0" fontId="29" fillId="24" borderId="209" applyNumberFormat="0" applyAlignment="0" applyProtection="0"/>
    <xf numFmtId="0" fontId="29" fillId="24" borderId="209" applyNumberFormat="0" applyAlignment="0" applyProtection="0"/>
    <xf numFmtId="0" fontId="29" fillId="24" borderId="209" applyNumberFormat="0" applyAlignment="0" applyProtection="0"/>
    <xf numFmtId="0" fontId="72" fillId="0" borderId="225" applyBorder="0">
      <alignment horizontal="center" vertical="center" wrapText="1"/>
    </xf>
    <xf numFmtId="0" fontId="29" fillId="24" borderId="250" applyNumberFormat="0" applyAlignment="0" applyProtection="0"/>
    <xf numFmtId="0" fontId="24" fillId="24" borderId="245" applyNumberFormat="0" applyAlignment="0" applyProtection="0"/>
    <xf numFmtId="0" fontId="31" fillId="0" borderId="246" applyNumberFormat="0" applyFill="0" applyAlignment="0" applyProtection="0"/>
    <xf numFmtId="0" fontId="31" fillId="0" borderId="318" applyNumberFormat="0" applyFill="0" applyAlignment="0" applyProtection="0"/>
    <xf numFmtId="0" fontId="48" fillId="24" borderId="210" applyNumberFormat="0" applyAlignment="0" applyProtection="0"/>
    <xf numFmtId="0" fontId="48" fillId="24" borderId="210" applyNumberFormat="0" applyAlignment="0" applyProtection="0"/>
    <xf numFmtId="0" fontId="48" fillId="12" borderId="210" applyNumberFormat="0" applyAlignment="0" applyProtection="0"/>
    <xf numFmtId="0" fontId="48" fillId="12" borderId="210" applyNumberFormat="0" applyAlignment="0" applyProtection="0"/>
    <xf numFmtId="0" fontId="48" fillId="12" borderId="314" applyNumberFormat="0" applyAlignment="0" applyProtection="0"/>
    <xf numFmtId="0" fontId="41" fillId="13" borderId="210" applyNumberFormat="0" applyAlignment="0" applyProtection="0"/>
    <xf numFmtId="0" fontId="25" fillId="8" borderId="210" applyNumberFormat="0" applyAlignment="0" applyProtection="0"/>
    <xf numFmtId="0" fontId="8" fillId="10" borderId="211" applyNumberFormat="0" applyFont="0" applyAlignment="0" applyProtection="0"/>
    <xf numFmtId="0" fontId="8" fillId="10" borderId="211" applyNumberFormat="0" applyFont="0" applyAlignment="0" applyProtection="0"/>
    <xf numFmtId="0" fontId="49" fillId="10" borderId="211" applyNumberFormat="0" applyFont="0" applyAlignment="0" applyProtection="0"/>
    <xf numFmtId="0" fontId="49" fillId="10" borderId="211" applyNumberFormat="0" applyFont="0" applyAlignment="0" applyProtection="0"/>
    <xf numFmtId="0" fontId="24" fillId="24" borderId="212" applyNumberFormat="0" applyAlignment="0" applyProtection="0"/>
    <xf numFmtId="0" fontId="29" fillId="12" borderId="209" applyNumberFormat="0" applyAlignment="0" applyProtection="0"/>
    <xf numFmtId="0" fontId="49" fillId="10" borderId="269" applyNumberFormat="0" applyFont="0" applyAlignment="0" applyProtection="0"/>
    <xf numFmtId="0" fontId="31" fillId="0" borderId="213" applyNumberFormat="0" applyFill="0" applyAlignment="0" applyProtection="0"/>
    <xf numFmtId="0" fontId="31" fillId="0" borderId="213" applyNumberFormat="0" applyFill="0" applyAlignment="0" applyProtection="0"/>
    <xf numFmtId="0" fontId="31" fillId="0" borderId="208" applyNumberFormat="0" applyFill="0" applyAlignment="0" applyProtection="0"/>
    <xf numFmtId="0" fontId="31" fillId="0" borderId="208" applyNumberFormat="0" applyFill="0" applyAlignment="0" applyProtection="0"/>
    <xf numFmtId="0" fontId="32" fillId="24" borderId="210" applyNumberFormat="0" applyAlignment="0" applyProtection="0"/>
    <xf numFmtId="0" fontId="16" fillId="24" borderId="210" applyNumberFormat="0" applyAlignment="0" applyProtection="0"/>
    <xf numFmtId="0" fontId="16" fillId="24" borderId="210" applyNumberFormat="0" applyAlignment="0" applyProtection="0"/>
    <xf numFmtId="0" fontId="16" fillId="24" borderId="210" applyNumberFormat="0" applyAlignment="0" applyProtection="0"/>
    <xf numFmtId="0" fontId="41" fillId="13" borderId="210" applyNumberFormat="0" applyAlignment="0" applyProtection="0"/>
    <xf numFmtId="0" fontId="25" fillId="13" borderId="210" applyNumberFormat="0" applyAlignment="0" applyProtection="0"/>
    <xf numFmtId="0" fontId="25" fillId="13" borderId="210" applyNumberFormat="0" applyAlignment="0" applyProtection="0"/>
    <xf numFmtId="0" fontId="25" fillId="13" borderId="210" applyNumberFormat="0" applyAlignment="0" applyProtection="0"/>
    <xf numFmtId="0" fontId="24" fillId="24" borderId="239" applyNumberFormat="0" applyAlignment="0" applyProtection="0"/>
    <xf numFmtId="0" fontId="18" fillId="10" borderId="211" applyNumberFormat="0" applyFont="0" applyAlignment="0" applyProtection="0"/>
    <xf numFmtId="0" fontId="28" fillId="10" borderId="211" applyNumberFormat="0" applyFont="0" applyAlignment="0" applyProtection="0"/>
    <xf numFmtId="0" fontId="28" fillId="10" borderId="211" applyNumberFormat="0" applyFont="0" applyAlignment="0" applyProtection="0"/>
    <xf numFmtId="0" fontId="8" fillId="10" borderId="211" applyNumberFormat="0" applyFont="0" applyAlignment="0" applyProtection="0"/>
    <xf numFmtId="0" fontId="28" fillId="10" borderId="211" applyNumberFormat="0" applyFont="0" applyAlignment="0" applyProtection="0"/>
    <xf numFmtId="0" fontId="24" fillId="24" borderId="212" applyNumberFormat="0" applyAlignment="0" applyProtection="0"/>
    <xf numFmtId="0" fontId="29" fillId="24" borderId="209" applyNumberFormat="0" applyAlignment="0" applyProtection="0"/>
    <xf numFmtId="0" fontId="29" fillId="24" borderId="209" applyNumberFormat="0" applyAlignment="0" applyProtection="0"/>
    <xf numFmtId="0" fontId="29" fillId="24" borderId="209" applyNumberFormat="0" applyAlignment="0" applyProtection="0"/>
    <xf numFmtId="0" fontId="8" fillId="10" borderId="292" applyNumberFormat="0" applyFont="0" applyAlignment="0" applyProtection="0"/>
    <xf numFmtId="0" fontId="29" fillId="12" borderId="271" applyNumberFormat="0" applyAlignment="0" applyProtection="0"/>
    <xf numFmtId="0" fontId="29" fillId="24" borderId="306" applyNumberFormat="0" applyAlignment="0" applyProtection="0"/>
    <xf numFmtId="0" fontId="29" fillId="12" borderId="271" applyNumberFormat="0" applyAlignment="0" applyProtection="0"/>
    <xf numFmtId="0" fontId="84" fillId="0" borderId="275"/>
    <xf numFmtId="0" fontId="25" fillId="13" borderId="237" applyNumberFormat="0" applyAlignment="0" applyProtection="0"/>
    <xf numFmtId="0" fontId="48" fillId="24" borderId="210" applyNumberFormat="0" applyAlignment="0" applyProtection="0"/>
    <xf numFmtId="0" fontId="25" fillId="8" borderId="237" applyNumberFormat="0" applyAlignment="0" applyProtection="0"/>
    <xf numFmtId="0" fontId="41" fillId="13" borderId="237" applyNumberFormat="0" applyAlignment="0" applyProtection="0"/>
    <xf numFmtId="0" fontId="25" fillId="13" borderId="237" applyNumberFormat="0" applyAlignment="0" applyProtection="0"/>
    <xf numFmtId="0" fontId="28" fillId="10" borderId="238" applyNumberFormat="0" applyFont="0" applyAlignment="0" applyProtection="0"/>
    <xf numFmtId="0" fontId="32" fillId="24" borderId="237" applyNumberFormat="0" applyAlignment="0" applyProtection="0"/>
    <xf numFmtId="0" fontId="48" fillId="24" borderId="237" applyNumberFormat="0" applyAlignment="0" applyProtection="0"/>
    <xf numFmtId="0" fontId="48" fillId="12" borderId="237" applyNumberFormat="0" applyAlignment="0" applyProtection="0"/>
    <xf numFmtId="0" fontId="28" fillId="0" borderId="234"/>
    <xf numFmtId="0" fontId="84" fillId="0" borderId="234"/>
    <xf numFmtId="0" fontId="48" fillId="12" borderId="237" applyNumberFormat="0" applyAlignment="0" applyProtection="0"/>
    <xf numFmtId="0" fontId="41" fillId="13" borderId="291" applyNumberFormat="0" applyAlignment="0" applyProtection="0"/>
    <xf numFmtId="0" fontId="16" fillId="24" borderId="314" applyNumberFormat="0" applyAlignment="0" applyProtection="0"/>
    <xf numFmtId="0" fontId="31" fillId="0" borderId="319" applyNumberFormat="0" applyFill="0" applyAlignment="0" applyProtection="0"/>
    <xf numFmtId="0" fontId="72" fillId="0" borderId="320" applyBorder="0">
      <alignment horizontal="center" vertical="center" wrapText="1"/>
    </xf>
    <xf numFmtId="0" fontId="29" fillId="24" borderId="250" applyNumberFormat="0" applyAlignment="0" applyProtection="0"/>
    <xf numFmtId="0" fontId="49" fillId="10" borderId="244" applyNumberFormat="0" applyFont="0" applyAlignment="0" applyProtection="0"/>
    <xf numFmtId="0" fontId="8" fillId="45" borderId="276" applyNumberFormat="0" applyFont="0" applyAlignment="0" applyProtection="0"/>
    <xf numFmtId="0" fontId="29" fillId="24" borderId="317" applyNumberFormat="0" applyAlignment="0" applyProtection="0"/>
    <xf numFmtId="0" fontId="18" fillId="10" borderId="244" applyNumberFormat="0" applyFont="0" applyAlignment="0" applyProtection="0"/>
    <xf numFmtId="0" fontId="48" fillId="12" borderId="237" applyNumberFormat="0" applyAlignment="0" applyProtection="0"/>
    <xf numFmtId="0" fontId="48" fillId="24" borderId="291" applyNumberFormat="0" applyAlignment="0" applyProtection="0"/>
    <xf numFmtId="0" fontId="28" fillId="10" borderId="238" applyNumberFormat="0" applyFont="0" applyAlignment="0" applyProtection="0"/>
    <xf numFmtId="0" fontId="8" fillId="10" borderId="238" applyNumberFormat="0" applyFont="0" applyAlignment="0" applyProtection="0"/>
    <xf numFmtId="0" fontId="31" fillId="0" borderId="241" applyNumberFormat="0" applyFill="0" applyAlignment="0" applyProtection="0"/>
    <xf numFmtId="0" fontId="29" fillId="24" borderId="283" applyNumberFormat="0" applyAlignment="0" applyProtection="0"/>
    <xf numFmtId="0" fontId="49" fillId="10" borderId="238" applyNumberFormat="0" applyFont="0" applyAlignment="0" applyProtection="0"/>
    <xf numFmtId="0" fontId="31" fillId="0" borderId="241" applyNumberFormat="0" applyFill="0" applyAlignment="0" applyProtection="0"/>
    <xf numFmtId="0" fontId="29" fillId="24" borderId="294" applyNumberFormat="0" applyAlignment="0" applyProtection="0"/>
    <xf numFmtId="0" fontId="48" fillId="24" borderId="237" applyNumberFormat="0" applyAlignment="0" applyProtection="0"/>
    <xf numFmtId="0" fontId="49" fillId="10" borderId="238" applyNumberFormat="0" applyFont="0" applyAlignment="0" applyProtection="0"/>
    <xf numFmtId="0" fontId="25" fillId="13" borderId="237" applyNumberFormat="0" applyAlignment="0" applyProtection="0"/>
    <xf numFmtId="0" fontId="18" fillId="10" borderId="238" applyNumberFormat="0" applyFont="0" applyAlignment="0" applyProtection="0"/>
    <xf numFmtId="0" fontId="28" fillId="10" borderId="238" applyNumberFormat="0" applyFont="0" applyAlignment="0" applyProtection="0"/>
    <xf numFmtId="0" fontId="31" fillId="0" borderId="241" applyNumberFormat="0" applyFill="0" applyAlignment="0" applyProtection="0"/>
    <xf numFmtId="0" fontId="72" fillId="0" borderId="242" applyBorder="0">
      <alignment horizontal="center" vertical="center" wrapText="1"/>
    </xf>
    <xf numFmtId="0" fontId="16" fillId="24" borderId="237" applyNumberFormat="0" applyAlignment="0" applyProtection="0"/>
    <xf numFmtId="0" fontId="25" fillId="13" borderId="237" applyNumberFormat="0" applyAlignment="0" applyProtection="0"/>
    <xf numFmtId="0" fontId="25" fillId="13" borderId="237" applyNumberFormat="0" applyAlignment="0" applyProtection="0"/>
    <xf numFmtId="0" fontId="18" fillId="10" borderId="238" applyNumberFormat="0" applyFont="0" applyAlignment="0" applyProtection="0"/>
    <xf numFmtId="0" fontId="28" fillId="10" borderId="238" applyNumberFormat="0" applyFont="0" applyAlignment="0" applyProtection="0"/>
    <xf numFmtId="0" fontId="8" fillId="10" borderId="238" applyNumberFormat="0" applyFont="0" applyAlignment="0" applyProtection="0"/>
    <xf numFmtId="0" fontId="28" fillId="10" borderId="238" applyNumberFormat="0" applyFont="0" applyAlignment="0" applyProtection="0"/>
    <xf numFmtId="0" fontId="84" fillId="0" borderId="234"/>
    <xf numFmtId="0" fontId="31" fillId="0" borderId="290" applyNumberFormat="0" applyFill="0" applyAlignment="0" applyProtection="0"/>
    <xf numFmtId="0" fontId="18" fillId="10" borderId="238" applyNumberFormat="0" applyFont="0" applyAlignment="0" applyProtection="0"/>
    <xf numFmtId="0" fontId="25" fillId="13" borderId="237" applyNumberFormat="0" applyAlignment="0" applyProtection="0"/>
    <xf numFmtId="0" fontId="41" fillId="13" borderId="237" applyNumberFormat="0" applyAlignment="0" applyProtection="0"/>
    <xf numFmtId="0" fontId="72" fillId="0" borderId="242" applyBorder="0">
      <alignment horizontal="center" vertical="center" wrapText="1"/>
    </xf>
    <xf numFmtId="0" fontId="8" fillId="10" borderId="238" applyNumberFormat="0" applyFont="0" applyAlignment="0" applyProtection="0"/>
    <xf numFmtId="0" fontId="41" fillId="13" borderId="237" applyNumberFormat="0" applyAlignment="0" applyProtection="0"/>
    <xf numFmtId="0" fontId="48" fillId="12" borderId="237" applyNumberFormat="0" applyAlignment="0" applyProtection="0"/>
    <xf numFmtId="0" fontId="48" fillId="12" borderId="237" applyNumberFormat="0" applyAlignment="0" applyProtection="0"/>
    <xf numFmtId="0" fontId="48" fillId="24" borderId="237" applyNumberFormat="0" applyAlignment="0" applyProtection="0"/>
    <xf numFmtId="0" fontId="28" fillId="0" borderId="234"/>
    <xf numFmtId="0" fontId="48" fillId="12" borderId="237" applyNumberFormat="0" applyAlignment="0" applyProtection="0"/>
    <xf numFmtId="0" fontId="28" fillId="10" borderId="238" applyNumberFormat="0" applyFont="0" applyAlignment="0" applyProtection="0"/>
    <xf numFmtId="0" fontId="48" fillId="24" borderId="237" applyNumberFormat="0" applyAlignment="0" applyProtection="0"/>
    <xf numFmtId="0" fontId="31" fillId="0" borderId="241" applyNumberFormat="0" applyFill="0" applyAlignment="0" applyProtection="0"/>
    <xf numFmtId="0" fontId="25" fillId="13" borderId="237" applyNumberFormat="0" applyAlignment="0" applyProtection="0"/>
    <xf numFmtId="0" fontId="16" fillId="24" borderId="237" applyNumberFormat="0" applyAlignment="0" applyProtection="0"/>
    <xf numFmtId="0" fontId="28" fillId="0" borderId="234"/>
    <xf numFmtId="0" fontId="28" fillId="0" borderId="234"/>
    <xf numFmtId="0" fontId="84" fillId="0" borderId="234"/>
    <xf numFmtId="0" fontId="84" fillId="0" borderId="234"/>
    <xf numFmtId="0" fontId="48" fillId="12" borderId="237" applyNumberFormat="0" applyAlignment="0" applyProtection="0"/>
    <xf numFmtId="0" fontId="25" fillId="8" borderId="237" applyNumberFormat="0" applyAlignment="0" applyProtection="0"/>
    <xf numFmtId="0" fontId="48" fillId="12" borderId="237" applyNumberFormat="0" applyAlignment="0" applyProtection="0"/>
    <xf numFmtId="0" fontId="8" fillId="10" borderId="238" applyNumberFormat="0" applyFont="0" applyAlignment="0" applyProtection="0"/>
    <xf numFmtId="0" fontId="28" fillId="0" borderId="234"/>
    <xf numFmtId="0" fontId="84" fillId="0" borderId="234"/>
    <xf numFmtId="0" fontId="48" fillId="12" borderId="237" applyNumberFormat="0" applyAlignment="0" applyProtection="0"/>
    <xf numFmtId="0" fontId="25" fillId="8" borderId="237" applyNumberFormat="0" applyAlignment="0" applyProtection="0"/>
    <xf numFmtId="0" fontId="31" fillId="0" borderId="267" applyNumberFormat="0" applyFill="0" applyAlignment="0" applyProtection="0"/>
    <xf numFmtId="0" fontId="25" fillId="8" borderId="268" applyNumberFormat="0" applyAlignment="0" applyProtection="0"/>
    <xf numFmtId="0" fontId="25" fillId="13" borderId="268" applyNumberFormat="0" applyAlignment="0" applyProtection="0"/>
    <xf numFmtId="0" fontId="8" fillId="10" borderId="269" applyNumberFormat="0" applyFont="0" applyAlignment="0" applyProtection="0"/>
    <xf numFmtId="0" fontId="48" fillId="24" borderId="268" applyNumberFormat="0" applyAlignment="0" applyProtection="0"/>
    <xf numFmtId="0" fontId="72" fillId="0" borderId="274" applyBorder="0">
      <alignment horizontal="center" vertical="center" wrapText="1"/>
    </xf>
    <xf numFmtId="0" fontId="32" fillId="24" borderId="243" applyNumberFormat="0" applyAlignment="0" applyProtection="0"/>
    <xf numFmtId="0" fontId="16" fillId="24" borderId="243" applyNumberFormat="0" applyAlignment="0" applyProtection="0"/>
    <xf numFmtId="0" fontId="16" fillId="24" borderId="243" applyNumberFormat="0" applyAlignment="0" applyProtection="0"/>
    <xf numFmtId="0" fontId="28" fillId="0" borderId="275"/>
    <xf numFmtId="0" fontId="16" fillId="24" borderId="268" applyNumberFormat="0" applyAlignment="0" applyProtection="0"/>
    <xf numFmtId="0" fontId="28" fillId="0" borderId="275"/>
    <xf numFmtId="0" fontId="41" fillId="13" borderId="243" applyNumberFormat="0" applyAlignment="0" applyProtection="0"/>
    <xf numFmtId="0" fontId="41" fillId="13" borderId="243" applyNumberFormat="0" applyAlignment="0" applyProtection="0"/>
    <xf numFmtId="0" fontId="25" fillId="13" borderId="243" applyNumberFormat="0" applyAlignment="0" applyProtection="0"/>
    <xf numFmtId="0" fontId="28" fillId="0" borderId="298"/>
    <xf numFmtId="0" fontId="18" fillId="10" borderId="244" applyNumberFormat="0" applyFont="0" applyAlignment="0" applyProtection="0"/>
    <xf numFmtId="0" fontId="28" fillId="10" borderId="244" applyNumberFormat="0" applyFont="0" applyAlignment="0" applyProtection="0"/>
    <xf numFmtId="0" fontId="8" fillId="10" borderId="244" applyNumberFormat="0" applyFont="0" applyAlignment="0" applyProtection="0"/>
    <xf numFmtId="0" fontId="8" fillId="10" borderId="244" applyNumberFormat="0" applyFont="0" applyAlignment="0" applyProtection="0"/>
    <xf numFmtId="0" fontId="29" fillId="12" borderId="294" applyNumberFormat="0" applyAlignment="0" applyProtection="0"/>
    <xf numFmtId="0" fontId="31" fillId="0" borderId="246" applyNumberFormat="0" applyFill="0" applyAlignment="0" applyProtection="0"/>
    <xf numFmtId="0" fontId="84" fillId="0" borderId="321"/>
    <xf numFmtId="0" fontId="48" fillId="24" borderId="314" applyNumberFormat="0" applyAlignment="0" applyProtection="0"/>
    <xf numFmtId="0" fontId="48" fillId="12" borderId="314" applyNumberFormat="0" applyAlignment="0" applyProtection="0"/>
    <xf numFmtId="0" fontId="28" fillId="0" borderId="321"/>
    <xf numFmtId="0" fontId="31" fillId="0" borderId="318" applyNumberFormat="0" applyFill="0" applyAlignment="0" applyProtection="0"/>
    <xf numFmtId="0" fontId="24" fillId="24" borderId="245" applyNumberFormat="0" applyAlignment="0" applyProtection="0"/>
    <xf numFmtId="0" fontId="28" fillId="10" borderId="315" applyNumberFormat="0" applyFont="0" applyAlignment="0" applyProtection="0"/>
    <xf numFmtId="0" fontId="48" fillId="12" borderId="268" applyNumberFormat="0" applyAlignment="0" applyProtection="0"/>
    <xf numFmtId="0" fontId="28" fillId="10" borderId="315" applyNumberFormat="0" applyFont="0" applyAlignment="0" applyProtection="0"/>
    <xf numFmtId="0" fontId="8" fillId="45" borderId="276" applyNumberFormat="0" applyFont="0" applyAlignment="0" applyProtection="0"/>
    <xf numFmtId="0" fontId="49" fillId="10" borderId="278" applyNumberFormat="0" applyFont="0" applyAlignment="0" applyProtection="0"/>
    <xf numFmtId="0" fontId="8" fillId="45" borderId="322" applyNumberFormat="0" applyFont="0" applyAlignment="0" applyProtection="0"/>
    <xf numFmtId="0" fontId="31" fillId="0" borderId="313" applyNumberFormat="0" applyFill="0" applyAlignment="0" applyProtection="0"/>
    <xf numFmtId="0" fontId="24" fillId="24" borderId="316" applyNumberFormat="0" applyAlignment="0" applyProtection="0"/>
    <xf numFmtId="0" fontId="8" fillId="10" borderId="315" applyNumberFormat="0" applyFont="0" applyAlignment="0" applyProtection="0"/>
    <xf numFmtId="0" fontId="8" fillId="45" borderId="322" applyNumberFormat="0" applyFont="0" applyAlignment="0" applyProtection="0"/>
    <xf numFmtId="0" fontId="31" fillId="0" borderId="312" applyNumberFormat="0" applyFill="0" applyAlignment="0" applyProtection="0"/>
    <xf numFmtId="0" fontId="16" fillId="24" borderId="314" applyNumberFormat="0" applyAlignment="0" applyProtection="0"/>
    <xf numFmtId="0" fontId="25" fillId="8" borderId="314" applyNumberFormat="0" applyAlignment="0" applyProtection="0"/>
    <xf numFmtId="0" fontId="16" fillId="24" borderId="254" applyNumberFormat="0" applyAlignment="0" applyProtection="0"/>
    <xf numFmtId="0" fontId="28" fillId="10" borderId="244" applyNumberFormat="0" applyFont="0" applyAlignment="0" applyProtection="0"/>
    <xf numFmtId="0" fontId="31" fillId="0" borderId="251" applyNumberFormat="0" applyFill="0" applyAlignment="0" applyProtection="0"/>
    <xf numFmtId="0" fontId="84" fillId="0" borderId="247"/>
    <xf numFmtId="0" fontId="29" fillId="24" borderId="294" applyNumberFormat="0" applyAlignment="0" applyProtection="0"/>
    <xf numFmtId="0" fontId="8" fillId="10" borderId="244" applyNumberFormat="0" applyFont="0" applyAlignment="0" applyProtection="0"/>
    <xf numFmtId="0" fontId="31" fillId="0" borderId="318" applyNumberFormat="0" applyFill="0" applyAlignment="0" applyProtection="0"/>
    <xf numFmtId="0" fontId="31" fillId="0" borderId="224" applyNumberFormat="0" applyFill="0" applyAlignment="0" applyProtection="0"/>
    <xf numFmtId="0" fontId="25" fillId="8" borderId="221" applyNumberFormat="0" applyAlignment="0" applyProtection="0"/>
    <xf numFmtId="0" fontId="41" fillId="13" borderId="221" applyNumberFormat="0" applyAlignment="0" applyProtection="0"/>
    <xf numFmtId="0" fontId="31" fillId="0" borderId="251" applyNumberFormat="0" applyFill="0" applyAlignment="0" applyProtection="0"/>
    <xf numFmtId="0" fontId="48" fillId="12" borderId="221" applyNumberFormat="0" applyAlignment="0" applyProtection="0"/>
    <xf numFmtId="0" fontId="41" fillId="13" borderId="277" applyNumberFormat="0" applyAlignment="0" applyProtection="0"/>
    <xf numFmtId="0" fontId="25" fillId="13" borderId="237" applyNumberFormat="0" applyAlignment="0" applyProtection="0"/>
    <xf numFmtId="0" fontId="29" fillId="24" borderId="220" applyNumberFormat="0" applyAlignment="0" applyProtection="0"/>
    <xf numFmtId="0" fontId="28" fillId="10" borderId="222" applyNumberFormat="0" applyFont="0" applyAlignment="0" applyProtection="0"/>
    <xf numFmtId="0" fontId="8" fillId="10" borderId="244" applyNumberFormat="0" applyFont="0" applyAlignment="0" applyProtection="0"/>
    <xf numFmtId="0" fontId="18" fillId="10" borderId="238" applyNumberFormat="0" applyFont="0" applyAlignment="0" applyProtection="0"/>
    <xf numFmtId="0" fontId="48" fillId="24" borderId="237" applyNumberFormat="0" applyAlignment="0" applyProtection="0"/>
    <xf numFmtId="0" fontId="16" fillId="24" borderId="268" applyNumberFormat="0" applyAlignment="0" applyProtection="0"/>
    <xf numFmtId="0" fontId="25" fillId="13" borderId="268" applyNumberFormat="0" applyAlignment="0" applyProtection="0"/>
    <xf numFmtId="0" fontId="8" fillId="45" borderId="276" applyNumberFormat="0" applyFont="0" applyAlignment="0" applyProtection="0"/>
    <xf numFmtId="0" fontId="84" fillId="73" borderId="275"/>
    <xf numFmtId="0" fontId="28" fillId="0" borderId="234"/>
    <xf numFmtId="0" fontId="48" fillId="12" borderId="237" applyNumberFormat="0" applyAlignment="0" applyProtection="0"/>
    <xf numFmtId="0" fontId="48" fillId="24" borderId="237" applyNumberFormat="0" applyAlignment="0" applyProtection="0"/>
    <xf numFmtId="0" fontId="8" fillId="10" borderId="238" applyNumberFormat="0" applyFont="0" applyAlignment="0" applyProtection="0"/>
    <xf numFmtId="0" fontId="25" fillId="8" borderId="237" applyNumberFormat="0" applyAlignment="0" applyProtection="0"/>
    <xf numFmtId="0" fontId="48" fillId="24" borderId="237" applyNumberFormat="0" applyAlignment="0" applyProtection="0"/>
    <xf numFmtId="0" fontId="32" fillId="24" borderId="237" applyNumberFormat="0" applyAlignment="0" applyProtection="0"/>
    <xf numFmtId="0" fontId="8" fillId="10" borderId="238" applyNumberFormat="0" applyFont="0" applyAlignment="0" applyProtection="0"/>
    <xf numFmtId="0" fontId="8" fillId="10" borderId="238" applyNumberFormat="0" applyFont="0" applyAlignment="0" applyProtection="0"/>
    <xf numFmtId="0" fontId="49" fillId="10" borderId="238" applyNumberFormat="0" applyFont="0" applyAlignment="0" applyProtection="0"/>
    <xf numFmtId="0" fontId="48" fillId="12" borderId="268" applyNumberFormat="0" applyAlignment="0" applyProtection="0"/>
    <xf numFmtId="0" fontId="25" fillId="13" borderId="314" applyNumberFormat="0" applyAlignment="0" applyProtection="0"/>
    <xf numFmtId="0" fontId="25" fillId="8" borderId="314" applyNumberFormat="0" applyAlignment="0" applyProtection="0"/>
    <xf numFmtId="0" fontId="72" fillId="0" borderId="320" applyBorder="0">
      <alignment horizontal="center" vertical="center" wrapText="1"/>
    </xf>
    <xf numFmtId="0" fontId="48" fillId="24" borderId="314" applyNumberFormat="0" applyAlignment="0" applyProtection="0"/>
    <xf numFmtId="0" fontId="25" fillId="13" borderId="314" applyNumberFormat="0" applyAlignment="0" applyProtection="0"/>
    <xf numFmtId="0" fontId="28" fillId="0" borderId="321"/>
    <xf numFmtId="0" fontId="31" fillId="0" borderId="290" applyNumberFormat="0" applyFill="0" applyAlignment="0" applyProtection="0"/>
    <xf numFmtId="0" fontId="16" fillId="24" borderId="291" applyNumberFormat="0" applyAlignment="0" applyProtection="0"/>
    <xf numFmtId="0" fontId="8" fillId="10" borderId="211" applyNumberFormat="0" applyFont="0" applyAlignment="0" applyProtection="0"/>
    <xf numFmtId="0" fontId="49" fillId="10" borderId="211" applyNumberFormat="0" applyFont="0" applyAlignment="0" applyProtection="0"/>
    <xf numFmtId="0" fontId="31" fillId="0" borderId="252" applyNumberFormat="0" applyFill="0" applyAlignment="0" applyProtection="0"/>
    <xf numFmtId="0" fontId="31" fillId="0" borderId="296" applyNumberFormat="0" applyFill="0" applyAlignment="0" applyProtection="0"/>
    <xf numFmtId="0" fontId="25" fillId="8" borderId="291" applyNumberFormat="0" applyAlignment="0" applyProtection="0"/>
    <xf numFmtId="0" fontId="25" fillId="13" borderId="300" applyNumberFormat="0" applyAlignment="0" applyProtection="0"/>
    <xf numFmtId="0" fontId="48" fillId="24" borderId="268" applyNumberFormat="0" applyAlignment="0" applyProtection="0"/>
    <xf numFmtId="0" fontId="31" fillId="0" borderId="273" applyNumberFormat="0" applyFill="0" applyAlignment="0" applyProtection="0"/>
    <xf numFmtId="0" fontId="31" fillId="0" borderId="313" applyNumberFormat="0" applyFill="0" applyAlignment="0" applyProtection="0"/>
    <xf numFmtId="0" fontId="28" fillId="0" borderId="207"/>
    <xf numFmtId="0" fontId="28" fillId="0" borderId="207"/>
    <xf numFmtId="0" fontId="31" fillId="0" borderId="213" applyNumberFormat="0" applyFill="0" applyAlignment="0" applyProtection="0"/>
    <xf numFmtId="0" fontId="84" fillId="0" borderId="207"/>
    <xf numFmtId="0" fontId="84" fillId="0" borderId="207"/>
    <xf numFmtId="0" fontId="48" fillId="12" borderId="210" applyNumberFormat="0" applyAlignment="0" applyProtection="0"/>
    <xf numFmtId="0" fontId="48" fillId="12" borderId="210" applyNumberFormat="0" applyAlignment="0" applyProtection="0"/>
    <xf numFmtId="0" fontId="25" fillId="8" borderId="210" applyNumberFormat="0" applyAlignment="0" applyProtection="0"/>
    <xf numFmtId="0" fontId="29" fillId="12" borderId="209" applyNumberFormat="0" applyAlignment="0" applyProtection="0"/>
    <xf numFmtId="0" fontId="31" fillId="0" borderId="208" applyNumberFormat="0" applyFill="0" applyAlignment="0" applyProtection="0"/>
    <xf numFmtId="0" fontId="31" fillId="0" borderId="208" applyNumberFormat="0" applyFill="0" applyAlignment="0" applyProtection="0"/>
    <xf numFmtId="0" fontId="29" fillId="12" borderId="209" applyNumberFormat="0" applyAlignment="0" applyProtection="0"/>
    <xf numFmtId="0" fontId="29" fillId="24" borderId="209" applyNumberFormat="0" applyAlignment="0" applyProtection="0"/>
    <xf numFmtId="0" fontId="29" fillId="24" borderId="209" applyNumberFormat="0" applyAlignment="0" applyProtection="0"/>
    <xf numFmtId="0" fontId="29" fillId="24" borderId="209" applyNumberFormat="0" applyAlignment="0" applyProtection="0"/>
    <xf numFmtId="0" fontId="48" fillId="24" borderId="291" applyNumberFormat="0" applyAlignment="0" applyProtection="0"/>
    <xf numFmtId="0" fontId="48" fillId="24" borderId="210" applyNumberFormat="0" applyAlignment="0" applyProtection="0"/>
    <xf numFmtId="0" fontId="48" fillId="24" borderId="210" applyNumberFormat="0" applyAlignment="0" applyProtection="0"/>
    <xf numFmtId="0" fontId="48" fillId="12" borderId="210" applyNumberFormat="0" applyAlignment="0" applyProtection="0"/>
    <xf numFmtId="0" fontId="48" fillId="12" borderId="210" applyNumberFormat="0" applyAlignment="0" applyProtection="0"/>
    <xf numFmtId="0" fontId="41" fillId="13" borderId="210" applyNumberFormat="0" applyAlignment="0" applyProtection="0"/>
    <xf numFmtId="0" fontId="25" fillId="8" borderId="210" applyNumberFormat="0" applyAlignment="0" applyProtection="0"/>
    <xf numFmtId="0" fontId="8" fillId="10" borderId="211" applyNumberFormat="0" applyFont="0" applyAlignment="0" applyProtection="0"/>
    <xf numFmtId="0" fontId="8" fillId="10" borderId="211" applyNumberFormat="0" applyFont="0" applyAlignment="0" applyProtection="0"/>
    <xf numFmtId="0" fontId="49" fillId="10" borderId="211" applyNumberFormat="0" applyFont="0" applyAlignment="0" applyProtection="0"/>
    <xf numFmtId="0" fontId="49" fillId="10" borderId="211" applyNumberFormat="0" applyFont="0" applyAlignment="0" applyProtection="0"/>
    <xf numFmtId="0" fontId="24" fillId="24" borderId="212" applyNumberFormat="0" applyAlignment="0" applyProtection="0"/>
    <xf numFmtId="0" fontId="29" fillId="12" borderId="209" applyNumberFormat="0" applyAlignment="0" applyProtection="0"/>
    <xf numFmtId="0" fontId="31" fillId="0" borderId="213" applyNumberFormat="0" applyFill="0" applyAlignment="0" applyProtection="0"/>
    <xf numFmtId="0" fontId="31" fillId="0" borderId="213" applyNumberFormat="0" applyFill="0" applyAlignment="0" applyProtection="0"/>
    <xf numFmtId="0" fontId="31" fillId="0" borderId="208" applyNumberFormat="0" applyFill="0" applyAlignment="0" applyProtection="0"/>
    <xf numFmtId="0" fontId="31" fillId="0" borderId="208" applyNumberFormat="0" applyFill="0" applyAlignment="0" applyProtection="0"/>
    <xf numFmtId="0" fontId="32" fillId="24" borderId="210" applyNumberFormat="0" applyAlignment="0" applyProtection="0"/>
    <xf numFmtId="0" fontId="16" fillId="24" borderId="210" applyNumberFormat="0" applyAlignment="0" applyProtection="0"/>
    <xf numFmtId="0" fontId="16" fillId="24" borderId="210" applyNumberFormat="0" applyAlignment="0" applyProtection="0"/>
    <xf numFmtId="0" fontId="16" fillId="24" borderId="210" applyNumberFormat="0" applyAlignment="0" applyProtection="0"/>
    <xf numFmtId="0" fontId="41" fillId="13" borderId="210" applyNumberFormat="0" applyAlignment="0" applyProtection="0"/>
    <xf numFmtId="0" fontId="25" fillId="13" borderId="210" applyNumberFormat="0" applyAlignment="0" applyProtection="0"/>
    <xf numFmtId="0" fontId="25" fillId="13" borderId="210" applyNumberFormat="0" applyAlignment="0" applyProtection="0"/>
    <xf numFmtId="0" fontId="25" fillId="13" borderId="210" applyNumberFormat="0" applyAlignment="0" applyProtection="0"/>
    <xf numFmtId="0" fontId="18" fillId="10" borderId="211" applyNumberFormat="0" applyFont="0" applyAlignment="0" applyProtection="0"/>
    <xf numFmtId="0" fontId="28" fillId="10" borderId="211" applyNumberFormat="0" applyFont="0" applyAlignment="0" applyProtection="0"/>
    <xf numFmtId="0" fontId="28" fillId="10" borderId="211" applyNumberFormat="0" applyFont="0" applyAlignment="0" applyProtection="0"/>
    <xf numFmtId="0" fontId="8" fillId="10" borderId="211" applyNumberFormat="0" applyFont="0" applyAlignment="0" applyProtection="0"/>
    <xf numFmtId="0" fontId="28" fillId="10" borderId="211" applyNumberFormat="0" applyFont="0" applyAlignment="0" applyProtection="0"/>
    <xf numFmtId="0" fontId="24" fillId="24" borderId="212" applyNumberFormat="0" applyAlignment="0" applyProtection="0"/>
    <xf numFmtId="0" fontId="29" fillId="24" borderId="209" applyNumberFormat="0" applyAlignment="0" applyProtection="0"/>
    <xf numFmtId="0" fontId="29" fillId="24" borderId="209" applyNumberFormat="0" applyAlignment="0" applyProtection="0"/>
    <xf numFmtId="0" fontId="29" fillId="24" borderId="209" applyNumberFormat="0" applyAlignment="0" applyProtection="0"/>
    <xf numFmtId="0" fontId="41" fillId="13" borderId="291" applyNumberFormat="0" applyAlignment="0" applyProtection="0"/>
    <xf numFmtId="0" fontId="48" fillId="24" borderId="210" applyNumberFormat="0" applyAlignment="0" applyProtection="0"/>
    <xf numFmtId="0" fontId="8" fillId="10" borderId="211" applyNumberFormat="0" applyFont="0" applyAlignment="0" applyProtection="0"/>
    <xf numFmtId="0" fontId="49" fillId="10" borderId="211" applyNumberFormat="0" applyFont="0" applyAlignment="0" applyProtection="0"/>
    <xf numFmtId="0" fontId="28" fillId="0" borderId="207"/>
    <xf numFmtId="0" fontId="28" fillId="0" borderId="207"/>
    <xf numFmtId="0" fontId="31" fillId="0" borderId="213" applyNumberFormat="0" applyFill="0" applyAlignment="0" applyProtection="0"/>
    <xf numFmtId="0" fontId="84" fillId="0" borderId="207"/>
    <xf numFmtId="0" fontId="84" fillId="0" borderId="207"/>
    <xf numFmtId="0" fontId="48" fillId="12" borderId="210" applyNumberFormat="0" applyAlignment="0" applyProtection="0"/>
    <xf numFmtId="0" fontId="48" fillId="12" borderId="210" applyNumberFormat="0" applyAlignment="0" applyProtection="0"/>
    <xf numFmtId="0" fontId="25" fillId="8" borderId="210" applyNumberFormat="0" applyAlignment="0" applyProtection="0"/>
    <xf numFmtId="0" fontId="29" fillId="12" borderId="209" applyNumberFormat="0" applyAlignment="0" applyProtection="0"/>
    <xf numFmtId="0" fontId="31" fillId="0" borderId="208" applyNumberFormat="0" applyFill="0" applyAlignment="0" applyProtection="0"/>
    <xf numFmtId="0" fontId="31" fillId="0" borderId="208" applyNumberFormat="0" applyFill="0" applyAlignment="0" applyProtection="0"/>
    <xf numFmtId="0" fontId="16" fillId="24" borderId="237" applyNumberFormat="0" applyAlignment="0" applyProtection="0"/>
    <xf numFmtId="0" fontId="48" fillId="24" borderId="210" applyNumberFormat="0" applyAlignment="0" applyProtection="0"/>
    <xf numFmtId="0" fontId="49" fillId="10" borderId="211" applyNumberFormat="0" applyFont="0" applyAlignment="0" applyProtection="0"/>
    <xf numFmtId="0" fontId="29" fillId="12" borderId="209" applyNumberFormat="0" applyAlignment="0" applyProtection="0"/>
    <xf numFmtId="0" fontId="32" fillId="24" borderId="210" applyNumberFormat="0" applyAlignment="0" applyProtection="0"/>
    <xf numFmtId="0" fontId="48" fillId="12" borderId="210" applyNumberFormat="0" applyAlignment="0" applyProtection="0"/>
    <xf numFmtId="0" fontId="24" fillId="24" borderId="212" applyNumberFormat="0" applyAlignment="0" applyProtection="0"/>
    <xf numFmtId="0" fontId="8" fillId="10" borderId="211" applyNumberFormat="0" applyFont="0" applyAlignment="0" applyProtection="0"/>
    <xf numFmtId="0" fontId="29" fillId="24" borderId="209" applyNumberFormat="0" applyAlignment="0" applyProtection="0"/>
    <xf numFmtId="0" fontId="48" fillId="12" borderId="314" applyNumberFormat="0" applyAlignment="0" applyProtection="0"/>
    <xf numFmtId="0" fontId="25" fillId="13" borderId="277" applyNumberFormat="0" applyAlignment="0" applyProtection="0"/>
    <xf numFmtId="0" fontId="16" fillId="24" borderId="210" applyNumberFormat="0" applyAlignment="0" applyProtection="0"/>
    <xf numFmtId="0" fontId="41" fillId="13" borderId="210" applyNumberFormat="0" applyAlignment="0" applyProtection="0"/>
    <xf numFmtId="0" fontId="48" fillId="24" borderId="210" applyNumberFormat="0" applyAlignment="0" applyProtection="0"/>
    <xf numFmtId="0" fontId="41" fillId="13" borderId="210" applyNumberFormat="0" applyAlignment="0" applyProtection="0"/>
    <xf numFmtId="0" fontId="25" fillId="8" borderId="210" applyNumberFormat="0" applyAlignment="0" applyProtection="0"/>
    <xf numFmtId="0" fontId="8" fillId="10" borderId="211" applyNumberFormat="0" applyFont="0" applyAlignment="0" applyProtection="0"/>
    <xf numFmtId="0" fontId="8" fillId="10" borderId="211" applyNumberFormat="0" applyFont="0" applyAlignment="0" applyProtection="0"/>
    <xf numFmtId="0" fontId="49" fillId="10" borderId="211" applyNumberFormat="0" applyFont="0" applyAlignment="0" applyProtection="0"/>
    <xf numFmtId="0" fontId="24" fillId="24" borderId="212" applyNumberFormat="0" applyAlignment="0" applyProtection="0"/>
    <xf numFmtId="0" fontId="31" fillId="0" borderId="213" applyNumberFormat="0" applyFill="0" applyAlignment="0" applyProtection="0"/>
    <xf numFmtId="0" fontId="31" fillId="0" borderId="213" applyNumberFormat="0" applyFill="0" applyAlignment="0" applyProtection="0"/>
    <xf numFmtId="0" fontId="31" fillId="0" borderId="208" applyNumberFormat="0" applyFill="0" applyAlignment="0" applyProtection="0"/>
    <xf numFmtId="0" fontId="49" fillId="10" borderId="211" applyNumberFormat="0" applyFont="0" applyAlignment="0" applyProtection="0"/>
    <xf numFmtId="0" fontId="8" fillId="10" borderId="211" applyNumberFormat="0" applyFont="0" applyAlignment="0" applyProtection="0"/>
    <xf numFmtId="0" fontId="48" fillId="24" borderId="210" applyNumberFormat="0" applyAlignment="0" applyProtection="0"/>
    <xf numFmtId="0" fontId="29" fillId="24" borderId="209" applyNumberFormat="0" applyAlignment="0" applyProtection="0"/>
    <xf numFmtId="0" fontId="8" fillId="10" borderId="211" applyNumberFormat="0" applyFont="0" applyAlignment="0" applyProtection="0"/>
    <xf numFmtId="0" fontId="25" fillId="13" borderId="210" applyNumberFormat="0" applyAlignment="0" applyProtection="0"/>
    <xf numFmtId="0" fontId="16" fillId="24" borderId="210" applyNumberFormat="0" applyAlignment="0" applyProtection="0"/>
    <xf numFmtId="0" fontId="31" fillId="0" borderId="313" applyNumberFormat="0" applyFill="0" applyAlignment="0" applyProtection="0"/>
    <xf numFmtId="0" fontId="31" fillId="0" borderId="208" applyNumberFormat="0" applyFill="0" applyAlignment="0" applyProtection="0"/>
    <xf numFmtId="0" fontId="48" fillId="24" borderId="210" applyNumberFormat="0" applyAlignment="0" applyProtection="0"/>
    <xf numFmtId="0" fontId="48" fillId="24" borderId="210" applyNumberFormat="0" applyAlignment="0" applyProtection="0"/>
    <xf numFmtId="0" fontId="48" fillId="12" borderId="210" applyNumberFormat="0" applyAlignment="0" applyProtection="0"/>
    <xf numFmtId="0" fontId="48" fillId="12" borderId="210" applyNumberFormat="0" applyAlignment="0" applyProtection="0"/>
    <xf numFmtId="0" fontId="41" fillId="13" borderId="210" applyNumberFormat="0" applyAlignment="0" applyProtection="0"/>
    <xf numFmtId="0" fontId="25" fillId="8" borderId="210" applyNumberFormat="0" applyAlignment="0" applyProtection="0"/>
    <xf numFmtId="0" fontId="8" fillId="10" borderId="211" applyNumberFormat="0" applyFont="0" applyAlignment="0" applyProtection="0"/>
    <xf numFmtId="0" fontId="8" fillId="10" borderId="211" applyNumberFormat="0" applyFont="0" applyAlignment="0" applyProtection="0"/>
    <xf numFmtId="0" fontId="49" fillId="10" borderId="211" applyNumberFormat="0" applyFont="0" applyAlignment="0" applyProtection="0"/>
    <xf numFmtId="0" fontId="49" fillId="10" borderId="211" applyNumberFormat="0" applyFont="0" applyAlignment="0" applyProtection="0"/>
    <xf numFmtId="0" fontId="24" fillId="24" borderId="212" applyNumberFormat="0" applyAlignment="0" applyProtection="0"/>
    <xf numFmtId="0" fontId="29" fillId="12" borderId="209" applyNumberFormat="0" applyAlignment="0" applyProtection="0"/>
    <xf numFmtId="0" fontId="31" fillId="0" borderId="213" applyNumberFormat="0" applyFill="0" applyAlignment="0" applyProtection="0"/>
    <xf numFmtId="0" fontId="31" fillId="0" borderId="213" applyNumberFormat="0" applyFill="0" applyAlignment="0" applyProtection="0"/>
    <xf numFmtId="0" fontId="31" fillId="0" borderId="208" applyNumberFormat="0" applyFill="0" applyAlignment="0" applyProtection="0"/>
    <xf numFmtId="0" fontId="31" fillId="0" borderId="208" applyNumberFormat="0" applyFill="0" applyAlignment="0" applyProtection="0"/>
    <xf numFmtId="0" fontId="32" fillId="24" borderId="210" applyNumberFormat="0" applyAlignment="0" applyProtection="0"/>
    <xf numFmtId="0" fontId="16" fillId="24" borderId="210" applyNumberFormat="0" applyAlignment="0" applyProtection="0"/>
    <xf numFmtId="0" fontId="16" fillId="24" borderId="210" applyNumberFormat="0" applyAlignment="0" applyProtection="0"/>
    <xf numFmtId="0" fontId="16" fillId="24" borderId="210" applyNumberFormat="0" applyAlignment="0" applyProtection="0"/>
    <xf numFmtId="0" fontId="41" fillId="13" borderId="210" applyNumberFormat="0" applyAlignment="0" applyProtection="0"/>
    <xf numFmtId="0" fontId="25" fillId="13" borderId="210" applyNumberFormat="0" applyAlignment="0" applyProtection="0"/>
    <xf numFmtId="0" fontId="25" fillId="13" borderId="210" applyNumberFormat="0" applyAlignment="0" applyProtection="0"/>
    <xf numFmtId="0" fontId="25" fillId="13" borderId="210" applyNumberFormat="0" applyAlignment="0" applyProtection="0"/>
    <xf numFmtId="0" fontId="18" fillId="10" borderId="211" applyNumberFormat="0" applyFont="0" applyAlignment="0" applyProtection="0"/>
    <xf numFmtId="0" fontId="28" fillId="10" borderId="211" applyNumberFormat="0" applyFont="0" applyAlignment="0" applyProtection="0"/>
    <xf numFmtId="0" fontId="28" fillId="10" borderId="211" applyNumberFormat="0" applyFont="0" applyAlignment="0" applyProtection="0"/>
    <xf numFmtId="0" fontId="8" fillId="10" borderId="211" applyNumberFormat="0" applyFont="0" applyAlignment="0" applyProtection="0"/>
    <xf numFmtId="0" fontId="28" fillId="10" borderId="211" applyNumberFormat="0" applyFont="0" applyAlignment="0" applyProtection="0"/>
    <xf numFmtId="0" fontId="24" fillId="24" borderId="212" applyNumberFormat="0" applyAlignment="0" applyProtection="0"/>
    <xf numFmtId="0" fontId="29" fillId="24" borderId="209" applyNumberFormat="0" applyAlignment="0" applyProtection="0"/>
    <xf numFmtId="0" fontId="29" fillId="24" borderId="209" applyNumberFormat="0" applyAlignment="0" applyProtection="0"/>
    <xf numFmtId="0" fontId="29" fillId="24" borderId="209" applyNumberFormat="0" applyAlignment="0" applyProtection="0"/>
    <xf numFmtId="0" fontId="31" fillId="0" borderId="290" applyNumberFormat="0" applyFill="0" applyAlignment="0" applyProtection="0"/>
    <xf numFmtId="0" fontId="48" fillId="24" borderId="210" applyNumberFormat="0" applyAlignment="0" applyProtection="0"/>
    <xf numFmtId="0" fontId="16" fillId="24" borderId="210" applyNumberFormat="0" applyAlignment="0" applyProtection="0"/>
    <xf numFmtId="0" fontId="16" fillId="24" borderId="210" applyNumberFormat="0" applyAlignment="0" applyProtection="0"/>
    <xf numFmtId="0" fontId="25" fillId="13" borderId="210" applyNumberFormat="0" applyAlignment="0" applyProtection="0"/>
    <xf numFmtId="0" fontId="25" fillId="13" borderId="210" applyNumberFormat="0" applyAlignment="0" applyProtection="0"/>
    <xf numFmtId="0" fontId="25" fillId="13" borderId="210" applyNumberFormat="0" applyAlignment="0" applyProtection="0"/>
    <xf numFmtId="0" fontId="18" fillId="10" borderId="211" applyNumberFormat="0" applyFont="0" applyAlignment="0" applyProtection="0"/>
    <xf numFmtId="0" fontId="28" fillId="10" borderId="211" applyNumberFormat="0" applyFont="0" applyAlignment="0" applyProtection="0"/>
    <xf numFmtId="0" fontId="28" fillId="10" borderId="211" applyNumberFormat="0" applyFont="0" applyAlignment="0" applyProtection="0"/>
    <xf numFmtId="0" fontId="8" fillId="10" borderId="211" applyNumberFormat="0" applyFont="0" applyAlignment="0" applyProtection="0"/>
    <xf numFmtId="0" fontId="28" fillId="10" borderId="211" applyNumberFormat="0" applyFont="0" applyAlignment="0" applyProtection="0"/>
    <xf numFmtId="0" fontId="24" fillId="24" borderId="212" applyNumberFormat="0" applyAlignment="0" applyProtection="0"/>
    <xf numFmtId="0" fontId="29" fillId="24" borderId="209" applyNumberFormat="0" applyAlignment="0" applyProtection="0"/>
    <xf numFmtId="0" fontId="29" fillId="24" borderId="209" applyNumberFormat="0" applyAlignment="0" applyProtection="0"/>
    <xf numFmtId="0" fontId="41" fillId="13" borderId="237" applyNumberFormat="0" applyAlignment="0" applyProtection="0"/>
    <xf numFmtId="0" fontId="24" fillId="24" borderId="212" applyNumberFormat="0" applyAlignment="0" applyProtection="0"/>
    <xf numFmtId="0" fontId="31" fillId="0" borderId="213" applyNumberFormat="0" applyFill="0" applyAlignment="0" applyProtection="0"/>
    <xf numFmtId="0" fontId="8" fillId="45" borderId="253" applyNumberFormat="0" applyFont="0" applyAlignment="0" applyProtection="0"/>
    <xf numFmtId="0" fontId="28" fillId="0" borderId="207"/>
    <xf numFmtId="0" fontId="84" fillId="0" borderId="207"/>
    <xf numFmtId="0" fontId="25" fillId="8" borderId="210" applyNumberFormat="0" applyAlignment="0" applyProtection="0"/>
    <xf numFmtId="0" fontId="28" fillId="10" borderId="269" applyNumberFormat="0" applyFont="0" applyAlignment="0" applyProtection="0"/>
    <xf numFmtId="0" fontId="31" fillId="0" borderId="208" applyNumberFormat="0" applyFill="0" applyAlignment="0" applyProtection="0"/>
    <xf numFmtId="0" fontId="25" fillId="13" borderId="237" applyNumberFormat="0" applyAlignment="0" applyProtection="0"/>
    <xf numFmtId="0" fontId="8" fillId="10" borderId="238" applyNumberFormat="0" applyFont="0" applyAlignment="0" applyProtection="0"/>
    <xf numFmtId="0" fontId="49" fillId="10" borderId="244" applyNumberFormat="0" applyFont="0" applyAlignment="0" applyProtection="0"/>
    <xf numFmtId="0" fontId="29" fillId="24" borderId="209" applyNumberFormat="0" applyAlignment="0" applyProtection="0"/>
    <xf numFmtId="0" fontId="29" fillId="24" borderId="209" applyNumberFormat="0" applyAlignment="0" applyProtection="0"/>
    <xf numFmtId="0" fontId="28" fillId="10" borderId="211" applyNumberFormat="0" applyFont="0" applyAlignment="0" applyProtection="0"/>
    <xf numFmtId="0" fontId="18" fillId="10" borderId="211" applyNumberFormat="0" applyFont="0" applyAlignment="0" applyProtection="0"/>
    <xf numFmtId="0" fontId="25" fillId="13" borderId="210" applyNumberFormat="0" applyAlignment="0" applyProtection="0"/>
    <xf numFmtId="0" fontId="41" fillId="13" borderId="210" applyNumberFormat="0" applyAlignment="0" applyProtection="0"/>
    <xf numFmtId="0" fontId="32" fillId="24" borderId="210" applyNumberFormat="0" applyAlignment="0" applyProtection="0"/>
    <xf numFmtId="0" fontId="25" fillId="8" borderId="291" applyNumberFormat="0" applyAlignment="0" applyProtection="0"/>
    <xf numFmtId="0" fontId="31" fillId="0" borderId="208" applyNumberFormat="0" applyFill="0" applyAlignment="0" applyProtection="0"/>
    <xf numFmtId="0" fontId="31" fillId="0" borderId="208" applyNumberFormat="0" applyFill="0" applyAlignment="0" applyProtection="0"/>
    <xf numFmtId="0" fontId="8" fillId="10" borderId="211" applyNumberFormat="0" applyFont="0" applyAlignment="0" applyProtection="0"/>
    <xf numFmtId="0" fontId="25" fillId="8" borderId="210" applyNumberFormat="0" applyAlignment="0" applyProtection="0"/>
    <xf numFmtId="0" fontId="41" fillId="13" borderId="210" applyNumberFormat="0" applyAlignment="0" applyProtection="0"/>
    <xf numFmtId="0" fontId="48" fillId="12" borderId="210" applyNumberFormat="0" applyAlignment="0" applyProtection="0"/>
    <xf numFmtId="0" fontId="48" fillId="12" borderId="210" applyNumberFormat="0" applyAlignment="0" applyProtection="0"/>
    <xf numFmtId="0" fontId="48" fillId="24" borderId="210" applyNumberFormat="0" applyAlignment="0" applyProtection="0"/>
    <xf numFmtId="0" fontId="48" fillId="24" borderId="210" applyNumberFormat="0" applyAlignment="0" applyProtection="0"/>
    <xf numFmtId="0" fontId="28" fillId="0" borderId="207"/>
    <xf numFmtId="0" fontId="31" fillId="0" borderId="213" applyNumberFormat="0" applyFill="0" applyAlignment="0" applyProtection="0"/>
    <xf numFmtId="0" fontId="48" fillId="12" borderId="210" applyNumberFormat="0" applyAlignment="0" applyProtection="0"/>
    <xf numFmtId="0" fontId="48" fillId="12" borderId="210" applyNumberFormat="0" applyAlignment="0" applyProtection="0"/>
    <xf numFmtId="0" fontId="31" fillId="0" borderId="208" applyNumberFormat="0" applyFill="0" applyAlignment="0" applyProtection="0"/>
    <xf numFmtId="0" fontId="29" fillId="12" borderId="209" applyNumberFormat="0" applyAlignment="0" applyProtection="0"/>
    <xf numFmtId="0" fontId="28" fillId="10" borderId="211" applyNumberFormat="0" applyFont="0" applyAlignment="0" applyProtection="0"/>
    <xf numFmtId="0" fontId="16" fillId="24" borderId="210" applyNumberFormat="0" applyAlignment="0" applyProtection="0"/>
    <xf numFmtId="0" fontId="48" fillId="24" borderId="210" applyNumberFormat="0" applyAlignment="0" applyProtection="0"/>
    <xf numFmtId="0" fontId="28" fillId="10" borderId="211" applyNumberFormat="0" applyFont="0" applyAlignment="0" applyProtection="0"/>
    <xf numFmtId="0" fontId="25" fillId="13" borderId="210" applyNumberFormat="0" applyAlignment="0" applyProtection="0"/>
    <xf numFmtId="0" fontId="16" fillId="24" borderId="210" applyNumberFormat="0" applyAlignment="0" applyProtection="0"/>
    <xf numFmtId="0" fontId="29" fillId="12" borderId="209" applyNumberFormat="0" applyAlignment="0" applyProtection="0"/>
    <xf numFmtId="0" fontId="31" fillId="0" borderId="213" applyNumberFormat="0" applyFill="0" applyAlignment="0" applyProtection="0"/>
    <xf numFmtId="0" fontId="49" fillId="10" borderId="211" applyNumberFormat="0" applyFont="0" applyAlignment="0" applyProtection="0"/>
    <xf numFmtId="0" fontId="8" fillId="10" borderId="211" applyNumberFormat="0" applyFont="0" applyAlignment="0" applyProtection="0"/>
    <xf numFmtId="0" fontId="49" fillId="10" borderId="211" applyNumberFormat="0" applyFont="0" applyAlignment="0" applyProtection="0"/>
    <xf numFmtId="0" fontId="49" fillId="10" borderId="211" applyNumberFormat="0" applyFont="0" applyAlignment="0" applyProtection="0"/>
    <xf numFmtId="0" fontId="28" fillId="0" borderId="207"/>
    <xf numFmtId="0" fontId="28" fillId="0" borderId="207"/>
    <xf numFmtId="0" fontId="31" fillId="0" borderId="213" applyNumberFormat="0" applyFill="0" applyAlignment="0" applyProtection="0"/>
    <xf numFmtId="0" fontId="84" fillId="0" borderId="207"/>
    <xf numFmtId="0" fontId="84" fillId="0" borderId="207"/>
    <xf numFmtId="0" fontId="84" fillId="0" borderId="207"/>
    <xf numFmtId="0" fontId="48" fillId="12" borderId="210" applyNumberFormat="0" applyAlignment="0" applyProtection="0"/>
    <xf numFmtId="0" fontId="48" fillId="12" borderId="210" applyNumberFormat="0" applyAlignment="0" applyProtection="0"/>
    <xf numFmtId="0" fontId="25" fillId="8" borderId="210" applyNumberFormat="0" applyAlignment="0" applyProtection="0"/>
    <xf numFmtId="0" fontId="29" fillId="12" borderId="209" applyNumberFormat="0" applyAlignment="0" applyProtection="0"/>
    <xf numFmtId="0" fontId="31" fillId="0" borderId="208" applyNumberFormat="0" applyFill="0" applyAlignment="0" applyProtection="0"/>
    <xf numFmtId="0" fontId="31" fillId="0" borderId="208" applyNumberFormat="0" applyFill="0" applyAlignment="0" applyProtection="0"/>
    <xf numFmtId="0" fontId="48" fillId="12" borderId="210" applyNumberFormat="0" applyAlignment="0" applyProtection="0"/>
    <xf numFmtId="0" fontId="8" fillId="10" borderId="211" applyNumberFormat="0" applyFont="0" applyAlignment="0" applyProtection="0"/>
    <xf numFmtId="0" fontId="49" fillId="10" borderId="211" applyNumberFormat="0" applyFont="0" applyAlignment="0" applyProtection="0"/>
    <xf numFmtId="0" fontId="28" fillId="0" borderId="207"/>
    <xf numFmtId="0" fontId="28" fillId="0" borderId="207"/>
    <xf numFmtId="0" fontId="31" fillId="0" borderId="213" applyNumberFormat="0" applyFill="0" applyAlignment="0" applyProtection="0"/>
    <xf numFmtId="0" fontId="84" fillId="0" borderId="207"/>
    <xf numFmtId="0" fontId="84" fillId="0" borderId="207"/>
    <xf numFmtId="0" fontId="48" fillId="12" borderId="210" applyNumberFormat="0" applyAlignment="0" applyProtection="0"/>
    <xf numFmtId="0" fontId="48" fillId="12" borderId="210" applyNumberFormat="0" applyAlignment="0" applyProtection="0"/>
    <xf numFmtId="0" fontId="25" fillId="8" borderId="210" applyNumberFormat="0" applyAlignment="0" applyProtection="0"/>
    <xf numFmtId="0" fontId="29" fillId="12" borderId="209" applyNumberFormat="0" applyAlignment="0" applyProtection="0"/>
    <xf numFmtId="0" fontId="31" fillId="0" borderId="208" applyNumberFormat="0" applyFill="0" applyAlignment="0" applyProtection="0"/>
    <xf numFmtId="0" fontId="31" fillId="0" borderId="208" applyNumberFormat="0" applyFill="0" applyAlignment="0" applyProtection="0"/>
    <xf numFmtId="0" fontId="48" fillId="12" borderId="237" applyNumberFormat="0" applyAlignment="0" applyProtection="0"/>
    <xf numFmtId="0" fontId="31" fillId="0" borderId="241" applyNumberFormat="0" applyFill="0" applyAlignment="0" applyProtection="0"/>
    <xf numFmtId="0" fontId="48" fillId="12" borderId="237" applyNumberFormat="0" applyAlignment="0" applyProtection="0"/>
    <xf numFmtId="0" fontId="16" fillId="24" borderId="237" applyNumberFormat="0" applyAlignment="0" applyProtection="0"/>
    <xf numFmtId="0" fontId="48" fillId="12" borderId="291" applyNumberFormat="0" applyAlignment="0" applyProtection="0"/>
    <xf numFmtId="0" fontId="25" fillId="8" borderId="237" applyNumberFormat="0" applyAlignment="0" applyProtection="0"/>
    <xf numFmtId="0" fontId="72" fillId="0" borderId="288" applyBorder="0">
      <alignment horizontal="center" vertical="center" wrapText="1"/>
    </xf>
    <xf numFmtId="0" fontId="48" fillId="12" borderId="291" applyNumberFormat="0" applyAlignment="0" applyProtection="0"/>
    <xf numFmtId="0" fontId="41" fillId="13" borderId="314" applyNumberFormat="0" applyAlignment="0" applyProtection="0"/>
    <xf numFmtId="0" fontId="31" fillId="0" borderId="267" applyNumberFormat="0" applyFill="0" applyAlignment="0" applyProtection="0"/>
    <xf numFmtId="0" fontId="31" fillId="0" borderId="246" applyNumberFormat="0" applyFill="0" applyAlignment="0" applyProtection="0"/>
    <xf numFmtId="0" fontId="31" fillId="0" borderId="252" applyNumberFormat="0" applyFill="0" applyAlignment="0" applyProtection="0"/>
    <xf numFmtId="0" fontId="32" fillId="24" borderId="214" applyNumberFormat="0" applyAlignment="0" applyProtection="0"/>
    <xf numFmtId="0" fontId="16" fillId="24" borderId="214" applyNumberFormat="0" applyAlignment="0" applyProtection="0"/>
    <xf numFmtId="0" fontId="48" fillId="24" borderId="214" applyNumberFormat="0" applyAlignment="0" applyProtection="0"/>
    <xf numFmtId="0" fontId="16" fillId="24" borderId="214" applyNumberFormat="0" applyAlignment="0" applyProtection="0"/>
    <xf numFmtId="0" fontId="16" fillId="24" borderId="214" applyNumberFormat="0" applyAlignment="0" applyProtection="0"/>
    <xf numFmtId="0" fontId="25" fillId="13" borderId="237" applyNumberFormat="0" applyAlignment="0" applyProtection="0"/>
    <xf numFmtId="0" fontId="48" fillId="24" borderId="314" applyNumberFormat="0" applyAlignment="0" applyProtection="0"/>
    <xf numFmtId="0" fontId="25" fillId="13" borderId="268" applyNumberFormat="0" applyAlignment="0" applyProtection="0"/>
    <xf numFmtId="0" fontId="25" fillId="13" borderId="214" applyNumberFormat="0" applyAlignment="0" applyProtection="0"/>
    <xf numFmtId="0" fontId="41" fillId="13" borderId="214" applyNumberFormat="0" applyAlignment="0" applyProtection="0"/>
    <xf numFmtId="0" fontId="25" fillId="13" borderId="214" applyNumberFormat="0" applyAlignment="0" applyProtection="0"/>
    <xf numFmtId="0" fontId="41" fillId="13" borderId="214" applyNumberFormat="0" applyAlignment="0" applyProtection="0"/>
    <xf numFmtId="0" fontId="25" fillId="13" borderId="214" applyNumberFormat="0" applyAlignment="0" applyProtection="0"/>
    <xf numFmtId="0" fontId="29" fillId="12" borderId="250" applyNumberFormat="0" applyAlignment="0" applyProtection="0"/>
    <xf numFmtId="0" fontId="31" fillId="0" borderId="219" applyNumberFormat="0" applyFill="0" applyAlignment="0" applyProtection="0"/>
    <xf numFmtId="0" fontId="84" fillId="0" borderId="218"/>
    <xf numFmtId="0" fontId="18" fillId="10" borderId="215" applyNumberFormat="0" applyFont="0" applyAlignment="0" applyProtection="0"/>
    <xf numFmtId="0" fontId="28" fillId="10" borderId="215" applyNumberFormat="0" applyFont="0" applyAlignment="0" applyProtection="0"/>
    <xf numFmtId="0" fontId="8" fillId="10" borderId="215" applyNumberFormat="0" applyFont="0" applyAlignment="0" applyProtection="0"/>
    <xf numFmtId="0" fontId="28" fillId="10" borderId="215" applyNumberFormat="0" applyFont="0" applyAlignment="0" applyProtection="0"/>
    <xf numFmtId="0" fontId="8" fillId="10" borderId="215" applyNumberFormat="0" applyFont="0" applyAlignment="0" applyProtection="0"/>
    <xf numFmtId="0" fontId="49" fillId="10" borderId="215" applyNumberFormat="0" applyFont="0" applyAlignment="0" applyProtection="0"/>
    <xf numFmtId="0" fontId="28" fillId="10" borderId="215" applyNumberFormat="0" applyFont="0" applyAlignment="0" applyProtection="0"/>
    <xf numFmtId="0" fontId="24" fillId="24" borderId="216" applyNumberFormat="0" applyAlignment="0" applyProtection="0"/>
    <xf numFmtId="0" fontId="24" fillId="24" borderId="216" applyNumberFormat="0" applyAlignment="0" applyProtection="0"/>
    <xf numFmtId="0" fontId="31" fillId="0" borderId="217" applyNumberFormat="0" applyFill="0" applyAlignment="0" applyProtection="0"/>
    <xf numFmtId="0" fontId="84" fillId="0" borderId="321"/>
    <xf numFmtId="0" fontId="29" fillId="12" borderId="271" applyNumberFormat="0" applyAlignment="0" applyProtection="0"/>
    <xf numFmtId="0" fontId="31" fillId="0" borderId="267" applyNumberFormat="0" applyFill="0" applyAlignment="0" applyProtection="0"/>
    <xf numFmtId="0" fontId="25" fillId="8" borderId="268" applyNumberFormat="0" applyAlignment="0" applyProtection="0"/>
    <xf numFmtId="0" fontId="24" fillId="24" borderId="270" applyNumberFormat="0" applyAlignment="0" applyProtection="0"/>
    <xf numFmtId="0" fontId="25" fillId="13" borderId="268" applyNumberFormat="0" applyAlignment="0" applyProtection="0"/>
    <xf numFmtId="0" fontId="28" fillId="0" borderId="275"/>
    <xf numFmtId="0" fontId="49" fillId="10" borderId="269" applyNumberFormat="0" applyFont="0" applyAlignment="0" applyProtection="0"/>
    <xf numFmtId="0" fontId="31" fillId="0" borderId="266" applyNumberFormat="0" applyFill="0" applyAlignment="0" applyProtection="0"/>
    <xf numFmtId="0" fontId="31" fillId="0" borderId="267" applyNumberFormat="0" applyFill="0" applyAlignment="0" applyProtection="0"/>
    <xf numFmtId="0" fontId="25" fillId="8" borderId="268" applyNumberFormat="0" applyAlignment="0" applyProtection="0"/>
    <xf numFmtId="0" fontId="31" fillId="0" borderId="266" applyNumberFormat="0" applyFill="0" applyAlignment="0" applyProtection="0"/>
    <xf numFmtId="0" fontId="31" fillId="0" borderId="267" applyNumberFormat="0" applyFill="0" applyAlignment="0" applyProtection="0"/>
    <xf numFmtId="0" fontId="48" fillId="12" borderId="268" applyNumberFormat="0" applyAlignment="0" applyProtection="0"/>
    <xf numFmtId="0" fontId="24" fillId="24" borderId="270" applyNumberFormat="0" applyAlignment="0" applyProtection="0"/>
    <xf numFmtId="0" fontId="31" fillId="0" borderId="273" applyNumberFormat="0" applyFill="0" applyAlignment="0" applyProtection="0"/>
    <xf numFmtId="0" fontId="18" fillId="10" borderId="269" applyNumberFormat="0" applyFont="0" applyAlignment="0" applyProtection="0"/>
    <xf numFmtId="0" fontId="16" fillId="24" borderId="268" applyNumberFormat="0" applyAlignment="0" applyProtection="0"/>
    <xf numFmtId="0" fontId="25" fillId="13" borderId="268" applyNumberFormat="0" applyAlignment="0" applyProtection="0"/>
    <xf numFmtId="0" fontId="25" fillId="8" borderId="268" applyNumberFormat="0" applyAlignment="0" applyProtection="0"/>
    <xf numFmtId="0" fontId="31" fillId="0" borderId="273" applyNumberFormat="0" applyFill="0" applyAlignment="0" applyProtection="0"/>
    <xf numFmtId="0" fontId="48" fillId="24" borderId="268" applyNumberFormat="0" applyAlignment="0" applyProtection="0"/>
    <xf numFmtId="0" fontId="28" fillId="10" borderId="269" applyNumberFormat="0" applyFont="0" applyAlignment="0" applyProtection="0"/>
    <xf numFmtId="0" fontId="28" fillId="10" borderId="269" applyNumberFormat="0" applyFont="0" applyAlignment="0" applyProtection="0"/>
    <xf numFmtId="0" fontId="49" fillId="10" borderId="269" applyNumberFormat="0" applyFont="0" applyAlignment="0" applyProtection="0"/>
    <xf numFmtId="0" fontId="48" fillId="12" borderId="268" applyNumberFormat="0" applyAlignment="0" applyProtection="0"/>
    <xf numFmtId="0" fontId="48" fillId="12" borderId="268" applyNumberFormat="0" applyAlignment="0" applyProtection="0"/>
    <xf numFmtId="0" fontId="84" fillId="0" borderId="275"/>
    <xf numFmtId="0" fontId="31" fillId="0" borderId="319" applyNumberFormat="0" applyFill="0" applyAlignment="0" applyProtection="0"/>
    <xf numFmtId="0" fontId="49" fillId="10" borderId="315" applyNumberFormat="0" applyFont="0" applyAlignment="0" applyProtection="0"/>
    <xf numFmtId="0" fontId="32" fillId="24" borderId="314" applyNumberFormat="0" applyAlignment="0" applyProtection="0"/>
    <xf numFmtId="0" fontId="84" fillId="0" borderId="321"/>
    <xf numFmtId="0" fontId="16" fillId="24" borderId="323" applyNumberFormat="0" applyAlignment="0" applyProtection="0"/>
    <xf numFmtId="0" fontId="49" fillId="10" borderId="292" applyNumberFormat="0" applyFont="0" applyAlignment="0" applyProtection="0"/>
    <xf numFmtId="0" fontId="29" fillId="24" borderId="294" applyNumberFormat="0" applyAlignment="0" applyProtection="0"/>
    <xf numFmtId="0" fontId="8" fillId="10" borderId="244" applyNumberFormat="0" applyFont="0" applyAlignment="0" applyProtection="0"/>
    <xf numFmtId="0" fontId="31" fillId="0" borderId="252" applyNumberFormat="0" applyFill="0" applyAlignment="0" applyProtection="0"/>
    <xf numFmtId="0" fontId="29" fillId="24" borderId="250" applyNumberFormat="0" applyAlignment="0" applyProtection="0"/>
    <xf numFmtId="0" fontId="29" fillId="24" borderId="250" applyNumberFormat="0" applyAlignment="0" applyProtection="0"/>
    <xf numFmtId="0" fontId="29" fillId="24" borderId="317" applyNumberFormat="0" applyAlignment="0" applyProtection="0"/>
    <xf numFmtId="0" fontId="48" fillId="24" borderId="268" applyNumberFormat="0" applyAlignment="0" applyProtection="0"/>
    <xf numFmtId="0" fontId="84" fillId="0" borderId="321"/>
    <xf numFmtId="0" fontId="32" fillId="24" borderId="268" applyNumberFormat="0" applyAlignment="0" applyProtection="0"/>
    <xf numFmtId="0" fontId="72" fillId="0" borderId="274" applyBorder="0">
      <alignment horizontal="center" vertical="center" wrapText="1"/>
    </xf>
    <xf numFmtId="0" fontId="48" fillId="24" borderId="314" applyNumberFormat="0" applyAlignment="0" applyProtection="0"/>
    <xf numFmtId="0" fontId="28" fillId="10" borderId="269" applyNumberFormat="0" applyFont="0" applyAlignment="0" applyProtection="0"/>
    <xf numFmtId="0" fontId="48" fillId="24" borderId="243" applyNumberFormat="0" applyAlignment="0" applyProtection="0"/>
    <xf numFmtId="0" fontId="16" fillId="24" borderId="243" applyNumberFormat="0" applyAlignment="0" applyProtection="0"/>
    <xf numFmtId="0" fontId="16" fillId="24" borderId="268" applyNumberFormat="0" applyAlignment="0" applyProtection="0"/>
    <xf numFmtId="0" fontId="8" fillId="10" borderId="292" applyNumberFormat="0" applyFont="0" applyAlignment="0" applyProtection="0"/>
    <xf numFmtId="0" fontId="25" fillId="13" borderId="243" applyNumberFormat="0" applyAlignment="0" applyProtection="0"/>
    <xf numFmtId="0" fontId="25" fillId="13" borderId="243" applyNumberFormat="0" applyAlignment="0" applyProtection="0"/>
    <xf numFmtId="0" fontId="49" fillId="10" borderId="244" applyNumberFormat="0" applyFont="0" applyAlignment="0" applyProtection="0"/>
    <xf numFmtId="0" fontId="24" fillId="24" borderId="245" applyNumberFormat="0" applyAlignment="0" applyProtection="0"/>
    <xf numFmtId="0" fontId="31" fillId="0" borderId="313" applyNumberFormat="0" applyFill="0" applyAlignment="0" applyProtection="0"/>
    <xf numFmtId="0" fontId="29" fillId="24" borderId="317" applyNumberFormat="0" applyAlignment="0" applyProtection="0"/>
    <xf numFmtId="0" fontId="31" fillId="0" borderId="312" applyNumberFormat="0" applyFill="0" applyAlignment="0" applyProtection="0"/>
    <xf numFmtId="0" fontId="28" fillId="0" borderId="275"/>
    <xf numFmtId="0" fontId="32" fillId="24" borderId="277" applyNumberFormat="0" applyAlignment="0" applyProtection="0"/>
    <xf numFmtId="0" fontId="84" fillId="73" borderId="321"/>
    <xf numFmtId="0" fontId="31" fillId="0" borderId="312" applyNumberFormat="0" applyFill="0" applyAlignment="0" applyProtection="0"/>
    <xf numFmtId="0" fontId="29" fillId="12" borderId="317" applyNumberFormat="0" applyAlignment="0" applyProtection="0"/>
    <xf numFmtId="0" fontId="31" fillId="0" borderId="313" applyNumberFormat="0" applyFill="0" applyAlignment="0" applyProtection="0"/>
    <xf numFmtId="0" fontId="28" fillId="10" borderId="315" applyNumberFormat="0" applyFont="0" applyAlignment="0" applyProtection="0"/>
    <xf numFmtId="0" fontId="28" fillId="10" borderId="292" applyNumberFormat="0" applyFont="0" applyAlignment="0" applyProtection="0"/>
    <xf numFmtId="0" fontId="31" fillId="0" borderId="295" applyNumberFormat="0" applyFill="0" applyAlignment="0" applyProtection="0"/>
    <xf numFmtId="0" fontId="31" fillId="0" borderId="290" applyNumberFormat="0" applyFill="0" applyAlignment="0" applyProtection="0"/>
    <xf numFmtId="0" fontId="31" fillId="0" borderId="313" applyNumberFormat="0" applyFill="0" applyAlignment="0" applyProtection="0"/>
    <xf numFmtId="0" fontId="41" fillId="13" borderId="307" applyNumberFormat="0" applyAlignment="0" applyProtection="0"/>
    <xf numFmtId="0" fontId="29" fillId="12" borderId="294" applyNumberFormat="0" applyAlignment="0" applyProtection="0"/>
    <xf numFmtId="0" fontId="31" fillId="0" borderId="296" applyNumberFormat="0" applyFill="0" applyAlignment="0" applyProtection="0"/>
    <xf numFmtId="0" fontId="31" fillId="0" borderId="290" applyNumberFormat="0" applyFill="0" applyAlignment="0" applyProtection="0"/>
    <xf numFmtId="0" fontId="31" fillId="0" borderId="313" applyNumberFormat="0" applyFill="0" applyAlignment="0" applyProtection="0"/>
    <xf numFmtId="0" fontId="16" fillId="24" borderId="261" applyNumberFormat="0" applyAlignment="0" applyProtection="0"/>
    <xf numFmtId="0" fontId="31" fillId="0" borderId="272" applyNumberFormat="0" applyFill="0" applyAlignment="0" applyProtection="0"/>
    <xf numFmtId="0" fontId="31" fillId="0" borderId="266" applyNumberFormat="0" applyFill="0" applyAlignment="0" applyProtection="0"/>
    <xf numFmtId="0" fontId="29" fillId="24" borderId="306" applyNumberFormat="0" applyAlignment="0" applyProtection="0"/>
    <xf numFmtId="0" fontId="8" fillId="10" borderId="315" applyNumberFormat="0" applyFont="0" applyAlignment="0" applyProtection="0"/>
    <xf numFmtId="0" fontId="41" fillId="13" borderId="291" applyNumberFormat="0" applyAlignment="0" applyProtection="0"/>
    <xf numFmtId="0" fontId="84" fillId="0" borderId="275"/>
    <xf numFmtId="0" fontId="24" fillId="24" borderId="270" applyNumberFormat="0" applyAlignment="0" applyProtection="0"/>
    <xf numFmtId="0" fontId="25" fillId="8" borderId="268" applyNumberFormat="0" applyAlignment="0" applyProtection="0"/>
    <xf numFmtId="0" fontId="25" fillId="13" borderId="277" applyNumberFormat="0" applyAlignment="0" applyProtection="0"/>
    <xf numFmtId="0" fontId="31" fillId="0" borderId="280" applyNumberFormat="0" applyFill="0" applyAlignment="0" applyProtection="0"/>
    <xf numFmtId="0" fontId="18" fillId="10" borderId="315" applyNumberFormat="0" applyFont="0" applyAlignment="0" applyProtection="0"/>
    <xf numFmtId="0" fontId="31" fillId="0" borderId="319" applyNumberFormat="0" applyFill="0" applyAlignment="0" applyProtection="0"/>
    <xf numFmtId="0" fontId="28" fillId="10" borderId="315" applyNumberFormat="0" applyFont="0" applyAlignment="0" applyProtection="0"/>
    <xf numFmtId="0" fontId="8" fillId="10" borderId="315" applyNumberFormat="0" applyFont="0" applyAlignment="0" applyProtection="0"/>
    <xf numFmtId="0" fontId="28" fillId="0" borderId="298"/>
    <xf numFmtId="0" fontId="28" fillId="0" borderId="298"/>
    <xf numFmtId="0" fontId="31" fillId="0" borderId="296" applyNumberFormat="0" applyFill="0" applyAlignment="0" applyProtection="0"/>
    <xf numFmtId="0" fontId="41" fillId="13" borderId="291" applyNumberFormat="0" applyAlignment="0" applyProtection="0"/>
    <xf numFmtId="0" fontId="31" fillId="0" borderId="290" applyNumberFormat="0" applyFill="0" applyAlignment="0" applyProtection="0"/>
    <xf numFmtId="0" fontId="16" fillId="24" borderId="291" applyNumberFormat="0" applyAlignment="0" applyProtection="0"/>
    <xf numFmtId="0" fontId="48" fillId="24" borderId="291" applyNumberFormat="0" applyAlignment="0" applyProtection="0"/>
    <xf numFmtId="0" fontId="31" fillId="0" borderId="312" applyNumberFormat="0" applyFill="0" applyAlignment="0" applyProtection="0"/>
    <xf numFmtId="0" fontId="32" fillId="24" borderId="314" applyNumberFormat="0" applyAlignment="0" applyProtection="0"/>
    <xf numFmtId="0" fontId="49" fillId="10" borderId="315" applyNumberFormat="0" applyFont="0" applyAlignment="0" applyProtection="0"/>
    <xf numFmtId="0" fontId="16" fillId="24" borderId="291" applyNumberFormat="0" applyAlignment="0" applyProtection="0"/>
    <xf numFmtId="0" fontId="16" fillId="24" borderId="254" applyNumberFormat="0" applyAlignment="0" applyProtection="0"/>
    <xf numFmtId="0" fontId="32" fillId="24" borderId="254" applyNumberFormat="0" applyAlignment="0" applyProtection="0"/>
    <xf numFmtId="0" fontId="31" fillId="0" borderId="249" applyNumberFormat="0" applyFill="0" applyAlignment="0" applyProtection="0"/>
    <xf numFmtId="0" fontId="28" fillId="0" borderId="247"/>
    <xf numFmtId="0" fontId="29" fillId="12" borderId="250" applyNumberFormat="0" applyAlignment="0" applyProtection="0"/>
    <xf numFmtId="0" fontId="28" fillId="0" borderId="247"/>
    <xf numFmtId="0" fontId="49" fillId="10" borderId="244" applyNumberFormat="0" applyFont="0" applyAlignment="0" applyProtection="0"/>
    <xf numFmtId="0" fontId="28" fillId="10" borderId="244" applyNumberFormat="0" applyFont="0" applyAlignment="0" applyProtection="0"/>
    <xf numFmtId="0" fontId="31" fillId="0" borderId="249" applyNumberFormat="0" applyFill="0" applyAlignment="0" applyProtection="0"/>
    <xf numFmtId="0" fontId="24" fillId="24" borderId="245" applyNumberFormat="0" applyAlignment="0" applyProtection="0"/>
    <xf numFmtId="0" fontId="29" fillId="24" borderId="250" applyNumberFormat="0" applyAlignment="0" applyProtection="0"/>
    <xf numFmtId="0" fontId="8" fillId="10" borderId="244" applyNumberFormat="0" applyFont="0" applyAlignment="0" applyProtection="0"/>
    <xf numFmtId="0" fontId="8" fillId="10" borderId="244" applyNumberFormat="0" applyFont="0" applyAlignment="0" applyProtection="0"/>
    <xf numFmtId="0" fontId="31" fillId="0" borderId="246" applyNumberFormat="0" applyFill="0" applyAlignment="0" applyProtection="0"/>
    <xf numFmtId="0" fontId="31" fillId="0" borderId="252" applyNumberFormat="0" applyFill="0" applyAlignment="0" applyProtection="0"/>
    <xf numFmtId="0" fontId="31" fillId="0" borderId="252" applyNumberFormat="0" applyFill="0" applyAlignment="0" applyProtection="0"/>
    <xf numFmtId="0" fontId="31" fillId="0" borderId="249" applyNumberFormat="0" applyFill="0" applyAlignment="0" applyProtection="0"/>
    <xf numFmtId="0" fontId="31" fillId="0" borderId="252" applyNumberFormat="0" applyFill="0" applyAlignment="0" applyProtection="0"/>
    <xf numFmtId="0" fontId="18" fillId="10" borderId="244" applyNumberFormat="0" applyFont="0" applyAlignment="0" applyProtection="0"/>
    <xf numFmtId="0" fontId="24" fillId="24" borderId="245" applyNumberFormat="0" applyAlignment="0" applyProtection="0"/>
    <xf numFmtId="0" fontId="8" fillId="10" borderId="244" applyNumberFormat="0" applyFont="0" applyAlignment="0" applyProtection="0"/>
    <xf numFmtId="0" fontId="29" fillId="24" borderId="250" applyNumberFormat="0" applyAlignment="0" applyProtection="0"/>
    <xf numFmtId="0" fontId="84" fillId="0" borderId="247"/>
    <xf numFmtId="0" fontId="28" fillId="0" borderId="247"/>
    <xf numFmtId="0" fontId="31" fillId="0" borderId="318" applyNumberFormat="0" applyFill="0" applyAlignment="0" applyProtection="0"/>
    <xf numFmtId="0" fontId="28" fillId="10" borderId="269" applyNumberFormat="0" applyFont="0" applyAlignment="0" applyProtection="0"/>
    <xf numFmtId="0" fontId="16" fillId="24" borderId="323" applyNumberFormat="0" applyAlignment="0" applyProtection="0"/>
    <xf numFmtId="0" fontId="25" fillId="8" borderId="291" applyNumberFormat="0" applyAlignment="0" applyProtection="0"/>
    <xf numFmtId="0" fontId="8" fillId="45" borderId="299" applyNumberFormat="0" applyFont="0" applyAlignment="0" applyProtection="0"/>
    <xf numFmtId="0" fontId="48" fillId="12" borderId="291" applyNumberFormat="0" applyAlignment="0" applyProtection="0"/>
    <xf numFmtId="0" fontId="28" fillId="10" borderId="292" applyNumberFormat="0" applyFont="0" applyAlignment="0" applyProtection="0"/>
    <xf numFmtId="0" fontId="49" fillId="10" borderId="292" applyNumberFormat="0" applyFont="0" applyAlignment="0" applyProtection="0"/>
    <xf numFmtId="0" fontId="31" fillId="0" borderId="289" applyNumberFormat="0" applyFill="0" applyAlignment="0" applyProtection="0"/>
    <xf numFmtId="0" fontId="31" fillId="0" borderId="252" applyNumberFormat="0" applyFill="0" applyAlignment="0" applyProtection="0"/>
    <xf numFmtId="0" fontId="49" fillId="10" borderId="269" applyNumberFormat="0" applyFont="0" applyAlignment="0" applyProtection="0"/>
    <xf numFmtId="0" fontId="84" fillId="0" borderId="275"/>
    <xf numFmtId="0" fontId="29" fillId="24" borderId="317" applyNumberFormat="0" applyAlignment="0" applyProtection="0"/>
    <xf numFmtId="0" fontId="48" fillId="12" borderId="291" applyNumberFormat="0" applyAlignment="0" applyProtection="0"/>
    <xf numFmtId="0" fontId="28" fillId="0" borderId="298"/>
    <xf numFmtId="0" fontId="8" fillId="10" borderId="292" applyNumberFormat="0" applyFont="0" applyAlignment="0" applyProtection="0"/>
    <xf numFmtId="0" fontId="72" fillId="0" borderId="248" applyBorder="0">
      <alignment horizontal="center" vertical="center" wrapText="1"/>
    </xf>
    <xf numFmtId="0" fontId="16" fillId="24" borderId="284" applyNumberFormat="0" applyAlignment="0" applyProtection="0"/>
    <xf numFmtId="0" fontId="48" fillId="12" borderId="268" applyNumberFormat="0" applyAlignment="0" applyProtection="0"/>
    <xf numFmtId="0" fontId="48" fillId="12" borderId="314" applyNumberFormat="0" applyAlignment="0" applyProtection="0"/>
    <xf numFmtId="0" fontId="72" fillId="0" borderId="311" applyBorder="0">
      <alignment horizontal="center" vertical="center" wrapText="1"/>
    </xf>
    <xf numFmtId="0" fontId="24" fillId="24" borderId="325" applyNumberFormat="0" applyAlignment="0" applyProtection="0"/>
    <xf numFmtId="0" fontId="24" fillId="24" borderId="316" applyNumberFormat="0" applyAlignment="0" applyProtection="0"/>
    <xf numFmtId="0" fontId="29" fillId="24" borderId="317" applyNumberFormat="0" applyAlignment="0" applyProtection="0"/>
    <xf numFmtId="0" fontId="25" fillId="13" borderId="314" applyNumberFormat="0" applyAlignment="0" applyProtection="0"/>
    <xf numFmtId="0" fontId="28" fillId="0" borderId="298"/>
    <xf numFmtId="0" fontId="16" fillId="24" borderId="291" applyNumberFormat="0" applyAlignment="0" applyProtection="0"/>
    <xf numFmtId="0" fontId="25" fillId="13" borderId="291" applyNumberFormat="0" applyAlignment="0" applyProtection="0"/>
    <xf numFmtId="0" fontId="24" fillId="24" borderId="316" applyNumberFormat="0" applyAlignment="0" applyProtection="0"/>
    <xf numFmtId="0" fontId="16" fillId="24" borderId="291" applyNumberFormat="0" applyAlignment="0" applyProtection="0"/>
    <xf numFmtId="0" fontId="28" fillId="10" borderId="315" applyNumberFormat="0" applyFont="0" applyAlignment="0" applyProtection="0"/>
    <xf numFmtId="0" fontId="28" fillId="10" borderId="315" applyNumberFormat="0" applyFont="0" applyAlignment="0" applyProtection="0"/>
    <xf numFmtId="0" fontId="72" fillId="0" borderId="265" applyBorder="0">
      <alignment horizontal="center" vertical="center" wrapText="1"/>
    </xf>
    <xf numFmtId="0" fontId="16" fillId="24" borderId="268" applyNumberFormat="0" applyAlignment="0" applyProtection="0"/>
    <xf numFmtId="0" fontId="28" fillId="0" borderId="321"/>
    <xf numFmtId="0" fontId="29" fillId="24" borderId="271" applyNumberFormat="0" applyAlignment="0" applyProtection="0"/>
    <xf numFmtId="0" fontId="29" fillId="12" borderId="271" applyNumberFormat="0" applyAlignment="0" applyProtection="0"/>
    <xf numFmtId="0" fontId="31" fillId="0" borderId="295" applyNumberFormat="0" applyFill="0" applyAlignment="0" applyProtection="0"/>
    <xf numFmtId="0" fontId="28" fillId="10" borderId="278" applyNumberFormat="0" applyFont="0" applyAlignment="0" applyProtection="0"/>
    <xf numFmtId="0" fontId="16" fillId="24" borderId="314" applyNumberFormat="0" applyAlignment="0" applyProtection="0"/>
    <xf numFmtId="0" fontId="16" fillId="24" borderId="307" applyNumberFormat="0" applyAlignment="0" applyProtection="0"/>
    <xf numFmtId="0" fontId="49" fillId="10" borderId="315" applyNumberFormat="0" applyFont="0" applyAlignment="0" applyProtection="0"/>
    <xf numFmtId="0" fontId="25" fillId="13" borderId="314" applyNumberFormat="0" applyAlignment="0" applyProtection="0"/>
    <xf numFmtId="0" fontId="18" fillId="10" borderId="292" applyNumberFormat="0" applyFont="0" applyAlignment="0" applyProtection="0"/>
    <xf numFmtId="0" fontId="84" fillId="0" borderId="298"/>
    <xf numFmtId="0" fontId="32" fillId="24" borderId="284" applyNumberFormat="0" applyAlignment="0" applyProtection="0"/>
    <xf numFmtId="0" fontId="8" fillId="10" borderId="315" applyNumberFormat="0" applyFont="0" applyAlignment="0" applyProtection="0"/>
    <xf numFmtId="0" fontId="28" fillId="10" borderId="255" applyNumberFormat="0" applyFont="0" applyAlignment="0" applyProtection="0"/>
    <xf numFmtId="0" fontId="25" fillId="13" borderId="254" applyNumberFormat="0" applyAlignment="0" applyProtection="0"/>
    <xf numFmtId="0" fontId="84" fillId="0" borderId="247"/>
    <xf numFmtId="0" fontId="49" fillId="10" borderId="244" applyNumberFormat="0" applyFont="0" applyAlignment="0" applyProtection="0"/>
    <xf numFmtId="0" fontId="31" fillId="0" borderId="251" applyNumberFormat="0" applyFill="0" applyAlignment="0" applyProtection="0"/>
    <xf numFmtId="0" fontId="28" fillId="10" borderId="244" applyNumberFormat="0" applyFont="0" applyAlignment="0" applyProtection="0"/>
    <xf numFmtId="0" fontId="29" fillId="24" borderId="250" applyNumberFormat="0" applyAlignment="0" applyProtection="0"/>
    <xf numFmtId="0" fontId="49" fillId="10" borderId="244" applyNumberFormat="0" applyFont="0" applyAlignment="0" applyProtection="0"/>
    <xf numFmtId="0" fontId="31" fillId="0" borderId="252" applyNumberFormat="0" applyFill="0" applyAlignment="0" applyProtection="0"/>
    <xf numFmtId="0" fontId="29" fillId="12" borderId="250" applyNumberFormat="0" applyAlignment="0" applyProtection="0"/>
    <xf numFmtId="0" fontId="29" fillId="24" borderId="250" applyNumberFormat="0" applyAlignment="0" applyProtection="0"/>
    <xf numFmtId="0" fontId="28" fillId="10" borderId="244" applyNumberFormat="0" applyFont="0" applyAlignment="0" applyProtection="0"/>
    <xf numFmtId="0" fontId="49" fillId="10" borderId="244" applyNumberFormat="0" applyFont="0" applyAlignment="0" applyProtection="0"/>
    <xf numFmtId="0" fontId="24" fillId="24" borderId="293" applyNumberFormat="0" applyAlignment="0" applyProtection="0"/>
    <xf numFmtId="0" fontId="29" fillId="12" borderId="317" applyNumberFormat="0" applyAlignment="0" applyProtection="0"/>
    <xf numFmtId="0" fontId="28" fillId="10" borderId="262" applyNumberFormat="0" applyFont="0" applyAlignment="0" applyProtection="0"/>
    <xf numFmtId="0" fontId="28" fillId="10" borderId="262" applyNumberFormat="0" applyFont="0" applyAlignment="0" applyProtection="0"/>
    <xf numFmtId="0" fontId="41" fillId="13" borderId="254" applyNumberFormat="0" applyAlignment="0" applyProtection="0"/>
    <xf numFmtId="0" fontId="31" fillId="0" borderId="252" applyNumberFormat="0" applyFill="0" applyAlignment="0" applyProtection="0"/>
    <xf numFmtId="0" fontId="28" fillId="0" borderId="298"/>
    <xf numFmtId="0" fontId="31" fillId="0" borderId="313" applyNumberFormat="0" applyFill="0" applyAlignment="0" applyProtection="0"/>
    <xf numFmtId="0" fontId="8" fillId="10" borderId="269" applyNumberFormat="0" applyFont="0" applyAlignment="0" applyProtection="0"/>
    <xf numFmtId="0" fontId="16" fillId="24" borderId="268" applyNumberFormat="0" applyAlignment="0" applyProtection="0"/>
    <xf numFmtId="0" fontId="31" fillId="0" borderId="267" applyNumberFormat="0" applyFill="0" applyAlignment="0" applyProtection="0"/>
    <xf numFmtId="0" fontId="28" fillId="10" borderId="269" applyNumberFormat="0" applyFont="0" applyAlignment="0" applyProtection="0"/>
    <xf numFmtId="0" fontId="41" fillId="13" borderId="268" applyNumberFormat="0" applyAlignment="0" applyProtection="0"/>
    <xf numFmtId="0" fontId="31" fillId="0" borderId="273" applyNumberFormat="0" applyFill="0" applyAlignment="0" applyProtection="0"/>
    <xf numFmtId="0" fontId="72" fillId="0" borderId="274" applyBorder="0">
      <alignment horizontal="center" vertical="center" wrapText="1"/>
    </xf>
    <xf numFmtId="0" fontId="32" fillId="24" borderId="237" applyNumberFormat="0" applyAlignment="0" applyProtection="0"/>
    <xf numFmtId="0" fontId="16" fillId="24" borderId="237" applyNumberFormat="0" applyAlignment="0" applyProtection="0"/>
    <xf numFmtId="0" fontId="31" fillId="0" borderId="273" applyNumberFormat="0" applyFill="0" applyAlignment="0" applyProtection="0"/>
    <xf numFmtId="0" fontId="31" fillId="0" borderId="267" applyNumberFormat="0" applyFill="0" applyAlignment="0" applyProtection="0"/>
    <xf numFmtId="0" fontId="25" fillId="8" borderId="268" applyNumberFormat="0" applyAlignment="0" applyProtection="0"/>
    <xf numFmtId="0" fontId="31" fillId="0" borderId="273" applyNumberFormat="0" applyFill="0" applyAlignment="0" applyProtection="0"/>
    <xf numFmtId="0" fontId="29" fillId="24" borderId="271" applyNumberFormat="0" applyAlignment="0" applyProtection="0"/>
    <xf numFmtId="0" fontId="28" fillId="10" borderId="269" applyNumberFormat="0" applyFont="0" applyAlignment="0" applyProtection="0"/>
    <xf numFmtId="0" fontId="16" fillId="24" borderId="268" applyNumberFormat="0" applyAlignment="0" applyProtection="0"/>
    <xf numFmtId="0" fontId="31" fillId="0" borderId="289" applyNumberFormat="0" applyFill="0" applyAlignment="0" applyProtection="0"/>
    <xf numFmtId="0" fontId="48" fillId="12" borderId="314" applyNumberFormat="0" applyAlignment="0" applyProtection="0"/>
    <xf numFmtId="0" fontId="48" fillId="24" borderId="314" applyNumberFormat="0" applyAlignment="0" applyProtection="0"/>
    <xf numFmtId="0" fontId="29" fillId="24" borderId="271" applyNumberFormat="0" applyAlignment="0" applyProtection="0"/>
    <xf numFmtId="0" fontId="31" fillId="0" borderId="266" applyNumberFormat="0" applyFill="0" applyAlignment="0" applyProtection="0"/>
    <xf numFmtId="0" fontId="31" fillId="0" borderId="272" applyNumberFormat="0" applyFill="0" applyAlignment="0" applyProtection="0"/>
    <xf numFmtId="0" fontId="29" fillId="12" borderId="271" applyNumberFormat="0" applyAlignment="0" applyProtection="0"/>
    <xf numFmtId="0" fontId="25" fillId="13" borderId="268" applyNumberFormat="0" applyAlignment="0" applyProtection="0"/>
    <xf numFmtId="0" fontId="31" fillId="0" borderId="319" applyNumberFormat="0" applyFill="0" applyAlignment="0" applyProtection="0"/>
    <xf numFmtId="0" fontId="28" fillId="10" borderId="324" applyNumberFormat="0" applyFont="0" applyAlignment="0" applyProtection="0"/>
    <xf numFmtId="0" fontId="84" fillId="0" borderId="275"/>
    <xf numFmtId="0" fontId="29" fillId="24" borderId="271" applyNumberFormat="0" applyAlignment="0" applyProtection="0"/>
    <xf numFmtId="0" fontId="31" fillId="0" borderId="267" applyNumberFormat="0" applyFill="0" applyAlignment="0" applyProtection="0"/>
    <xf numFmtId="0" fontId="48" fillId="24" borderId="268" applyNumberFormat="0" applyAlignment="0" applyProtection="0"/>
    <xf numFmtId="0" fontId="8" fillId="10" borderId="269" applyNumberFormat="0" applyFont="0" applyAlignment="0" applyProtection="0"/>
    <xf numFmtId="0" fontId="31" fillId="0" borderId="272" applyNumberFormat="0" applyFill="0" applyAlignment="0" applyProtection="0"/>
    <xf numFmtId="0" fontId="31" fillId="0" borderId="273" applyNumberFormat="0" applyFill="0" applyAlignment="0" applyProtection="0"/>
    <xf numFmtId="0" fontId="18" fillId="10" borderId="269" applyNumberFormat="0" applyFont="0" applyAlignment="0" applyProtection="0"/>
    <xf numFmtId="0" fontId="28" fillId="10" borderId="269" applyNumberFormat="0" applyFont="0" applyAlignment="0" applyProtection="0"/>
    <xf numFmtId="0" fontId="48" fillId="24" borderId="268" applyNumberFormat="0" applyAlignment="0" applyProtection="0"/>
    <xf numFmtId="0" fontId="48" fillId="12" borderId="268" applyNumberFormat="0" applyAlignment="0" applyProtection="0"/>
    <xf numFmtId="0" fontId="16" fillId="24" borderId="268" applyNumberFormat="0" applyAlignment="0" applyProtection="0"/>
    <xf numFmtId="0" fontId="72" fillId="0" borderId="274" applyBorder="0">
      <alignment horizontal="center" vertical="center" wrapText="1"/>
    </xf>
    <xf numFmtId="0" fontId="31" fillId="0" borderId="272" applyNumberFormat="0" applyFill="0" applyAlignment="0" applyProtection="0"/>
    <xf numFmtId="0" fontId="31" fillId="0" borderId="272" applyNumberFormat="0" applyFill="0" applyAlignment="0" applyProtection="0"/>
    <xf numFmtId="0" fontId="49" fillId="10" borderId="269" applyNumberFormat="0" applyFont="0" applyAlignment="0" applyProtection="0"/>
    <xf numFmtId="0" fontId="8" fillId="10" borderId="269" applyNumberFormat="0" applyFont="0" applyAlignment="0" applyProtection="0"/>
    <xf numFmtId="0" fontId="31" fillId="0" borderId="266" applyNumberFormat="0" applyFill="0" applyAlignment="0" applyProtection="0"/>
    <xf numFmtId="0" fontId="48" fillId="24" borderId="268" applyNumberFormat="0" applyAlignment="0" applyProtection="0"/>
    <xf numFmtId="0" fontId="25" fillId="8" borderId="268" applyNumberFormat="0" applyAlignment="0" applyProtection="0"/>
    <xf numFmtId="0" fontId="49" fillId="10" borderId="269" applyNumberFormat="0" applyFont="0" applyAlignment="0" applyProtection="0"/>
    <xf numFmtId="0" fontId="31" fillId="0" borderId="272" applyNumberFormat="0" applyFill="0" applyAlignment="0" applyProtection="0"/>
    <xf numFmtId="0" fontId="32" fillId="24" borderId="268" applyNumberFormat="0" applyAlignment="0" applyProtection="0"/>
    <xf numFmtId="0" fontId="16" fillId="24" borderId="268" applyNumberFormat="0" applyAlignment="0" applyProtection="0"/>
    <xf numFmtId="0" fontId="28" fillId="10" borderId="269" applyNumberFormat="0" applyFont="0" applyAlignment="0" applyProtection="0"/>
    <xf numFmtId="0" fontId="8" fillId="10" borderId="269" applyNumberFormat="0" applyFont="0" applyAlignment="0" applyProtection="0"/>
    <xf numFmtId="0" fontId="29" fillId="24" borderId="271" applyNumberFormat="0" applyAlignment="0" applyProtection="0"/>
    <xf numFmtId="0" fontId="25" fillId="13" borderId="268" applyNumberFormat="0" applyAlignment="0" applyProtection="0"/>
    <xf numFmtId="0" fontId="18" fillId="10" borderId="269" applyNumberFormat="0" applyFont="0" applyAlignment="0" applyProtection="0"/>
    <xf numFmtId="0" fontId="24" fillId="24" borderId="270" applyNumberFormat="0" applyAlignment="0" applyProtection="0"/>
    <xf numFmtId="0" fontId="28" fillId="0" borderId="275"/>
    <xf numFmtId="0" fontId="72" fillId="0" borderId="265" applyBorder="0">
      <alignment horizontal="center" vertical="center" wrapText="1"/>
    </xf>
    <xf numFmtId="0" fontId="48" fillId="12" borderId="268" applyNumberFormat="0" applyAlignment="0" applyProtection="0"/>
    <xf numFmtId="0" fontId="48" fillId="24" borderId="268" applyNumberFormat="0" applyAlignment="0" applyProtection="0"/>
    <xf numFmtId="0" fontId="31" fillId="0" borderId="272" applyNumberFormat="0" applyFill="0" applyAlignment="0" applyProtection="0"/>
    <xf numFmtId="0" fontId="31" fillId="0" borderId="266" applyNumberFormat="0" applyFill="0" applyAlignment="0" applyProtection="0"/>
    <xf numFmtId="0" fontId="16" fillId="24" borderId="268" applyNumberFormat="0" applyAlignment="0" applyProtection="0"/>
    <xf numFmtId="0" fontId="31" fillId="0" borderId="272" applyNumberFormat="0" applyFill="0" applyAlignment="0" applyProtection="0"/>
    <xf numFmtId="0" fontId="8" fillId="45" borderId="276" applyNumberFormat="0" applyFont="0" applyAlignment="0" applyProtection="0"/>
    <xf numFmtId="0" fontId="84" fillId="0" borderId="275"/>
    <xf numFmtId="0" fontId="29" fillId="12" borderId="271" applyNumberFormat="0" applyAlignment="0" applyProtection="0"/>
    <xf numFmtId="0" fontId="49" fillId="10" borderId="269" applyNumberFormat="0" applyFont="0" applyAlignment="0" applyProtection="0"/>
    <xf numFmtId="0" fontId="28" fillId="0" borderId="275"/>
    <xf numFmtId="0" fontId="48" fillId="12" borderId="268" applyNumberFormat="0" applyAlignment="0" applyProtection="0"/>
    <xf numFmtId="0" fontId="31" fillId="0" borderId="273" applyNumberFormat="0" applyFill="0" applyAlignment="0" applyProtection="0"/>
    <xf numFmtId="0" fontId="31" fillId="0" borderId="318" applyNumberFormat="0" applyFill="0" applyAlignment="0" applyProtection="0"/>
    <xf numFmtId="0" fontId="31" fillId="0" borderId="312" applyNumberFormat="0" applyFill="0" applyAlignment="0" applyProtection="0"/>
    <xf numFmtId="0" fontId="16" fillId="24" borderId="314" applyNumberFormat="0" applyAlignment="0" applyProtection="0"/>
    <xf numFmtId="0" fontId="29" fillId="24" borderId="317" applyNumberFormat="0" applyAlignment="0" applyProtection="0"/>
    <xf numFmtId="0" fontId="48" fillId="12" borderId="314" applyNumberFormat="0" applyAlignment="0" applyProtection="0"/>
    <xf numFmtId="0" fontId="29" fillId="12" borderId="317" applyNumberFormat="0" applyAlignment="0" applyProtection="0"/>
    <xf numFmtId="0" fontId="25" fillId="13" borderId="323" applyNumberFormat="0" applyAlignment="0" applyProtection="0"/>
    <xf numFmtId="0" fontId="29" fillId="24" borderId="250" applyNumberFormat="0" applyAlignment="0" applyProtection="0"/>
    <xf numFmtId="0" fontId="31" fillId="0" borderId="290" applyNumberFormat="0" applyFill="0" applyAlignment="0" applyProtection="0"/>
    <xf numFmtId="0" fontId="25" fillId="13" borderId="314" applyNumberFormat="0" applyAlignment="0" applyProtection="0"/>
    <xf numFmtId="0" fontId="31" fillId="0" borderId="267" applyNumberFormat="0" applyFill="0" applyAlignment="0" applyProtection="0"/>
    <xf numFmtId="0" fontId="31" fillId="0" borderId="319" applyNumberFormat="0" applyFill="0" applyAlignment="0" applyProtection="0"/>
    <xf numFmtId="0" fontId="8" fillId="10" borderId="238" applyNumberFormat="0" applyFont="0" applyAlignment="0" applyProtection="0"/>
    <xf numFmtId="0" fontId="49" fillId="10" borderId="238" applyNumberFormat="0" applyFont="0" applyAlignment="0" applyProtection="0"/>
    <xf numFmtId="0" fontId="8" fillId="45" borderId="322" applyNumberFormat="0" applyFont="0" applyAlignment="0" applyProtection="0"/>
    <xf numFmtId="0" fontId="48" fillId="12" borderId="237" applyNumberFormat="0" applyAlignment="0" applyProtection="0"/>
    <xf numFmtId="0" fontId="48" fillId="24" borderId="237" applyNumberFormat="0" applyAlignment="0" applyProtection="0"/>
    <xf numFmtId="0" fontId="48" fillId="24" borderId="237" applyNumberFormat="0" applyAlignment="0" applyProtection="0"/>
    <xf numFmtId="0" fontId="8" fillId="10" borderId="238" applyNumberFormat="0" applyFont="0" applyAlignment="0" applyProtection="0"/>
    <xf numFmtId="0" fontId="8" fillId="10" borderId="238" applyNumberFormat="0" applyFont="0" applyAlignment="0" applyProtection="0"/>
    <xf numFmtId="0" fontId="16" fillId="24" borderId="237" applyNumberFormat="0" applyAlignment="0" applyProtection="0"/>
    <xf numFmtId="0" fontId="16" fillId="24" borderId="237" applyNumberFormat="0" applyAlignment="0" applyProtection="0"/>
    <xf numFmtId="0" fontId="25" fillId="13" borderId="237" applyNumberFormat="0" applyAlignment="0" applyProtection="0"/>
    <xf numFmtId="0" fontId="8" fillId="10" borderId="238" applyNumberFormat="0" applyFont="0" applyAlignment="0" applyProtection="0"/>
    <xf numFmtId="0" fontId="49" fillId="10" borderId="292" applyNumberFormat="0" applyFont="0" applyAlignment="0" applyProtection="0"/>
    <xf numFmtId="0" fontId="84" fillId="0" borderId="234"/>
    <xf numFmtId="0" fontId="29" fillId="24" borderId="294" applyNumberFormat="0" applyAlignment="0" applyProtection="0"/>
    <xf numFmtId="0" fontId="25" fillId="8" borderId="237" applyNumberFormat="0" applyAlignment="0" applyProtection="0"/>
    <xf numFmtId="0" fontId="24" fillId="24" borderId="293" applyNumberFormat="0" applyAlignment="0" applyProtection="0"/>
    <xf numFmtId="0" fontId="8" fillId="10" borderId="238" applyNumberFormat="0" applyFont="0" applyAlignment="0" applyProtection="0"/>
    <xf numFmtId="0" fontId="48" fillId="12" borderId="237" applyNumberFormat="0" applyAlignment="0" applyProtection="0"/>
    <xf numFmtId="0" fontId="8" fillId="10" borderId="238" applyNumberFormat="0" applyFont="0" applyAlignment="0" applyProtection="0"/>
    <xf numFmtId="0" fontId="16" fillId="24" borderId="237" applyNumberFormat="0" applyAlignment="0" applyProtection="0"/>
    <xf numFmtId="0" fontId="28" fillId="10" borderId="244" applyNumberFormat="0" applyFont="0" applyAlignment="0" applyProtection="0"/>
    <xf numFmtId="0" fontId="72" fillId="0" borderId="311" applyBorder="0">
      <alignment horizontal="center" vertical="center" wrapText="1"/>
    </xf>
    <xf numFmtId="0" fontId="28" fillId="10" borderId="315" applyNumberFormat="0" applyFont="0" applyAlignment="0" applyProtection="0"/>
    <xf numFmtId="0" fontId="8" fillId="10" borderId="269" applyNumberFormat="0" applyFont="0" applyAlignment="0" applyProtection="0"/>
    <xf numFmtId="0" fontId="48" fillId="12" borderId="268" applyNumberFormat="0" applyAlignment="0" applyProtection="0"/>
    <xf numFmtId="0" fontId="31" fillId="0" borderId="273" applyNumberFormat="0" applyFill="0" applyAlignment="0" applyProtection="0"/>
    <xf numFmtId="0" fontId="48" fillId="24" borderId="277" applyNumberFormat="0" applyAlignment="0" applyProtection="0"/>
    <xf numFmtId="0" fontId="41" fillId="13" borderId="277" applyNumberFormat="0" applyAlignment="0" applyProtection="0"/>
    <xf numFmtId="0" fontId="72" fillId="0" borderId="320" applyBorder="0">
      <alignment horizontal="center" vertical="center" wrapText="1"/>
    </xf>
    <xf numFmtId="0" fontId="8" fillId="10" borderId="315" applyNumberFormat="0" applyFont="0" applyAlignment="0" applyProtection="0"/>
    <xf numFmtId="0" fontId="31" fillId="0" borderId="313" applyNumberFormat="0" applyFill="0" applyAlignment="0" applyProtection="0"/>
    <xf numFmtId="0" fontId="48" fillId="12" borderId="314" applyNumberFormat="0" applyAlignment="0" applyProtection="0"/>
    <xf numFmtId="0" fontId="25" fillId="8" borderId="314" applyNumberFormat="0" applyAlignment="0" applyProtection="0"/>
    <xf numFmtId="0" fontId="18" fillId="10" borderId="315" applyNumberFormat="0" applyFont="0" applyAlignment="0" applyProtection="0"/>
    <xf numFmtId="0" fontId="28" fillId="10" borderId="315" applyNumberFormat="0" applyFont="0" applyAlignment="0" applyProtection="0"/>
    <xf numFmtId="0" fontId="31" fillId="0" borderId="290" applyNumberFormat="0" applyFill="0" applyAlignment="0" applyProtection="0"/>
    <xf numFmtId="0" fontId="29" fillId="24" borderId="294" applyNumberFormat="0" applyAlignment="0" applyProtection="0"/>
    <xf numFmtId="0" fontId="28" fillId="10" borderId="292" applyNumberFormat="0" applyFont="0" applyAlignment="0" applyProtection="0"/>
    <xf numFmtId="0" fontId="25" fillId="13" borderId="291" applyNumberFormat="0" applyAlignment="0" applyProtection="0"/>
    <xf numFmtId="0" fontId="48" fillId="12" borderId="291" applyNumberFormat="0" applyAlignment="0" applyProtection="0"/>
    <xf numFmtId="0" fontId="31" fillId="0" borderId="296" applyNumberFormat="0" applyFill="0" applyAlignment="0" applyProtection="0"/>
    <xf numFmtId="0" fontId="29" fillId="24" borderId="294" applyNumberFormat="0" applyAlignment="0" applyProtection="0"/>
    <xf numFmtId="0" fontId="16" fillId="24" borderId="291" applyNumberFormat="0" applyAlignment="0" applyProtection="0"/>
    <xf numFmtId="0" fontId="29" fillId="24" borderId="294" applyNumberFormat="0" applyAlignment="0" applyProtection="0"/>
    <xf numFmtId="0" fontId="29" fillId="12" borderId="294" applyNumberFormat="0" applyAlignment="0" applyProtection="0"/>
    <xf numFmtId="0" fontId="49" fillId="10" borderId="292" applyNumberFormat="0" applyFont="0" applyAlignment="0" applyProtection="0"/>
    <xf numFmtId="0" fontId="31" fillId="0" borderId="290" applyNumberFormat="0" applyFill="0" applyAlignment="0" applyProtection="0"/>
    <xf numFmtId="0" fontId="28" fillId="10" borderId="292" applyNumberFormat="0" applyFont="0" applyAlignment="0" applyProtection="0"/>
    <xf numFmtId="0" fontId="31" fillId="0" borderId="295" applyNumberFormat="0" applyFill="0" applyAlignment="0" applyProtection="0"/>
    <xf numFmtId="0" fontId="8" fillId="10" borderId="308" applyNumberFormat="0" applyFont="0" applyAlignment="0" applyProtection="0"/>
    <xf numFmtId="0" fontId="8" fillId="10" borderId="292" applyNumberFormat="0" applyFont="0" applyAlignment="0" applyProtection="0"/>
    <xf numFmtId="0" fontId="18" fillId="10" borderId="308" applyNumberFormat="0" applyFont="0" applyAlignment="0" applyProtection="0"/>
    <xf numFmtId="0" fontId="25" fillId="13" borderId="314" applyNumberFormat="0" applyAlignment="0" applyProtection="0"/>
    <xf numFmtId="0" fontId="32" fillId="24" borderId="261" applyNumberFormat="0" applyAlignment="0" applyProtection="0"/>
    <xf numFmtId="0" fontId="28" fillId="10" borderId="308" applyNumberFormat="0" applyFont="0" applyAlignment="0" applyProtection="0"/>
    <xf numFmtId="0" fontId="25" fillId="8" borderId="314" applyNumberFormat="0" applyAlignment="0" applyProtection="0"/>
    <xf numFmtId="0" fontId="31" fillId="0" borderId="313" applyNumberFormat="0" applyFill="0" applyAlignment="0" applyProtection="0"/>
    <xf numFmtId="0" fontId="24" fillId="24" borderId="316" applyNumberFormat="0" applyAlignment="0" applyProtection="0"/>
    <xf numFmtId="0" fontId="31" fillId="0" borderId="318" applyNumberFormat="0" applyFill="0" applyAlignment="0" applyProtection="0"/>
    <xf numFmtId="0" fontId="25" fillId="13" borderId="323" applyNumberFormat="0" applyAlignment="0" applyProtection="0"/>
    <xf numFmtId="0" fontId="24" fillId="24" borderId="325" applyNumberFormat="0" applyAlignment="0" applyProtection="0"/>
    <xf numFmtId="0" fontId="48" fillId="24" borderId="314" applyNumberFormat="0" applyAlignment="0" applyProtection="0"/>
    <xf numFmtId="0" fontId="31" fillId="0" borderId="313" applyNumberFormat="0" applyFill="0" applyAlignment="0" applyProtection="0"/>
    <xf numFmtId="0" fontId="31" fillId="0" borderId="272" applyNumberFormat="0" applyFill="0" applyAlignment="0" applyProtection="0"/>
    <xf numFmtId="0" fontId="31" fillId="0" borderId="266" applyNumberFormat="0" applyFill="0" applyAlignment="0" applyProtection="0"/>
    <xf numFmtId="0" fontId="31" fillId="0" borderId="313" applyNumberFormat="0" applyFill="0" applyAlignment="0" applyProtection="0"/>
    <xf numFmtId="0" fontId="16" fillId="24" borderId="314" applyNumberFormat="0" applyAlignment="0" applyProtection="0"/>
    <xf numFmtId="0" fontId="8" fillId="10" borderId="315" applyNumberFormat="0" applyFont="0" applyAlignment="0" applyProtection="0"/>
    <xf numFmtId="0" fontId="18" fillId="10" borderId="315" applyNumberFormat="0" applyFont="0" applyAlignment="0" applyProtection="0"/>
    <xf numFmtId="0" fontId="8" fillId="45" borderId="322" applyNumberFormat="0" applyFont="0" applyAlignment="0" applyProtection="0"/>
    <xf numFmtId="0" fontId="72" fillId="0" borderId="320" applyBorder="0">
      <alignment horizontal="center" vertical="center" wrapText="1"/>
    </xf>
    <xf numFmtId="0" fontId="41" fillId="13" borderId="323" applyNumberFormat="0" applyAlignment="0" applyProtection="0"/>
    <xf numFmtId="0" fontId="84" fillId="0" borderId="298"/>
    <xf numFmtId="0" fontId="28" fillId="10" borderId="292" applyNumberFormat="0" applyFont="0" applyAlignment="0" applyProtection="0"/>
    <xf numFmtId="0" fontId="18" fillId="10" borderId="292" applyNumberFormat="0" applyFont="0" applyAlignment="0" applyProtection="0"/>
    <xf numFmtId="0" fontId="41" fillId="13" borderId="291" applyNumberFormat="0" applyAlignment="0" applyProtection="0"/>
    <xf numFmtId="0" fontId="31" fillId="0" borderId="295" applyNumberFormat="0" applyFill="0" applyAlignment="0" applyProtection="0"/>
    <xf numFmtId="0" fontId="29" fillId="24" borderId="294" applyNumberFormat="0" applyAlignment="0" applyProtection="0"/>
    <xf numFmtId="0" fontId="41" fillId="13" borderId="291" applyNumberFormat="0" applyAlignment="0" applyProtection="0"/>
    <xf numFmtId="0" fontId="31" fillId="0" borderId="290" applyNumberFormat="0" applyFill="0" applyAlignment="0" applyProtection="0"/>
    <xf numFmtId="0" fontId="48" fillId="12" borderId="291" applyNumberFormat="0" applyAlignment="0" applyProtection="0"/>
    <xf numFmtId="0" fontId="18" fillId="10" borderId="292" applyNumberFormat="0" applyFont="0" applyAlignment="0" applyProtection="0"/>
    <xf numFmtId="0" fontId="31" fillId="0" borderId="295" applyNumberFormat="0" applyFill="0" applyAlignment="0" applyProtection="0"/>
    <xf numFmtId="0" fontId="31" fillId="0" borderId="290" applyNumberFormat="0" applyFill="0" applyAlignment="0" applyProtection="0"/>
    <xf numFmtId="0" fontId="48" fillId="12" borderId="291" applyNumberFormat="0" applyAlignment="0" applyProtection="0"/>
    <xf numFmtId="0" fontId="8" fillId="10" borderId="292" applyNumberFormat="0" applyFont="0" applyAlignment="0" applyProtection="0"/>
    <xf numFmtId="0" fontId="25" fillId="13" borderId="314" applyNumberFormat="0" applyAlignment="0" applyProtection="0"/>
    <xf numFmtId="0" fontId="72" fillId="0" borderId="288" applyBorder="0">
      <alignment horizontal="center" vertical="center" wrapText="1"/>
    </xf>
    <xf numFmtId="0" fontId="48" fillId="12" borderId="314" applyNumberFormat="0" applyAlignment="0" applyProtection="0"/>
    <xf numFmtId="0" fontId="48" fillId="12" borderId="314" applyNumberFormat="0" applyAlignment="0" applyProtection="0"/>
    <xf numFmtId="0" fontId="25" fillId="13" borderId="314" applyNumberFormat="0" applyAlignment="0" applyProtection="0"/>
    <xf numFmtId="0" fontId="31" fillId="0" borderId="312" applyNumberFormat="0" applyFill="0" applyAlignment="0" applyProtection="0"/>
    <xf numFmtId="0" fontId="29" fillId="12" borderId="317" applyNumberFormat="0" applyAlignment="0" applyProtection="0"/>
    <xf numFmtId="0" fontId="8" fillId="10" borderId="315" applyNumberFormat="0" applyFont="0" applyAlignment="0" applyProtection="0"/>
    <xf numFmtId="0" fontId="72" fillId="0" borderId="320" applyBorder="0">
      <alignment horizontal="center" vertical="center" wrapText="1"/>
    </xf>
    <xf numFmtId="0" fontId="48" fillId="24" borderId="291" applyNumberFormat="0" applyAlignment="0" applyProtection="0"/>
    <xf numFmtId="0" fontId="48" fillId="12" borderId="291" applyNumberFormat="0" applyAlignment="0" applyProtection="0"/>
    <xf numFmtId="0" fontId="29" fillId="12" borderId="294" applyNumberFormat="0" applyAlignment="0" applyProtection="0"/>
    <xf numFmtId="0" fontId="8" fillId="45" borderId="253" applyNumberFormat="0" applyFont="0" applyAlignment="0" applyProtection="0"/>
    <xf numFmtId="0" fontId="84" fillId="0" borderId="247"/>
    <xf numFmtId="0" fontId="28" fillId="0" borderId="247"/>
    <xf numFmtId="0" fontId="49" fillId="10" borderId="244" applyNumberFormat="0" applyFont="0" applyAlignment="0" applyProtection="0"/>
    <xf numFmtId="0" fontId="29" fillId="12" borderId="250" applyNumberFormat="0" applyAlignment="0" applyProtection="0"/>
    <xf numFmtId="0" fontId="28" fillId="0" borderId="247"/>
    <xf numFmtId="0" fontId="49" fillId="10" borderId="292" applyNumberFormat="0" applyFont="0" applyAlignment="0" applyProtection="0"/>
    <xf numFmtId="0" fontId="28" fillId="10" borderId="244" applyNumberFormat="0" applyFont="0" applyAlignment="0" applyProtection="0"/>
    <xf numFmtId="0" fontId="29" fillId="24" borderId="250" applyNumberFormat="0" applyAlignment="0" applyProtection="0"/>
    <xf numFmtId="0" fontId="31" fillId="0" borderId="249" applyNumberFormat="0" applyFill="0" applyAlignment="0" applyProtection="0"/>
    <xf numFmtId="0" fontId="84" fillId="0" borderId="247"/>
    <xf numFmtId="0" fontId="28" fillId="0" borderId="247"/>
    <xf numFmtId="0" fontId="31" fillId="0" borderId="252" applyNumberFormat="0" applyFill="0" applyAlignment="0" applyProtection="0"/>
    <xf numFmtId="0" fontId="8" fillId="10" borderId="244" applyNumberFormat="0" applyFont="0" applyAlignment="0" applyProtection="0"/>
    <xf numFmtId="0" fontId="31" fillId="0" borderId="246" applyNumberFormat="0" applyFill="0" applyAlignment="0" applyProtection="0"/>
    <xf numFmtId="0" fontId="49" fillId="10" borderId="244" applyNumberFormat="0" applyFont="0" applyAlignment="0" applyProtection="0"/>
    <xf numFmtId="0" fontId="29" fillId="24" borderId="250" applyNumberFormat="0" applyAlignment="0" applyProtection="0"/>
    <xf numFmtId="0" fontId="31" fillId="0" borderId="290" applyNumberFormat="0" applyFill="0" applyAlignment="0" applyProtection="0"/>
    <xf numFmtId="0" fontId="28" fillId="0" borderId="247"/>
    <xf numFmtId="0" fontId="48" fillId="24" borderId="291" applyNumberFormat="0" applyAlignment="0" applyProtection="0"/>
    <xf numFmtId="0" fontId="25" fillId="13" borderId="284" applyNumberFormat="0" applyAlignment="0" applyProtection="0"/>
    <xf numFmtId="0" fontId="28" fillId="10" borderId="269" applyNumberFormat="0" applyFont="0" applyAlignment="0" applyProtection="0"/>
    <xf numFmtId="0" fontId="41" fillId="13" borderId="314" applyNumberFormat="0" applyAlignment="0" applyProtection="0"/>
    <xf numFmtId="0" fontId="24" fillId="24" borderId="302" applyNumberFormat="0" applyAlignment="0" applyProtection="0"/>
    <xf numFmtId="0" fontId="31" fillId="0" borderId="296" applyNumberFormat="0" applyFill="0" applyAlignment="0" applyProtection="0"/>
    <xf numFmtId="0" fontId="84" fillId="0" borderId="298"/>
    <xf numFmtId="0" fontId="8" fillId="45" borderId="299" applyNumberFormat="0" applyFont="0" applyAlignment="0" applyProtection="0"/>
    <xf numFmtId="0" fontId="29" fillId="12" borderId="294" applyNumberFormat="0" applyAlignment="0" applyProtection="0"/>
    <xf numFmtId="0" fontId="29" fillId="12" borderId="294" applyNumberFormat="0" applyAlignment="0" applyProtection="0"/>
    <xf numFmtId="0" fontId="31" fillId="0" borderId="296" applyNumberFormat="0" applyFill="0" applyAlignment="0" applyProtection="0"/>
    <xf numFmtId="0" fontId="48" fillId="24" borderId="291" applyNumberFormat="0" applyAlignment="0" applyProtection="0"/>
    <xf numFmtId="0" fontId="8" fillId="10" borderId="292" applyNumberFormat="0" applyFont="0" applyAlignment="0" applyProtection="0"/>
    <xf numFmtId="0" fontId="41" fillId="13" borderId="291" applyNumberFormat="0" applyAlignment="0" applyProtection="0"/>
    <xf numFmtId="0" fontId="8" fillId="10" borderId="292" applyNumberFormat="0" applyFont="0" applyAlignment="0" applyProtection="0"/>
    <xf numFmtId="0" fontId="25" fillId="13" borderId="291" applyNumberFormat="0" applyAlignment="0" applyProtection="0"/>
    <xf numFmtId="0" fontId="31" fillId="0" borderId="296" applyNumberFormat="0" applyFill="0" applyAlignment="0" applyProtection="0"/>
    <xf numFmtId="0" fontId="31" fillId="0" borderId="296" applyNumberFormat="0" applyFill="0" applyAlignment="0" applyProtection="0"/>
    <xf numFmtId="0" fontId="28" fillId="0" borderId="275"/>
    <xf numFmtId="0" fontId="31" fillId="0" borderId="267" applyNumberFormat="0" applyFill="0" applyAlignment="0" applyProtection="0"/>
    <xf numFmtId="0" fontId="24" fillId="24" borderId="270" applyNumberFormat="0" applyAlignment="0" applyProtection="0"/>
    <xf numFmtId="0" fontId="31" fillId="0" borderId="267" applyNumberFormat="0" applyFill="0" applyAlignment="0" applyProtection="0"/>
    <xf numFmtId="0" fontId="72" fillId="0" borderId="311" applyBorder="0">
      <alignment horizontal="center" vertical="center" wrapText="1"/>
    </xf>
    <xf numFmtId="0" fontId="84" fillId="0" borderId="298"/>
    <xf numFmtId="0" fontId="8" fillId="10" borderId="315" applyNumberFormat="0" applyFont="0" applyAlignment="0" applyProtection="0"/>
    <xf numFmtId="0" fontId="25" fillId="13" borderId="300" applyNumberFormat="0" applyAlignment="0" applyProtection="0"/>
    <xf numFmtId="0" fontId="25" fillId="13" borderId="300" applyNumberFormat="0" applyAlignment="0" applyProtection="0"/>
    <xf numFmtId="0" fontId="84" fillId="0" borderId="298"/>
    <xf numFmtId="0" fontId="16" fillId="24" borderId="291" applyNumberFormat="0" applyAlignment="0" applyProtection="0"/>
    <xf numFmtId="0" fontId="16" fillId="24" borderId="291" applyNumberFormat="0" applyAlignment="0" applyProtection="0"/>
    <xf numFmtId="0" fontId="25" fillId="8" borderId="291" applyNumberFormat="0" applyAlignment="0" applyProtection="0"/>
    <xf numFmtId="0" fontId="28" fillId="10" borderId="285" applyNumberFormat="0" applyFont="0" applyAlignment="0" applyProtection="0"/>
    <xf numFmtId="0" fontId="24" fillId="24" borderId="316" applyNumberFormat="0" applyAlignment="0" applyProtection="0"/>
    <xf numFmtId="0" fontId="16" fillId="24" borderId="300" applyNumberFormat="0" applyAlignment="0" applyProtection="0"/>
    <xf numFmtId="0" fontId="25" fillId="13" borderId="314" applyNumberFormat="0" applyAlignment="0" applyProtection="0"/>
    <xf numFmtId="0" fontId="18" fillId="10" borderId="269" applyNumberFormat="0" applyFont="0" applyAlignment="0" applyProtection="0"/>
    <xf numFmtId="0" fontId="29" fillId="24" borderId="271" applyNumberFormat="0" applyAlignment="0" applyProtection="0"/>
    <xf numFmtId="0" fontId="29" fillId="24" borderId="317" applyNumberFormat="0" applyAlignment="0" applyProtection="0"/>
    <xf numFmtId="0" fontId="41" fillId="13" borderId="323" applyNumberFormat="0" applyAlignment="0" applyProtection="0"/>
    <xf numFmtId="0" fontId="84" fillId="73" borderId="298"/>
    <xf numFmtId="0" fontId="25" fillId="8" borderId="291" applyNumberFormat="0" applyAlignment="0" applyProtection="0"/>
    <xf numFmtId="0" fontId="84" fillId="73" borderId="298"/>
    <xf numFmtId="0" fontId="31" fillId="0" borderId="290" applyNumberFormat="0" applyFill="0" applyAlignment="0" applyProtection="0"/>
    <xf numFmtId="0" fontId="16" fillId="24" borderId="314" applyNumberFormat="0" applyAlignment="0" applyProtection="0"/>
    <xf numFmtId="0" fontId="49" fillId="10" borderId="315" applyNumberFormat="0" applyFont="0" applyAlignment="0" applyProtection="0"/>
    <xf numFmtId="0" fontId="31" fillId="0" borderId="318" applyNumberFormat="0" applyFill="0" applyAlignment="0" applyProtection="0"/>
    <xf numFmtId="0" fontId="28" fillId="0" borderId="321"/>
    <xf numFmtId="0" fontId="31" fillId="0" borderId="319" applyNumberFormat="0" applyFill="0" applyAlignment="0" applyProtection="0"/>
    <xf numFmtId="0" fontId="48" fillId="12" borderId="291" applyNumberFormat="0" applyAlignment="0" applyProtection="0"/>
    <xf numFmtId="0" fontId="84" fillId="0" borderId="298"/>
    <xf numFmtId="0" fontId="48" fillId="12" borderId="291" applyNumberFormat="0" applyAlignment="0" applyProtection="0"/>
    <xf numFmtId="0" fontId="49" fillId="10" borderId="315" applyNumberFormat="0" applyFont="0" applyAlignment="0" applyProtection="0"/>
    <xf numFmtId="0" fontId="48" fillId="12" borderId="314" applyNumberFormat="0" applyAlignment="0" applyProtection="0"/>
    <xf numFmtId="0" fontId="41" fillId="13" borderId="314" applyNumberFormat="0" applyAlignment="0" applyProtection="0"/>
    <xf numFmtId="0" fontId="16" fillId="24" borderId="261" applyNumberFormat="0" applyAlignment="0" applyProtection="0"/>
    <xf numFmtId="0" fontId="31" fillId="0" borderId="273" applyNumberFormat="0" applyFill="0" applyAlignment="0" applyProtection="0"/>
    <xf numFmtId="0" fontId="16" fillId="24" borderId="314" applyNumberFormat="0" applyAlignment="0" applyProtection="0"/>
    <xf numFmtId="0" fontId="16" fillId="24" borderId="314" applyNumberFormat="0" applyAlignment="0" applyProtection="0"/>
    <xf numFmtId="0" fontId="48" fillId="24" borderId="314" applyNumberFormat="0" applyAlignment="0" applyProtection="0"/>
    <xf numFmtId="0" fontId="31" fillId="0" borderId="318" applyNumberFormat="0" applyFill="0" applyAlignment="0" applyProtection="0"/>
    <xf numFmtId="0" fontId="48" fillId="24" borderId="323" applyNumberFormat="0" applyAlignment="0" applyProtection="0"/>
    <xf numFmtId="0" fontId="25" fillId="13" borderId="323" applyNumberFormat="0" applyAlignment="0" applyProtection="0"/>
    <xf numFmtId="0" fontId="48" fillId="24" borderId="291" applyNumberFormat="0" applyAlignment="0" applyProtection="0"/>
    <xf numFmtId="0" fontId="28" fillId="0" borderId="321"/>
    <xf numFmtId="0" fontId="28" fillId="10" borderId="278" applyNumberFormat="0" applyFont="0" applyAlignment="0" applyProtection="0"/>
    <xf numFmtId="0" fontId="24" fillId="24" borderId="316" applyNumberFormat="0" applyAlignment="0" applyProtection="0"/>
    <xf numFmtId="0" fontId="48" fillId="12" borderId="314" applyNumberFormat="0" applyAlignment="0" applyProtection="0"/>
    <xf numFmtId="0" fontId="72" fillId="0" borderId="311" applyBorder="0">
      <alignment horizontal="center" vertical="center" wrapText="1"/>
    </xf>
    <xf numFmtId="0" fontId="48" fillId="12" borderId="314" applyNumberFormat="0" applyAlignment="0" applyProtection="0"/>
    <xf numFmtId="0" fontId="29" fillId="24" borderId="317" applyNumberFormat="0" applyAlignment="0" applyProtection="0"/>
    <xf numFmtId="0" fontId="49" fillId="10" borderId="315" applyNumberFormat="0" applyFont="0" applyAlignment="0" applyProtection="0"/>
    <xf numFmtId="0" fontId="31" fillId="0" borderId="312" applyNumberFormat="0" applyFill="0" applyAlignment="0" applyProtection="0"/>
    <xf numFmtId="0" fontId="25" fillId="13" borderId="314" applyNumberFormat="0" applyAlignment="0" applyProtection="0"/>
    <xf numFmtId="0" fontId="8" fillId="45" borderId="299" applyNumberFormat="0" applyFont="0" applyAlignment="0" applyProtection="0"/>
    <xf numFmtId="0" fontId="24" fillId="24" borderId="293" applyNumberFormat="0" applyAlignment="0" applyProtection="0"/>
    <xf numFmtId="0" fontId="8" fillId="10" borderId="292" applyNumberFormat="0" applyFont="0" applyAlignment="0" applyProtection="0"/>
    <xf numFmtId="0" fontId="31" fillId="0" borderId="290" applyNumberFormat="0" applyFill="0" applyAlignment="0" applyProtection="0"/>
    <xf numFmtId="0" fontId="24" fillId="24" borderId="293" applyNumberFormat="0" applyAlignment="0" applyProtection="0"/>
    <xf numFmtId="0" fontId="16" fillId="24" borderId="291" applyNumberFormat="0" applyAlignment="0" applyProtection="0"/>
    <xf numFmtId="0" fontId="31" fillId="0" borderId="295" applyNumberFormat="0" applyFill="0" applyAlignment="0" applyProtection="0"/>
    <xf numFmtId="0" fontId="28" fillId="10" borderId="315" applyNumberFormat="0" applyFont="0" applyAlignment="0" applyProtection="0"/>
    <xf numFmtId="0" fontId="48" fillId="12" borderId="314" applyNumberFormat="0" applyAlignment="0" applyProtection="0"/>
    <xf numFmtId="0" fontId="49" fillId="10" borderId="255" applyNumberFormat="0" applyFont="0" applyAlignment="0" applyProtection="0"/>
    <xf numFmtId="0" fontId="25" fillId="13" borderId="254" applyNumberFormat="0" applyAlignment="0" applyProtection="0"/>
    <xf numFmtId="0" fontId="48" fillId="24" borderId="254" applyNumberFormat="0" applyAlignment="0" applyProtection="0"/>
    <xf numFmtId="0" fontId="29" fillId="12" borderId="250" applyNumberFormat="0" applyAlignment="0" applyProtection="0"/>
    <xf numFmtId="0" fontId="8" fillId="10" borderId="244" applyNumberFormat="0" applyFont="0" applyAlignment="0" applyProtection="0"/>
    <xf numFmtId="0" fontId="31" fillId="0" borderId="249" applyNumberFormat="0" applyFill="0" applyAlignment="0" applyProtection="0"/>
    <xf numFmtId="0" fontId="8" fillId="10" borderId="244" applyNumberFormat="0" applyFont="0" applyAlignment="0" applyProtection="0"/>
    <xf numFmtId="0" fontId="31" fillId="0" borderId="249" applyNumberFormat="0" applyFill="0" applyAlignment="0" applyProtection="0"/>
    <xf numFmtId="0" fontId="31" fillId="0" borderId="296" applyNumberFormat="0" applyFill="0" applyAlignment="0" applyProtection="0"/>
    <xf numFmtId="0" fontId="18" fillId="10" borderId="244" applyNumberFormat="0" applyFont="0" applyAlignment="0" applyProtection="0"/>
    <xf numFmtId="0" fontId="31" fillId="0" borderId="252" applyNumberFormat="0" applyFill="0" applyAlignment="0" applyProtection="0"/>
    <xf numFmtId="0" fontId="31" fillId="0" borderId="252" applyNumberFormat="0" applyFill="0" applyAlignment="0" applyProtection="0"/>
    <xf numFmtId="0" fontId="28" fillId="10" borderId="244" applyNumberFormat="0" applyFont="0" applyAlignment="0" applyProtection="0"/>
    <xf numFmtId="0" fontId="31" fillId="0" borderId="246" applyNumberFormat="0" applyFill="0" applyAlignment="0" applyProtection="0"/>
    <xf numFmtId="0" fontId="31" fillId="0" borderId="249" applyNumberFormat="0" applyFill="0" applyAlignment="0" applyProtection="0"/>
    <xf numFmtId="0" fontId="31" fillId="0" borderId="251" applyNumberFormat="0" applyFill="0" applyAlignment="0" applyProtection="0"/>
    <xf numFmtId="0" fontId="31" fillId="0" borderId="251" applyNumberFormat="0" applyFill="0" applyAlignment="0" applyProtection="0"/>
    <xf numFmtId="0" fontId="8" fillId="10" borderId="244" applyNumberFormat="0" applyFont="0" applyAlignment="0" applyProtection="0"/>
    <xf numFmtId="0" fontId="49" fillId="10" borderId="244" applyNumberFormat="0" applyFont="0" applyAlignment="0" applyProtection="0"/>
    <xf numFmtId="0" fontId="31" fillId="0" borderId="252" applyNumberFormat="0" applyFill="0" applyAlignment="0" applyProtection="0"/>
    <xf numFmtId="0" fontId="24" fillId="24" borderId="293" applyNumberFormat="0" applyAlignment="0" applyProtection="0"/>
    <xf numFmtId="0" fontId="29" fillId="12" borderId="250" applyNumberFormat="0" applyAlignment="0" applyProtection="0"/>
    <xf numFmtId="0" fontId="29" fillId="24" borderId="250" applyNumberFormat="0" applyAlignment="0" applyProtection="0"/>
    <xf numFmtId="0" fontId="49" fillId="10" borderId="292" applyNumberFormat="0" applyFont="0" applyAlignment="0" applyProtection="0"/>
    <xf numFmtId="0" fontId="8" fillId="10" borderId="292" applyNumberFormat="0" applyFont="0" applyAlignment="0" applyProtection="0"/>
    <xf numFmtId="0" fontId="29" fillId="12" borderId="294" applyNumberFormat="0" applyAlignment="0" applyProtection="0"/>
    <xf numFmtId="0" fontId="29" fillId="24" borderId="271" applyNumberFormat="0" applyAlignment="0" applyProtection="0"/>
    <xf numFmtId="0" fontId="31" fillId="0" borderId="233" applyNumberFormat="0" applyFill="0" applyAlignment="0" applyProtection="0"/>
    <xf numFmtId="0" fontId="31" fillId="0" borderId="267" applyNumberFormat="0" applyFill="0" applyAlignment="0" applyProtection="0"/>
    <xf numFmtId="0" fontId="24" fillId="24" borderId="232" applyNumberFormat="0" applyAlignment="0" applyProtection="0"/>
    <xf numFmtId="0" fontId="49" fillId="10" borderId="231" applyNumberFormat="0" applyFont="0" applyAlignment="0" applyProtection="0"/>
    <xf numFmtId="0" fontId="8" fillId="10" borderId="231" applyNumberFormat="0" applyFont="0" applyAlignment="0" applyProtection="0"/>
    <xf numFmtId="0" fontId="8" fillId="10" borderId="231" applyNumberFormat="0" applyFont="0" applyAlignment="0" applyProtection="0"/>
    <xf numFmtId="0" fontId="28" fillId="10" borderId="231" applyNumberFormat="0" applyFont="0" applyAlignment="0" applyProtection="0"/>
    <xf numFmtId="0" fontId="16" fillId="24" borderId="277" applyNumberFormat="0" applyAlignment="0" applyProtection="0"/>
    <xf numFmtId="0" fontId="41" fillId="13" borderId="268" applyNumberFormat="0" applyAlignment="0" applyProtection="0"/>
    <xf numFmtId="0" fontId="16" fillId="24" borderId="291" applyNumberFormat="0" applyAlignment="0" applyProtection="0"/>
    <xf numFmtId="0" fontId="31" fillId="0" borderId="319" applyNumberFormat="0" applyFill="0" applyAlignment="0" applyProtection="0"/>
    <xf numFmtId="0" fontId="25" fillId="13" borderId="230" applyNumberFormat="0" applyAlignment="0" applyProtection="0"/>
    <xf numFmtId="0" fontId="41" fillId="13" borderId="230" applyNumberFormat="0" applyAlignment="0" applyProtection="0"/>
    <xf numFmtId="0" fontId="41" fillId="13" borderId="230" applyNumberFormat="0" applyAlignment="0" applyProtection="0"/>
    <xf numFmtId="0" fontId="25" fillId="13" borderId="230" applyNumberFormat="0" applyAlignment="0" applyProtection="0"/>
    <xf numFmtId="0" fontId="16" fillId="24" borderId="230" applyNumberFormat="0" applyAlignment="0" applyProtection="0"/>
    <xf numFmtId="0" fontId="16" fillId="24" borderId="230" applyNumberFormat="0" applyAlignment="0" applyProtection="0"/>
    <xf numFmtId="0" fontId="16" fillId="24" borderId="230" applyNumberFormat="0" applyAlignment="0" applyProtection="0"/>
    <xf numFmtId="0" fontId="32" fillId="24" borderId="230" applyNumberFormat="0" applyAlignment="0" applyProtection="0"/>
    <xf numFmtId="0" fontId="31" fillId="0" borderId="289" applyNumberFormat="0" applyFill="0" applyAlignment="0" applyProtection="0"/>
    <xf numFmtId="0" fontId="31" fillId="0" borderId="219" applyNumberFormat="0" applyFill="0" applyAlignment="0" applyProtection="0"/>
    <xf numFmtId="0" fontId="29" fillId="12" borderId="220" applyNumberFormat="0" applyAlignment="0" applyProtection="0"/>
    <xf numFmtId="0" fontId="25" fillId="8" borderId="221" applyNumberFormat="0" applyAlignment="0" applyProtection="0"/>
    <xf numFmtId="0" fontId="48" fillId="12" borderId="221" applyNumberFormat="0" applyAlignment="0" applyProtection="0"/>
    <xf numFmtId="0" fontId="84" fillId="0" borderId="218"/>
    <xf numFmtId="0" fontId="31" fillId="0" borderId="224" applyNumberFormat="0" applyFill="0" applyAlignment="0" applyProtection="0"/>
    <xf numFmtId="0" fontId="28" fillId="0" borderId="218"/>
    <xf numFmtId="0" fontId="8" fillId="45" borderId="229" applyNumberFormat="0" applyFont="0" applyAlignment="0" applyProtection="0"/>
    <xf numFmtId="0" fontId="8" fillId="10" borderId="222" applyNumberFormat="0" applyFont="0" applyAlignment="0" applyProtection="0"/>
    <xf numFmtId="0" fontId="48" fillId="12" borderId="221" applyNumberFormat="0" applyAlignment="0" applyProtection="0"/>
    <xf numFmtId="0" fontId="31" fillId="0" borderId="219" applyNumberFormat="0" applyFill="0" applyAlignment="0" applyProtection="0"/>
    <xf numFmtId="0" fontId="25" fillId="8" borderId="221" applyNumberFormat="0" applyAlignment="0" applyProtection="0"/>
    <xf numFmtId="0" fontId="48" fillId="12" borderId="221" applyNumberFormat="0" applyAlignment="0" applyProtection="0"/>
    <xf numFmtId="0" fontId="48" fillId="12" borderId="221" applyNumberFormat="0" applyAlignment="0" applyProtection="0"/>
    <xf numFmtId="0" fontId="84" fillId="0" borderId="218"/>
    <xf numFmtId="0" fontId="84" fillId="0" borderId="218"/>
    <xf numFmtId="0" fontId="28" fillId="0" borderId="218"/>
    <xf numFmtId="0" fontId="49" fillId="10" borderId="222" applyNumberFormat="0" applyFont="0" applyAlignment="0" applyProtection="0"/>
    <xf numFmtId="0" fontId="8" fillId="45" borderId="229" applyNumberFormat="0" applyFont="0" applyAlignment="0" applyProtection="0"/>
    <xf numFmtId="0" fontId="8" fillId="10" borderId="222" applyNumberFormat="0" applyFont="0" applyAlignment="0" applyProtection="0"/>
    <xf numFmtId="0" fontId="49" fillId="10" borderId="222" applyNumberFormat="0" applyFont="0" applyAlignment="0" applyProtection="0"/>
    <xf numFmtId="0" fontId="29" fillId="12" borderId="220" applyNumberFormat="0" applyAlignment="0" applyProtection="0"/>
    <xf numFmtId="0" fontId="28" fillId="10" borderId="222" applyNumberFormat="0" applyFont="0" applyAlignment="0" applyProtection="0"/>
    <xf numFmtId="0" fontId="31" fillId="0" borderId="226" applyNumberFormat="0" applyFill="0" applyAlignment="0" applyProtection="0"/>
    <xf numFmtId="0" fontId="48" fillId="24" borderId="221" applyNumberFormat="0" applyAlignment="0" applyProtection="0"/>
    <xf numFmtId="0" fontId="28" fillId="10" borderId="222" applyNumberFormat="0" applyFont="0" applyAlignment="0" applyProtection="0"/>
    <xf numFmtId="0" fontId="29" fillId="12" borderId="220" applyNumberFormat="0" applyAlignment="0" applyProtection="0"/>
    <xf numFmtId="0" fontId="48" fillId="12" borderId="221" applyNumberFormat="0" applyAlignment="0" applyProtection="0"/>
    <xf numFmtId="0" fontId="31" fillId="0" borderId="224" applyNumberFormat="0" applyFill="0" applyAlignment="0" applyProtection="0"/>
    <xf numFmtId="0" fontId="28" fillId="0" borderId="218"/>
    <xf numFmtId="0" fontId="48" fillId="24" borderId="221" applyNumberFormat="0" applyAlignment="0" applyProtection="0"/>
    <xf numFmtId="0" fontId="48" fillId="24" borderId="221" applyNumberFormat="0" applyAlignment="0" applyProtection="0"/>
    <xf numFmtId="0" fontId="48" fillId="12" borderId="221" applyNumberFormat="0" applyAlignment="0" applyProtection="0"/>
    <xf numFmtId="0" fontId="25" fillId="8" borderId="221" applyNumberFormat="0" applyAlignment="0" applyProtection="0"/>
    <xf numFmtId="0" fontId="8" fillId="10" borderId="222" applyNumberFormat="0" applyFont="0" applyAlignment="0" applyProtection="0"/>
    <xf numFmtId="0" fontId="31" fillId="0" borderId="219" applyNumberFormat="0" applyFill="0" applyAlignment="0" applyProtection="0"/>
    <xf numFmtId="0" fontId="72" fillId="0" borderId="228" applyBorder="0">
      <alignment horizontal="center" vertical="center" wrapText="1"/>
    </xf>
    <xf numFmtId="0" fontId="32" fillId="24" borderId="221" applyNumberFormat="0" applyAlignment="0" applyProtection="0"/>
    <xf numFmtId="0" fontId="25" fillId="13" borderId="221" applyNumberFormat="0" applyAlignment="0" applyProtection="0"/>
    <xf numFmtId="0" fontId="18" fillId="10" borderId="222" applyNumberFormat="0" applyFont="0" applyAlignment="0" applyProtection="0"/>
    <xf numFmtId="0" fontId="28" fillId="10" borderId="222" applyNumberFormat="0" applyFont="0" applyAlignment="0" applyProtection="0"/>
    <xf numFmtId="0" fontId="29" fillId="24" borderId="220" applyNumberFormat="0" applyAlignment="0" applyProtection="0"/>
    <xf numFmtId="0" fontId="31" fillId="0" borderId="227" applyNumberFormat="0" applyFill="0" applyAlignment="0" applyProtection="0"/>
    <xf numFmtId="0" fontId="31" fillId="0" borderId="227" applyNumberFormat="0" applyFill="0" applyAlignment="0" applyProtection="0"/>
    <xf numFmtId="0" fontId="28" fillId="0" borderId="218"/>
    <xf numFmtId="0" fontId="8" fillId="45" borderId="229" applyNumberFormat="0" applyFont="0" applyAlignment="0" applyProtection="0"/>
    <xf numFmtId="0" fontId="31" fillId="0" borderId="224" applyNumberFormat="0" applyFill="0" applyAlignment="0" applyProtection="0"/>
    <xf numFmtId="0" fontId="29" fillId="24" borderId="220" applyNumberFormat="0" applyAlignment="0" applyProtection="0"/>
    <xf numFmtId="0" fontId="28" fillId="10" borderId="222" applyNumberFormat="0" applyFont="0" applyAlignment="0" applyProtection="0"/>
    <xf numFmtId="0" fontId="8" fillId="10" borderId="222" applyNumberFormat="0" applyFont="0" applyAlignment="0" applyProtection="0"/>
    <xf numFmtId="0" fontId="28" fillId="10" borderId="222" applyNumberFormat="0" applyFont="0" applyAlignment="0" applyProtection="0"/>
    <xf numFmtId="0" fontId="18" fillId="10" borderId="222" applyNumberFormat="0" applyFont="0" applyAlignment="0" applyProtection="0"/>
    <xf numFmtId="0" fontId="25" fillId="13" borderId="221" applyNumberFormat="0" applyAlignment="0" applyProtection="0"/>
    <xf numFmtId="0" fontId="16" fillId="24" borderId="221" applyNumberFormat="0" applyAlignment="0" applyProtection="0"/>
    <xf numFmtId="0" fontId="16" fillId="24" borderId="221" applyNumberFormat="0" applyAlignment="0" applyProtection="0"/>
    <xf numFmtId="0" fontId="72" fillId="0" borderId="228" applyBorder="0">
      <alignment horizontal="center" vertical="center" wrapText="1"/>
    </xf>
    <xf numFmtId="0" fontId="31" fillId="0" borderId="227" applyNumberFormat="0" applyFill="0" applyAlignment="0" applyProtection="0"/>
    <xf numFmtId="0" fontId="31" fillId="0" borderId="227" applyNumberFormat="0" applyFill="0" applyAlignment="0" applyProtection="0"/>
    <xf numFmtId="0" fontId="31" fillId="0" borderId="226" applyNumberFormat="0" applyFill="0" applyAlignment="0" applyProtection="0"/>
    <xf numFmtId="0" fontId="29" fillId="24" borderId="220" applyNumberFormat="0" applyAlignment="0" applyProtection="0"/>
    <xf numFmtId="0" fontId="29" fillId="24" borderId="220" applyNumberFormat="0" applyAlignment="0" applyProtection="0"/>
    <xf numFmtId="0" fontId="28" fillId="10" borderId="222" applyNumberFormat="0" applyFont="0" applyAlignment="0" applyProtection="0"/>
    <xf numFmtId="0" fontId="8" fillId="10" borderId="222" applyNumberFormat="0" applyFont="0" applyAlignment="0" applyProtection="0"/>
    <xf numFmtId="0" fontId="28" fillId="10" borderId="222" applyNumberFormat="0" applyFont="0" applyAlignment="0" applyProtection="0"/>
    <xf numFmtId="0" fontId="25" fillId="13" borderId="221" applyNumberFormat="0" applyAlignment="0" applyProtection="0"/>
    <xf numFmtId="0" fontId="25" fillId="13" borderId="221" applyNumberFormat="0" applyAlignment="0" applyProtection="0"/>
    <xf numFmtId="0" fontId="41" fillId="13" borderId="221" applyNumberFormat="0" applyAlignment="0" applyProtection="0"/>
    <xf numFmtId="0" fontId="16" fillId="24" borderId="221" applyNumberFormat="0" applyAlignment="0" applyProtection="0"/>
    <xf numFmtId="0" fontId="16" fillId="24" borderId="221" applyNumberFormat="0" applyAlignment="0" applyProtection="0"/>
    <xf numFmtId="0" fontId="31" fillId="0" borderId="219" applyNumberFormat="0" applyFill="0" applyAlignment="0" applyProtection="0"/>
    <xf numFmtId="0" fontId="31" fillId="0" borderId="224" applyNumberFormat="0" applyFill="0" applyAlignment="0" applyProtection="0"/>
    <xf numFmtId="0" fontId="31" fillId="0" borderId="224" applyNumberFormat="0" applyFill="0" applyAlignment="0" applyProtection="0"/>
    <xf numFmtId="0" fontId="24" fillId="24" borderId="223" applyNumberFormat="0" applyAlignment="0" applyProtection="0"/>
    <xf numFmtId="0" fontId="49" fillId="10" borderId="222" applyNumberFormat="0" applyFont="0" applyAlignment="0" applyProtection="0"/>
    <xf numFmtId="0" fontId="8" fillId="10" borderId="222" applyNumberFormat="0" applyFont="0" applyAlignment="0" applyProtection="0"/>
    <xf numFmtId="0" fontId="25" fillId="8" borderId="221" applyNumberFormat="0" applyAlignment="0" applyProtection="0"/>
    <xf numFmtId="0" fontId="41" fillId="13" borderId="221" applyNumberFormat="0" applyAlignment="0" applyProtection="0"/>
    <xf numFmtId="0" fontId="48" fillId="12" borderId="221" applyNumberFormat="0" applyAlignment="0" applyProtection="0"/>
    <xf numFmtId="0" fontId="48" fillId="24" borderId="221" applyNumberFormat="0" applyAlignment="0" applyProtection="0"/>
    <xf numFmtId="0" fontId="48" fillId="24" borderId="221" applyNumberFormat="0" applyAlignment="0" applyProtection="0"/>
    <xf numFmtId="0" fontId="31" fillId="0" borderId="227" applyNumberFormat="0" applyFill="0" applyAlignment="0" applyProtection="0"/>
    <xf numFmtId="0" fontId="31" fillId="0" borderId="227" applyNumberFormat="0" applyFill="0" applyAlignment="0" applyProtection="0"/>
    <xf numFmtId="0" fontId="31" fillId="0" borderId="226" applyNumberFormat="0" applyFill="0" applyAlignment="0" applyProtection="0"/>
    <xf numFmtId="0" fontId="16" fillId="24" borderId="221" applyNumberFormat="0" applyAlignment="0" applyProtection="0"/>
    <xf numFmtId="0" fontId="25" fillId="13" borderId="221" applyNumberFormat="0" applyAlignment="0" applyProtection="0"/>
    <xf numFmtId="0" fontId="29" fillId="24" borderId="220" applyNumberFormat="0" applyAlignment="0" applyProtection="0"/>
    <xf numFmtId="0" fontId="31" fillId="0" borderId="227" applyNumberFormat="0" applyFill="0" applyAlignment="0" applyProtection="0"/>
    <xf numFmtId="0" fontId="31" fillId="0" borderId="226" applyNumberFormat="0" applyFill="0" applyAlignment="0" applyProtection="0"/>
    <xf numFmtId="0" fontId="31" fillId="0" borderId="227" applyNumberFormat="0" applyFill="0" applyAlignment="0" applyProtection="0"/>
    <xf numFmtId="0" fontId="31" fillId="0" borderId="227" applyNumberFormat="0" applyFill="0" applyAlignment="0" applyProtection="0"/>
    <xf numFmtId="0" fontId="31" fillId="0" borderId="246" applyNumberFormat="0" applyFill="0" applyAlignment="0" applyProtection="0"/>
    <xf numFmtId="0" fontId="31" fillId="0" borderId="227" applyNumberFormat="0" applyFill="0" applyAlignment="0" applyProtection="0"/>
    <xf numFmtId="0" fontId="29" fillId="24" borderId="220" applyNumberFormat="0" applyAlignment="0" applyProtection="0"/>
    <xf numFmtId="0" fontId="8" fillId="10" borderId="222" applyNumberFormat="0" applyFont="0" applyAlignment="0" applyProtection="0"/>
    <xf numFmtId="0" fontId="48" fillId="12" borderId="221" applyNumberFormat="0" applyAlignment="0" applyProtection="0"/>
    <xf numFmtId="0" fontId="29" fillId="12" borderId="220" applyNumberFormat="0" applyAlignment="0" applyProtection="0"/>
    <xf numFmtId="0" fontId="49" fillId="10" borderId="222" applyNumberFormat="0" applyFont="0" applyAlignment="0" applyProtection="0"/>
    <xf numFmtId="0" fontId="48" fillId="24" borderId="221" applyNumberFormat="0" applyAlignment="0" applyProtection="0"/>
    <xf numFmtId="0" fontId="31" fillId="0" borderId="219" applyNumberFormat="0" applyFill="0" applyAlignment="0" applyProtection="0"/>
    <xf numFmtId="0" fontId="29" fillId="12" borderId="220" applyNumberFormat="0" applyAlignment="0" applyProtection="0"/>
    <xf numFmtId="0" fontId="25" fillId="8" borderId="221" applyNumberFormat="0" applyAlignment="0" applyProtection="0"/>
    <xf numFmtId="0" fontId="48" fillId="12" borderId="221" applyNumberFormat="0" applyAlignment="0" applyProtection="0"/>
    <xf numFmtId="0" fontId="84" fillId="0" borderId="218"/>
    <xf numFmtId="0" fontId="84" fillId="0" borderId="218"/>
    <xf numFmtId="0" fontId="28" fillId="0" borderId="218"/>
    <xf numFmtId="0" fontId="8" fillId="45" borderId="229" applyNumberFormat="0" applyFont="0" applyAlignment="0" applyProtection="0"/>
    <xf numFmtId="0" fontId="49" fillId="10" borderId="222" applyNumberFormat="0" applyFont="0" applyAlignment="0" applyProtection="0"/>
    <xf numFmtId="0" fontId="29" fillId="12" borderId="250" applyNumberFormat="0" applyAlignment="0" applyProtection="0"/>
    <xf numFmtId="0" fontId="31" fillId="0" borderId="227" applyNumberFormat="0" applyFill="0" applyAlignment="0" applyProtection="0"/>
    <xf numFmtId="0" fontId="31" fillId="0" borderId="226" applyNumberFormat="0" applyFill="0" applyAlignment="0" applyProtection="0"/>
    <xf numFmtId="0" fontId="29" fillId="24" borderId="220" applyNumberFormat="0" applyAlignment="0" applyProtection="0"/>
    <xf numFmtId="0" fontId="29" fillId="24" borderId="220" applyNumberFormat="0" applyAlignment="0" applyProtection="0"/>
    <xf numFmtId="0" fontId="24" fillId="24" borderId="223" applyNumberFormat="0" applyAlignment="0" applyProtection="0"/>
    <xf numFmtId="0" fontId="28" fillId="10" borderId="222" applyNumberFormat="0" applyFont="0" applyAlignment="0" applyProtection="0"/>
    <xf numFmtId="0" fontId="28" fillId="10" borderId="222" applyNumberFormat="0" applyFont="0" applyAlignment="0" applyProtection="0"/>
    <xf numFmtId="0" fontId="18" fillId="10" borderId="222" applyNumberFormat="0" applyFont="0" applyAlignment="0" applyProtection="0"/>
    <xf numFmtId="0" fontId="25" fillId="13" borderId="221" applyNumberFormat="0" applyAlignment="0" applyProtection="0"/>
    <xf numFmtId="0" fontId="25" fillId="13" borderId="221" applyNumberFormat="0" applyAlignment="0" applyProtection="0"/>
    <xf numFmtId="0" fontId="41" fillId="13" borderId="221" applyNumberFormat="0" applyAlignment="0" applyProtection="0"/>
    <xf numFmtId="0" fontId="16" fillId="24" borderId="221" applyNumberFormat="0" applyAlignment="0" applyProtection="0"/>
    <xf numFmtId="0" fontId="32" fillId="24" borderId="221" applyNumberFormat="0" applyAlignment="0" applyProtection="0"/>
    <xf numFmtId="0" fontId="31" fillId="0" borderId="219" applyNumberFormat="0" applyFill="0" applyAlignment="0" applyProtection="0"/>
    <xf numFmtId="0" fontId="31" fillId="0" borderId="219" applyNumberFormat="0" applyFill="0" applyAlignment="0" applyProtection="0"/>
    <xf numFmtId="0" fontId="31" fillId="0" borderId="224" applyNumberFormat="0" applyFill="0" applyAlignment="0" applyProtection="0"/>
    <xf numFmtId="0" fontId="29" fillId="12" borderId="220" applyNumberFormat="0" applyAlignment="0" applyProtection="0"/>
    <xf numFmtId="0" fontId="49" fillId="10" borderId="222" applyNumberFormat="0" applyFont="0" applyAlignment="0" applyProtection="0"/>
    <xf numFmtId="0" fontId="8" fillId="10" borderId="222" applyNumberFormat="0" applyFont="0" applyAlignment="0" applyProtection="0"/>
    <xf numFmtId="0" fontId="8" fillId="10" borderId="222" applyNumberFormat="0" applyFont="0" applyAlignment="0" applyProtection="0"/>
    <xf numFmtId="0" fontId="41" fillId="13" borderId="221" applyNumberFormat="0" applyAlignment="0" applyProtection="0"/>
    <xf numFmtId="0" fontId="48" fillId="12" borderId="221" applyNumberFormat="0" applyAlignment="0" applyProtection="0"/>
    <xf numFmtId="0" fontId="48" fillId="24" borderId="221" applyNumberFormat="0" applyAlignment="0" applyProtection="0"/>
    <xf numFmtId="0" fontId="31" fillId="0" borderId="227" applyNumberFormat="0" applyFill="0" applyAlignment="0" applyProtection="0"/>
    <xf numFmtId="0" fontId="31" fillId="0" borderId="226" applyNumberFormat="0" applyFill="0" applyAlignment="0" applyProtection="0"/>
    <xf numFmtId="0" fontId="29" fillId="24" borderId="220" applyNumberFormat="0" applyAlignment="0" applyProtection="0"/>
    <xf numFmtId="0" fontId="29" fillId="24" borderId="220" applyNumberFormat="0" applyAlignment="0" applyProtection="0"/>
    <xf numFmtId="0" fontId="72" fillId="0" borderId="228" applyBorder="0">
      <alignment horizontal="center" vertical="center" wrapText="1"/>
    </xf>
    <xf numFmtId="0" fontId="31" fillId="0" borderId="219" applyNumberFormat="0" applyFill="0" applyAlignment="0" applyProtection="0"/>
    <xf numFmtId="0" fontId="29" fillId="12" borderId="220" applyNumberFormat="0" applyAlignment="0" applyProtection="0"/>
    <xf numFmtId="0" fontId="25" fillId="8" borderId="221" applyNumberFormat="0" applyAlignment="0" applyProtection="0"/>
    <xf numFmtId="0" fontId="48" fillId="12" borderId="221" applyNumberFormat="0" applyAlignment="0" applyProtection="0"/>
    <xf numFmtId="0" fontId="84" fillId="0" borderId="218"/>
    <xf numFmtId="0" fontId="28" fillId="0" borderId="218"/>
    <xf numFmtId="0" fontId="32" fillId="24" borderId="268" applyNumberFormat="0" applyAlignment="0" applyProtection="0"/>
    <xf numFmtId="0" fontId="31" fillId="0" borderId="273" applyNumberFormat="0" applyFill="0" applyAlignment="0" applyProtection="0"/>
    <xf numFmtId="0" fontId="49" fillId="10" borderId="222" applyNumberFormat="0" applyFont="0" applyAlignment="0" applyProtection="0"/>
    <xf numFmtId="0" fontId="31" fillId="0" borderId="312" applyNumberFormat="0" applyFill="0" applyAlignment="0" applyProtection="0"/>
    <xf numFmtId="0" fontId="84" fillId="73" borderId="321"/>
    <xf numFmtId="0" fontId="31" fillId="0" borderId="313" applyNumberFormat="0" applyFill="0" applyAlignment="0" applyProtection="0"/>
    <xf numFmtId="0" fontId="8" fillId="10" borderId="315" applyNumberFormat="0" applyFont="0" applyAlignment="0" applyProtection="0"/>
    <xf numFmtId="0" fontId="24" fillId="24" borderId="293" applyNumberFormat="0" applyAlignment="0" applyProtection="0"/>
    <xf numFmtId="0" fontId="25" fillId="13" borderId="307" applyNumberFormat="0" applyAlignment="0" applyProtection="0"/>
    <xf numFmtId="0" fontId="72" fillId="0" borderId="248" applyBorder="0">
      <alignment horizontal="center" vertical="center" wrapText="1"/>
    </xf>
    <xf numFmtId="0" fontId="84" fillId="0" borderId="247"/>
    <xf numFmtId="0" fontId="28" fillId="0" borderId="247"/>
    <xf numFmtId="0" fontId="24" fillId="24" borderId="245" applyNumberFormat="0" applyAlignment="0" applyProtection="0"/>
    <xf numFmtId="0" fontId="48" fillId="24" borderId="237" applyNumberFormat="0" applyAlignment="0" applyProtection="0"/>
    <xf numFmtId="0" fontId="25" fillId="13" borderId="237" applyNumberFormat="0" applyAlignment="0" applyProtection="0"/>
    <xf numFmtId="0" fontId="16" fillId="24" borderId="261" applyNumberFormat="0" applyAlignment="0" applyProtection="0"/>
    <xf numFmtId="0" fontId="8" fillId="10" borderId="292" applyNumberFormat="0" applyFont="0" applyAlignment="0" applyProtection="0"/>
    <xf numFmtId="0" fontId="31" fillId="0" borderId="318" applyNumberFormat="0" applyFill="0" applyAlignment="0" applyProtection="0"/>
    <xf numFmtId="0" fontId="8" fillId="10" borderId="315" applyNumberFormat="0" applyFont="0" applyAlignment="0" applyProtection="0"/>
    <xf numFmtId="0" fontId="28" fillId="10" borderId="315" applyNumberFormat="0" applyFont="0" applyAlignment="0" applyProtection="0"/>
    <xf numFmtId="0" fontId="25" fillId="13" borderId="268" applyNumberFormat="0" applyAlignment="0" applyProtection="0"/>
    <xf numFmtId="0" fontId="48" fillId="24" borderId="314" applyNumberFormat="0" applyAlignment="0" applyProtection="0"/>
    <xf numFmtId="0" fontId="31" fillId="0" borderId="289" applyNumberFormat="0" applyFill="0" applyAlignment="0" applyProtection="0"/>
    <xf numFmtId="0" fontId="29" fillId="24" borderId="294" applyNumberFormat="0" applyAlignment="0" applyProtection="0"/>
    <xf numFmtId="0" fontId="32" fillId="24" borderId="291" applyNumberFormat="0" applyAlignment="0" applyProtection="0"/>
    <xf numFmtId="0" fontId="18" fillId="10" borderId="315" applyNumberFormat="0" applyFont="0" applyAlignment="0" applyProtection="0"/>
    <xf numFmtId="0" fontId="31" fillId="0" borderId="257" applyNumberFormat="0" applyFill="0" applyAlignment="0" applyProtection="0"/>
    <xf numFmtId="0" fontId="28" fillId="10" borderId="255" applyNumberFormat="0" applyFont="0" applyAlignment="0" applyProtection="0"/>
    <xf numFmtId="0" fontId="8" fillId="10" borderId="255" applyNumberFormat="0" applyFont="0" applyAlignment="0" applyProtection="0"/>
    <xf numFmtId="0" fontId="8" fillId="10" borderId="255" applyNumberFormat="0" applyFont="0" applyAlignment="0" applyProtection="0"/>
    <xf numFmtId="0" fontId="18" fillId="10" borderId="255" applyNumberFormat="0" applyFont="0" applyAlignment="0" applyProtection="0"/>
    <xf numFmtId="0" fontId="48" fillId="24" borderId="314" applyNumberFormat="0" applyAlignment="0" applyProtection="0"/>
    <xf numFmtId="0" fontId="41" fillId="13" borderId="254" applyNumberFormat="0" applyAlignment="0" applyProtection="0"/>
    <xf numFmtId="0" fontId="24" fillId="24" borderId="293" applyNumberFormat="0" applyAlignment="0" applyProtection="0"/>
    <xf numFmtId="0" fontId="29" fillId="24" borderId="294" applyNumberFormat="0" applyAlignment="0" applyProtection="0"/>
    <xf numFmtId="0" fontId="31" fillId="0" borderId="246" applyNumberFormat="0" applyFill="0" applyAlignment="0" applyProtection="0"/>
    <xf numFmtId="0" fontId="31" fillId="0" borderId="249" applyNumberFormat="0" applyFill="0" applyAlignment="0" applyProtection="0"/>
    <xf numFmtId="0" fontId="31" fillId="0" borderId="289" applyNumberFormat="0" applyFill="0" applyAlignment="0" applyProtection="0"/>
    <xf numFmtId="0" fontId="28" fillId="10" borderId="244" applyNumberFormat="0" applyFont="0" applyAlignment="0" applyProtection="0"/>
    <xf numFmtId="0" fontId="31" fillId="0" borderId="252" applyNumberFormat="0" applyFill="0" applyAlignment="0" applyProtection="0"/>
    <xf numFmtId="0" fontId="24" fillId="24" borderId="245" applyNumberFormat="0" applyAlignment="0" applyProtection="0"/>
    <xf numFmtId="0" fontId="72" fillId="0" borderId="248" applyBorder="0">
      <alignment horizontal="center" vertical="center" wrapText="1"/>
    </xf>
    <xf numFmtId="0" fontId="49" fillId="10" borderId="244" applyNumberFormat="0" applyFont="0" applyAlignment="0" applyProtection="0"/>
    <xf numFmtId="0" fontId="29" fillId="24" borderId="250" applyNumberFormat="0" applyAlignment="0" applyProtection="0"/>
    <xf numFmtId="0" fontId="8" fillId="10" borderId="301" applyNumberFormat="0" applyFont="0" applyAlignment="0" applyProtection="0"/>
    <xf numFmtId="0" fontId="31" fillId="0" borderId="252" applyNumberFormat="0" applyFill="0" applyAlignment="0" applyProtection="0"/>
    <xf numFmtId="0" fontId="31" fillId="0" borderId="312" applyNumberFormat="0" applyFill="0" applyAlignment="0" applyProtection="0"/>
    <xf numFmtId="0" fontId="31" fillId="0" borderId="290" applyNumberFormat="0" applyFill="0" applyAlignment="0" applyProtection="0"/>
    <xf numFmtId="0" fontId="31" fillId="0" borderId="296" applyNumberFormat="0" applyFill="0" applyAlignment="0" applyProtection="0"/>
    <xf numFmtId="0" fontId="31" fillId="0" borderId="319" applyNumberFormat="0" applyFill="0" applyAlignment="0" applyProtection="0"/>
    <xf numFmtId="0" fontId="48" fillId="24" borderId="221" applyNumberFormat="0" applyAlignment="0" applyProtection="0"/>
    <xf numFmtId="0" fontId="31" fillId="0" borderId="296" applyNumberFormat="0" applyFill="0" applyAlignment="0" applyProtection="0"/>
    <xf numFmtId="0" fontId="28" fillId="10" borderId="244" applyNumberFormat="0" applyFont="0" applyAlignment="0" applyProtection="0"/>
    <xf numFmtId="0" fontId="31" fillId="0" borderId="227" applyNumberFormat="0" applyFill="0" applyAlignment="0" applyProtection="0"/>
    <xf numFmtId="0" fontId="31" fillId="0" borderId="227" applyNumberFormat="0" applyFill="0" applyAlignment="0" applyProtection="0"/>
    <xf numFmtId="0" fontId="31" fillId="0" borderId="226" applyNumberFormat="0" applyFill="0" applyAlignment="0" applyProtection="0"/>
    <xf numFmtId="0" fontId="29" fillId="24" borderId="220" applyNumberFormat="0" applyAlignment="0" applyProtection="0"/>
    <xf numFmtId="0" fontId="24" fillId="24" borderId="223" applyNumberFormat="0" applyAlignment="0" applyProtection="0"/>
    <xf numFmtId="0" fontId="28" fillId="10" borderId="222" applyNumberFormat="0" applyFont="0" applyAlignment="0" applyProtection="0"/>
    <xf numFmtId="0" fontId="28" fillId="10" borderId="222" applyNumberFormat="0" applyFont="0" applyAlignment="0" applyProtection="0"/>
    <xf numFmtId="0" fontId="28" fillId="10" borderId="222" applyNumberFormat="0" applyFont="0" applyAlignment="0" applyProtection="0"/>
    <xf numFmtId="0" fontId="72" fillId="0" borderId="228" applyBorder="0">
      <alignment horizontal="center" vertical="center" wrapText="1"/>
    </xf>
    <xf numFmtId="0" fontId="25" fillId="13" borderId="221" applyNumberFormat="0" applyAlignment="0" applyProtection="0"/>
    <xf numFmtId="0" fontId="25" fillId="13" borderId="221" applyNumberFormat="0" applyAlignment="0" applyProtection="0"/>
    <xf numFmtId="0" fontId="16" fillId="24" borderId="221" applyNumberFormat="0" applyAlignment="0" applyProtection="0"/>
    <xf numFmtId="0" fontId="16" fillId="24" borderId="221" applyNumberFormat="0" applyAlignment="0" applyProtection="0"/>
    <xf numFmtId="0" fontId="32" fillId="24" borderId="221" applyNumberFormat="0" applyAlignment="0" applyProtection="0"/>
    <xf numFmtId="0" fontId="31" fillId="0" borderId="219" applyNumberFormat="0" applyFill="0" applyAlignment="0" applyProtection="0"/>
    <xf numFmtId="0" fontId="8" fillId="10" borderId="222" applyNumberFormat="0" applyFont="0" applyAlignment="0" applyProtection="0"/>
    <xf numFmtId="0" fontId="31" fillId="0" borderId="227" applyNumberFormat="0" applyFill="0" applyAlignment="0" applyProtection="0"/>
    <xf numFmtId="0" fontId="31" fillId="0" borderId="227" applyNumberFormat="0" applyFill="0" applyAlignment="0" applyProtection="0"/>
    <xf numFmtId="0" fontId="31" fillId="0" borderId="226" applyNumberFormat="0" applyFill="0" applyAlignment="0" applyProtection="0"/>
    <xf numFmtId="0" fontId="49" fillId="10" borderId="315" applyNumberFormat="0" applyFont="0" applyAlignment="0" applyProtection="0"/>
    <xf numFmtId="0" fontId="25" fillId="13" borderId="268" applyNumberFormat="0" applyAlignment="0" applyProtection="0"/>
    <xf numFmtId="0" fontId="25" fillId="8" borderId="268" applyNumberFormat="0" applyAlignment="0" applyProtection="0"/>
    <xf numFmtId="0" fontId="29" fillId="24" borderId="220" applyNumberFormat="0" applyAlignment="0" applyProtection="0"/>
    <xf numFmtId="0" fontId="24" fillId="24" borderId="223" applyNumberFormat="0" applyAlignment="0" applyProtection="0"/>
    <xf numFmtId="0" fontId="28" fillId="10" borderId="222" applyNumberFormat="0" applyFont="0" applyAlignment="0" applyProtection="0"/>
    <xf numFmtId="0" fontId="28" fillId="10" borderId="222" applyNumberFormat="0" applyFont="0" applyAlignment="0" applyProtection="0"/>
    <xf numFmtId="0" fontId="28" fillId="10" borderId="308" applyNumberFormat="0" applyFont="0" applyAlignment="0" applyProtection="0"/>
    <xf numFmtId="0" fontId="84" fillId="73" borderId="275"/>
    <xf numFmtId="0" fontId="84" fillId="0" borderId="275"/>
    <xf numFmtId="0" fontId="31" fillId="0" borderId="319" applyNumberFormat="0" applyFill="0" applyAlignment="0" applyProtection="0"/>
    <xf numFmtId="0" fontId="29" fillId="24" borderId="317" applyNumberFormat="0" applyAlignment="0" applyProtection="0"/>
    <xf numFmtId="0" fontId="16" fillId="24" borderId="314" applyNumberFormat="0" applyAlignment="0" applyProtection="0"/>
    <xf numFmtId="0" fontId="8" fillId="10" borderId="278" applyNumberFormat="0" applyFont="0" applyAlignment="0" applyProtection="0"/>
    <xf numFmtId="0" fontId="29" fillId="12" borderId="317" applyNumberFormat="0" applyAlignment="0" applyProtection="0"/>
    <xf numFmtId="0" fontId="8" fillId="10" borderId="315" applyNumberFormat="0" applyFont="0" applyAlignment="0" applyProtection="0"/>
    <xf numFmtId="0" fontId="31" fillId="0" borderId="318" applyNumberFormat="0" applyFill="0" applyAlignment="0" applyProtection="0"/>
    <xf numFmtId="0" fontId="31" fillId="0" borderId="313" applyNumberFormat="0" applyFill="0" applyAlignment="0" applyProtection="0"/>
    <xf numFmtId="0" fontId="31" fillId="0" borderId="313" applyNumberFormat="0" applyFill="0" applyAlignment="0" applyProtection="0"/>
    <xf numFmtId="0" fontId="29" fillId="24" borderId="294" applyNumberFormat="0" applyAlignment="0" applyProtection="0"/>
    <xf numFmtId="0" fontId="8" fillId="10" borderId="292" applyNumberFormat="0" applyFont="0" applyAlignment="0" applyProtection="0"/>
    <xf numFmtId="0" fontId="29" fillId="12" borderId="294" applyNumberFormat="0" applyAlignment="0" applyProtection="0"/>
    <xf numFmtId="0" fontId="25" fillId="13" borderId="221" applyNumberFormat="0" applyAlignment="0" applyProtection="0"/>
    <xf numFmtId="0" fontId="25" fillId="13" borderId="221" applyNumberFormat="0" applyAlignment="0" applyProtection="0"/>
    <xf numFmtId="0" fontId="25" fillId="13" borderId="221" applyNumberFormat="0" applyAlignment="0" applyProtection="0"/>
    <xf numFmtId="0" fontId="24" fillId="24" borderId="245" applyNumberFormat="0" applyAlignment="0" applyProtection="0"/>
    <xf numFmtId="0" fontId="28" fillId="10" borderId="244" applyNumberFormat="0" applyFont="0" applyAlignment="0" applyProtection="0"/>
    <xf numFmtId="0" fontId="31" fillId="0" borderId="266" applyNumberFormat="0" applyFill="0" applyAlignment="0" applyProtection="0"/>
    <xf numFmtId="0" fontId="84" fillId="0" borderId="275"/>
    <xf numFmtId="0" fontId="32" fillId="24" borderId="268" applyNumberFormat="0" applyAlignment="0" applyProtection="0"/>
    <xf numFmtId="0" fontId="72" fillId="0" borderId="297" applyBorder="0">
      <alignment horizontal="center" vertical="center" wrapText="1"/>
    </xf>
    <xf numFmtId="0" fontId="49" fillId="10" borderId="315" applyNumberFormat="0" applyFont="0" applyAlignment="0" applyProtection="0"/>
    <xf numFmtId="0" fontId="31" fillId="0" borderId="296" applyNumberFormat="0" applyFill="0" applyAlignment="0" applyProtection="0"/>
    <xf numFmtId="0" fontId="49" fillId="10" borderId="292" applyNumberFormat="0" applyFont="0" applyAlignment="0" applyProtection="0"/>
    <xf numFmtId="0" fontId="24" fillId="24" borderId="309" applyNumberFormat="0" applyAlignment="0" applyProtection="0"/>
    <xf numFmtId="0" fontId="31" fillId="0" borderId="251" applyNumberFormat="0" applyFill="0" applyAlignment="0" applyProtection="0"/>
    <xf numFmtId="0" fontId="8" fillId="10" borderId="292" applyNumberFormat="0" applyFont="0" applyAlignment="0" applyProtection="0"/>
    <xf numFmtId="0" fontId="48" fillId="24" borderId="291" applyNumberFormat="0" applyAlignment="0" applyProtection="0"/>
    <xf numFmtId="0" fontId="16" fillId="24" borderId="221" applyNumberFormat="0" applyAlignment="0" applyProtection="0"/>
    <xf numFmtId="0" fontId="16" fillId="24" borderId="221" applyNumberFormat="0" applyAlignment="0" applyProtection="0"/>
    <xf numFmtId="0" fontId="32" fillId="24" borderId="221" applyNumberFormat="0" applyAlignment="0" applyProtection="0"/>
    <xf numFmtId="0" fontId="28" fillId="10" borderId="301" applyNumberFormat="0" applyFont="0" applyAlignment="0" applyProtection="0"/>
    <xf numFmtId="0" fontId="16" fillId="24" borderId="291" applyNumberFormat="0" applyAlignment="0" applyProtection="0"/>
    <xf numFmtId="0" fontId="31" fillId="0" borderId="289" applyNumberFormat="0" applyFill="0" applyAlignment="0" applyProtection="0"/>
    <xf numFmtId="0" fontId="72" fillId="0" borderId="297" applyBorder="0">
      <alignment horizontal="center" vertical="center" wrapText="1"/>
    </xf>
    <xf numFmtId="0" fontId="18" fillId="10" borderId="292" applyNumberFormat="0" applyFont="0" applyAlignment="0" applyProtection="0"/>
    <xf numFmtId="0" fontId="8" fillId="10" borderId="292" applyNumberFormat="0" applyFont="0" applyAlignment="0" applyProtection="0"/>
    <xf numFmtId="0" fontId="29" fillId="24" borderId="250" applyNumberFormat="0" applyAlignment="0" applyProtection="0"/>
    <xf numFmtId="0" fontId="31" fillId="0" borderId="246" applyNumberFormat="0" applyFill="0" applyAlignment="0" applyProtection="0"/>
    <xf numFmtId="0" fontId="24" fillId="24" borderId="316" applyNumberFormat="0" applyAlignment="0" applyProtection="0"/>
    <xf numFmtId="0" fontId="31" fillId="0" borderId="252" applyNumberFormat="0" applyFill="0" applyAlignment="0" applyProtection="0"/>
    <xf numFmtId="0" fontId="31" fillId="0" borderId="296" applyNumberFormat="0" applyFill="0" applyAlignment="0" applyProtection="0"/>
    <xf numFmtId="0" fontId="25" fillId="13" borderId="291" applyNumberFormat="0" applyAlignment="0" applyProtection="0"/>
    <xf numFmtId="0" fontId="31" fillId="0" borderId="296" applyNumberFormat="0" applyFill="0" applyAlignment="0" applyProtection="0"/>
    <xf numFmtId="0" fontId="49" fillId="10" borderId="315" applyNumberFormat="0" applyFont="0" applyAlignment="0" applyProtection="0"/>
    <xf numFmtId="0" fontId="28" fillId="10" borderId="315" applyNumberFormat="0" applyFont="0" applyAlignment="0" applyProtection="0"/>
    <xf numFmtId="0" fontId="28" fillId="0" borderId="234"/>
    <xf numFmtId="0" fontId="18" fillId="10" borderId="262" applyNumberFormat="0" applyFont="0" applyAlignment="0" applyProtection="0"/>
    <xf numFmtId="0" fontId="41" fillId="13" borderId="268" applyNumberFormat="0" applyAlignment="0" applyProtection="0"/>
    <xf numFmtId="0" fontId="8" fillId="45" borderId="253" applyNumberFormat="0" applyFont="0" applyAlignment="0" applyProtection="0"/>
    <xf numFmtId="0" fontId="31" fillId="0" borderId="319" applyNumberFormat="0" applyFill="0" applyAlignment="0" applyProtection="0"/>
    <xf numFmtId="0" fontId="24" fillId="24" borderId="302" applyNumberFormat="0" applyAlignment="0" applyProtection="0"/>
    <xf numFmtId="0" fontId="31" fillId="0" borderId="290" applyNumberFormat="0" applyFill="0" applyAlignment="0" applyProtection="0"/>
    <xf numFmtId="0" fontId="31" fillId="0" borderId="295" applyNumberFormat="0" applyFill="0" applyAlignment="0" applyProtection="0"/>
    <xf numFmtId="0" fontId="48" fillId="12" borderId="291" applyNumberFormat="0" applyAlignment="0" applyProtection="0"/>
    <xf numFmtId="0" fontId="24" fillId="24" borderId="245" applyNumberFormat="0" applyAlignment="0" applyProtection="0"/>
    <xf numFmtId="0" fontId="31" fillId="0" borderId="267" applyNumberFormat="0" applyFill="0" applyAlignment="0" applyProtection="0"/>
    <xf numFmtId="0" fontId="31" fillId="0" borderId="252" applyNumberFormat="0" applyFill="0" applyAlignment="0" applyProtection="0"/>
    <xf numFmtId="0" fontId="31" fillId="0" borderId="295" applyNumberFormat="0" applyFill="0" applyAlignment="0" applyProtection="0"/>
    <xf numFmtId="0" fontId="8" fillId="10" borderId="301" applyNumberFormat="0" applyFont="0" applyAlignment="0" applyProtection="0"/>
    <xf numFmtId="0" fontId="31" fillId="0" borderId="251" applyNumberFormat="0" applyFill="0" applyAlignment="0" applyProtection="0"/>
    <xf numFmtId="0" fontId="48" fillId="24" borderId="268" applyNumberFormat="0" applyAlignment="0" applyProtection="0"/>
    <xf numFmtId="0" fontId="29" fillId="24" borderId="271" applyNumberFormat="0" applyAlignment="0" applyProtection="0"/>
    <xf numFmtId="0" fontId="29" fillId="24" borderId="271" applyNumberFormat="0" applyAlignment="0" applyProtection="0"/>
    <xf numFmtId="0" fontId="48" fillId="24" borderId="314" applyNumberFormat="0" applyAlignment="0" applyProtection="0"/>
    <xf numFmtId="0" fontId="84" fillId="0" borderId="321"/>
    <xf numFmtId="0" fontId="41" fillId="13" borderId="314" applyNumberFormat="0" applyAlignment="0" applyProtection="0"/>
    <xf numFmtId="0" fontId="16" fillId="24" borderId="237" applyNumberFormat="0" applyAlignment="0" applyProtection="0"/>
    <xf numFmtId="0" fontId="31" fillId="0" borderId="273" applyNumberFormat="0" applyFill="0" applyAlignment="0" applyProtection="0"/>
    <xf numFmtId="0" fontId="72" fillId="0" borderId="265" applyBorder="0">
      <alignment horizontal="center" vertical="center" wrapText="1"/>
    </xf>
    <xf numFmtId="0" fontId="31" fillId="0" borderId="267" applyNumberFormat="0" applyFill="0" applyAlignment="0" applyProtection="0"/>
    <xf numFmtId="0" fontId="29" fillId="24" borderId="271" applyNumberFormat="0" applyAlignment="0" applyProtection="0"/>
    <xf numFmtId="0" fontId="18" fillId="10" borderId="269" applyNumberFormat="0" applyFont="0" applyAlignment="0" applyProtection="0"/>
    <xf numFmtId="0" fontId="48" fillId="12" borderId="237" applyNumberFormat="0" applyAlignment="0" applyProtection="0"/>
    <xf numFmtId="0" fontId="31" fillId="0" borderId="267" applyNumberFormat="0" applyFill="0" applyAlignment="0" applyProtection="0"/>
    <xf numFmtId="0" fontId="49" fillId="10" borderId="238" applyNumberFormat="0" applyFont="0" applyAlignment="0" applyProtection="0"/>
    <xf numFmtId="0" fontId="28" fillId="10" borderId="238" applyNumberFormat="0" applyFont="0" applyAlignment="0" applyProtection="0"/>
    <xf numFmtId="0" fontId="8" fillId="10" borderId="238" applyNumberFormat="0" applyFont="0" applyAlignment="0" applyProtection="0"/>
    <xf numFmtId="0" fontId="31" fillId="0" borderId="267" applyNumberFormat="0" applyFill="0" applyAlignment="0" applyProtection="0"/>
    <xf numFmtId="0" fontId="28" fillId="0" borderId="321"/>
    <xf numFmtId="0" fontId="24" fillId="24" borderId="279" applyNumberFormat="0" applyAlignment="0" applyProtection="0"/>
    <xf numFmtId="0" fontId="48" fillId="24" borderId="314" applyNumberFormat="0" applyAlignment="0" applyProtection="0"/>
    <xf numFmtId="0" fontId="48" fillId="12" borderId="314" applyNumberFormat="0" applyAlignment="0" applyProtection="0"/>
    <xf numFmtId="0" fontId="48" fillId="12" borderId="268" applyNumberFormat="0" applyAlignment="0" applyProtection="0"/>
    <xf numFmtId="0" fontId="41" fillId="13" borderId="268" applyNumberFormat="0" applyAlignment="0" applyProtection="0"/>
    <xf numFmtId="0" fontId="8" fillId="10" borderId="269" applyNumberFormat="0" applyFont="0" applyAlignment="0" applyProtection="0"/>
    <xf numFmtId="0" fontId="29" fillId="12" borderId="271" applyNumberFormat="0" applyAlignment="0" applyProtection="0"/>
    <xf numFmtId="0" fontId="31" fillId="0" borderId="266" applyNumberFormat="0" applyFill="0" applyAlignment="0" applyProtection="0"/>
    <xf numFmtId="0" fontId="49" fillId="10" borderId="269" applyNumberFormat="0" applyFont="0" applyAlignment="0" applyProtection="0"/>
    <xf numFmtId="0" fontId="8" fillId="10" borderId="269" applyNumberFormat="0" applyFont="0" applyAlignment="0" applyProtection="0"/>
    <xf numFmtId="0" fontId="25" fillId="13" borderId="268" applyNumberFormat="0" applyAlignment="0" applyProtection="0"/>
    <xf numFmtId="0" fontId="24" fillId="24" borderId="270" applyNumberFormat="0" applyAlignment="0" applyProtection="0"/>
    <xf numFmtId="0" fontId="8" fillId="10" borderId="269" applyNumberFormat="0" applyFont="0" applyAlignment="0" applyProtection="0"/>
    <xf numFmtId="0" fontId="25" fillId="8" borderId="268" applyNumberFormat="0" applyAlignment="0" applyProtection="0"/>
    <xf numFmtId="0" fontId="48" fillId="12" borderId="268" applyNumberFormat="0" applyAlignment="0" applyProtection="0"/>
    <xf numFmtId="0" fontId="49" fillId="10" borderId="269" applyNumberFormat="0" applyFont="0" applyAlignment="0" applyProtection="0"/>
    <xf numFmtId="0" fontId="8" fillId="45" borderId="276" applyNumberFormat="0" applyFont="0" applyAlignment="0" applyProtection="0"/>
    <xf numFmtId="0" fontId="29" fillId="24" borderId="317" applyNumberFormat="0" applyAlignment="0" applyProtection="0"/>
    <xf numFmtId="0" fontId="31" fillId="0" borderId="313" applyNumberFormat="0" applyFill="0" applyAlignment="0" applyProtection="0"/>
    <xf numFmtId="0" fontId="49" fillId="10" borderId="292" applyNumberFormat="0" applyFont="0" applyAlignment="0" applyProtection="0"/>
    <xf numFmtId="0" fontId="8" fillId="10" borderId="315" applyNumberFormat="0" applyFont="0" applyAlignment="0" applyProtection="0"/>
    <xf numFmtId="0" fontId="28" fillId="10" borderId="244" applyNumberFormat="0" applyFont="0" applyAlignment="0" applyProtection="0"/>
    <xf numFmtId="0" fontId="48" fillId="24" borderId="314" applyNumberFormat="0" applyAlignment="0" applyProtection="0"/>
    <xf numFmtId="0" fontId="25" fillId="13" borderId="291" applyNumberFormat="0" applyAlignment="0" applyProtection="0"/>
    <xf numFmtId="0" fontId="25" fillId="8" borderId="314" applyNumberFormat="0" applyAlignment="0" applyProtection="0"/>
    <xf numFmtId="0" fontId="8" fillId="10" borderId="269" applyNumberFormat="0" applyFont="0" applyAlignment="0" applyProtection="0"/>
    <xf numFmtId="0" fontId="8" fillId="10" borderId="315" applyNumberFormat="0" applyFont="0" applyAlignment="0" applyProtection="0"/>
    <xf numFmtId="0" fontId="41" fillId="13" borderId="314" applyNumberFormat="0" applyAlignment="0" applyProtection="0"/>
    <xf numFmtId="0" fontId="84" fillId="0" borderId="298"/>
    <xf numFmtId="0" fontId="48" fillId="24" borderId="291" applyNumberFormat="0" applyAlignment="0" applyProtection="0"/>
    <xf numFmtId="0" fontId="28" fillId="10" borderId="292" applyNumberFormat="0" applyFont="0" applyAlignment="0" applyProtection="0"/>
    <xf numFmtId="0" fontId="16" fillId="24" borderId="284" applyNumberFormat="0" applyAlignment="0" applyProtection="0"/>
    <xf numFmtId="0" fontId="49" fillId="10" borderId="292" applyNumberFormat="0" applyFont="0" applyAlignment="0" applyProtection="0"/>
    <xf numFmtId="0" fontId="49" fillId="10" borderId="292" applyNumberFormat="0" applyFont="0" applyAlignment="0" applyProtection="0"/>
    <xf numFmtId="0" fontId="25" fillId="13" borderId="268" applyNumberFormat="0" applyAlignment="0" applyProtection="0"/>
    <xf numFmtId="0" fontId="28" fillId="0" borderId="321"/>
    <xf numFmtId="0" fontId="16" fillId="24" borderId="323" applyNumberFormat="0" applyAlignment="0" applyProtection="0"/>
    <xf numFmtId="0" fontId="28" fillId="10" borderId="324" applyNumberFormat="0" applyFont="0" applyAlignment="0" applyProtection="0"/>
    <xf numFmtId="0" fontId="29" fillId="24" borderId="283" applyNumberFormat="0" applyAlignment="0" applyProtection="0"/>
    <xf numFmtId="0" fontId="29" fillId="12" borderId="317" applyNumberFormat="0" applyAlignment="0" applyProtection="0"/>
    <xf numFmtId="0" fontId="31" fillId="0" borderId="313" applyNumberFormat="0" applyFill="0" applyAlignment="0" applyProtection="0"/>
    <xf numFmtId="0" fontId="28" fillId="10" borderId="315" applyNumberFormat="0" applyFont="0" applyAlignment="0" applyProtection="0"/>
    <xf numFmtId="0" fontId="31" fillId="0" borderId="290" applyNumberFormat="0" applyFill="0" applyAlignment="0" applyProtection="0"/>
    <xf numFmtId="0" fontId="31" fillId="0" borderId="295" applyNumberFormat="0" applyFill="0" applyAlignment="0" applyProtection="0"/>
    <xf numFmtId="0" fontId="31" fillId="0" borderId="295" applyNumberFormat="0" applyFill="0" applyAlignment="0" applyProtection="0"/>
    <xf numFmtId="0" fontId="16" fillId="24" borderId="284" applyNumberFormat="0" applyAlignment="0" applyProtection="0"/>
    <xf numFmtId="0" fontId="31" fillId="0" borderId="313" applyNumberFormat="0" applyFill="0" applyAlignment="0" applyProtection="0"/>
    <xf numFmtId="0" fontId="25" fillId="13" borderId="314" applyNumberFormat="0" applyAlignment="0" applyProtection="0"/>
    <xf numFmtId="0" fontId="29" fillId="12" borderId="294" applyNumberFormat="0" applyAlignment="0" applyProtection="0"/>
    <xf numFmtId="0" fontId="31" fillId="0" borderId="290" applyNumberFormat="0" applyFill="0" applyAlignment="0" applyProtection="0"/>
    <xf numFmtId="0" fontId="49" fillId="10" borderId="244" applyNumberFormat="0" applyFont="0" applyAlignment="0" applyProtection="0"/>
    <xf numFmtId="0" fontId="84" fillId="0" borderId="247"/>
    <xf numFmtId="0" fontId="16" fillId="24" borderId="291" applyNumberFormat="0" applyAlignment="0" applyProtection="0"/>
    <xf numFmtId="0" fontId="31" fillId="0" borderId="252" applyNumberFormat="0" applyFill="0" applyAlignment="0" applyProtection="0"/>
    <xf numFmtId="0" fontId="8" fillId="10" borderId="292" applyNumberFormat="0" applyFont="0" applyAlignment="0" applyProtection="0"/>
    <xf numFmtId="0" fontId="31" fillId="0" borderId="246" applyNumberFormat="0" applyFill="0" applyAlignment="0" applyProtection="0"/>
    <xf numFmtId="0" fontId="8" fillId="10" borderId="244" applyNumberFormat="0" applyFont="0" applyAlignment="0" applyProtection="0"/>
    <xf numFmtId="0" fontId="24" fillId="24" borderId="245" applyNumberFormat="0" applyAlignment="0" applyProtection="0"/>
    <xf numFmtId="0" fontId="31" fillId="0" borderId="249" applyNumberFormat="0" applyFill="0" applyAlignment="0" applyProtection="0"/>
    <xf numFmtId="0" fontId="41" fillId="13" borderId="314" applyNumberFormat="0" applyAlignment="0" applyProtection="0"/>
    <xf numFmtId="0" fontId="18" fillId="10" borderId="301" applyNumberFormat="0" applyFont="0" applyAlignment="0" applyProtection="0"/>
    <xf numFmtId="0" fontId="16" fillId="24" borderId="300" applyNumberFormat="0" applyAlignment="0" applyProtection="0"/>
    <xf numFmtId="0" fontId="28" fillId="0" borderId="298"/>
    <xf numFmtId="0" fontId="25" fillId="13" borderId="291" applyNumberFormat="0" applyAlignment="0" applyProtection="0"/>
    <xf numFmtId="0" fontId="31" fillId="0" borderId="296" applyNumberFormat="0" applyFill="0" applyAlignment="0" applyProtection="0"/>
    <xf numFmtId="0" fontId="8" fillId="45" borderId="299" applyNumberFormat="0" applyFont="0" applyAlignment="0" applyProtection="0"/>
    <xf numFmtId="0" fontId="28" fillId="0" borderId="275"/>
    <xf numFmtId="0" fontId="29" fillId="24" borderId="283" applyNumberFormat="0" applyAlignment="0" applyProtection="0"/>
    <xf numFmtId="0" fontId="25" fillId="8" borderId="291" applyNumberFormat="0" applyAlignment="0" applyProtection="0"/>
    <xf numFmtId="0" fontId="48" fillId="12" borderId="291" applyNumberFormat="0" applyAlignment="0" applyProtection="0"/>
    <xf numFmtId="0" fontId="29" fillId="12" borderId="294" applyNumberFormat="0" applyAlignment="0" applyProtection="0"/>
    <xf numFmtId="0" fontId="25" fillId="13" borderId="314" applyNumberFormat="0" applyAlignment="0" applyProtection="0"/>
    <xf numFmtId="0" fontId="31" fillId="0" borderId="267" applyNumberFormat="0" applyFill="0" applyAlignment="0" applyProtection="0"/>
    <xf numFmtId="0" fontId="28" fillId="0" borderId="275"/>
    <xf numFmtId="0" fontId="48" fillId="12" borderId="314" applyNumberFormat="0" applyAlignment="0" applyProtection="0"/>
    <xf numFmtId="0" fontId="31" fillId="0" borderId="318" applyNumberFormat="0" applyFill="0" applyAlignment="0" applyProtection="0"/>
    <xf numFmtId="0" fontId="84" fillId="0" borderId="321"/>
    <xf numFmtId="0" fontId="16" fillId="24" borderId="291" applyNumberFormat="0" applyAlignment="0" applyProtection="0"/>
    <xf numFmtId="0" fontId="41" fillId="13" borderId="291" applyNumberFormat="0" applyAlignment="0" applyProtection="0"/>
    <xf numFmtId="0" fontId="16" fillId="24" borderId="314" applyNumberFormat="0" applyAlignment="0" applyProtection="0"/>
    <xf numFmtId="0" fontId="49" fillId="10" borderId="269" applyNumberFormat="0" applyFont="0" applyAlignment="0" applyProtection="0"/>
    <xf numFmtId="0" fontId="31" fillId="0" borderId="267" applyNumberFormat="0" applyFill="0" applyAlignment="0" applyProtection="0"/>
    <xf numFmtId="0" fontId="31" fillId="0" borderId="313" applyNumberFormat="0" applyFill="0" applyAlignment="0" applyProtection="0"/>
    <xf numFmtId="0" fontId="28" fillId="0" borderId="321"/>
    <xf numFmtId="0" fontId="48" fillId="12" borderId="268" applyNumberFormat="0" applyAlignment="0" applyProtection="0"/>
    <xf numFmtId="0" fontId="48" fillId="24" borderId="314" applyNumberFormat="0" applyAlignment="0" applyProtection="0"/>
    <xf numFmtId="0" fontId="49" fillId="10" borderId="315" applyNumberFormat="0" applyFont="0" applyAlignment="0" applyProtection="0"/>
    <xf numFmtId="0" fontId="49" fillId="10" borderId="315" applyNumberFormat="0" applyFont="0" applyAlignment="0" applyProtection="0"/>
    <xf numFmtId="0" fontId="72" fillId="0" borderId="288" applyBorder="0">
      <alignment horizontal="center" vertical="center" wrapText="1"/>
    </xf>
    <xf numFmtId="0" fontId="31" fillId="0" borderId="290" applyNumberFormat="0" applyFill="0" applyAlignment="0" applyProtection="0"/>
    <xf numFmtId="0" fontId="49" fillId="10" borderId="315" applyNumberFormat="0" applyFont="0" applyAlignment="0" applyProtection="0"/>
    <xf numFmtId="0" fontId="24" fillId="24" borderId="256" applyNumberFormat="0" applyAlignment="0" applyProtection="0"/>
    <xf numFmtId="0" fontId="31" fillId="0" borderId="289" applyNumberFormat="0" applyFill="0" applyAlignment="0" applyProtection="0"/>
    <xf numFmtId="0" fontId="84" fillId="0" borderId="247"/>
    <xf numFmtId="0" fontId="31" fillId="0" borderId="246" applyNumberFormat="0" applyFill="0" applyAlignment="0" applyProtection="0"/>
    <xf numFmtId="0" fontId="18" fillId="10" borderId="244" applyNumberFormat="0" applyFont="0" applyAlignment="0" applyProtection="0"/>
    <xf numFmtId="0" fontId="32" fillId="24" borderId="291" applyNumberFormat="0" applyAlignment="0" applyProtection="0"/>
    <xf numFmtId="0" fontId="31" fillId="0" borderId="252" applyNumberFormat="0" applyFill="0" applyAlignment="0" applyProtection="0"/>
    <xf numFmtId="0" fontId="28" fillId="0" borderId="247"/>
    <xf numFmtId="0" fontId="31" fillId="0" borderId="252" applyNumberFormat="0" applyFill="0" applyAlignment="0" applyProtection="0"/>
    <xf numFmtId="0" fontId="28" fillId="10" borderId="292" applyNumberFormat="0" applyFont="0" applyAlignment="0" applyProtection="0"/>
    <xf numFmtId="0" fontId="41" fillId="13" borderId="261" applyNumberFormat="0" applyAlignment="0" applyProtection="0"/>
    <xf numFmtId="0" fontId="29" fillId="24" borderId="260" applyNumberFormat="0" applyAlignment="0" applyProtection="0"/>
    <xf numFmtId="0" fontId="31" fillId="0" borderId="295" applyNumberFormat="0" applyFill="0" applyAlignment="0" applyProtection="0"/>
    <xf numFmtId="0" fontId="31" fillId="0" borderId="249" applyNumberFormat="0" applyFill="0" applyAlignment="0" applyProtection="0"/>
    <xf numFmtId="0" fontId="31" fillId="0" borderId="267" applyNumberFormat="0" applyFill="0" applyAlignment="0" applyProtection="0"/>
    <xf numFmtId="0" fontId="28" fillId="10" borderId="262" applyNumberFormat="0" applyFont="0" applyAlignment="0" applyProtection="0"/>
    <xf numFmtId="0" fontId="84" fillId="0" borderId="275"/>
    <xf numFmtId="0" fontId="31" fillId="0" borderId="273" applyNumberFormat="0" applyFill="0" applyAlignment="0" applyProtection="0"/>
    <xf numFmtId="0" fontId="8" fillId="10" borderId="269" applyNumberFormat="0" applyFont="0" applyAlignment="0" applyProtection="0"/>
    <xf numFmtId="0" fontId="16" fillId="24" borderId="237" applyNumberFormat="0" applyAlignment="0" applyProtection="0"/>
    <xf numFmtId="0" fontId="84" fillId="73" borderId="275"/>
    <xf numFmtId="0" fontId="24" fillId="24" borderId="270" applyNumberFormat="0" applyAlignment="0" applyProtection="0"/>
    <xf numFmtId="0" fontId="31" fillId="0" borderId="267" applyNumberFormat="0" applyFill="0" applyAlignment="0" applyProtection="0"/>
    <xf numFmtId="0" fontId="28" fillId="0" borderId="298"/>
    <xf numFmtId="0" fontId="28" fillId="0" borderId="275"/>
    <xf numFmtId="0" fontId="29" fillId="24" borderId="294" applyNumberFormat="0" applyAlignment="0" applyProtection="0"/>
    <xf numFmtId="0" fontId="29" fillId="12" borderId="317" applyNumberFormat="0" applyAlignment="0" applyProtection="0"/>
    <xf numFmtId="0" fontId="29" fillId="24" borderId="271" applyNumberFormat="0" applyAlignment="0" applyProtection="0"/>
    <xf numFmtId="0" fontId="48" fillId="12" borderId="268" applyNumberFormat="0" applyAlignment="0" applyProtection="0"/>
    <xf numFmtId="0" fontId="8" fillId="10" borderId="269" applyNumberFormat="0" applyFont="0" applyAlignment="0" applyProtection="0"/>
    <xf numFmtId="0" fontId="25" fillId="13" borderId="268" applyNumberFormat="0" applyAlignment="0" applyProtection="0"/>
    <xf numFmtId="0" fontId="29" fillId="24" borderId="271" applyNumberFormat="0" applyAlignment="0" applyProtection="0"/>
    <xf numFmtId="0" fontId="8" fillId="10" borderId="269" applyNumberFormat="0" applyFont="0" applyAlignment="0" applyProtection="0"/>
    <xf numFmtId="0" fontId="31" fillId="0" borderId="273" applyNumberFormat="0" applyFill="0" applyAlignment="0" applyProtection="0"/>
    <xf numFmtId="0" fontId="31" fillId="0" borderId="267" applyNumberFormat="0" applyFill="0" applyAlignment="0" applyProtection="0"/>
    <xf numFmtId="0" fontId="31" fillId="0" borderId="267" applyNumberFormat="0" applyFill="0" applyAlignment="0" applyProtection="0"/>
    <xf numFmtId="0" fontId="48" fillId="24" borderId="268" applyNumberFormat="0" applyAlignment="0" applyProtection="0"/>
    <xf numFmtId="0" fontId="31" fillId="0" borderId="273" applyNumberFormat="0" applyFill="0" applyAlignment="0" applyProtection="0"/>
    <xf numFmtId="0" fontId="41" fillId="13" borderId="268" applyNumberFormat="0" applyAlignment="0" applyProtection="0"/>
    <xf numFmtId="0" fontId="31" fillId="0" borderId="272" applyNumberFormat="0" applyFill="0" applyAlignment="0" applyProtection="0"/>
    <xf numFmtId="0" fontId="16" fillId="24" borderId="268" applyNumberFormat="0" applyAlignment="0" applyProtection="0"/>
    <xf numFmtId="0" fontId="25" fillId="13" borderId="268" applyNumberFormat="0" applyAlignment="0" applyProtection="0"/>
    <xf numFmtId="0" fontId="29" fillId="24" borderId="271" applyNumberFormat="0" applyAlignment="0" applyProtection="0"/>
    <xf numFmtId="0" fontId="28" fillId="10" borderId="269" applyNumberFormat="0" applyFont="0" applyAlignment="0" applyProtection="0"/>
    <xf numFmtId="0" fontId="29" fillId="24" borderId="271" applyNumberFormat="0" applyAlignment="0" applyProtection="0"/>
    <xf numFmtId="0" fontId="8" fillId="10" borderId="269" applyNumberFormat="0" applyFont="0" applyAlignment="0" applyProtection="0"/>
    <xf numFmtId="0" fontId="28" fillId="0" borderId="275"/>
    <xf numFmtId="0" fontId="31" fillId="0" borderId="273" applyNumberFormat="0" applyFill="0" applyAlignment="0" applyProtection="0"/>
    <xf numFmtId="0" fontId="49" fillId="10" borderId="269" applyNumberFormat="0" applyFont="0" applyAlignment="0" applyProtection="0"/>
    <xf numFmtId="0" fontId="48" fillId="12" borderId="268" applyNumberFormat="0" applyAlignment="0" applyProtection="0"/>
    <xf numFmtId="0" fontId="31" fillId="0" borderId="273" applyNumberFormat="0" applyFill="0" applyAlignment="0" applyProtection="0"/>
    <xf numFmtId="0" fontId="31" fillId="0" borderId="272" applyNumberFormat="0" applyFill="0" applyAlignment="0" applyProtection="0"/>
    <xf numFmtId="0" fontId="49" fillId="10" borderId="315" applyNumberFormat="0" applyFont="0" applyAlignment="0" applyProtection="0"/>
    <xf numFmtId="0" fontId="31" fillId="0" borderId="318" applyNumberFormat="0" applyFill="0" applyAlignment="0" applyProtection="0"/>
    <xf numFmtId="0" fontId="31" fillId="0" borderId="319" applyNumberFormat="0" applyFill="0" applyAlignment="0" applyProtection="0"/>
    <xf numFmtId="0" fontId="25" fillId="13" borderId="291" applyNumberFormat="0" applyAlignment="0" applyProtection="0"/>
    <xf numFmtId="0" fontId="31" fillId="0" borderId="295" applyNumberFormat="0" applyFill="0" applyAlignment="0" applyProtection="0"/>
    <xf numFmtId="0" fontId="8" fillId="10" borderId="244" applyNumberFormat="0" applyFont="0" applyAlignment="0" applyProtection="0"/>
    <xf numFmtId="0" fontId="25" fillId="13" borderId="261" applyNumberFormat="0" applyAlignment="0" applyProtection="0"/>
    <xf numFmtId="0" fontId="48" fillId="12" borderId="314" applyNumberFormat="0" applyAlignment="0" applyProtection="0"/>
    <xf numFmtId="0" fontId="41" fillId="13" borderId="314" applyNumberFormat="0" applyAlignment="0" applyProtection="0"/>
    <xf numFmtId="0" fontId="31" fillId="0" borderId="240" applyNumberFormat="0" applyFill="0" applyAlignment="0" applyProtection="0"/>
    <xf numFmtId="0" fontId="84" fillId="0" borderId="234"/>
    <xf numFmtId="0" fontId="25" fillId="8" borderId="237" applyNumberFormat="0" applyAlignment="0" applyProtection="0"/>
    <xf numFmtId="0" fontId="72" fillId="0" borderId="242" applyBorder="0">
      <alignment horizontal="center" vertical="center" wrapText="1"/>
    </xf>
    <xf numFmtId="0" fontId="41" fillId="13" borderId="237" applyNumberFormat="0" applyAlignment="0" applyProtection="0"/>
    <xf numFmtId="0" fontId="49" fillId="10" borderId="238" applyNumberFormat="0" applyFont="0" applyAlignment="0" applyProtection="0"/>
    <xf numFmtId="0" fontId="48" fillId="24" borderId="291" applyNumberFormat="0" applyAlignment="0" applyProtection="0"/>
    <xf numFmtId="0" fontId="16" fillId="24" borderId="237" applyNumberFormat="0" applyAlignment="0" applyProtection="0"/>
    <xf numFmtId="0" fontId="25" fillId="13" borderId="237" applyNumberFormat="0" applyAlignment="0" applyProtection="0"/>
    <xf numFmtId="0" fontId="18" fillId="10" borderId="238" applyNumberFormat="0" applyFont="0" applyAlignment="0" applyProtection="0"/>
    <xf numFmtId="0" fontId="48" fillId="12" borderId="237" applyNumberFormat="0" applyAlignment="0" applyProtection="0"/>
    <xf numFmtId="0" fontId="16" fillId="24" borderId="237" applyNumberFormat="0" applyAlignment="0" applyProtection="0"/>
    <xf numFmtId="0" fontId="41" fillId="13" borderId="237" applyNumberFormat="0" applyAlignment="0" applyProtection="0"/>
    <xf numFmtId="0" fontId="8" fillId="10" borderId="238" applyNumberFormat="0" applyFont="0" applyAlignment="0" applyProtection="0"/>
    <xf numFmtId="0" fontId="48" fillId="24" borderId="237" applyNumberFormat="0" applyAlignment="0" applyProtection="0"/>
    <xf numFmtId="0" fontId="16" fillId="24" borderId="237" applyNumberFormat="0" applyAlignment="0" applyProtection="0"/>
    <xf numFmtId="0" fontId="41" fillId="13" borderId="237" applyNumberFormat="0" applyAlignment="0" applyProtection="0"/>
    <xf numFmtId="0" fontId="8" fillId="10" borderId="238" applyNumberFormat="0" applyFont="0" applyAlignment="0" applyProtection="0"/>
    <xf numFmtId="0" fontId="84" fillId="73" borderId="298"/>
    <xf numFmtId="0" fontId="32" fillId="24" borderId="237" applyNumberFormat="0" applyAlignment="0" applyProtection="0"/>
    <xf numFmtId="0" fontId="41" fillId="13" borderId="237" applyNumberFormat="0" applyAlignment="0" applyProtection="0"/>
    <xf numFmtId="0" fontId="28" fillId="10" borderId="238" applyNumberFormat="0" applyFont="0" applyAlignment="0" applyProtection="0"/>
    <xf numFmtId="0" fontId="24" fillId="24" borderId="245" applyNumberFormat="0" applyAlignment="0" applyProtection="0"/>
    <xf numFmtId="0" fontId="31" fillId="0" borderId="319" applyNumberFormat="0" applyFill="0" applyAlignment="0" applyProtection="0"/>
    <xf numFmtId="0" fontId="31" fillId="0" borderId="319" applyNumberFormat="0" applyFill="0" applyAlignment="0" applyProtection="0"/>
    <xf numFmtId="0" fontId="31" fillId="0" borderId="273" applyNumberFormat="0" applyFill="0" applyAlignment="0" applyProtection="0"/>
    <xf numFmtId="0" fontId="72" fillId="0" borderId="311" applyBorder="0">
      <alignment horizontal="center" vertical="center" wrapText="1"/>
    </xf>
    <xf numFmtId="0" fontId="18" fillId="10" borderId="315" applyNumberFormat="0" applyFont="0" applyAlignment="0" applyProtection="0"/>
    <xf numFmtId="0" fontId="8" fillId="10" borderId="315" applyNumberFormat="0" applyFont="0" applyAlignment="0" applyProtection="0"/>
    <xf numFmtId="0" fontId="28" fillId="0" borderId="298"/>
    <xf numFmtId="0" fontId="16" fillId="24" borderId="291" applyNumberFormat="0" applyAlignment="0" applyProtection="0"/>
    <xf numFmtId="0" fontId="31" fillId="0" borderId="290" applyNumberFormat="0" applyFill="0" applyAlignment="0" applyProtection="0"/>
    <xf numFmtId="0" fontId="31" fillId="0" borderId="290" applyNumberFormat="0" applyFill="0" applyAlignment="0" applyProtection="0"/>
    <xf numFmtId="0" fontId="31" fillId="0" borderId="296" applyNumberFormat="0" applyFill="0" applyAlignment="0" applyProtection="0"/>
    <xf numFmtId="0" fontId="29" fillId="24" borderId="294" applyNumberFormat="0" applyAlignment="0" applyProtection="0"/>
    <xf numFmtId="0" fontId="49" fillId="10" borderId="292" applyNumberFormat="0" applyFont="0" applyAlignment="0" applyProtection="0"/>
    <xf numFmtId="0" fontId="28" fillId="10" borderId="315" applyNumberFormat="0" applyFont="0" applyAlignment="0" applyProtection="0"/>
    <xf numFmtId="0" fontId="28" fillId="10" borderId="292" applyNumberFormat="0" applyFont="0" applyAlignment="0" applyProtection="0"/>
    <xf numFmtId="0" fontId="25" fillId="8" borderId="314" applyNumberFormat="0" applyAlignment="0" applyProtection="0"/>
    <xf numFmtId="0" fontId="31" fillId="0" borderId="319" applyNumberFormat="0" applyFill="0" applyAlignment="0" applyProtection="0"/>
    <xf numFmtId="0" fontId="8" fillId="10" borderId="315" applyNumberFormat="0" applyFont="0" applyAlignment="0" applyProtection="0"/>
    <xf numFmtId="0" fontId="31" fillId="0" borderId="319" applyNumberFormat="0" applyFill="0" applyAlignment="0" applyProtection="0"/>
    <xf numFmtId="0" fontId="84" fillId="0" borderId="321"/>
    <xf numFmtId="0" fontId="28" fillId="10" borderId="324" applyNumberFormat="0" applyFont="0" applyAlignment="0" applyProtection="0"/>
    <xf numFmtId="0" fontId="31" fillId="0" borderId="290" applyNumberFormat="0" applyFill="0" applyAlignment="0" applyProtection="0"/>
    <xf numFmtId="0" fontId="29" fillId="24" borderId="317" applyNumberFormat="0" applyAlignment="0" applyProtection="0"/>
    <xf numFmtId="0" fontId="31" fillId="0" borderId="273" applyNumberFormat="0" applyFill="0" applyAlignment="0" applyProtection="0"/>
    <xf numFmtId="0" fontId="25" fillId="8" borderId="314" applyNumberFormat="0" applyAlignment="0" applyProtection="0"/>
    <xf numFmtId="0" fontId="28" fillId="0" borderId="321"/>
    <xf numFmtId="0" fontId="31" fillId="0" borderId="318" applyNumberFormat="0" applyFill="0" applyAlignment="0" applyProtection="0"/>
    <xf numFmtId="0" fontId="29" fillId="24" borderId="317" applyNumberFormat="0" applyAlignment="0" applyProtection="0"/>
    <xf numFmtId="0" fontId="28" fillId="0" borderId="321"/>
    <xf numFmtId="0" fontId="72" fillId="0" borderId="288" applyBorder="0">
      <alignment horizontal="center" vertical="center" wrapText="1"/>
    </xf>
    <xf numFmtId="0" fontId="31" fillId="0" borderId="289" applyNumberFormat="0" applyFill="0" applyAlignment="0" applyProtection="0"/>
    <xf numFmtId="0" fontId="48" fillId="24" borderId="291" applyNumberFormat="0" applyAlignment="0" applyProtection="0"/>
    <xf numFmtId="0" fontId="49" fillId="10" borderId="292" applyNumberFormat="0" applyFont="0" applyAlignment="0" applyProtection="0"/>
    <xf numFmtId="0" fontId="29" fillId="24" borderId="294" applyNumberFormat="0" applyAlignment="0" applyProtection="0"/>
    <xf numFmtId="0" fontId="8" fillId="10" borderId="292" applyNumberFormat="0" applyFont="0" applyAlignment="0" applyProtection="0"/>
    <xf numFmtId="0" fontId="25" fillId="8" borderId="291" applyNumberFormat="0" applyAlignment="0" applyProtection="0"/>
    <xf numFmtId="0" fontId="41" fillId="13" borderId="284" applyNumberFormat="0" applyAlignment="0" applyProtection="0"/>
    <xf numFmtId="0" fontId="16" fillId="24" borderId="307" applyNumberFormat="0" applyAlignment="0" applyProtection="0"/>
    <xf numFmtId="0" fontId="29" fillId="24" borderId="317" applyNumberFormat="0" applyAlignment="0" applyProtection="0"/>
    <xf numFmtId="0" fontId="31" fillId="0" borderId="313" applyNumberFormat="0" applyFill="0" applyAlignment="0" applyProtection="0"/>
    <xf numFmtId="0" fontId="31" fillId="0" borderId="313" applyNumberFormat="0" applyFill="0" applyAlignment="0" applyProtection="0"/>
    <xf numFmtId="0" fontId="32" fillId="24" borderId="314" applyNumberFormat="0" applyAlignment="0" applyProtection="0"/>
    <xf numFmtId="0" fontId="16" fillId="24" borderId="254" applyNumberFormat="0" applyAlignment="0" applyProtection="0"/>
    <xf numFmtId="0" fontId="8" fillId="45" borderId="253" applyNumberFormat="0" applyFont="0" applyAlignment="0" applyProtection="0"/>
    <xf numFmtId="0" fontId="31" fillId="0" borderId="249" applyNumberFormat="0" applyFill="0" applyAlignment="0" applyProtection="0"/>
    <xf numFmtId="0" fontId="29" fillId="24" borderId="250" applyNumberFormat="0" applyAlignment="0" applyProtection="0"/>
    <xf numFmtId="0" fontId="31" fillId="0" borderId="251" applyNumberFormat="0" applyFill="0" applyAlignment="0" applyProtection="0"/>
    <xf numFmtId="0" fontId="28" fillId="10" borderId="244" applyNumberFormat="0" applyFont="0" applyAlignment="0" applyProtection="0"/>
    <xf numFmtId="0" fontId="31" fillId="0" borderId="249" applyNumberFormat="0" applyFill="0" applyAlignment="0" applyProtection="0"/>
    <xf numFmtId="0" fontId="31" fillId="0" borderId="252" applyNumberFormat="0" applyFill="0" applyAlignment="0" applyProtection="0"/>
    <xf numFmtId="0" fontId="31" fillId="0" borderId="246" applyNumberFormat="0" applyFill="0" applyAlignment="0" applyProtection="0"/>
    <xf numFmtId="0" fontId="29" fillId="24" borderId="250" applyNumberFormat="0" applyAlignment="0" applyProtection="0"/>
    <xf numFmtId="0" fontId="31" fillId="0" borderId="249" applyNumberFormat="0" applyFill="0" applyAlignment="0" applyProtection="0"/>
    <xf numFmtId="0" fontId="31" fillId="0" borderId="252" applyNumberFormat="0" applyFill="0" applyAlignment="0" applyProtection="0"/>
    <xf numFmtId="0" fontId="29" fillId="12" borderId="250" applyNumberFormat="0" applyAlignment="0" applyProtection="0"/>
    <xf numFmtId="0" fontId="8" fillId="10" borderId="315" applyNumberFormat="0" applyFont="0" applyAlignment="0" applyProtection="0"/>
    <xf numFmtId="0" fontId="8" fillId="45" borderId="253" applyNumberFormat="0" applyFont="0" applyAlignment="0" applyProtection="0"/>
    <xf numFmtId="0" fontId="25" fillId="8" borderId="314" applyNumberFormat="0" applyAlignment="0" applyProtection="0"/>
    <xf numFmtId="0" fontId="31" fillId="0" borderId="303" applyNumberFormat="0" applyFill="0" applyAlignment="0" applyProtection="0"/>
    <xf numFmtId="0" fontId="28" fillId="10" borderId="301" applyNumberFormat="0" applyFont="0" applyAlignment="0" applyProtection="0"/>
    <xf numFmtId="0" fontId="16" fillId="24" borderId="300" applyNumberFormat="0" applyAlignment="0" applyProtection="0"/>
    <xf numFmtId="0" fontId="48" fillId="12" borderId="291" applyNumberFormat="0" applyAlignment="0" applyProtection="0"/>
    <xf numFmtId="0" fontId="48" fillId="12" borderId="291" applyNumberFormat="0" applyAlignment="0" applyProtection="0"/>
    <xf numFmtId="0" fontId="28" fillId="10" borderId="292" applyNumberFormat="0" applyFont="0" applyAlignment="0" applyProtection="0"/>
    <xf numFmtId="0" fontId="28" fillId="0" borderId="298"/>
    <xf numFmtId="0" fontId="25" fillId="13" borderId="291" applyNumberFormat="0" applyAlignment="0" applyProtection="0"/>
    <xf numFmtId="0" fontId="25" fillId="13" borderId="291" applyNumberFormat="0" applyAlignment="0" applyProtection="0"/>
    <xf numFmtId="0" fontId="25" fillId="13" borderId="291" applyNumberFormat="0" applyAlignment="0" applyProtection="0"/>
    <xf numFmtId="0" fontId="31" fillId="0" borderId="272" applyNumberFormat="0" applyFill="0" applyAlignment="0" applyProtection="0"/>
    <xf numFmtId="0" fontId="31" fillId="0" borderId="290" applyNumberFormat="0" applyFill="0" applyAlignment="0" applyProtection="0"/>
    <xf numFmtId="0" fontId="18" fillId="10" borderId="292" applyNumberFormat="0" applyFont="0" applyAlignment="0" applyProtection="0"/>
    <xf numFmtId="0" fontId="24" fillId="24" borderId="286" applyNumberFormat="0" applyAlignment="0" applyProtection="0"/>
    <xf numFmtId="0" fontId="16" fillId="24" borderId="314" applyNumberFormat="0" applyAlignment="0" applyProtection="0"/>
    <xf numFmtId="0" fontId="48" fillId="24" borderId="300" applyNumberFormat="0" applyAlignment="0" applyProtection="0"/>
    <xf numFmtId="0" fontId="49" fillId="10" borderId="292" applyNumberFormat="0" applyFont="0" applyAlignment="0" applyProtection="0"/>
    <xf numFmtId="0" fontId="25" fillId="13" borderId="291" applyNumberFormat="0" applyAlignment="0" applyProtection="0"/>
    <xf numFmtId="0" fontId="41" fillId="13" borderId="291" applyNumberFormat="0" applyAlignment="0" applyProtection="0"/>
    <xf numFmtId="0" fontId="31" fillId="0" borderId="289" applyNumberFormat="0" applyFill="0" applyAlignment="0" applyProtection="0"/>
    <xf numFmtId="0" fontId="16" fillId="24" borderId="314" applyNumberFormat="0" applyAlignment="0" applyProtection="0"/>
    <xf numFmtId="0" fontId="31" fillId="0" borderId="266" applyNumberFormat="0" applyFill="0" applyAlignment="0" applyProtection="0"/>
    <xf numFmtId="0" fontId="48" fillId="24" borderId="268" applyNumberFormat="0" applyAlignment="0" applyProtection="0"/>
    <xf numFmtId="0" fontId="48" fillId="24" borderId="268" applyNumberFormat="0" applyAlignment="0" applyProtection="0"/>
    <xf numFmtId="0" fontId="8" fillId="10" borderId="315" applyNumberFormat="0" applyFont="0" applyAlignment="0" applyProtection="0"/>
    <xf numFmtId="0" fontId="25" fillId="13" borderId="314" applyNumberFormat="0" applyAlignment="0" applyProtection="0"/>
    <xf numFmtId="0" fontId="49" fillId="10" borderId="315" applyNumberFormat="0" applyFont="0" applyAlignment="0" applyProtection="0"/>
    <xf numFmtId="0" fontId="48" fillId="12" borderId="291" applyNumberFormat="0" applyAlignment="0" applyProtection="0"/>
    <xf numFmtId="0" fontId="8" fillId="10" borderId="292" applyNumberFormat="0" applyFont="0" applyAlignment="0" applyProtection="0"/>
    <xf numFmtId="0" fontId="8" fillId="10" borderId="292" applyNumberFormat="0" applyFont="0" applyAlignment="0" applyProtection="0"/>
    <xf numFmtId="0" fontId="25" fillId="13" borderId="284" applyNumberFormat="0" applyAlignment="0" applyProtection="0"/>
    <xf numFmtId="0" fontId="31" fillId="0" borderId="312" applyNumberFormat="0" applyFill="0" applyAlignment="0" applyProtection="0"/>
    <xf numFmtId="0" fontId="16" fillId="24" borderId="291" applyNumberFormat="0" applyAlignment="0" applyProtection="0"/>
    <xf numFmtId="0" fontId="25" fillId="8" borderId="291" applyNumberFormat="0" applyAlignment="0" applyProtection="0"/>
    <xf numFmtId="0" fontId="41" fillId="13" borderId="314" applyNumberFormat="0" applyAlignment="0" applyProtection="0"/>
    <xf numFmtId="0" fontId="32" fillId="24" borderId="314" applyNumberFormat="0" applyAlignment="0" applyProtection="0"/>
    <xf numFmtId="0" fontId="48" fillId="12" borderId="314" applyNumberFormat="0" applyAlignment="0" applyProtection="0"/>
    <xf numFmtId="0" fontId="16" fillId="24" borderId="314" applyNumberFormat="0" applyAlignment="0" applyProtection="0"/>
    <xf numFmtId="0" fontId="29" fillId="12" borderId="317" applyNumberFormat="0" applyAlignment="0" applyProtection="0"/>
    <xf numFmtId="0" fontId="28" fillId="10" borderId="315" applyNumberFormat="0" applyFont="0" applyAlignment="0" applyProtection="0"/>
    <xf numFmtId="0" fontId="49" fillId="10" borderId="269" applyNumberFormat="0" applyFont="0" applyAlignment="0" applyProtection="0"/>
    <xf numFmtId="0" fontId="31" fillId="0" borderId="267" applyNumberFormat="0" applyFill="0" applyAlignment="0" applyProtection="0"/>
    <xf numFmtId="0" fontId="8" fillId="45" borderId="322" applyNumberFormat="0" applyFont="0" applyAlignment="0" applyProtection="0"/>
    <xf numFmtId="0" fontId="24" fillId="24" borderId="316" applyNumberFormat="0" applyAlignment="0" applyProtection="0"/>
    <xf numFmtId="0" fontId="28" fillId="0" borderId="321"/>
    <xf numFmtId="0" fontId="72" fillId="0" borderId="297" applyBorder="0">
      <alignment horizontal="center" vertical="center" wrapText="1"/>
    </xf>
    <xf numFmtId="0" fontId="31" fillId="0" borderId="290" applyNumberFormat="0" applyFill="0" applyAlignment="0" applyProtection="0"/>
    <xf numFmtId="0" fontId="48" fillId="24" borderId="291" applyNumberFormat="0" applyAlignment="0" applyProtection="0"/>
    <xf numFmtId="0" fontId="84" fillId="0" borderId="321"/>
    <xf numFmtId="0" fontId="31" fillId="0" borderId="319" applyNumberFormat="0" applyFill="0" applyAlignment="0" applyProtection="0"/>
    <xf numFmtId="0" fontId="28" fillId="0" borderId="275"/>
    <xf numFmtId="0" fontId="49" fillId="10" borderId="292" applyNumberFormat="0" applyFont="0" applyAlignment="0" applyProtection="0"/>
    <xf numFmtId="0" fontId="28" fillId="0" borderId="247"/>
    <xf numFmtId="0" fontId="31" fillId="0" borderId="246" applyNumberFormat="0" applyFill="0" applyAlignment="0" applyProtection="0"/>
    <xf numFmtId="0" fontId="31" fillId="0" borderId="246" applyNumberFormat="0" applyFill="0" applyAlignment="0" applyProtection="0"/>
    <xf numFmtId="0" fontId="8" fillId="10" borderId="244" applyNumberFormat="0" applyFont="0" applyAlignment="0" applyProtection="0"/>
    <xf numFmtId="0" fontId="29" fillId="24" borderId="250" applyNumberFormat="0" applyAlignment="0" applyProtection="0"/>
    <xf numFmtId="0" fontId="28" fillId="10" borderId="244" applyNumberFormat="0" applyFont="0" applyAlignment="0" applyProtection="0"/>
    <xf numFmtId="0" fontId="24" fillId="24" borderId="245" applyNumberFormat="0" applyAlignment="0" applyProtection="0"/>
    <xf numFmtId="0" fontId="31" fillId="0" borderId="249" applyNumberFormat="0" applyFill="0" applyAlignment="0" applyProtection="0"/>
    <xf numFmtId="0" fontId="8" fillId="10" borderId="244" applyNumberFormat="0" applyFont="0" applyAlignment="0" applyProtection="0"/>
    <xf numFmtId="0" fontId="84" fillId="0" borderId="247"/>
    <xf numFmtId="0" fontId="28" fillId="10" borderId="244" applyNumberFormat="0" applyFont="0" applyAlignment="0" applyProtection="0"/>
    <xf numFmtId="0" fontId="31" fillId="0" borderId="249" applyNumberFormat="0" applyFill="0" applyAlignment="0" applyProtection="0"/>
    <xf numFmtId="0" fontId="8" fillId="10" borderId="244" applyNumberFormat="0" applyFont="0" applyAlignment="0" applyProtection="0"/>
    <xf numFmtId="0" fontId="31" fillId="0" borderId="249" applyNumberFormat="0" applyFill="0" applyAlignment="0" applyProtection="0"/>
    <xf numFmtId="0" fontId="29" fillId="12" borderId="317" applyNumberFormat="0" applyAlignment="0" applyProtection="0"/>
    <xf numFmtId="0" fontId="48" fillId="24" borderId="291" applyNumberFormat="0" applyAlignment="0" applyProtection="0"/>
    <xf numFmtId="0" fontId="24" fillId="24" borderId="232" applyNumberFormat="0" applyAlignment="0" applyProtection="0"/>
    <xf numFmtId="0" fontId="28" fillId="10" borderId="231" applyNumberFormat="0" applyFont="0" applyAlignment="0" applyProtection="0"/>
    <xf numFmtId="0" fontId="28" fillId="10" borderId="231" applyNumberFormat="0" applyFont="0" applyAlignment="0" applyProtection="0"/>
    <xf numFmtId="0" fontId="18" fillId="10" borderId="231" applyNumberFormat="0" applyFont="0" applyAlignment="0" applyProtection="0"/>
    <xf numFmtId="0" fontId="28" fillId="10" borderId="238" applyNumberFormat="0" applyFont="0" applyAlignment="0" applyProtection="0"/>
    <xf numFmtId="0" fontId="25" fillId="13" borderId="230" applyNumberFormat="0" applyAlignment="0" applyProtection="0"/>
    <xf numFmtId="0" fontId="48" fillId="24" borderId="230" applyNumberFormat="0" applyAlignment="0" applyProtection="0"/>
    <xf numFmtId="0" fontId="48" fillId="12" borderId="221" applyNumberFormat="0" applyAlignment="0" applyProtection="0"/>
    <xf numFmtId="0" fontId="84" fillId="0" borderId="218"/>
    <xf numFmtId="0" fontId="28" fillId="0" borderId="218"/>
    <xf numFmtId="0" fontId="49" fillId="10" borderId="222" applyNumberFormat="0" applyFont="0" applyAlignment="0" applyProtection="0"/>
    <xf numFmtId="0" fontId="31" fillId="0" borderId="219" applyNumberFormat="0" applyFill="0" applyAlignment="0" applyProtection="0"/>
    <xf numFmtId="0" fontId="29" fillId="12" borderId="220" applyNumberFormat="0" applyAlignment="0" applyProtection="0"/>
    <xf numFmtId="0" fontId="84" fillId="0" borderId="218"/>
    <xf numFmtId="0" fontId="31" fillId="0" borderId="224" applyNumberFormat="0" applyFill="0" applyAlignment="0" applyProtection="0"/>
    <xf numFmtId="0" fontId="28" fillId="0" borderId="218"/>
    <xf numFmtId="0" fontId="49" fillId="10" borderId="222" applyNumberFormat="0" applyFont="0" applyAlignment="0" applyProtection="0"/>
    <xf numFmtId="0" fontId="31" fillId="0" borderId="224" applyNumberFormat="0" applyFill="0" applyAlignment="0" applyProtection="0"/>
    <xf numFmtId="0" fontId="16" fillId="24" borderId="221" applyNumberFormat="0" applyAlignment="0" applyProtection="0"/>
    <xf numFmtId="0" fontId="16" fillId="24" borderId="221" applyNumberFormat="0" applyAlignment="0" applyProtection="0"/>
    <xf numFmtId="0" fontId="31" fillId="0" borderId="219" applyNumberFormat="0" applyFill="0" applyAlignment="0" applyProtection="0"/>
    <xf numFmtId="0" fontId="48" fillId="12" borderId="221" applyNumberFormat="0" applyAlignment="0" applyProtection="0"/>
    <xf numFmtId="0" fontId="72" fillId="0" borderId="225" applyBorder="0">
      <alignment horizontal="center" vertical="center" wrapText="1"/>
    </xf>
    <xf numFmtId="0" fontId="48" fillId="12" borderId="221" applyNumberFormat="0" applyAlignment="0" applyProtection="0"/>
    <xf numFmtId="0" fontId="41" fillId="13" borderId="221" applyNumberFormat="0" applyAlignment="0" applyProtection="0"/>
    <xf numFmtId="0" fontId="31" fillId="0" borderId="219" applyNumberFormat="0" applyFill="0" applyAlignment="0" applyProtection="0"/>
    <xf numFmtId="0" fontId="41" fillId="13" borderId="221" applyNumberFormat="0" applyAlignment="0" applyProtection="0"/>
    <xf numFmtId="0" fontId="72" fillId="0" borderId="228" applyBorder="0">
      <alignment horizontal="center" vertical="center" wrapText="1"/>
    </xf>
    <xf numFmtId="0" fontId="29" fillId="24" borderId="220" applyNumberFormat="0" applyAlignment="0" applyProtection="0"/>
    <xf numFmtId="0" fontId="31" fillId="0" borderId="227" applyNumberFormat="0" applyFill="0" applyAlignment="0" applyProtection="0"/>
    <xf numFmtId="0" fontId="72" fillId="0" borderId="225" applyBorder="0">
      <alignment horizontal="center" vertical="center" wrapText="1"/>
    </xf>
    <xf numFmtId="0" fontId="24" fillId="24" borderId="223" applyNumberFormat="0" applyAlignment="0" applyProtection="0"/>
    <xf numFmtId="0" fontId="29" fillId="24" borderId="220" applyNumberFormat="0" applyAlignment="0" applyProtection="0"/>
    <xf numFmtId="0" fontId="24" fillId="24" borderId="223" applyNumberFormat="0" applyAlignment="0" applyProtection="0"/>
    <xf numFmtId="0" fontId="28" fillId="10" borderId="222" applyNumberFormat="0" applyFont="0" applyAlignment="0" applyProtection="0"/>
    <xf numFmtId="0" fontId="25" fillId="13" borderId="221" applyNumberFormat="0" applyAlignment="0" applyProtection="0"/>
    <xf numFmtId="0" fontId="25" fillId="13" borderId="221" applyNumberFormat="0" applyAlignment="0" applyProtection="0"/>
    <xf numFmtId="0" fontId="48" fillId="24" borderId="221" applyNumberFormat="0" applyAlignment="0" applyProtection="0"/>
    <xf numFmtId="0" fontId="31" fillId="0" borderId="227" applyNumberFormat="0" applyFill="0" applyAlignment="0" applyProtection="0"/>
    <xf numFmtId="0" fontId="29" fillId="24" borderId="220" applyNumberFormat="0" applyAlignment="0" applyProtection="0"/>
    <xf numFmtId="0" fontId="24" fillId="24" borderId="223" applyNumberFormat="0" applyAlignment="0" applyProtection="0"/>
    <xf numFmtId="0" fontId="28" fillId="10" borderId="222" applyNumberFormat="0" applyFont="0" applyAlignment="0" applyProtection="0"/>
    <xf numFmtId="0" fontId="18" fillId="10" borderId="222" applyNumberFormat="0" applyFont="0" applyAlignment="0" applyProtection="0"/>
    <xf numFmtId="0" fontId="16" fillId="24" borderId="221" applyNumberFormat="0" applyAlignment="0" applyProtection="0"/>
    <xf numFmtId="0" fontId="32" fillId="24" borderId="221" applyNumberFormat="0" applyAlignment="0" applyProtection="0"/>
    <xf numFmtId="0" fontId="31" fillId="0" borderId="219" applyNumberFormat="0" applyFill="0" applyAlignment="0" applyProtection="0"/>
    <xf numFmtId="0" fontId="29" fillId="12" borderId="220" applyNumberFormat="0" applyAlignment="0" applyProtection="0"/>
    <xf numFmtId="0" fontId="49" fillId="10" borderId="222" applyNumberFormat="0" applyFont="0" applyAlignment="0" applyProtection="0"/>
    <xf numFmtId="0" fontId="8" fillId="10" borderId="222" applyNumberFormat="0" applyFont="0" applyAlignment="0" applyProtection="0"/>
    <xf numFmtId="0" fontId="48" fillId="12" borderId="221" applyNumberFormat="0" applyAlignment="0" applyProtection="0"/>
    <xf numFmtId="0" fontId="31" fillId="0" borderId="219" applyNumberFormat="0" applyFill="0" applyAlignment="0" applyProtection="0"/>
    <xf numFmtId="0" fontId="31" fillId="0" borderId="227" applyNumberFormat="0" applyFill="0" applyAlignment="0" applyProtection="0"/>
    <xf numFmtId="0" fontId="31" fillId="0" borderId="226" applyNumberFormat="0" applyFill="0" applyAlignment="0" applyProtection="0"/>
    <xf numFmtId="0" fontId="8" fillId="10" borderId="222" applyNumberFormat="0" applyFont="0" applyAlignment="0" applyProtection="0"/>
    <xf numFmtId="0" fontId="48" fillId="24" borderId="221" applyNumberFormat="0" applyAlignment="0" applyProtection="0"/>
    <xf numFmtId="0" fontId="31" fillId="0" borderId="227" applyNumberFormat="0" applyFill="0" applyAlignment="0" applyProtection="0"/>
    <xf numFmtId="0" fontId="31" fillId="0" borderId="227" applyNumberFormat="0" applyFill="0" applyAlignment="0" applyProtection="0"/>
    <xf numFmtId="0" fontId="24" fillId="24" borderId="223" applyNumberFormat="0" applyAlignment="0" applyProtection="0"/>
    <xf numFmtId="0" fontId="32" fillId="24" borderId="221" applyNumberFormat="0" applyAlignment="0" applyProtection="0"/>
    <xf numFmtId="0" fontId="31" fillId="0" borderId="227" applyNumberFormat="0" applyFill="0" applyAlignment="0" applyProtection="0"/>
    <xf numFmtId="0" fontId="31" fillId="0" borderId="219" applyNumberFormat="0" applyFill="0" applyAlignment="0" applyProtection="0"/>
    <xf numFmtId="0" fontId="48" fillId="12" borderId="221" applyNumberFormat="0" applyAlignment="0" applyProtection="0"/>
    <xf numFmtId="0" fontId="31" fillId="0" borderId="224" applyNumberFormat="0" applyFill="0" applyAlignment="0" applyProtection="0"/>
    <xf numFmtId="0" fontId="28" fillId="0" borderId="218"/>
    <xf numFmtId="0" fontId="8" fillId="10" borderId="222" applyNumberFormat="0" applyFont="0" applyAlignment="0" applyProtection="0"/>
    <xf numFmtId="0" fontId="48" fillId="24" borderId="221" applyNumberFormat="0" applyAlignment="0" applyProtection="0"/>
    <xf numFmtId="0" fontId="31" fillId="0" borderId="227" applyNumberFormat="0" applyFill="0" applyAlignment="0" applyProtection="0"/>
    <xf numFmtId="0" fontId="29" fillId="24" borderId="220" applyNumberFormat="0" applyAlignment="0" applyProtection="0"/>
    <xf numFmtId="0" fontId="8" fillId="10" borderId="222" applyNumberFormat="0" applyFont="0" applyAlignment="0" applyProtection="0"/>
    <xf numFmtId="0" fontId="28" fillId="10" borderId="222" applyNumberFormat="0" applyFont="0" applyAlignment="0" applyProtection="0"/>
    <xf numFmtId="0" fontId="25" fillId="13" borderId="221" applyNumberFormat="0" applyAlignment="0" applyProtection="0"/>
    <xf numFmtId="0" fontId="16" fillId="24" borderId="221" applyNumberFormat="0" applyAlignment="0" applyProtection="0"/>
    <xf numFmtId="0" fontId="16" fillId="24" borderId="221" applyNumberFormat="0" applyAlignment="0" applyProtection="0"/>
    <xf numFmtId="0" fontId="31" fillId="0" borderId="224" applyNumberFormat="0" applyFill="0" applyAlignment="0" applyProtection="0"/>
    <xf numFmtId="0" fontId="24" fillId="24" borderId="223" applyNumberFormat="0" applyAlignment="0" applyProtection="0"/>
    <xf numFmtId="0" fontId="49" fillId="10" borderId="222" applyNumberFormat="0" applyFont="0" applyAlignment="0" applyProtection="0"/>
    <xf numFmtId="0" fontId="25" fillId="8" borderId="221" applyNumberFormat="0" applyAlignment="0" applyProtection="0"/>
    <xf numFmtId="0" fontId="48" fillId="12" borderId="221" applyNumberFormat="0" applyAlignment="0" applyProtection="0"/>
    <xf numFmtId="0" fontId="48" fillId="24" borderId="221" applyNumberFormat="0" applyAlignment="0" applyProtection="0"/>
    <xf numFmtId="0" fontId="29" fillId="24" borderId="220" applyNumberFormat="0" applyAlignment="0" applyProtection="0"/>
    <xf numFmtId="0" fontId="29" fillId="12" borderId="220" applyNumberFormat="0" applyAlignment="0" applyProtection="0"/>
    <xf numFmtId="0" fontId="31" fillId="0" borderId="219" applyNumberFormat="0" applyFill="0" applyAlignment="0" applyProtection="0"/>
    <xf numFmtId="0" fontId="48" fillId="12" borderId="221" applyNumberFormat="0" applyAlignment="0" applyProtection="0"/>
    <xf numFmtId="0" fontId="84" fillId="0" borderId="218"/>
    <xf numFmtId="0" fontId="31" fillId="0" borderId="224" applyNumberFormat="0" applyFill="0" applyAlignment="0" applyProtection="0"/>
    <xf numFmtId="0" fontId="28" fillId="0" borderId="218"/>
    <xf numFmtId="0" fontId="25" fillId="13" borderId="261" applyNumberFormat="0" applyAlignment="0" applyProtection="0"/>
    <xf numFmtId="0" fontId="8" fillId="45" borderId="229" applyNumberFormat="0" applyFont="0" applyAlignment="0" applyProtection="0"/>
    <xf numFmtId="0" fontId="8" fillId="10" borderId="222" applyNumberFormat="0" applyFont="0" applyAlignment="0" applyProtection="0"/>
    <xf numFmtId="0" fontId="28" fillId="0" borderId="321"/>
    <xf numFmtId="0" fontId="84" fillId="73" borderId="298"/>
    <xf numFmtId="0" fontId="32" fillId="24" borderId="314" applyNumberFormat="0" applyAlignment="0" applyProtection="0"/>
    <xf numFmtId="0" fontId="25" fillId="13" borderId="254" applyNumberFormat="0" applyAlignment="0" applyProtection="0"/>
    <xf numFmtId="0" fontId="29" fillId="12" borderId="250" applyNumberFormat="0" applyAlignment="0" applyProtection="0"/>
    <xf numFmtId="0" fontId="31" fillId="0" borderId="252" applyNumberFormat="0" applyFill="0" applyAlignment="0" applyProtection="0"/>
    <xf numFmtId="0" fontId="31" fillId="0" borderId="246" applyNumberFormat="0" applyFill="0" applyAlignment="0" applyProtection="0"/>
    <xf numFmtId="0" fontId="41" fillId="13" borderId="237" applyNumberFormat="0" applyAlignment="0" applyProtection="0"/>
    <xf numFmtId="0" fontId="28" fillId="10" borderId="238" applyNumberFormat="0" applyFont="0" applyAlignment="0" applyProtection="0"/>
    <xf numFmtId="0" fontId="31" fillId="0" borderId="313" applyNumberFormat="0" applyFill="0" applyAlignment="0" applyProtection="0"/>
    <xf numFmtId="0" fontId="28" fillId="10" borderId="292" applyNumberFormat="0" applyFont="0" applyAlignment="0" applyProtection="0"/>
    <xf numFmtId="0" fontId="28" fillId="10" borderId="255" applyNumberFormat="0" applyFont="0" applyAlignment="0" applyProtection="0"/>
    <xf numFmtId="0" fontId="29" fillId="24" borderId="271" applyNumberFormat="0" applyAlignment="0" applyProtection="0"/>
    <xf numFmtId="0" fontId="28" fillId="10" borderId="292" applyNumberFormat="0" applyFont="0" applyAlignment="0" applyProtection="0"/>
    <xf numFmtId="0" fontId="28" fillId="10" borderId="244" applyNumberFormat="0" applyFont="0" applyAlignment="0" applyProtection="0"/>
    <xf numFmtId="0" fontId="31" fillId="0" borderId="251" applyNumberFormat="0" applyFill="0" applyAlignment="0" applyProtection="0"/>
    <xf numFmtId="0" fontId="28" fillId="10" borderId="244" applyNumberFormat="0" applyFont="0" applyAlignment="0" applyProtection="0"/>
    <xf numFmtId="0" fontId="28" fillId="0" borderId="298"/>
    <xf numFmtId="0" fontId="29" fillId="24" borderId="250" applyNumberFormat="0" applyAlignment="0" applyProtection="0"/>
    <xf numFmtId="0" fontId="72" fillId="0" borderId="320" applyBorder="0">
      <alignment horizontal="center" vertical="center" wrapText="1"/>
    </xf>
    <xf numFmtId="0" fontId="31" fillId="0" borderId="313" applyNumberFormat="0" applyFill="0" applyAlignment="0" applyProtection="0"/>
    <xf numFmtId="0" fontId="72" fillId="0" borderId="297" applyBorder="0">
      <alignment horizontal="center" vertical="center" wrapText="1"/>
    </xf>
    <xf numFmtId="0" fontId="31" fillId="0" borderId="251" applyNumberFormat="0" applyFill="0" applyAlignment="0" applyProtection="0"/>
    <xf numFmtId="0" fontId="31" fillId="0" borderId="267" applyNumberFormat="0" applyFill="0" applyAlignment="0" applyProtection="0"/>
    <xf numFmtId="0" fontId="31" fillId="0" borderId="227" applyNumberFormat="0" applyFill="0" applyAlignment="0" applyProtection="0"/>
    <xf numFmtId="0" fontId="29" fillId="24" borderId="220" applyNumberFormat="0" applyAlignment="0" applyProtection="0"/>
    <xf numFmtId="0" fontId="8" fillId="10" borderId="222" applyNumberFormat="0" applyFont="0" applyAlignment="0" applyProtection="0"/>
    <xf numFmtId="0" fontId="18" fillId="10" borderId="222" applyNumberFormat="0" applyFont="0" applyAlignment="0" applyProtection="0"/>
    <xf numFmtId="0" fontId="25" fillId="13" borderId="221" applyNumberFormat="0" applyAlignment="0" applyProtection="0"/>
    <xf numFmtId="0" fontId="41" fillId="13" borderId="221" applyNumberFormat="0" applyAlignment="0" applyProtection="0"/>
    <xf numFmtId="0" fontId="16" fillId="24" borderId="221" applyNumberFormat="0" applyAlignment="0" applyProtection="0"/>
    <xf numFmtId="0" fontId="72" fillId="0" borderId="228" applyBorder="0">
      <alignment horizontal="center" vertical="center" wrapText="1"/>
    </xf>
    <xf numFmtId="0" fontId="31" fillId="0" borderId="252" applyNumberFormat="0" applyFill="0" applyAlignment="0" applyProtection="0"/>
    <xf numFmtId="0" fontId="31" fillId="0" borderId="224" applyNumberFormat="0" applyFill="0" applyAlignment="0" applyProtection="0"/>
    <xf numFmtId="0" fontId="49" fillId="10" borderId="222" applyNumberFormat="0" applyFont="0" applyAlignment="0" applyProtection="0"/>
    <xf numFmtId="0" fontId="8" fillId="10" borderId="222" applyNumberFormat="0" applyFont="0" applyAlignment="0" applyProtection="0"/>
    <xf numFmtId="0" fontId="31" fillId="0" borderId="227" applyNumberFormat="0" applyFill="0" applyAlignment="0" applyProtection="0"/>
    <xf numFmtId="0" fontId="31" fillId="0" borderId="318" applyNumberFormat="0" applyFill="0" applyAlignment="0" applyProtection="0"/>
    <xf numFmtId="0" fontId="29" fillId="12" borderId="271" applyNumberFormat="0" applyAlignment="0" applyProtection="0"/>
    <xf numFmtId="0" fontId="84" fillId="0" borderId="275"/>
    <xf numFmtId="0" fontId="29" fillId="24" borderId="220" applyNumberFormat="0" applyAlignment="0" applyProtection="0"/>
    <xf numFmtId="0" fontId="8" fillId="10" borderId="222" applyNumberFormat="0" applyFont="0" applyAlignment="0" applyProtection="0"/>
    <xf numFmtId="0" fontId="18" fillId="10" borderId="222" applyNumberFormat="0" applyFont="0" applyAlignment="0" applyProtection="0"/>
    <xf numFmtId="0" fontId="28" fillId="0" borderId="321"/>
    <xf numFmtId="0" fontId="41" fillId="13" borderId="291" applyNumberFormat="0" applyAlignment="0" applyProtection="0"/>
    <xf numFmtId="0" fontId="24" fillId="24" borderId="270" applyNumberFormat="0" applyAlignment="0" applyProtection="0"/>
    <xf numFmtId="0" fontId="31" fillId="0" borderId="313" applyNumberFormat="0" applyFill="0" applyAlignment="0" applyProtection="0"/>
    <xf numFmtId="0" fontId="28" fillId="10" borderId="315" applyNumberFormat="0" applyFont="0" applyAlignment="0" applyProtection="0"/>
    <xf numFmtId="0" fontId="31" fillId="0" borderId="318" applyNumberFormat="0" applyFill="0" applyAlignment="0" applyProtection="0"/>
    <xf numFmtId="0" fontId="24" fillId="24" borderId="279" applyNumberFormat="0" applyAlignment="0" applyProtection="0"/>
    <xf numFmtId="0" fontId="48" fillId="12" borderId="314" applyNumberFormat="0" applyAlignment="0" applyProtection="0"/>
    <xf numFmtId="0" fontId="29" fillId="12" borderId="317" applyNumberFormat="0" applyAlignment="0" applyProtection="0"/>
    <xf numFmtId="0" fontId="48" fillId="24" borderId="314" applyNumberFormat="0" applyAlignment="0" applyProtection="0"/>
    <xf numFmtId="0" fontId="41" fillId="13" borderId="314" applyNumberFormat="0" applyAlignment="0" applyProtection="0"/>
    <xf numFmtId="0" fontId="25" fillId="13" borderId="314" applyNumberFormat="0" applyAlignment="0" applyProtection="0"/>
    <xf numFmtId="0" fontId="25" fillId="13" borderId="314" applyNumberFormat="0" applyAlignment="0" applyProtection="0"/>
    <xf numFmtId="0" fontId="31" fillId="0" borderId="290" applyNumberFormat="0" applyFill="0" applyAlignment="0" applyProtection="0"/>
    <xf numFmtId="0" fontId="32" fillId="24" borderId="291" applyNumberFormat="0" applyAlignment="0" applyProtection="0"/>
    <xf numFmtId="0" fontId="31" fillId="0" borderId="290" applyNumberFormat="0" applyFill="0" applyAlignment="0" applyProtection="0"/>
    <xf numFmtId="0" fontId="41" fillId="13" borderId="221" applyNumberFormat="0" applyAlignment="0" applyProtection="0"/>
    <xf numFmtId="0" fontId="32" fillId="24" borderId="291" applyNumberFormat="0" applyAlignment="0" applyProtection="0"/>
    <xf numFmtId="0" fontId="41" fillId="13" borderId="314" applyNumberFormat="0" applyAlignment="0" applyProtection="0"/>
    <xf numFmtId="0" fontId="25" fillId="13" borderId="291" applyNumberFormat="0" applyAlignment="0" applyProtection="0"/>
    <xf numFmtId="0" fontId="28" fillId="10" borderId="292" applyNumberFormat="0" applyFont="0" applyAlignment="0" applyProtection="0"/>
    <xf numFmtId="0" fontId="31" fillId="0" borderId="249" applyNumberFormat="0" applyFill="0" applyAlignment="0" applyProtection="0"/>
    <xf numFmtId="0" fontId="16" fillId="24" borderId="221" applyNumberFormat="0" applyAlignment="0" applyProtection="0"/>
    <xf numFmtId="0" fontId="72" fillId="0" borderId="225" applyBorder="0">
      <alignment horizontal="center" vertical="center" wrapText="1"/>
    </xf>
    <xf numFmtId="0" fontId="41" fillId="13" borderId="300" applyNumberFormat="0" applyAlignment="0" applyProtection="0"/>
    <xf numFmtId="0" fontId="31" fillId="0" borderId="295" applyNumberFormat="0" applyFill="0" applyAlignment="0" applyProtection="0"/>
    <xf numFmtId="0" fontId="31" fillId="0" borderId="289" applyNumberFormat="0" applyFill="0" applyAlignment="0" applyProtection="0"/>
    <xf numFmtId="0" fontId="24" fillId="24" borderId="293" applyNumberFormat="0" applyAlignment="0" applyProtection="0"/>
    <xf numFmtId="0" fontId="49" fillId="10" borderId="301" applyNumberFormat="0" applyFont="0" applyAlignment="0" applyProtection="0"/>
    <xf numFmtId="0" fontId="31" fillId="0" borderId="252" applyNumberFormat="0" applyFill="0" applyAlignment="0" applyProtection="0"/>
    <xf numFmtId="0" fontId="31" fillId="0" borderId="319" applyNumberFormat="0" applyFill="0" applyAlignment="0" applyProtection="0"/>
    <xf numFmtId="0" fontId="16" fillId="24" borderId="277" applyNumberFormat="0" applyAlignment="0" applyProtection="0"/>
    <xf numFmtId="0" fontId="16" fillId="24" borderId="277" applyNumberFormat="0" applyAlignment="0" applyProtection="0"/>
    <xf numFmtId="0" fontId="48" fillId="12" borderId="268" applyNumberFormat="0" applyAlignment="0" applyProtection="0"/>
    <xf numFmtId="0" fontId="28" fillId="10" borderId="285" applyNumberFormat="0" applyFont="0" applyAlignment="0" applyProtection="0"/>
    <xf numFmtId="0" fontId="41" fillId="13" borderId="300" applyNumberFormat="0" applyAlignment="0" applyProtection="0"/>
    <xf numFmtId="0" fontId="84" fillId="0" borderId="298"/>
    <xf numFmtId="0" fontId="48" fillId="12" borderId="291" applyNumberFormat="0" applyAlignment="0" applyProtection="0"/>
    <xf numFmtId="0" fontId="29" fillId="12" borderId="294" applyNumberFormat="0" applyAlignment="0" applyProtection="0"/>
    <xf numFmtId="0" fontId="32" fillId="24" borderId="300" applyNumberFormat="0" applyAlignment="0" applyProtection="0"/>
    <xf numFmtId="0" fontId="41" fillId="13" borderId="268" applyNumberFormat="0" applyAlignment="0" applyProtection="0"/>
    <xf numFmtId="0" fontId="31" fillId="0" borderId="267" applyNumberFormat="0" applyFill="0" applyAlignment="0" applyProtection="0"/>
    <xf numFmtId="0" fontId="25" fillId="13" borderId="268" applyNumberFormat="0" applyAlignment="0" applyProtection="0"/>
    <xf numFmtId="0" fontId="31" fillId="0" borderId="240" applyNumberFormat="0" applyFill="0" applyAlignment="0" applyProtection="0"/>
    <xf numFmtId="0" fontId="16" fillId="24" borderId="237" applyNumberFormat="0" applyAlignment="0" applyProtection="0"/>
    <xf numFmtId="0" fontId="31" fillId="0" borderId="267" applyNumberFormat="0" applyFill="0" applyAlignment="0" applyProtection="0"/>
    <xf numFmtId="0" fontId="28" fillId="10" borderId="269" applyNumberFormat="0" applyFont="0" applyAlignment="0" applyProtection="0"/>
    <xf numFmtId="0" fontId="72" fillId="0" borderId="274" applyBorder="0">
      <alignment horizontal="center" vertical="center" wrapText="1"/>
    </xf>
    <xf numFmtId="0" fontId="48" fillId="12" borderId="237" applyNumberFormat="0" applyAlignment="0" applyProtection="0"/>
    <xf numFmtId="0" fontId="28" fillId="0" borderId="298"/>
    <xf numFmtId="0" fontId="49" fillId="10" borderId="315" applyNumberFormat="0" applyFont="0" applyAlignment="0" applyProtection="0"/>
    <xf numFmtId="0" fontId="25" fillId="8" borderId="237" applyNumberFormat="0" applyAlignment="0" applyProtection="0"/>
    <xf numFmtId="0" fontId="28" fillId="10" borderId="238" applyNumberFormat="0" applyFont="0" applyAlignment="0" applyProtection="0"/>
    <xf numFmtId="0" fontId="41" fillId="13" borderId="237" applyNumberFormat="0" applyAlignment="0" applyProtection="0"/>
    <xf numFmtId="0" fontId="48" fillId="24" borderId="237" applyNumberFormat="0" applyAlignment="0" applyProtection="0"/>
    <xf numFmtId="0" fontId="16" fillId="24" borderId="268" applyNumberFormat="0" applyAlignment="0" applyProtection="0"/>
    <xf numFmtId="0" fontId="48" fillId="12" borderId="221" applyNumberFormat="0" applyAlignment="0" applyProtection="0"/>
    <xf numFmtId="0" fontId="48" fillId="12" borderId="291" applyNumberFormat="0" applyAlignment="0" applyProtection="0"/>
    <xf numFmtId="0" fontId="24" fillId="24" borderId="316" applyNumberFormat="0" applyAlignment="0" applyProtection="0"/>
    <xf numFmtId="0" fontId="29" fillId="12" borderId="271" applyNumberFormat="0" applyAlignment="0" applyProtection="0"/>
    <xf numFmtId="0" fontId="31" fillId="0" borderId="267" applyNumberFormat="0" applyFill="0" applyAlignment="0" applyProtection="0"/>
    <xf numFmtId="0" fontId="48" fillId="24" borderId="268" applyNumberFormat="0" applyAlignment="0" applyProtection="0"/>
    <xf numFmtId="0" fontId="48" fillId="24" borderId="214" applyNumberFormat="0" applyAlignment="0" applyProtection="0"/>
    <xf numFmtId="0" fontId="48" fillId="24" borderId="214" applyNumberFormat="0" applyAlignment="0" applyProtection="0"/>
    <xf numFmtId="0" fontId="48" fillId="24" borderId="214" applyNumberFormat="0" applyAlignment="0" applyProtection="0"/>
    <xf numFmtId="0" fontId="48" fillId="24" borderId="214" applyNumberFormat="0" applyAlignment="0" applyProtection="0"/>
    <xf numFmtId="0" fontId="48" fillId="24" borderId="214" applyNumberFormat="0" applyAlignment="0" applyProtection="0"/>
    <xf numFmtId="0" fontId="48" fillId="24" borderId="214" applyNumberFormat="0" applyAlignment="0" applyProtection="0"/>
    <xf numFmtId="0" fontId="48" fillId="24" borderId="214" applyNumberFormat="0" applyAlignment="0" applyProtection="0"/>
    <xf numFmtId="0" fontId="48" fillId="24" borderId="214" applyNumberFormat="0" applyAlignment="0" applyProtection="0"/>
    <xf numFmtId="0" fontId="48" fillId="24" borderId="214" applyNumberFormat="0" applyAlignment="0" applyProtection="0"/>
    <xf numFmtId="0" fontId="48" fillId="24" borderId="214" applyNumberFormat="0" applyAlignment="0" applyProtection="0"/>
    <xf numFmtId="0" fontId="48" fillId="24" borderId="214" applyNumberFormat="0" applyAlignment="0" applyProtection="0"/>
    <xf numFmtId="0" fontId="48" fillId="24" borderId="214" applyNumberFormat="0" applyAlignment="0" applyProtection="0"/>
    <xf numFmtId="0" fontId="48" fillId="24" borderId="214" applyNumberFormat="0" applyAlignment="0" applyProtection="0"/>
    <xf numFmtId="0" fontId="48" fillId="24" borderId="214" applyNumberFormat="0" applyAlignment="0" applyProtection="0"/>
    <xf numFmtId="0" fontId="48" fillId="24" borderId="214" applyNumberFormat="0" applyAlignment="0" applyProtection="0"/>
    <xf numFmtId="0" fontId="48" fillId="24" borderId="214" applyNumberFormat="0" applyAlignment="0" applyProtection="0"/>
    <xf numFmtId="0" fontId="48" fillId="24" borderId="214" applyNumberFormat="0" applyAlignment="0" applyProtection="0"/>
    <xf numFmtId="0" fontId="48" fillId="24" borderId="214" applyNumberFormat="0" applyAlignment="0" applyProtection="0"/>
    <xf numFmtId="0" fontId="48" fillId="24" borderId="214" applyNumberFormat="0" applyAlignment="0" applyProtection="0"/>
    <xf numFmtId="0" fontId="48" fillId="24" borderId="214" applyNumberFormat="0" applyAlignment="0" applyProtection="0"/>
    <xf numFmtId="0" fontId="48" fillId="24" borderId="214" applyNumberFormat="0" applyAlignment="0" applyProtection="0"/>
    <xf numFmtId="0" fontId="48" fillId="24" borderId="214" applyNumberFormat="0" applyAlignment="0" applyProtection="0"/>
    <xf numFmtId="0" fontId="48" fillId="24" borderId="214" applyNumberFormat="0" applyAlignment="0" applyProtection="0"/>
    <xf numFmtId="0" fontId="48" fillId="24" borderId="214" applyNumberFormat="0" applyAlignment="0" applyProtection="0"/>
    <xf numFmtId="0" fontId="48" fillId="24" borderId="214" applyNumberFormat="0" applyAlignment="0" applyProtection="0"/>
    <xf numFmtId="0" fontId="48" fillId="24" borderId="214" applyNumberFormat="0" applyAlignment="0" applyProtection="0"/>
    <xf numFmtId="0" fontId="48" fillId="24" borderId="214" applyNumberFormat="0" applyAlignment="0" applyProtection="0"/>
    <xf numFmtId="0" fontId="48" fillId="24" borderId="214" applyNumberFormat="0" applyAlignment="0" applyProtection="0"/>
    <xf numFmtId="0" fontId="48" fillId="24" borderId="214" applyNumberFormat="0" applyAlignment="0" applyProtection="0"/>
    <xf numFmtId="0" fontId="48" fillId="24" borderId="214" applyNumberFormat="0" applyAlignment="0" applyProtection="0"/>
    <xf numFmtId="0" fontId="48" fillId="24" borderId="214" applyNumberFormat="0" applyAlignment="0" applyProtection="0"/>
    <xf numFmtId="0" fontId="48" fillId="24" borderId="214" applyNumberFormat="0" applyAlignment="0" applyProtection="0"/>
    <xf numFmtId="0" fontId="48" fillId="24" borderId="214" applyNumberFormat="0" applyAlignment="0" applyProtection="0"/>
    <xf numFmtId="0" fontId="48" fillId="24" borderId="214" applyNumberFormat="0" applyAlignment="0" applyProtection="0"/>
    <xf numFmtId="0" fontId="48" fillId="24" borderId="214" applyNumberFormat="0" applyAlignment="0" applyProtection="0"/>
    <xf numFmtId="0" fontId="48" fillId="24" borderId="214" applyNumberFormat="0" applyAlignment="0" applyProtection="0"/>
    <xf numFmtId="0" fontId="48" fillId="24" borderId="214" applyNumberFormat="0" applyAlignment="0" applyProtection="0"/>
    <xf numFmtId="0" fontId="48" fillId="24" borderId="214" applyNumberFormat="0" applyAlignment="0" applyProtection="0"/>
    <xf numFmtId="0" fontId="48" fillId="24" borderId="214" applyNumberFormat="0" applyAlignment="0" applyProtection="0"/>
    <xf numFmtId="0" fontId="48" fillId="24" borderId="214" applyNumberFormat="0" applyAlignment="0" applyProtection="0"/>
    <xf numFmtId="0" fontId="48" fillId="24" borderId="214" applyNumberFormat="0" applyAlignment="0" applyProtection="0"/>
    <xf numFmtId="0" fontId="48" fillId="24" borderId="214" applyNumberFormat="0" applyAlignment="0" applyProtection="0"/>
    <xf numFmtId="0" fontId="48" fillId="24" borderId="214" applyNumberFormat="0" applyAlignment="0" applyProtection="0"/>
    <xf numFmtId="0" fontId="48" fillId="24" borderId="214" applyNumberFormat="0" applyAlignment="0" applyProtection="0"/>
    <xf numFmtId="0" fontId="48" fillId="24" borderId="214" applyNumberFormat="0" applyAlignment="0" applyProtection="0"/>
    <xf numFmtId="0" fontId="48" fillId="24" borderId="214" applyNumberFormat="0" applyAlignment="0" applyProtection="0"/>
    <xf numFmtId="0" fontId="48" fillId="24" borderId="214" applyNumberFormat="0" applyAlignment="0" applyProtection="0"/>
    <xf numFmtId="0" fontId="48" fillId="24" borderId="214" applyNumberFormat="0" applyAlignment="0" applyProtection="0"/>
    <xf numFmtId="0" fontId="48" fillId="24" borderId="214" applyNumberFormat="0" applyAlignment="0" applyProtection="0"/>
    <xf numFmtId="0" fontId="48" fillId="24" borderId="214" applyNumberFormat="0" applyAlignment="0" applyProtection="0"/>
    <xf numFmtId="0" fontId="48" fillId="24" borderId="214" applyNumberFormat="0" applyAlignment="0" applyProtection="0"/>
    <xf numFmtId="0" fontId="48" fillId="24" borderId="214" applyNumberFormat="0" applyAlignment="0" applyProtection="0"/>
    <xf numFmtId="0" fontId="48" fillId="24" borderId="214" applyNumberFormat="0" applyAlignment="0" applyProtection="0"/>
    <xf numFmtId="0" fontId="48" fillId="24" borderId="214" applyNumberFormat="0" applyAlignment="0" applyProtection="0"/>
    <xf numFmtId="0" fontId="48" fillId="24" borderId="214" applyNumberFormat="0" applyAlignment="0" applyProtection="0"/>
    <xf numFmtId="0" fontId="48" fillId="24" borderId="214" applyNumberFormat="0" applyAlignment="0" applyProtection="0"/>
    <xf numFmtId="0" fontId="48" fillId="24" borderId="214" applyNumberFormat="0" applyAlignment="0" applyProtection="0"/>
    <xf numFmtId="0" fontId="48" fillId="24" borderId="214" applyNumberFormat="0" applyAlignment="0" applyProtection="0"/>
    <xf numFmtId="0" fontId="48" fillId="24" borderId="214" applyNumberFormat="0" applyAlignment="0" applyProtection="0"/>
    <xf numFmtId="0" fontId="48" fillId="24" borderId="214" applyNumberFormat="0" applyAlignment="0" applyProtection="0"/>
    <xf numFmtId="0" fontId="48" fillId="24" borderId="214" applyNumberFormat="0" applyAlignment="0" applyProtection="0"/>
    <xf numFmtId="0" fontId="48" fillId="24" borderId="214" applyNumberFormat="0" applyAlignment="0" applyProtection="0"/>
    <xf numFmtId="0" fontId="48" fillId="24" borderId="214" applyNumberFormat="0" applyAlignment="0" applyProtection="0"/>
    <xf numFmtId="0" fontId="48" fillId="24" borderId="214" applyNumberFormat="0" applyAlignment="0" applyProtection="0"/>
    <xf numFmtId="0" fontId="48" fillId="24" borderId="214" applyNumberFormat="0" applyAlignment="0" applyProtection="0"/>
    <xf numFmtId="0" fontId="48" fillId="24" borderId="214" applyNumberFormat="0" applyAlignment="0" applyProtection="0"/>
    <xf numFmtId="0" fontId="48" fillId="24" borderId="214" applyNumberFormat="0" applyAlignment="0" applyProtection="0"/>
    <xf numFmtId="0" fontId="48" fillId="24" borderId="214" applyNumberFormat="0" applyAlignment="0" applyProtection="0"/>
    <xf numFmtId="0" fontId="48" fillId="24" borderId="214" applyNumberFormat="0" applyAlignment="0" applyProtection="0"/>
    <xf numFmtId="0" fontId="48" fillId="24" borderId="214" applyNumberFormat="0" applyAlignment="0" applyProtection="0"/>
    <xf numFmtId="0" fontId="48" fillId="24" borderId="214" applyNumberFormat="0" applyAlignment="0" applyProtection="0"/>
    <xf numFmtId="0" fontId="48" fillId="24" borderId="214" applyNumberFormat="0" applyAlignment="0" applyProtection="0"/>
    <xf numFmtId="0" fontId="48" fillId="24" borderId="214" applyNumberFormat="0" applyAlignment="0" applyProtection="0"/>
    <xf numFmtId="0" fontId="48" fillId="24" borderId="214" applyNumberFormat="0" applyAlignment="0" applyProtection="0"/>
    <xf numFmtId="0" fontId="48" fillId="24" borderId="214" applyNumberFormat="0" applyAlignment="0" applyProtection="0"/>
    <xf numFmtId="0" fontId="48" fillId="24" borderId="214" applyNumberFormat="0" applyAlignment="0" applyProtection="0"/>
    <xf numFmtId="0" fontId="48" fillId="24" borderId="214" applyNumberFormat="0" applyAlignment="0" applyProtection="0"/>
    <xf numFmtId="0" fontId="48" fillId="24" borderId="214" applyNumberFormat="0" applyAlignment="0" applyProtection="0"/>
    <xf numFmtId="0" fontId="32" fillId="24" borderId="214" applyNumberFormat="0" applyAlignment="0" applyProtection="0"/>
    <xf numFmtId="0" fontId="32" fillId="24" borderId="214" applyNumberFormat="0" applyAlignment="0" applyProtection="0"/>
    <xf numFmtId="0" fontId="32" fillId="24" borderId="214" applyNumberFormat="0" applyAlignment="0" applyProtection="0"/>
    <xf numFmtId="0" fontId="32" fillId="24" borderId="214" applyNumberFormat="0" applyAlignment="0" applyProtection="0"/>
    <xf numFmtId="0" fontId="32" fillId="24" borderId="214" applyNumberFormat="0" applyAlignment="0" applyProtection="0"/>
    <xf numFmtId="0" fontId="32" fillId="24" borderId="214" applyNumberFormat="0" applyAlignment="0" applyProtection="0"/>
    <xf numFmtId="0" fontId="32" fillId="24" borderId="214" applyNumberFormat="0" applyAlignment="0" applyProtection="0"/>
    <xf numFmtId="0" fontId="32" fillId="24" borderId="214" applyNumberFormat="0" applyAlignment="0" applyProtection="0"/>
    <xf numFmtId="0" fontId="32" fillId="24" borderId="214" applyNumberFormat="0" applyAlignment="0" applyProtection="0"/>
    <xf numFmtId="0" fontId="32" fillId="24" borderId="214" applyNumberFormat="0" applyAlignment="0" applyProtection="0"/>
    <xf numFmtId="0" fontId="32" fillId="24" borderId="214" applyNumberFormat="0" applyAlignment="0" applyProtection="0"/>
    <xf numFmtId="0" fontId="32" fillId="24" borderId="214" applyNumberFormat="0" applyAlignment="0" applyProtection="0"/>
    <xf numFmtId="0" fontId="32" fillId="24" borderId="214" applyNumberFormat="0" applyAlignment="0" applyProtection="0"/>
    <xf numFmtId="0" fontId="32" fillId="24" borderId="214" applyNumberFormat="0" applyAlignment="0" applyProtection="0"/>
    <xf numFmtId="0" fontId="32" fillId="24" borderId="214" applyNumberFormat="0" applyAlignment="0" applyProtection="0"/>
    <xf numFmtId="0" fontId="32" fillId="24" borderId="214" applyNumberFormat="0" applyAlignment="0" applyProtection="0"/>
    <xf numFmtId="0" fontId="32" fillId="24" borderId="214" applyNumberFormat="0" applyAlignment="0" applyProtection="0"/>
    <xf numFmtId="0" fontId="32" fillId="24" borderId="214" applyNumberFormat="0" applyAlignment="0" applyProtection="0"/>
    <xf numFmtId="0" fontId="32" fillId="24" borderId="214" applyNumberFormat="0" applyAlignment="0" applyProtection="0"/>
    <xf numFmtId="0" fontId="32" fillId="24" borderId="214" applyNumberFormat="0" applyAlignment="0" applyProtection="0"/>
    <xf numFmtId="0" fontId="32" fillId="24" borderId="214" applyNumberFormat="0" applyAlignment="0" applyProtection="0"/>
    <xf numFmtId="0" fontId="32" fillId="24" borderId="214" applyNumberFormat="0" applyAlignment="0" applyProtection="0"/>
    <xf numFmtId="0" fontId="32" fillId="24" borderId="214" applyNumberFormat="0" applyAlignment="0" applyProtection="0"/>
    <xf numFmtId="0" fontId="32" fillId="24" borderId="214" applyNumberFormat="0" applyAlignment="0" applyProtection="0"/>
    <xf numFmtId="0" fontId="32" fillId="24" borderId="214" applyNumberFormat="0" applyAlignment="0" applyProtection="0"/>
    <xf numFmtId="0" fontId="32" fillId="24" borderId="214" applyNumberFormat="0" applyAlignment="0" applyProtection="0"/>
    <xf numFmtId="0" fontId="32" fillId="24" borderId="214" applyNumberFormat="0" applyAlignment="0" applyProtection="0"/>
    <xf numFmtId="0" fontId="32" fillId="24" borderId="214" applyNumberFormat="0" applyAlignment="0" applyProtection="0"/>
    <xf numFmtId="0" fontId="32" fillId="24" borderId="214" applyNumberFormat="0" applyAlignment="0" applyProtection="0"/>
    <xf numFmtId="0" fontId="32" fillId="24" borderId="214" applyNumberFormat="0" applyAlignment="0" applyProtection="0"/>
    <xf numFmtId="0" fontId="32" fillId="24" borderId="214" applyNumberFormat="0" applyAlignment="0" applyProtection="0"/>
    <xf numFmtId="0" fontId="32" fillId="24" borderId="214" applyNumberFormat="0" applyAlignment="0" applyProtection="0"/>
    <xf numFmtId="0" fontId="32" fillId="24" borderId="214" applyNumberFormat="0" applyAlignment="0" applyProtection="0"/>
    <xf numFmtId="0" fontId="32" fillId="24" borderId="214" applyNumberFormat="0" applyAlignment="0" applyProtection="0"/>
    <xf numFmtId="0" fontId="32" fillId="24" borderId="214" applyNumberFormat="0" applyAlignment="0" applyProtection="0"/>
    <xf numFmtId="0" fontId="32" fillId="24" borderId="214" applyNumberFormat="0" applyAlignment="0" applyProtection="0"/>
    <xf numFmtId="0" fontId="32" fillId="24" borderId="214" applyNumberFormat="0" applyAlignment="0" applyProtection="0"/>
    <xf numFmtId="0" fontId="32" fillId="24" borderId="214" applyNumberFormat="0" applyAlignment="0" applyProtection="0"/>
    <xf numFmtId="0" fontId="32" fillId="24" borderId="214" applyNumberFormat="0" applyAlignment="0" applyProtection="0"/>
    <xf numFmtId="0" fontId="32" fillId="24" borderId="214" applyNumberFormat="0" applyAlignment="0" applyProtection="0"/>
    <xf numFmtId="0" fontId="32" fillId="24" borderId="214" applyNumberFormat="0" applyAlignment="0" applyProtection="0"/>
    <xf numFmtId="0" fontId="32" fillId="24" borderId="214" applyNumberFormat="0" applyAlignment="0" applyProtection="0"/>
    <xf numFmtId="0" fontId="32" fillId="24" borderId="214" applyNumberFormat="0" applyAlignment="0" applyProtection="0"/>
    <xf numFmtId="0" fontId="32" fillId="24" borderId="214" applyNumberFormat="0" applyAlignment="0" applyProtection="0"/>
    <xf numFmtId="0" fontId="32" fillId="24" borderId="214" applyNumberFormat="0" applyAlignment="0" applyProtection="0"/>
    <xf numFmtId="0" fontId="32" fillId="24" borderId="214" applyNumberFormat="0" applyAlignment="0" applyProtection="0"/>
    <xf numFmtId="0" fontId="32" fillId="24" borderId="214" applyNumberFormat="0" applyAlignment="0" applyProtection="0"/>
    <xf numFmtId="0" fontId="32" fillId="24" borderId="214" applyNumberFormat="0" applyAlignment="0" applyProtection="0"/>
    <xf numFmtId="0" fontId="32" fillId="24" borderId="214" applyNumberFormat="0" applyAlignment="0" applyProtection="0"/>
    <xf numFmtId="0" fontId="16" fillId="24" borderId="214" applyNumberFormat="0" applyAlignment="0" applyProtection="0"/>
    <xf numFmtId="0" fontId="16" fillId="24" borderId="214" applyNumberFormat="0" applyAlignment="0" applyProtection="0"/>
    <xf numFmtId="0" fontId="16" fillId="24" borderId="214" applyNumberFormat="0" applyAlignment="0" applyProtection="0"/>
    <xf numFmtId="0" fontId="16" fillId="24" borderId="214" applyNumberFormat="0" applyAlignment="0" applyProtection="0"/>
    <xf numFmtId="0" fontId="16" fillId="24" borderId="214" applyNumberFormat="0" applyAlignment="0" applyProtection="0"/>
    <xf numFmtId="0" fontId="16" fillId="24" borderId="214" applyNumberFormat="0" applyAlignment="0" applyProtection="0"/>
    <xf numFmtId="0" fontId="16" fillId="24" borderId="214" applyNumberFormat="0" applyAlignment="0" applyProtection="0"/>
    <xf numFmtId="0" fontId="16" fillId="24" borderId="214" applyNumberFormat="0" applyAlignment="0" applyProtection="0"/>
    <xf numFmtId="0" fontId="16" fillId="24" borderId="214" applyNumberFormat="0" applyAlignment="0" applyProtection="0"/>
    <xf numFmtId="0" fontId="16" fillId="24" borderId="214" applyNumberFormat="0" applyAlignment="0" applyProtection="0"/>
    <xf numFmtId="0" fontId="16" fillId="24" borderId="214" applyNumberFormat="0" applyAlignment="0" applyProtection="0"/>
    <xf numFmtId="0" fontId="16" fillId="24" borderId="214" applyNumberFormat="0" applyAlignment="0" applyProtection="0"/>
    <xf numFmtId="0" fontId="16" fillId="24" borderId="214" applyNumberFormat="0" applyAlignment="0" applyProtection="0"/>
    <xf numFmtId="0" fontId="16" fillId="24" borderId="214" applyNumberFormat="0" applyAlignment="0" applyProtection="0"/>
    <xf numFmtId="0" fontId="16" fillId="24" borderId="214" applyNumberFormat="0" applyAlignment="0" applyProtection="0"/>
    <xf numFmtId="0" fontId="16" fillId="24" borderId="214" applyNumberFormat="0" applyAlignment="0" applyProtection="0"/>
    <xf numFmtId="0" fontId="16" fillId="24" borderId="214" applyNumberFormat="0" applyAlignment="0" applyProtection="0"/>
    <xf numFmtId="0" fontId="16" fillId="24" borderId="214" applyNumberFormat="0" applyAlignment="0" applyProtection="0"/>
    <xf numFmtId="0" fontId="16" fillId="24" borderId="214" applyNumberFormat="0" applyAlignment="0" applyProtection="0"/>
    <xf numFmtId="0" fontId="16" fillId="24" borderId="214" applyNumberFormat="0" applyAlignment="0" applyProtection="0"/>
    <xf numFmtId="0" fontId="16" fillId="24" borderId="214" applyNumberFormat="0" applyAlignment="0" applyProtection="0"/>
    <xf numFmtId="0" fontId="16" fillId="24" borderId="214" applyNumberFormat="0" applyAlignment="0" applyProtection="0"/>
    <xf numFmtId="0" fontId="16" fillId="24" borderId="214" applyNumberFormat="0" applyAlignment="0" applyProtection="0"/>
    <xf numFmtId="0" fontId="16" fillId="24" borderId="214" applyNumberFormat="0" applyAlignment="0" applyProtection="0"/>
    <xf numFmtId="0" fontId="16" fillId="24" borderId="214" applyNumberFormat="0" applyAlignment="0" applyProtection="0"/>
    <xf numFmtId="0" fontId="16" fillId="24" borderId="214" applyNumberFormat="0" applyAlignment="0" applyProtection="0"/>
    <xf numFmtId="0" fontId="16" fillId="24" borderId="214" applyNumberFormat="0" applyAlignment="0" applyProtection="0"/>
    <xf numFmtId="0" fontId="16" fillId="24" borderId="214" applyNumberFormat="0" applyAlignment="0" applyProtection="0"/>
    <xf numFmtId="0" fontId="16" fillId="24" borderId="214" applyNumberFormat="0" applyAlignment="0" applyProtection="0"/>
    <xf numFmtId="0" fontId="16" fillId="24" borderId="214" applyNumberFormat="0" applyAlignment="0" applyProtection="0"/>
    <xf numFmtId="0" fontId="16" fillId="24" borderId="214" applyNumberFormat="0" applyAlignment="0" applyProtection="0"/>
    <xf numFmtId="0" fontId="16" fillId="24" borderId="214" applyNumberFormat="0" applyAlignment="0" applyProtection="0"/>
    <xf numFmtId="0" fontId="16" fillId="24" borderId="214" applyNumberFormat="0" applyAlignment="0" applyProtection="0"/>
    <xf numFmtId="0" fontId="16" fillId="24" borderId="214" applyNumberFormat="0" applyAlignment="0" applyProtection="0"/>
    <xf numFmtId="0" fontId="16" fillId="24" borderId="214" applyNumberFormat="0" applyAlignment="0" applyProtection="0"/>
    <xf numFmtId="0" fontId="16" fillId="24" borderId="214" applyNumberFormat="0" applyAlignment="0" applyProtection="0"/>
    <xf numFmtId="0" fontId="16" fillId="24" borderId="214" applyNumberFormat="0" applyAlignment="0" applyProtection="0"/>
    <xf numFmtId="0" fontId="16" fillId="24" borderId="214" applyNumberFormat="0" applyAlignment="0" applyProtection="0"/>
    <xf numFmtId="0" fontId="16" fillId="24" borderId="214" applyNumberFormat="0" applyAlignment="0" applyProtection="0"/>
    <xf numFmtId="0" fontId="16" fillId="24" borderId="214" applyNumberFormat="0" applyAlignment="0" applyProtection="0"/>
    <xf numFmtId="0" fontId="16" fillId="24" borderId="214" applyNumberFormat="0" applyAlignment="0" applyProtection="0"/>
    <xf numFmtId="0" fontId="16" fillId="24" borderId="214" applyNumberFormat="0" applyAlignment="0" applyProtection="0"/>
    <xf numFmtId="0" fontId="16" fillId="24" borderId="214" applyNumberFormat="0" applyAlignment="0" applyProtection="0"/>
    <xf numFmtId="0" fontId="16" fillId="24" borderId="214" applyNumberFormat="0" applyAlignment="0" applyProtection="0"/>
    <xf numFmtId="0" fontId="16" fillId="24" borderId="214" applyNumberFormat="0" applyAlignment="0" applyProtection="0"/>
    <xf numFmtId="0" fontId="16" fillId="24" borderId="214" applyNumberFormat="0" applyAlignment="0" applyProtection="0"/>
    <xf numFmtId="0" fontId="16" fillId="24" borderId="214" applyNumberFormat="0" applyAlignment="0" applyProtection="0"/>
    <xf numFmtId="0" fontId="16" fillId="24" borderId="214" applyNumberFormat="0" applyAlignment="0" applyProtection="0"/>
    <xf numFmtId="0" fontId="16" fillId="24" borderId="214" applyNumberFormat="0" applyAlignment="0" applyProtection="0"/>
    <xf numFmtId="0" fontId="48" fillId="24" borderId="214" applyNumberFormat="0" applyAlignment="0" applyProtection="0"/>
    <xf numFmtId="0" fontId="48" fillId="24" borderId="214" applyNumberFormat="0" applyAlignment="0" applyProtection="0"/>
    <xf numFmtId="0" fontId="48" fillId="24" borderId="214" applyNumberFormat="0" applyAlignment="0" applyProtection="0"/>
    <xf numFmtId="0" fontId="48" fillId="24" borderId="214" applyNumberFormat="0" applyAlignment="0" applyProtection="0"/>
    <xf numFmtId="0" fontId="48" fillId="24" borderId="214" applyNumberFormat="0" applyAlignment="0" applyProtection="0"/>
    <xf numFmtId="0" fontId="48" fillId="24" borderId="214" applyNumberFormat="0" applyAlignment="0" applyProtection="0"/>
    <xf numFmtId="0" fontId="48" fillId="24" borderId="214" applyNumberFormat="0" applyAlignment="0" applyProtection="0"/>
    <xf numFmtId="0" fontId="48" fillId="24" borderId="214" applyNumberFormat="0" applyAlignment="0" applyProtection="0"/>
    <xf numFmtId="0" fontId="48" fillId="24" borderId="214" applyNumberFormat="0" applyAlignment="0" applyProtection="0"/>
    <xf numFmtId="0" fontId="48" fillId="24" borderId="214" applyNumberFormat="0" applyAlignment="0" applyProtection="0"/>
    <xf numFmtId="0" fontId="48" fillId="24" borderId="214" applyNumberFormat="0" applyAlignment="0" applyProtection="0"/>
    <xf numFmtId="0" fontId="48" fillId="24" borderId="214" applyNumberFormat="0" applyAlignment="0" applyProtection="0"/>
    <xf numFmtId="0" fontId="48" fillId="24" borderId="214" applyNumberFormat="0" applyAlignment="0" applyProtection="0"/>
    <xf numFmtId="0" fontId="48" fillId="24" borderId="214" applyNumberFormat="0" applyAlignment="0" applyProtection="0"/>
    <xf numFmtId="0" fontId="48" fillId="24" borderId="214" applyNumberFormat="0" applyAlignment="0" applyProtection="0"/>
    <xf numFmtId="0" fontId="48" fillId="24" borderId="214" applyNumberFormat="0" applyAlignment="0" applyProtection="0"/>
    <xf numFmtId="0" fontId="48" fillId="24" borderId="214" applyNumberFormat="0" applyAlignment="0" applyProtection="0"/>
    <xf numFmtId="0" fontId="48" fillId="24" borderId="214" applyNumberFormat="0" applyAlignment="0" applyProtection="0"/>
    <xf numFmtId="0" fontId="48" fillId="24" borderId="214" applyNumberFormat="0" applyAlignment="0" applyProtection="0"/>
    <xf numFmtId="0" fontId="48" fillId="24" borderId="214" applyNumberFormat="0" applyAlignment="0" applyProtection="0"/>
    <xf numFmtId="0" fontId="48" fillId="24" borderId="214" applyNumberFormat="0" applyAlignment="0" applyProtection="0"/>
    <xf numFmtId="0" fontId="48" fillId="24" borderId="214" applyNumberFormat="0" applyAlignment="0" applyProtection="0"/>
    <xf numFmtId="0" fontId="48" fillId="24" borderId="214" applyNumberFormat="0" applyAlignment="0" applyProtection="0"/>
    <xf numFmtId="0" fontId="48" fillId="24" borderId="214" applyNumberFormat="0" applyAlignment="0" applyProtection="0"/>
    <xf numFmtId="0" fontId="48" fillId="24" borderId="214" applyNumberFormat="0" applyAlignment="0" applyProtection="0"/>
    <xf numFmtId="0" fontId="48" fillId="24" borderId="214" applyNumberFormat="0" applyAlignment="0" applyProtection="0"/>
    <xf numFmtId="0" fontId="48" fillId="24" borderId="214" applyNumberFormat="0" applyAlignment="0" applyProtection="0"/>
    <xf numFmtId="0" fontId="48" fillId="24" borderId="214" applyNumberFormat="0" applyAlignment="0" applyProtection="0"/>
    <xf numFmtId="0" fontId="48" fillId="24" borderId="214" applyNumberFormat="0" applyAlignment="0" applyProtection="0"/>
    <xf numFmtId="0" fontId="48" fillId="24" borderId="214" applyNumberFormat="0" applyAlignment="0" applyProtection="0"/>
    <xf numFmtId="0" fontId="48" fillId="24" borderId="214" applyNumberFormat="0" applyAlignment="0" applyProtection="0"/>
    <xf numFmtId="0" fontId="48" fillId="24" borderId="214" applyNumberFormat="0" applyAlignment="0" applyProtection="0"/>
    <xf numFmtId="0" fontId="48" fillId="24" borderId="214" applyNumberFormat="0" applyAlignment="0" applyProtection="0"/>
    <xf numFmtId="0" fontId="48" fillId="24" borderId="214" applyNumberFormat="0" applyAlignment="0" applyProtection="0"/>
    <xf numFmtId="0" fontId="48" fillId="24" borderId="214" applyNumberFormat="0" applyAlignment="0" applyProtection="0"/>
    <xf numFmtId="0" fontId="48" fillId="24" borderId="214" applyNumberFormat="0" applyAlignment="0" applyProtection="0"/>
    <xf numFmtId="0" fontId="48" fillId="24" borderId="214" applyNumberFormat="0" applyAlignment="0" applyProtection="0"/>
    <xf numFmtId="0" fontId="48" fillId="24" borderId="214" applyNumberFormat="0" applyAlignment="0" applyProtection="0"/>
    <xf numFmtId="0" fontId="48" fillId="24" borderId="214" applyNumberFormat="0" applyAlignment="0" applyProtection="0"/>
    <xf numFmtId="0" fontId="48" fillId="24" borderId="214" applyNumberFormat="0" applyAlignment="0" applyProtection="0"/>
    <xf numFmtId="0" fontId="48" fillId="24" borderId="214" applyNumberFormat="0" applyAlignment="0" applyProtection="0"/>
    <xf numFmtId="0" fontId="48" fillId="24" borderId="214" applyNumberFormat="0" applyAlignment="0" applyProtection="0"/>
    <xf numFmtId="0" fontId="48" fillId="24" borderId="214" applyNumberFormat="0" applyAlignment="0" applyProtection="0"/>
    <xf numFmtId="0" fontId="48" fillId="24" borderId="214" applyNumberFormat="0" applyAlignment="0" applyProtection="0"/>
    <xf numFmtId="0" fontId="48" fillId="24" borderId="214" applyNumberFormat="0" applyAlignment="0" applyProtection="0"/>
    <xf numFmtId="0" fontId="48" fillId="24" borderId="214" applyNumberFormat="0" applyAlignment="0" applyProtection="0"/>
    <xf numFmtId="0" fontId="48" fillId="24" borderId="214" applyNumberFormat="0" applyAlignment="0" applyProtection="0"/>
    <xf numFmtId="0" fontId="48" fillId="24" borderId="214" applyNumberFormat="0" applyAlignment="0" applyProtection="0"/>
    <xf numFmtId="0" fontId="48" fillId="12" borderId="214" applyNumberFormat="0" applyAlignment="0" applyProtection="0"/>
    <xf numFmtId="0" fontId="48" fillId="12" borderId="214" applyNumberFormat="0" applyAlignment="0" applyProtection="0"/>
    <xf numFmtId="0" fontId="48" fillId="12" borderId="214" applyNumberFormat="0" applyAlignment="0" applyProtection="0"/>
    <xf numFmtId="0" fontId="48" fillId="12" borderId="214" applyNumberFormat="0" applyAlignment="0" applyProtection="0"/>
    <xf numFmtId="0" fontId="48" fillId="12" borderId="214" applyNumberFormat="0" applyAlignment="0" applyProtection="0"/>
    <xf numFmtId="0" fontId="48" fillId="12" borderId="214" applyNumberFormat="0" applyAlignment="0" applyProtection="0"/>
    <xf numFmtId="0" fontId="48" fillId="12" borderId="214" applyNumberFormat="0" applyAlignment="0" applyProtection="0"/>
    <xf numFmtId="0" fontId="48" fillId="12" borderId="214" applyNumberFormat="0" applyAlignment="0" applyProtection="0"/>
    <xf numFmtId="0" fontId="48" fillId="12" borderId="214" applyNumberFormat="0" applyAlignment="0" applyProtection="0"/>
    <xf numFmtId="0" fontId="48" fillId="12" borderId="214" applyNumberFormat="0" applyAlignment="0" applyProtection="0"/>
    <xf numFmtId="0" fontId="48" fillId="12" borderId="214" applyNumberFormat="0" applyAlignment="0" applyProtection="0"/>
    <xf numFmtId="0" fontId="48" fillId="12" borderId="214" applyNumberFormat="0" applyAlignment="0" applyProtection="0"/>
    <xf numFmtId="0" fontId="48" fillId="12" borderId="214" applyNumberFormat="0" applyAlignment="0" applyProtection="0"/>
    <xf numFmtId="0" fontId="48" fillId="12" borderId="214" applyNumberFormat="0" applyAlignment="0" applyProtection="0"/>
    <xf numFmtId="0" fontId="48" fillId="12" borderId="214" applyNumberFormat="0" applyAlignment="0" applyProtection="0"/>
    <xf numFmtId="0" fontId="48" fillId="12" borderId="214" applyNumberFormat="0" applyAlignment="0" applyProtection="0"/>
    <xf numFmtId="0" fontId="48" fillId="12" borderId="214" applyNumberFormat="0" applyAlignment="0" applyProtection="0"/>
    <xf numFmtId="0" fontId="48" fillId="12" borderId="214" applyNumberFormat="0" applyAlignment="0" applyProtection="0"/>
    <xf numFmtId="0" fontId="48" fillId="12" borderId="214" applyNumberFormat="0" applyAlignment="0" applyProtection="0"/>
    <xf numFmtId="0" fontId="48" fillId="12" borderId="214" applyNumberFormat="0" applyAlignment="0" applyProtection="0"/>
    <xf numFmtId="0" fontId="48" fillId="12" borderId="214" applyNumberFormat="0" applyAlignment="0" applyProtection="0"/>
    <xf numFmtId="0" fontId="48" fillId="12" borderId="214" applyNumberFormat="0" applyAlignment="0" applyProtection="0"/>
    <xf numFmtId="0" fontId="48" fillId="12" borderId="214" applyNumberFormat="0" applyAlignment="0" applyProtection="0"/>
    <xf numFmtId="0" fontId="48" fillId="12" borderId="214" applyNumberFormat="0" applyAlignment="0" applyProtection="0"/>
    <xf numFmtId="0" fontId="48" fillId="12" borderId="214" applyNumberFormat="0" applyAlignment="0" applyProtection="0"/>
    <xf numFmtId="0" fontId="48" fillId="12" borderId="214" applyNumberFormat="0" applyAlignment="0" applyProtection="0"/>
    <xf numFmtId="0" fontId="48" fillId="12" borderId="214" applyNumberFormat="0" applyAlignment="0" applyProtection="0"/>
    <xf numFmtId="0" fontId="48" fillId="12" borderId="214" applyNumberFormat="0" applyAlignment="0" applyProtection="0"/>
    <xf numFmtId="0" fontId="48" fillId="12" borderId="214" applyNumberFormat="0" applyAlignment="0" applyProtection="0"/>
    <xf numFmtId="0" fontId="48" fillId="12" borderId="214" applyNumberFormat="0" applyAlignment="0" applyProtection="0"/>
    <xf numFmtId="0" fontId="48" fillId="12" borderId="214" applyNumberFormat="0" applyAlignment="0" applyProtection="0"/>
    <xf numFmtId="0" fontId="48" fillId="12" borderId="214" applyNumberFormat="0" applyAlignment="0" applyProtection="0"/>
    <xf numFmtId="0" fontId="48" fillId="12" borderId="214" applyNumberFormat="0" applyAlignment="0" applyProtection="0"/>
    <xf numFmtId="0" fontId="48" fillId="12" borderId="214" applyNumberFormat="0" applyAlignment="0" applyProtection="0"/>
    <xf numFmtId="0" fontId="48" fillId="12" borderId="214" applyNumberFormat="0" applyAlignment="0" applyProtection="0"/>
    <xf numFmtId="0" fontId="48" fillId="12" borderId="214" applyNumberFormat="0" applyAlignment="0" applyProtection="0"/>
    <xf numFmtId="0" fontId="48" fillId="12" borderId="214" applyNumberFormat="0" applyAlignment="0" applyProtection="0"/>
    <xf numFmtId="0" fontId="48" fillId="12" borderId="214" applyNumberFormat="0" applyAlignment="0" applyProtection="0"/>
    <xf numFmtId="0" fontId="48" fillId="12" borderId="214" applyNumberFormat="0" applyAlignment="0" applyProtection="0"/>
    <xf numFmtId="0" fontId="48" fillId="12" borderId="214" applyNumberFormat="0" applyAlignment="0" applyProtection="0"/>
    <xf numFmtId="0" fontId="48" fillId="12" borderId="214" applyNumberFormat="0" applyAlignment="0" applyProtection="0"/>
    <xf numFmtId="0" fontId="48" fillId="12" borderId="214" applyNumberFormat="0" applyAlignment="0" applyProtection="0"/>
    <xf numFmtId="0" fontId="48" fillId="12" borderId="214" applyNumberFormat="0" applyAlignment="0" applyProtection="0"/>
    <xf numFmtId="0" fontId="48" fillId="12" borderId="214" applyNumberFormat="0" applyAlignment="0" applyProtection="0"/>
    <xf numFmtId="0" fontId="48" fillId="12" borderId="214" applyNumberFormat="0" applyAlignment="0" applyProtection="0"/>
    <xf numFmtId="0" fontId="48" fillId="12" borderId="214" applyNumberFormat="0" applyAlignment="0" applyProtection="0"/>
    <xf numFmtId="0" fontId="48" fillId="12" borderId="214" applyNumberFormat="0" applyAlignment="0" applyProtection="0"/>
    <xf numFmtId="0" fontId="48" fillId="12" borderId="214" applyNumberFormat="0" applyAlignment="0" applyProtection="0"/>
    <xf numFmtId="0" fontId="48" fillId="12" borderId="214" applyNumberFormat="0" applyAlignment="0" applyProtection="0"/>
    <xf numFmtId="0" fontId="48" fillId="12" borderId="214" applyNumberFormat="0" applyAlignment="0" applyProtection="0"/>
    <xf numFmtId="0" fontId="48" fillId="12" borderId="214" applyNumberFormat="0" applyAlignment="0" applyProtection="0"/>
    <xf numFmtId="0" fontId="48" fillId="12" borderId="214" applyNumberFormat="0" applyAlignment="0" applyProtection="0"/>
    <xf numFmtId="0" fontId="48" fillId="12" borderId="214" applyNumberFormat="0" applyAlignment="0" applyProtection="0"/>
    <xf numFmtId="0" fontId="48" fillId="12" borderId="214" applyNumberFormat="0" applyAlignment="0" applyProtection="0"/>
    <xf numFmtId="0" fontId="48" fillId="12" borderId="214" applyNumberFormat="0" applyAlignment="0" applyProtection="0"/>
    <xf numFmtId="0" fontId="48" fillId="12" borderId="214" applyNumberFormat="0" applyAlignment="0" applyProtection="0"/>
    <xf numFmtId="0" fontId="48" fillId="12" borderId="214" applyNumberFormat="0" applyAlignment="0" applyProtection="0"/>
    <xf numFmtId="0" fontId="48" fillId="12" borderId="214" applyNumberFormat="0" applyAlignment="0" applyProtection="0"/>
    <xf numFmtId="0" fontId="48" fillId="12" borderId="214" applyNumberFormat="0" applyAlignment="0" applyProtection="0"/>
    <xf numFmtId="0" fontId="48" fillId="12" borderId="214" applyNumberFormat="0" applyAlignment="0" applyProtection="0"/>
    <xf numFmtId="0" fontId="48" fillId="12" borderId="214" applyNumberFormat="0" applyAlignment="0" applyProtection="0"/>
    <xf numFmtId="0" fontId="48" fillId="12" borderId="214" applyNumberFormat="0" applyAlignment="0" applyProtection="0"/>
    <xf numFmtId="0" fontId="48" fillId="12" borderId="214" applyNumberFormat="0" applyAlignment="0" applyProtection="0"/>
    <xf numFmtId="0" fontId="48" fillId="12" borderId="214" applyNumberFormat="0" applyAlignment="0" applyProtection="0"/>
    <xf numFmtId="0" fontId="48" fillId="12" borderId="214" applyNumberFormat="0" applyAlignment="0" applyProtection="0"/>
    <xf numFmtId="0" fontId="48" fillId="12" borderId="214" applyNumberFormat="0" applyAlignment="0" applyProtection="0"/>
    <xf numFmtId="0" fontId="48" fillId="12" borderId="214" applyNumberFormat="0" applyAlignment="0" applyProtection="0"/>
    <xf numFmtId="0" fontId="48" fillId="12" borderId="214" applyNumberFormat="0" applyAlignment="0" applyProtection="0"/>
    <xf numFmtId="0" fontId="48" fillId="12" borderId="214" applyNumberFormat="0" applyAlignment="0" applyProtection="0"/>
    <xf numFmtId="0" fontId="48" fillId="12" borderId="214" applyNumberFormat="0" applyAlignment="0" applyProtection="0"/>
    <xf numFmtId="0" fontId="48" fillId="12" borderId="214" applyNumberFormat="0" applyAlignment="0" applyProtection="0"/>
    <xf numFmtId="0" fontId="48" fillId="12" borderId="214" applyNumberFormat="0" applyAlignment="0" applyProtection="0"/>
    <xf numFmtId="0" fontId="48" fillId="12" borderId="214" applyNumberFormat="0" applyAlignment="0" applyProtection="0"/>
    <xf numFmtId="0" fontId="48" fillId="12" borderId="214" applyNumberFormat="0" applyAlignment="0" applyProtection="0"/>
    <xf numFmtId="0" fontId="48" fillId="12" borderId="214" applyNumberFormat="0" applyAlignment="0" applyProtection="0"/>
    <xf numFmtId="0" fontId="48" fillId="12" borderId="214" applyNumberFormat="0" applyAlignment="0" applyProtection="0"/>
    <xf numFmtId="0" fontId="48" fillId="12" borderId="214" applyNumberFormat="0" applyAlignment="0" applyProtection="0"/>
    <xf numFmtId="0" fontId="16" fillId="24" borderId="214" applyNumberFormat="0" applyAlignment="0" applyProtection="0"/>
    <xf numFmtId="0" fontId="16" fillId="24" borderId="214" applyNumberFormat="0" applyAlignment="0" applyProtection="0"/>
    <xf numFmtId="0" fontId="16" fillId="24" borderId="214" applyNumberFormat="0" applyAlignment="0" applyProtection="0"/>
    <xf numFmtId="0" fontId="16" fillId="24" borderId="214" applyNumberFormat="0" applyAlignment="0" applyProtection="0"/>
    <xf numFmtId="0" fontId="16" fillId="24" borderId="214" applyNumberFormat="0" applyAlignment="0" applyProtection="0"/>
    <xf numFmtId="0" fontId="16" fillId="24" borderId="214" applyNumberFormat="0" applyAlignment="0" applyProtection="0"/>
    <xf numFmtId="0" fontId="16" fillId="24" borderId="214" applyNumberFormat="0" applyAlignment="0" applyProtection="0"/>
    <xf numFmtId="0" fontId="16" fillId="24" borderId="214" applyNumberFormat="0" applyAlignment="0" applyProtection="0"/>
    <xf numFmtId="0" fontId="16" fillId="24" borderId="214" applyNumberFormat="0" applyAlignment="0" applyProtection="0"/>
    <xf numFmtId="0" fontId="16" fillId="24" borderId="214" applyNumberFormat="0" applyAlignment="0" applyProtection="0"/>
    <xf numFmtId="0" fontId="16" fillId="24" borderId="214" applyNumberFormat="0" applyAlignment="0" applyProtection="0"/>
    <xf numFmtId="0" fontId="16" fillId="24" borderId="214" applyNumberFormat="0" applyAlignment="0" applyProtection="0"/>
    <xf numFmtId="0" fontId="16" fillId="24" borderId="214" applyNumberFormat="0" applyAlignment="0" applyProtection="0"/>
    <xf numFmtId="0" fontId="16" fillId="24" borderId="214" applyNumberFormat="0" applyAlignment="0" applyProtection="0"/>
    <xf numFmtId="0" fontId="16" fillId="24" borderId="214" applyNumberFormat="0" applyAlignment="0" applyProtection="0"/>
    <xf numFmtId="0" fontId="16" fillId="24" borderId="214" applyNumberFormat="0" applyAlignment="0" applyProtection="0"/>
    <xf numFmtId="0" fontId="16" fillId="24" borderId="214" applyNumberFormat="0" applyAlignment="0" applyProtection="0"/>
    <xf numFmtId="0" fontId="16" fillId="24" borderId="214" applyNumberFormat="0" applyAlignment="0" applyProtection="0"/>
    <xf numFmtId="0" fontId="16" fillId="24" borderId="214" applyNumberFormat="0" applyAlignment="0" applyProtection="0"/>
    <xf numFmtId="0" fontId="16" fillId="24" borderId="214" applyNumberFormat="0" applyAlignment="0" applyProtection="0"/>
    <xf numFmtId="0" fontId="16" fillId="24" borderId="214" applyNumberFormat="0" applyAlignment="0" applyProtection="0"/>
    <xf numFmtId="0" fontId="16" fillId="24" borderId="214" applyNumberFormat="0" applyAlignment="0" applyProtection="0"/>
    <xf numFmtId="0" fontId="16" fillId="24" borderId="214" applyNumberFormat="0" applyAlignment="0" applyProtection="0"/>
    <xf numFmtId="0" fontId="16" fillId="24" borderId="214" applyNumberFormat="0" applyAlignment="0" applyProtection="0"/>
    <xf numFmtId="0" fontId="16" fillId="24" borderId="214" applyNumberFormat="0" applyAlignment="0" applyProtection="0"/>
    <xf numFmtId="0" fontId="16" fillId="24" borderId="214" applyNumberFormat="0" applyAlignment="0" applyProtection="0"/>
    <xf numFmtId="0" fontId="16" fillId="24" borderId="214" applyNumberFormat="0" applyAlignment="0" applyProtection="0"/>
    <xf numFmtId="0" fontId="16" fillId="24" borderId="214" applyNumberFormat="0" applyAlignment="0" applyProtection="0"/>
    <xf numFmtId="0" fontId="16" fillId="24" borderId="214" applyNumberFormat="0" applyAlignment="0" applyProtection="0"/>
    <xf numFmtId="0" fontId="16" fillId="24" borderId="214" applyNumberFormat="0" applyAlignment="0" applyProtection="0"/>
    <xf numFmtId="0" fontId="16" fillId="24" borderId="214" applyNumberFormat="0" applyAlignment="0" applyProtection="0"/>
    <xf numFmtId="0" fontId="16" fillId="24" borderId="214" applyNumberFormat="0" applyAlignment="0" applyProtection="0"/>
    <xf numFmtId="0" fontId="16" fillId="24" borderId="214" applyNumberFormat="0" applyAlignment="0" applyProtection="0"/>
    <xf numFmtId="0" fontId="16" fillId="24" borderId="214" applyNumberFormat="0" applyAlignment="0" applyProtection="0"/>
    <xf numFmtId="0" fontId="16" fillId="24" borderId="214" applyNumberFormat="0" applyAlignment="0" applyProtection="0"/>
    <xf numFmtId="0" fontId="16" fillId="24" borderId="214" applyNumberFormat="0" applyAlignment="0" applyProtection="0"/>
    <xf numFmtId="0" fontId="16" fillId="24" borderId="214" applyNumberFormat="0" applyAlignment="0" applyProtection="0"/>
    <xf numFmtId="0" fontId="16" fillId="24" borderId="214" applyNumberFormat="0" applyAlignment="0" applyProtection="0"/>
    <xf numFmtId="0" fontId="16" fillId="24" borderId="214" applyNumberFormat="0" applyAlignment="0" applyProtection="0"/>
    <xf numFmtId="0" fontId="16" fillId="24" borderId="214" applyNumberFormat="0" applyAlignment="0" applyProtection="0"/>
    <xf numFmtId="0" fontId="16" fillId="24" borderId="214" applyNumberFormat="0" applyAlignment="0" applyProtection="0"/>
    <xf numFmtId="0" fontId="16" fillId="24" borderId="214" applyNumberFormat="0" applyAlignment="0" applyProtection="0"/>
    <xf numFmtId="0" fontId="16" fillId="24" borderId="214" applyNumberFormat="0" applyAlignment="0" applyProtection="0"/>
    <xf numFmtId="0" fontId="16" fillId="24" borderId="214" applyNumberFormat="0" applyAlignment="0" applyProtection="0"/>
    <xf numFmtId="0" fontId="16" fillId="24" borderId="214" applyNumberFormat="0" applyAlignment="0" applyProtection="0"/>
    <xf numFmtId="0" fontId="16" fillId="24" borderId="214" applyNumberFormat="0" applyAlignment="0" applyProtection="0"/>
    <xf numFmtId="0" fontId="16" fillId="24" borderId="214" applyNumberFormat="0" applyAlignment="0" applyProtection="0"/>
    <xf numFmtId="0" fontId="16" fillId="24" borderId="214" applyNumberFormat="0" applyAlignment="0" applyProtection="0"/>
    <xf numFmtId="0" fontId="16" fillId="24" borderId="214" applyNumberFormat="0" applyAlignment="0" applyProtection="0"/>
    <xf numFmtId="0" fontId="48" fillId="12" borderId="214" applyNumberFormat="0" applyAlignment="0" applyProtection="0"/>
    <xf numFmtId="0" fontId="48" fillId="12" borderId="214" applyNumberFormat="0" applyAlignment="0" applyProtection="0"/>
    <xf numFmtId="0" fontId="48" fillId="12" borderId="214" applyNumberFormat="0" applyAlignment="0" applyProtection="0"/>
    <xf numFmtId="0" fontId="48" fillId="12" borderId="214" applyNumberFormat="0" applyAlignment="0" applyProtection="0"/>
    <xf numFmtId="0" fontId="48" fillId="12" borderId="214" applyNumberFormat="0" applyAlignment="0" applyProtection="0"/>
    <xf numFmtId="0" fontId="48" fillId="12" borderId="214" applyNumberFormat="0" applyAlignment="0" applyProtection="0"/>
    <xf numFmtId="0" fontId="48" fillId="12" borderId="214" applyNumberFormat="0" applyAlignment="0" applyProtection="0"/>
    <xf numFmtId="0" fontId="48" fillId="12" borderId="214" applyNumberFormat="0" applyAlignment="0" applyProtection="0"/>
    <xf numFmtId="0" fontId="48" fillId="12" borderId="214" applyNumberFormat="0" applyAlignment="0" applyProtection="0"/>
    <xf numFmtId="0" fontId="48" fillId="12" borderId="214" applyNumberFormat="0" applyAlignment="0" applyProtection="0"/>
    <xf numFmtId="0" fontId="48" fillId="12" borderId="214" applyNumberFormat="0" applyAlignment="0" applyProtection="0"/>
    <xf numFmtId="0" fontId="48" fillId="12" borderId="214" applyNumberFormat="0" applyAlignment="0" applyProtection="0"/>
    <xf numFmtId="0" fontId="48" fillId="12" borderId="214" applyNumberFormat="0" applyAlignment="0" applyProtection="0"/>
    <xf numFmtId="0" fontId="48" fillId="12" borderId="214" applyNumberFormat="0" applyAlignment="0" applyProtection="0"/>
    <xf numFmtId="0" fontId="48" fillId="12" borderId="214" applyNumberFormat="0" applyAlignment="0" applyProtection="0"/>
    <xf numFmtId="0" fontId="48" fillId="12" borderId="214" applyNumberFormat="0" applyAlignment="0" applyProtection="0"/>
    <xf numFmtId="0" fontId="48" fillId="12" borderId="214" applyNumberFormat="0" applyAlignment="0" applyProtection="0"/>
    <xf numFmtId="0" fontId="48" fillId="12" borderId="214" applyNumberFormat="0" applyAlignment="0" applyProtection="0"/>
    <xf numFmtId="0" fontId="48" fillId="12" borderId="214" applyNumberFormat="0" applyAlignment="0" applyProtection="0"/>
    <xf numFmtId="0" fontId="48" fillId="12" borderId="214" applyNumberFormat="0" applyAlignment="0" applyProtection="0"/>
    <xf numFmtId="0" fontId="48" fillId="12" borderId="214" applyNumberFormat="0" applyAlignment="0" applyProtection="0"/>
    <xf numFmtId="0" fontId="48" fillId="12" borderId="214" applyNumberFormat="0" applyAlignment="0" applyProtection="0"/>
    <xf numFmtId="0" fontId="48" fillId="12" borderId="214" applyNumberFormat="0" applyAlignment="0" applyProtection="0"/>
    <xf numFmtId="0" fontId="48" fillId="12" borderId="214" applyNumberFormat="0" applyAlignment="0" applyProtection="0"/>
    <xf numFmtId="0" fontId="48" fillId="12" borderId="214" applyNumberFormat="0" applyAlignment="0" applyProtection="0"/>
    <xf numFmtId="0" fontId="48" fillId="12" borderId="214" applyNumberFormat="0" applyAlignment="0" applyProtection="0"/>
    <xf numFmtId="0" fontId="48" fillId="12" borderId="214" applyNumberFormat="0" applyAlignment="0" applyProtection="0"/>
    <xf numFmtId="0" fontId="48" fillId="12" borderId="214" applyNumberFormat="0" applyAlignment="0" applyProtection="0"/>
    <xf numFmtId="0" fontId="48" fillId="12" borderId="214" applyNumberFormat="0" applyAlignment="0" applyProtection="0"/>
    <xf numFmtId="0" fontId="48" fillId="12" borderId="214" applyNumberFormat="0" applyAlignment="0" applyProtection="0"/>
    <xf numFmtId="0" fontId="48" fillId="12" borderId="214" applyNumberFormat="0" applyAlignment="0" applyProtection="0"/>
    <xf numFmtId="0" fontId="48" fillId="12" borderId="214" applyNumberFormat="0" applyAlignment="0" applyProtection="0"/>
    <xf numFmtId="0" fontId="48" fillId="12" borderId="214" applyNumberFormat="0" applyAlignment="0" applyProtection="0"/>
    <xf numFmtId="0" fontId="48" fillId="12" borderId="214" applyNumberFormat="0" applyAlignment="0" applyProtection="0"/>
    <xf numFmtId="0" fontId="48" fillId="12" borderId="214" applyNumberFormat="0" applyAlignment="0" applyProtection="0"/>
    <xf numFmtId="0" fontId="48" fillId="12" borderId="214" applyNumberFormat="0" applyAlignment="0" applyProtection="0"/>
    <xf numFmtId="0" fontId="48" fillId="12" borderId="214" applyNumberFormat="0" applyAlignment="0" applyProtection="0"/>
    <xf numFmtId="0" fontId="48" fillId="12" borderId="214" applyNumberFormat="0" applyAlignment="0" applyProtection="0"/>
    <xf numFmtId="0" fontId="48" fillId="12" borderId="214" applyNumberFormat="0" applyAlignment="0" applyProtection="0"/>
    <xf numFmtId="0" fontId="48" fillId="12" borderId="214" applyNumberFormat="0" applyAlignment="0" applyProtection="0"/>
    <xf numFmtId="0" fontId="48" fillId="12" borderId="214" applyNumberFormat="0" applyAlignment="0" applyProtection="0"/>
    <xf numFmtId="0" fontId="48" fillId="12" borderId="214" applyNumberFormat="0" applyAlignment="0" applyProtection="0"/>
    <xf numFmtId="0" fontId="48" fillId="12" borderId="214" applyNumberFormat="0" applyAlignment="0" applyProtection="0"/>
    <xf numFmtId="0" fontId="48" fillId="12" borderId="214" applyNumberFormat="0" applyAlignment="0" applyProtection="0"/>
    <xf numFmtId="0" fontId="48" fillId="12" borderId="214" applyNumberFormat="0" applyAlignment="0" applyProtection="0"/>
    <xf numFmtId="0" fontId="48" fillId="12" borderId="214" applyNumberFormat="0" applyAlignment="0" applyProtection="0"/>
    <xf numFmtId="0" fontId="48" fillId="12" borderId="214" applyNumberFormat="0" applyAlignment="0" applyProtection="0"/>
    <xf numFmtId="0" fontId="48" fillId="12" borderId="214" applyNumberFormat="0" applyAlignment="0" applyProtection="0"/>
    <xf numFmtId="0" fontId="48" fillId="12" borderId="214" applyNumberFormat="0" applyAlignment="0" applyProtection="0"/>
    <xf numFmtId="0" fontId="48" fillId="12" borderId="214" applyNumberFormat="0" applyAlignment="0" applyProtection="0"/>
    <xf numFmtId="0" fontId="48" fillId="12" borderId="214" applyNumberFormat="0" applyAlignment="0" applyProtection="0"/>
    <xf numFmtId="0" fontId="48" fillId="12" borderId="214" applyNumberFormat="0" applyAlignment="0" applyProtection="0"/>
    <xf numFmtId="0" fontId="48" fillId="12" borderId="214" applyNumberFormat="0" applyAlignment="0" applyProtection="0"/>
    <xf numFmtId="0" fontId="48" fillId="12" borderId="214" applyNumberFormat="0" applyAlignment="0" applyProtection="0"/>
    <xf numFmtId="0" fontId="48" fillId="12" borderId="214" applyNumberFormat="0" applyAlignment="0" applyProtection="0"/>
    <xf numFmtId="0" fontId="48" fillId="12" borderId="214" applyNumberFormat="0" applyAlignment="0" applyProtection="0"/>
    <xf numFmtId="0" fontId="48" fillId="12" borderId="214" applyNumberFormat="0" applyAlignment="0" applyProtection="0"/>
    <xf numFmtId="0" fontId="48" fillId="12" borderId="214" applyNumberFormat="0" applyAlignment="0" applyProtection="0"/>
    <xf numFmtId="0" fontId="48" fillId="12" borderId="214" applyNumberFormat="0" applyAlignment="0" applyProtection="0"/>
    <xf numFmtId="0" fontId="48" fillId="12" borderId="214" applyNumberFormat="0" applyAlignment="0" applyProtection="0"/>
    <xf numFmtId="0" fontId="48" fillId="12" borderId="214" applyNumberFormat="0" applyAlignment="0" applyProtection="0"/>
    <xf numFmtId="0" fontId="48" fillId="12" borderId="214" applyNumberFormat="0" applyAlignment="0" applyProtection="0"/>
    <xf numFmtId="0" fontId="48" fillId="12" borderId="214" applyNumberFormat="0" applyAlignment="0" applyProtection="0"/>
    <xf numFmtId="0" fontId="48" fillId="12" borderId="214" applyNumberFormat="0" applyAlignment="0" applyProtection="0"/>
    <xf numFmtId="0" fontId="48" fillId="12" borderId="214" applyNumberFormat="0" applyAlignment="0" applyProtection="0"/>
    <xf numFmtId="0" fontId="48" fillId="12" borderId="214" applyNumberFormat="0" applyAlignment="0" applyProtection="0"/>
    <xf numFmtId="0" fontId="48" fillId="12" borderId="214" applyNumberFormat="0" applyAlignment="0" applyProtection="0"/>
    <xf numFmtId="0" fontId="48" fillId="12" borderId="214" applyNumberFormat="0" applyAlignment="0" applyProtection="0"/>
    <xf numFmtId="0" fontId="48" fillId="12" borderId="214" applyNumberFormat="0" applyAlignment="0" applyProtection="0"/>
    <xf numFmtId="0" fontId="48" fillId="12" borderId="214" applyNumberFormat="0" applyAlignment="0" applyProtection="0"/>
    <xf numFmtId="0" fontId="48" fillId="12" borderId="214" applyNumberFormat="0" applyAlignment="0" applyProtection="0"/>
    <xf numFmtId="0" fontId="48" fillId="12" borderId="214" applyNumberFormat="0" applyAlignment="0" applyProtection="0"/>
    <xf numFmtId="0" fontId="48" fillId="12" borderId="214" applyNumberFormat="0" applyAlignment="0" applyProtection="0"/>
    <xf numFmtId="0" fontId="48" fillId="12" borderId="214" applyNumberFormat="0" applyAlignment="0" applyProtection="0"/>
    <xf numFmtId="0" fontId="48" fillId="12" borderId="214" applyNumberFormat="0" applyAlignment="0" applyProtection="0"/>
    <xf numFmtId="0" fontId="48" fillId="12" borderId="214" applyNumberFormat="0" applyAlignment="0" applyProtection="0"/>
    <xf numFmtId="0" fontId="48" fillId="12" borderId="214" applyNumberFormat="0" applyAlignment="0" applyProtection="0"/>
    <xf numFmtId="0" fontId="16" fillId="24" borderId="214" applyNumberFormat="0" applyAlignment="0" applyProtection="0"/>
    <xf numFmtId="0" fontId="16" fillId="24" borderId="214" applyNumberFormat="0" applyAlignment="0" applyProtection="0"/>
    <xf numFmtId="0" fontId="16" fillId="24" borderId="214" applyNumberFormat="0" applyAlignment="0" applyProtection="0"/>
    <xf numFmtId="0" fontId="16" fillId="24" borderId="214" applyNumberFormat="0" applyAlignment="0" applyProtection="0"/>
    <xf numFmtId="0" fontId="16" fillId="24" borderId="214" applyNumberFormat="0" applyAlignment="0" applyProtection="0"/>
    <xf numFmtId="0" fontId="16" fillId="24" borderId="214" applyNumberFormat="0" applyAlignment="0" applyProtection="0"/>
    <xf numFmtId="0" fontId="16" fillId="24" borderId="214" applyNumberFormat="0" applyAlignment="0" applyProtection="0"/>
    <xf numFmtId="0" fontId="16" fillId="24" borderId="214" applyNumberFormat="0" applyAlignment="0" applyProtection="0"/>
    <xf numFmtId="0" fontId="16" fillId="24" borderId="214" applyNumberFormat="0" applyAlignment="0" applyProtection="0"/>
    <xf numFmtId="0" fontId="16" fillId="24" borderId="214" applyNumberFormat="0" applyAlignment="0" applyProtection="0"/>
    <xf numFmtId="0" fontId="16" fillId="24" borderId="214" applyNumberFormat="0" applyAlignment="0" applyProtection="0"/>
    <xf numFmtId="0" fontId="16" fillId="24" borderId="214" applyNumberFormat="0" applyAlignment="0" applyProtection="0"/>
    <xf numFmtId="0" fontId="16" fillId="24" borderId="214" applyNumberFormat="0" applyAlignment="0" applyProtection="0"/>
    <xf numFmtId="0" fontId="16" fillId="24" borderId="214" applyNumberFormat="0" applyAlignment="0" applyProtection="0"/>
    <xf numFmtId="0" fontId="16" fillId="24" borderId="214" applyNumberFormat="0" applyAlignment="0" applyProtection="0"/>
    <xf numFmtId="0" fontId="16" fillId="24" borderId="214" applyNumberFormat="0" applyAlignment="0" applyProtection="0"/>
    <xf numFmtId="0" fontId="16" fillId="24" borderId="214" applyNumberFormat="0" applyAlignment="0" applyProtection="0"/>
    <xf numFmtId="0" fontId="16" fillId="24" borderId="214" applyNumberFormat="0" applyAlignment="0" applyProtection="0"/>
    <xf numFmtId="0" fontId="16" fillId="24" borderId="214" applyNumberFormat="0" applyAlignment="0" applyProtection="0"/>
    <xf numFmtId="0" fontId="16" fillId="24" borderId="214" applyNumberFormat="0" applyAlignment="0" applyProtection="0"/>
    <xf numFmtId="0" fontId="16" fillId="24" borderId="214" applyNumberFormat="0" applyAlignment="0" applyProtection="0"/>
    <xf numFmtId="0" fontId="16" fillId="24" borderId="214" applyNumberFormat="0" applyAlignment="0" applyProtection="0"/>
    <xf numFmtId="0" fontId="16" fillId="24" borderId="214" applyNumberFormat="0" applyAlignment="0" applyProtection="0"/>
    <xf numFmtId="0" fontId="16" fillId="24" borderId="214" applyNumberFormat="0" applyAlignment="0" applyProtection="0"/>
    <xf numFmtId="0" fontId="16" fillId="24" borderId="214" applyNumberFormat="0" applyAlignment="0" applyProtection="0"/>
    <xf numFmtId="0" fontId="16" fillId="24" borderId="214" applyNumberFormat="0" applyAlignment="0" applyProtection="0"/>
    <xf numFmtId="0" fontId="16" fillId="24" borderId="214" applyNumberFormat="0" applyAlignment="0" applyProtection="0"/>
    <xf numFmtId="0" fontId="16" fillId="24" borderId="214" applyNumberFormat="0" applyAlignment="0" applyProtection="0"/>
    <xf numFmtId="0" fontId="16" fillId="24" borderId="214" applyNumberFormat="0" applyAlignment="0" applyProtection="0"/>
    <xf numFmtId="0" fontId="16" fillId="24" borderId="214" applyNumberFormat="0" applyAlignment="0" applyProtection="0"/>
    <xf numFmtId="0" fontId="16" fillId="24" borderId="214" applyNumberFormat="0" applyAlignment="0" applyProtection="0"/>
    <xf numFmtId="0" fontId="16" fillId="24" borderId="214" applyNumberFormat="0" applyAlignment="0" applyProtection="0"/>
    <xf numFmtId="0" fontId="16" fillId="24" borderId="214" applyNumberFormat="0" applyAlignment="0" applyProtection="0"/>
    <xf numFmtId="0" fontId="16" fillId="24" borderId="214" applyNumberFormat="0" applyAlignment="0" applyProtection="0"/>
    <xf numFmtId="0" fontId="16" fillId="24" borderId="214" applyNumberFormat="0" applyAlignment="0" applyProtection="0"/>
    <xf numFmtId="0" fontId="16" fillId="24" borderId="214" applyNumberFormat="0" applyAlignment="0" applyProtection="0"/>
    <xf numFmtId="0" fontId="16" fillId="24" borderId="214" applyNumberFormat="0" applyAlignment="0" applyProtection="0"/>
    <xf numFmtId="0" fontId="16" fillId="24" borderId="214" applyNumberFormat="0" applyAlignment="0" applyProtection="0"/>
    <xf numFmtId="0" fontId="16" fillId="24" borderId="214" applyNumberFormat="0" applyAlignment="0" applyProtection="0"/>
    <xf numFmtId="0" fontId="16" fillId="24" borderId="214" applyNumberFormat="0" applyAlignment="0" applyProtection="0"/>
    <xf numFmtId="0" fontId="16" fillId="24" borderId="214" applyNumberFormat="0" applyAlignment="0" applyProtection="0"/>
    <xf numFmtId="0" fontId="16" fillId="24" borderId="214" applyNumberFormat="0" applyAlignment="0" applyProtection="0"/>
    <xf numFmtId="0" fontId="16" fillId="24" borderId="214" applyNumberFormat="0" applyAlignment="0" applyProtection="0"/>
    <xf numFmtId="0" fontId="16" fillId="24" borderId="214" applyNumberFormat="0" applyAlignment="0" applyProtection="0"/>
    <xf numFmtId="0" fontId="16" fillId="24" borderId="214" applyNumberFormat="0" applyAlignment="0" applyProtection="0"/>
    <xf numFmtId="0" fontId="16" fillId="24" borderId="214" applyNumberFormat="0" applyAlignment="0" applyProtection="0"/>
    <xf numFmtId="0" fontId="16" fillId="24" borderId="214" applyNumberFormat="0" applyAlignment="0" applyProtection="0"/>
    <xf numFmtId="0" fontId="16" fillId="24" borderId="214" applyNumberFormat="0" applyAlignment="0" applyProtection="0"/>
    <xf numFmtId="0" fontId="16" fillId="24" borderId="214" applyNumberFormat="0" applyAlignment="0" applyProtection="0"/>
    <xf numFmtId="0" fontId="48" fillId="12" borderId="291" applyNumberFormat="0" applyAlignment="0" applyProtection="0"/>
    <xf numFmtId="0" fontId="31" fillId="0" borderId="241" applyNumberFormat="0" applyFill="0" applyAlignment="0" applyProtection="0"/>
    <xf numFmtId="0" fontId="28" fillId="0" borderId="218"/>
    <xf numFmtId="0" fontId="28" fillId="0" borderId="218"/>
    <xf numFmtId="0" fontId="28" fillId="0" borderId="218"/>
    <xf numFmtId="0" fontId="28" fillId="0" borderId="218"/>
    <xf numFmtId="0" fontId="28" fillId="0" borderId="218"/>
    <xf numFmtId="0" fontId="28" fillId="0" borderId="218"/>
    <xf numFmtId="0" fontId="28" fillId="0" borderId="218"/>
    <xf numFmtId="0" fontId="28" fillId="0" borderId="218"/>
    <xf numFmtId="0" fontId="28" fillId="0" borderId="218"/>
    <xf numFmtId="0" fontId="28" fillId="0" borderId="218"/>
    <xf numFmtId="0" fontId="28" fillId="0" borderId="218"/>
    <xf numFmtId="0" fontId="28" fillId="0" borderId="218"/>
    <xf numFmtId="0" fontId="28" fillId="0" borderId="218"/>
    <xf numFmtId="0" fontId="28" fillId="0" borderId="218"/>
    <xf numFmtId="0" fontId="28" fillId="0" borderId="218"/>
    <xf numFmtId="0" fontId="28" fillId="0" borderId="218"/>
    <xf numFmtId="0" fontId="28" fillId="0" borderId="218"/>
    <xf numFmtId="0" fontId="28" fillId="0" borderId="218"/>
    <xf numFmtId="0" fontId="28" fillId="0" borderId="218"/>
    <xf numFmtId="0" fontId="28" fillId="0" borderId="218"/>
    <xf numFmtId="0" fontId="28" fillId="0" borderId="218"/>
    <xf numFmtId="0" fontId="28" fillId="0" borderId="218"/>
    <xf numFmtId="0" fontId="28" fillId="0" borderId="218"/>
    <xf numFmtId="0" fontId="28" fillId="0" borderId="218"/>
    <xf numFmtId="0" fontId="28" fillId="0" borderId="218"/>
    <xf numFmtId="0" fontId="28" fillId="0" borderId="218"/>
    <xf numFmtId="0" fontId="28" fillId="0" borderId="218"/>
    <xf numFmtId="0" fontId="28" fillId="0" borderId="218"/>
    <xf numFmtId="0" fontId="28" fillId="0" borderId="218"/>
    <xf numFmtId="0" fontId="28" fillId="0" borderId="218"/>
    <xf numFmtId="0" fontId="28" fillId="0" borderId="218"/>
    <xf numFmtId="0" fontId="28" fillId="0" borderId="218"/>
    <xf numFmtId="0" fontId="28" fillId="0" borderId="218"/>
    <xf numFmtId="0" fontId="28" fillId="0" borderId="218"/>
    <xf numFmtId="0" fontId="28" fillId="0" borderId="218"/>
    <xf numFmtId="0" fontId="28" fillId="0" borderId="218"/>
    <xf numFmtId="0" fontId="28" fillId="0" borderId="218"/>
    <xf numFmtId="0" fontId="28" fillId="0" borderId="218"/>
    <xf numFmtId="0" fontId="28" fillId="0" borderId="218"/>
    <xf numFmtId="0" fontId="28" fillId="0" borderId="218"/>
    <xf numFmtId="0" fontId="28" fillId="0" borderId="218"/>
    <xf numFmtId="0" fontId="28" fillId="0" borderId="218"/>
    <xf numFmtId="0" fontId="28" fillId="0" borderId="218"/>
    <xf numFmtId="0" fontId="28" fillId="0" borderId="218"/>
    <xf numFmtId="0" fontId="28" fillId="0" borderId="218"/>
    <xf numFmtId="0" fontId="25" fillId="13" borderId="214" applyNumberFormat="0" applyAlignment="0" applyProtection="0"/>
    <xf numFmtId="0" fontId="25" fillId="13" borderId="214" applyNumberFormat="0" applyAlignment="0" applyProtection="0"/>
    <xf numFmtId="0" fontId="25" fillId="13" borderId="214" applyNumberFormat="0" applyAlignment="0" applyProtection="0"/>
    <xf numFmtId="0" fontId="25" fillId="13" borderId="214" applyNumberFormat="0" applyAlignment="0" applyProtection="0"/>
    <xf numFmtId="0" fontId="25" fillId="13" borderId="214" applyNumberFormat="0" applyAlignment="0" applyProtection="0"/>
    <xf numFmtId="0" fontId="25" fillId="13" borderId="214" applyNumberFormat="0" applyAlignment="0" applyProtection="0"/>
    <xf numFmtId="0" fontId="25" fillId="13" borderId="214" applyNumberFormat="0" applyAlignment="0" applyProtection="0"/>
    <xf numFmtId="0" fontId="25" fillId="13" borderId="214" applyNumberFormat="0" applyAlignment="0" applyProtection="0"/>
    <xf numFmtId="0" fontId="25" fillId="13" borderId="214" applyNumberFormat="0" applyAlignment="0" applyProtection="0"/>
    <xf numFmtId="0" fontId="25" fillId="13" borderId="214" applyNumberFormat="0" applyAlignment="0" applyProtection="0"/>
    <xf numFmtId="0" fontId="25" fillId="13" borderId="214" applyNumberFormat="0" applyAlignment="0" applyProtection="0"/>
    <xf numFmtId="0" fontId="25" fillId="13" borderId="214" applyNumberFormat="0" applyAlignment="0" applyProtection="0"/>
    <xf numFmtId="0" fontId="25" fillId="13" borderId="214" applyNumberFormat="0" applyAlignment="0" applyProtection="0"/>
    <xf numFmtId="0" fontId="25" fillId="13" borderId="214" applyNumberFormat="0" applyAlignment="0" applyProtection="0"/>
    <xf numFmtId="0" fontId="25" fillId="13" borderId="214" applyNumberFormat="0" applyAlignment="0" applyProtection="0"/>
    <xf numFmtId="0" fontId="25" fillId="13" borderId="214" applyNumberFormat="0" applyAlignment="0" applyProtection="0"/>
    <xf numFmtId="0" fontId="25" fillId="13" borderId="214" applyNumberFormat="0" applyAlignment="0" applyProtection="0"/>
    <xf numFmtId="0" fontId="25" fillId="13" borderId="214" applyNumberFormat="0" applyAlignment="0" applyProtection="0"/>
    <xf numFmtId="0" fontId="25" fillId="13" borderId="214" applyNumberFormat="0" applyAlignment="0" applyProtection="0"/>
    <xf numFmtId="0" fontId="25" fillId="13" borderId="214" applyNumberFormat="0" applyAlignment="0" applyProtection="0"/>
    <xf numFmtId="0" fontId="25" fillId="13" borderId="214" applyNumberFormat="0" applyAlignment="0" applyProtection="0"/>
    <xf numFmtId="0" fontId="25" fillId="13" borderId="214" applyNumberFormat="0" applyAlignment="0" applyProtection="0"/>
    <xf numFmtId="0" fontId="25" fillId="13" borderId="214" applyNumberFormat="0" applyAlignment="0" applyProtection="0"/>
    <xf numFmtId="0" fontId="25" fillId="13" borderId="214" applyNumberFormat="0" applyAlignment="0" applyProtection="0"/>
    <xf numFmtId="0" fontId="25" fillId="13" borderId="214" applyNumberFormat="0" applyAlignment="0" applyProtection="0"/>
    <xf numFmtId="0" fontId="25" fillId="13" borderId="214" applyNumberFormat="0" applyAlignment="0" applyProtection="0"/>
    <xf numFmtId="0" fontId="25" fillId="13" borderId="214" applyNumberFormat="0" applyAlignment="0" applyProtection="0"/>
    <xf numFmtId="0" fontId="25" fillId="13" borderId="214" applyNumberFormat="0" applyAlignment="0" applyProtection="0"/>
    <xf numFmtId="0" fontId="25" fillId="13" borderId="214" applyNumberFormat="0" applyAlignment="0" applyProtection="0"/>
    <xf numFmtId="0" fontId="25" fillId="13" borderId="214" applyNumberFormat="0" applyAlignment="0" applyProtection="0"/>
    <xf numFmtId="0" fontId="25" fillId="13" borderId="214" applyNumberFormat="0" applyAlignment="0" applyProtection="0"/>
    <xf numFmtId="0" fontId="25" fillId="13" borderId="214" applyNumberFormat="0" applyAlignment="0" applyProtection="0"/>
    <xf numFmtId="0" fontId="25" fillId="13" borderId="214" applyNumberFormat="0" applyAlignment="0" applyProtection="0"/>
    <xf numFmtId="0" fontId="25" fillId="13" borderId="214" applyNumberFormat="0" applyAlignment="0" applyProtection="0"/>
    <xf numFmtId="0" fontId="25" fillId="13" borderId="214" applyNumberFormat="0" applyAlignment="0" applyProtection="0"/>
    <xf numFmtId="0" fontId="25" fillId="13" borderId="214" applyNumberFormat="0" applyAlignment="0" applyProtection="0"/>
    <xf numFmtId="0" fontId="25" fillId="13" borderId="214" applyNumberFormat="0" applyAlignment="0" applyProtection="0"/>
    <xf numFmtId="0" fontId="25" fillId="13" borderId="214" applyNumberFormat="0" applyAlignment="0" applyProtection="0"/>
    <xf numFmtId="0" fontId="25" fillId="13" borderId="214" applyNumberFormat="0" applyAlignment="0" applyProtection="0"/>
    <xf numFmtId="0" fontId="25" fillId="13" borderId="214" applyNumberFormat="0" applyAlignment="0" applyProtection="0"/>
    <xf numFmtId="0" fontId="25" fillId="13" borderId="214" applyNumberFormat="0" applyAlignment="0" applyProtection="0"/>
    <xf numFmtId="0" fontId="25" fillId="13" borderId="214" applyNumberFormat="0" applyAlignment="0" applyProtection="0"/>
    <xf numFmtId="0" fontId="25" fillId="13" borderId="214" applyNumberFormat="0" applyAlignment="0" applyProtection="0"/>
    <xf numFmtId="0" fontId="25" fillId="13" borderId="214" applyNumberFormat="0" applyAlignment="0" applyProtection="0"/>
    <xf numFmtId="0" fontId="25" fillId="13" borderId="214" applyNumberFormat="0" applyAlignment="0" applyProtection="0"/>
    <xf numFmtId="0" fontId="25" fillId="13" borderId="214" applyNumberFormat="0" applyAlignment="0" applyProtection="0"/>
    <xf numFmtId="0" fontId="25" fillId="13" borderId="214" applyNumberFormat="0" applyAlignment="0" applyProtection="0"/>
    <xf numFmtId="0" fontId="25" fillId="13" borderId="214" applyNumberFormat="0" applyAlignment="0" applyProtection="0"/>
    <xf numFmtId="0" fontId="25" fillId="13" borderId="214" applyNumberFormat="0" applyAlignment="0" applyProtection="0"/>
    <xf numFmtId="0" fontId="41" fillId="13" borderId="214" applyNumberFormat="0" applyAlignment="0" applyProtection="0"/>
    <xf numFmtId="0" fontId="41" fillId="13" borderId="214" applyNumberFormat="0" applyAlignment="0" applyProtection="0"/>
    <xf numFmtId="0" fontId="41" fillId="13" borderId="214" applyNumberFormat="0" applyAlignment="0" applyProtection="0"/>
    <xf numFmtId="0" fontId="41" fillId="13" borderId="214" applyNumberFormat="0" applyAlignment="0" applyProtection="0"/>
    <xf numFmtId="0" fontId="41" fillId="13" borderId="214" applyNumberFormat="0" applyAlignment="0" applyProtection="0"/>
    <xf numFmtId="0" fontId="41" fillId="13" borderId="214" applyNumberFormat="0" applyAlignment="0" applyProtection="0"/>
    <xf numFmtId="0" fontId="41" fillId="13" borderId="214" applyNumberFormat="0" applyAlignment="0" applyProtection="0"/>
    <xf numFmtId="0" fontId="41" fillId="13" borderId="214" applyNumberFormat="0" applyAlignment="0" applyProtection="0"/>
    <xf numFmtId="0" fontId="41" fillId="13" borderId="214" applyNumberFormat="0" applyAlignment="0" applyProtection="0"/>
    <xf numFmtId="0" fontId="41" fillId="13" borderId="214" applyNumberFormat="0" applyAlignment="0" applyProtection="0"/>
    <xf numFmtId="0" fontId="41" fillId="13" borderId="214" applyNumberFormat="0" applyAlignment="0" applyProtection="0"/>
    <xf numFmtId="0" fontId="41" fillId="13" borderId="214" applyNumberFormat="0" applyAlignment="0" applyProtection="0"/>
    <xf numFmtId="0" fontId="41" fillId="13" borderId="214" applyNumberFormat="0" applyAlignment="0" applyProtection="0"/>
    <xf numFmtId="0" fontId="41" fillId="13" borderId="214" applyNumberFormat="0" applyAlignment="0" applyProtection="0"/>
    <xf numFmtId="0" fontId="41" fillId="13" borderId="214" applyNumberFormat="0" applyAlignment="0" applyProtection="0"/>
    <xf numFmtId="0" fontId="41" fillId="13" borderId="214" applyNumberFormat="0" applyAlignment="0" applyProtection="0"/>
    <xf numFmtId="0" fontId="41" fillId="13" borderId="214" applyNumberFormat="0" applyAlignment="0" applyProtection="0"/>
    <xf numFmtId="0" fontId="41" fillId="13" borderId="214" applyNumberFormat="0" applyAlignment="0" applyProtection="0"/>
    <xf numFmtId="0" fontId="41" fillId="13" borderId="214" applyNumberFormat="0" applyAlignment="0" applyProtection="0"/>
    <xf numFmtId="0" fontId="41" fillId="13" borderId="214" applyNumberFormat="0" applyAlignment="0" applyProtection="0"/>
    <xf numFmtId="0" fontId="41" fillId="13" borderId="214" applyNumberFormat="0" applyAlignment="0" applyProtection="0"/>
    <xf numFmtId="0" fontId="41" fillId="13" borderId="214" applyNumberFormat="0" applyAlignment="0" applyProtection="0"/>
    <xf numFmtId="0" fontId="41" fillId="13" borderId="214" applyNumberFormat="0" applyAlignment="0" applyProtection="0"/>
    <xf numFmtId="0" fontId="41" fillId="13" borderId="214" applyNumberFormat="0" applyAlignment="0" applyProtection="0"/>
    <xf numFmtId="0" fontId="41" fillId="13" borderId="214" applyNumberFormat="0" applyAlignment="0" applyProtection="0"/>
    <xf numFmtId="0" fontId="41" fillId="13" borderId="214" applyNumberFormat="0" applyAlignment="0" applyProtection="0"/>
    <xf numFmtId="0" fontId="41" fillId="13" borderId="214" applyNumberFormat="0" applyAlignment="0" applyProtection="0"/>
    <xf numFmtId="0" fontId="41" fillId="13" borderId="214" applyNumberFormat="0" applyAlignment="0" applyProtection="0"/>
    <xf numFmtId="0" fontId="41" fillId="13" borderId="214" applyNumberFormat="0" applyAlignment="0" applyProtection="0"/>
    <xf numFmtId="0" fontId="41" fillId="13" borderId="214" applyNumberFormat="0" applyAlignment="0" applyProtection="0"/>
    <xf numFmtId="0" fontId="41" fillId="13" borderId="214" applyNumberFormat="0" applyAlignment="0" applyProtection="0"/>
    <xf numFmtId="0" fontId="41" fillId="13" borderId="214" applyNumberFormat="0" applyAlignment="0" applyProtection="0"/>
    <xf numFmtId="0" fontId="41" fillId="13" borderId="214" applyNumberFormat="0" applyAlignment="0" applyProtection="0"/>
    <xf numFmtId="0" fontId="41" fillId="13" borderId="214" applyNumberFormat="0" applyAlignment="0" applyProtection="0"/>
    <xf numFmtId="0" fontId="41" fillId="13" borderId="214" applyNumberFormat="0" applyAlignment="0" applyProtection="0"/>
    <xf numFmtId="0" fontId="41" fillId="13" borderId="214" applyNumberFormat="0" applyAlignment="0" applyProtection="0"/>
    <xf numFmtId="0" fontId="41" fillId="13" borderId="214" applyNumberFormat="0" applyAlignment="0" applyProtection="0"/>
    <xf numFmtId="0" fontId="41" fillId="13" borderId="214" applyNumberFormat="0" applyAlignment="0" applyProtection="0"/>
    <xf numFmtId="0" fontId="41" fillId="13" borderId="214" applyNumberFormat="0" applyAlignment="0" applyProtection="0"/>
    <xf numFmtId="0" fontId="41" fillId="13" borderId="214" applyNumberFormat="0" applyAlignment="0" applyProtection="0"/>
    <xf numFmtId="0" fontId="41" fillId="13" borderId="214" applyNumberFormat="0" applyAlignment="0" applyProtection="0"/>
    <xf numFmtId="0" fontId="41" fillId="13" borderId="214" applyNumberFormat="0" applyAlignment="0" applyProtection="0"/>
    <xf numFmtId="0" fontId="41" fillId="13" borderId="214" applyNumberFormat="0" applyAlignment="0" applyProtection="0"/>
    <xf numFmtId="0" fontId="41" fillId="13" borderId="214" applyNumberFormat="0" applyAlignment="0" applyProtection="0"/>
    <xf numFmtId="0" fontId="41" fillId="13" borderId="214" applyNumberFormat="0" applyAlignment="0" applyProtection="0"/>
    <xf numFmtId="0" fontId="41" fillId="13" borderId="214" applyNumberFormat="0" applyAlignment="0" applyProtection="0"/>
    <xf numFmtId="0" fontId="41" fillId="13" borderId="214" applyNumberFormat="0" applyAlignment="0" applyProtection="0"/>
    <xf numFmtId="0" fontId="41" fillId="13" borderId="214" applyNumberFormat="0" applyAlignment="0" applyProtection="0"/>
    <xf numFmtId="0" fontId="41" fillId="13" borderId="214" applyNumberFormat="0" applyAlignment="0" applyProtection="0"/>
    <xf numFmtId="0" fontId="25" fillId="13" borderId="214" applyNumberFormat="0" applyAlignment="0" applyProtection="0"/>
    <xf numFmtId="0" fontId="25" fillId="13" borderId="214" applyNumberFormat="0" applyAlignment="0" applyProtection="0"/>
    <xf numFmtId="0" fontId="25" fillId="13" borderId="214" applyNumberFormat="0" applyAlignment="0" applyProtection="0"/>
    <xf numFmtId="0" fontId="25" fillId="13" borderId="214" applyNumberFormat="0" applyAlignment="0" applyProtection="0"/>
    <xf numFmtId="0" fontId="25" fillId="13" borderId="214" applyNumberFormat="0" applyAlignment="0" applyProtection="0"/>
    <xf numFmtId="0" fontId="25" fillId="13" borderId="214" applyNumberFormat="0" applyAlignment="0" applyProtection="0"/>
    <xf numFmtId="0" fontId="25" fillId="13" borderId="214" applyNumberFormat="0" applyAlignment="0" applyProtection="0"/>
    <xf numFmtId="0" fontId="25" fillId="13" borderId="214" applyNumberFormat="0" applyAlignment="0" applyProtection="0"/>
    <xf numFmtId="0" fontId="25" fillId="13" borderId="214" applyNumberFormat="0" applyAlignment="0" applyProtection="0"/>
    <xf numFmtId="0" fontId="25" fillId="13" borderId="214" applyNumberFormat="0" applyAlignment="0" applyProtection="0"/>
    <xf numFmtId="0" fontId="25" fillId="13" borderId="214" applyNumberFormat="0" applyAlignment="0" applyProtection="0"/>
    <xf numFmtId="0" fontId="25" fillId="13" borderId="214" applyNumberFormat="0" applyAlignment="0" applyProtection="0"/>
    <xf numFmtId="0" fontId="25" fillId="13" borderId="214" applyNumberFormat="0" applyAlignment="0" applyProtection="0"/>
    <xf numFmtId="0" fontId="25" fillId="13" borderId="214" applyNumberFormat="0" applyAlignment="0" applyProtection="0"/>
    <xf numFmtId="0" fontId="25" fillId="13" borderId="214" applyNumberFormat="0" applyAlignment="0" applyProtection="0"/>
    <xf numFmtId="0" fontId="25" fillId="13" borderId="214" applyNumberFormat="0" applyAlignment="0" applyProtection="0"/>
    <xf numFmtId="0" fontId="25" fillId="13" borderId="214" applyNumberFormat="0" applyAlignment="0" applyProtection="0"/>
    <xf numFmtId="0" fontId="25" fillId="13" borderId="214" applyNumberFormat="0" applyAlignment="0" applyProtection="0"/>
    <xf numFmtId="0" fontId="25" fillId="13" borderId="214" applyNumberFormat="0" applyAlignment="0" applyProtection="0"/>
    <xf numFmtId="0" fontId="25" fillId="13" borderId="214" applyNumberFormat="0" applyAlignment="0" applyProtection="0"/>
    <xf numFmtId="0" fontId="25" fillId="13" borderId="214" applyNumberFormat="0" applyAlignment="0" applyProtection="0"/>
    <xf numFmtId="0" fontId="25" fillId="13" borderId="214" applyNumberFormat="0" applyAlignment="0" applyProtection="0"/>
    <xf numFmtId="0" fontId="25" fillId="13" borderId="214" applyNumberFormat="0" applyAlignment="0" applyProtection="0"/>
    <xf numFmtId="0" fontId="25" fillId="13" borderId="214" applyNumberFormat="0" applyAlignment="0" applyProtection="0"/>
    <xf numFmtId="0" fontId="25" fillId="13" borderId="214" applyNumberFormat="0" applyAlignment="0" applyProtection="0"/>
    <xf numFmtId="0" fontId="25" fillId="13" borderId="214" applyNumberFormat="0" applyAlignment="0" applyProtection="0"/>
    <xf numFmtId="0" fontId="25" fillId="13" borderId="214" applyNumberFormat="0" applyAlignment="0" applyProtection="0"/>
    <xf numFmtId="0" fontId="25" fillId="13" borderId="214" applyNumberFormat="0" applyAlignment="0" applyProtection="0"/>
    <xf numFmtId="0" fontId="25" fillId="13" borderId="214" applyNumberFormat="0" applyAlignment="0" applyProtection="0"/>
    <xf numFmtId="0" fontId="25" fillId="13" borderId="214" applyNumberFormat="0" applyAlignment="0" applyProtection="0"/>
    <xf numFmtId="0" fontId="25" fillId="13" borderId="214" applyNumberFormat="0" applyAlignment="0" applyProtection="0"/>
    <xf numFmtId="0" fontId="25" fillId="13" borderId="214" applyNumberFormat="0" applyAlignment="0" applyProtection="0"/>
    <xf numFmtId="0" fontId="25" fillId="13" borderId="214" applyNumberFormat="0" applyAlignment="0" applyProtection="0"/>
    <xf numFmtId="0" fontId="25" fillId="13" borderId="214" applyNumberFormat="0" applyAlignment="0" applyProtection="0"/>
    <xf numFmtId="0" fontId="25" fillId="13" borderId="214" applyNumberFormat="0" applyAlignment="0" applyProtection="0"/>
    <xf numFmtId="0" fontId="25" fillId="13" borderId="214" applyNumberFormat="0" applyAlignment="0" applyProtection="0"/>
    <xf numFmtId="0" fontId="25" fillId="13" borderId="214" applyNumberFormat="0" applyAlignment="0" applyProtection="0"/>
    <xf numFmtId="0" fontId="25" fillId="13" borderId="214" applyNumberFormat="0" applyAlignment="0" applyProtection="0"/>
    <xf numFmtId="0" fontId="25" fillId="13" borderId="214" applyNumberFormat="0" applyAlignment="0" applyProtection="0"/>
    <xf numFmtId="0" fontId="25" fillId="13" borderId="214" applyNumberFormat="0" applyAlignment="0" applyProtection="0"/>
    <xf numFmtId="0" fontId="25" fillId="13" borderId="214" applyNumberFormat="0" applyAlignment="0" applyProtection="0"/>
    <xf numFmtId="0" fontId="25" fillId="13" borderId="214" applyNumberFormat="0" applyAlignment="0" applyProtection="0"/>
    <xf numFmtId="0" fontId="25" fillId="13" borderId="214" applyNumberFormat="0" applyAlignment="0" applyProtection="0"/>
    <xf numFmtId="0" fontId="25" fillId="13" borderId="214" applyNumberFormat="0" applyAlignment="0" applyProtection="0"/>
    <xf numFmtId="0" fontId="25" fillId="13" borderId="214" applyNumberFormat="0" applyAlignment="0" applyProtection="0"/>
    <xf numFmtId="0" fontId="25" fillId="13" borderId="214" applyNumberFormat="0" applyAlignment="0" applyProtection="0"/>
    <xf numFmtId="0" fontId="25" fillId="13" borderId="214" applyNumberFormat="0" applyAlignment="0" applyProtection="0"/>
    <xf numFmtId="0" fontId="25" fillId="13" borderId="214" applyNumberFormat="0" applyAlignment="0" applyProtection="0"/>
    <xf numFmtId="0" fontId="25" fillId="13" borderId="214" applyNumberFormat="0" applyAlignment="0" applyProtection="0"/>
    <xf numFmtId="0" fontId="41" fillId="13" borderId="214" applyNumberFormat="0" applyAlignment="0" applyProtection="0"/>
    <xf numFmtId="0" fontId="41" fillId="13" borderId="214" applyNumberFormat="0" applyAlignment="0" applyProtection="0"/>
    <xf numFmtId="0" fontId="41" fillId="13" borderId="214" applyNumberFormat="0" applyAlignment="0" applyProtection="0"/>
    <xf numFmtId="0" fontId="41" fillId="13" borderId="214" applyNumberFormat="0" applyAlignment="0" applyProtection="0"/>
    <xf numFmtId="0" fontId="41" fillId="13" borderId="214" applyNumberFormat="0" applyAlignment="0" applyProtection="0"/>
    <xf numFmtId="0" fontId="41" fillId="13" borderId="214" applyNumberFormat="0" applyAlignment="0" applyProtection="0"/>
    <xf numFmtId="0" fontId="41" fillId="13" borderId="214" applyNumberFormat="0" applyAlignment="0" applyProtection="0"/>
    <xf numFmtId="0" fontId="41" fillId="13" borderId="214" applyNumberFormat="0" applyAlignment="0" applyProtection="0"/>
    <xf numFmtId="0" fontId="41" fillId="13" borderId="214" applyNumberFormat="0" applyAlignment="0" applyProtection="0"/>
    <xf numFmtId="0" fontId="41" fillId="13" borderId="214" applyNumberFormat="0" applyAlignment="0" applyProtection="0"/>
    <xf numFmtId="0" fontId="41" fillId="13" borderId="214" applyNumberFormat="0" applyAlignment="0" applyProtection="0"/>
    <xf numFmtId="0" fontId="41" fillId="13" borderId="214" applyNumberFormat="0" applyAlignment="0" applyProtection="0"/>
    <xf numFmtId="0" fontId="41" fillId="13" borderId="214" applyNumberFormat="0" applyAlignment="0" applyProtection="0"/>
    <xf numFmtId="0" fontId="41" fillId="13" borderId="214" applyNumberFormat="0" applyAlignment="0" applyProtection="0"/>
    <xf numFmtId="0" fontId="41" fillId="13" borderId="214" applyNumberFormat="0" applyAlignment="0" applyProtection="0"/>
    <xf numFmtId="0" fontId="41" fillId="13" borderId="214" applyNumberFormat="0" applyAlignment="0" applyProtection="0"/>
    <xf numFmtId="0" fontId="41" fillId="13" borderId="214" applyNumberFormat="0" applyAlignment="0" applyProtection="0"/>
    <xf numFmtId="0" fontId="41" fillId="13" borderId="214" applyNumberFormat="0" applyAlignment="0" applyProtection="0"/>
    <xf numFmtId="0" fontId="41" fillId="13" borderId="214" applyNumberFormat="0" applyAlignment="0" applyProtection="0"/>
    <xf numFmtId="0" fontId="41" fillId="13" borderId="214" applyNumberFormat="0" applyAlignment="0" applyProtection="0"/>
    <xf numFmtId="0" fontId="41" fillId="13" borderId="214" applyNumberFormat="0" applyAlignment="0" applyProtection="0"/>
    <xf numFmtId="0" fontId="41" fillId="13" borderId="214" applyNumberFormat="0" applyAlignment="0" applyProtection="0"/>
    <xf numFmtId="0" fontId="41" fillId="13" borderId="214" applyNumberFormat="0" applyAlignment="0" applyProtection="0"/>
    <xf numFmtId="0" fontId="41" fillId="13" borderId="214" applyNumberFormat="0" applyAlignment="0" applyProtection="0"/>
    <xf numFmtId="0" fontId="41" fillId="13" borderId="214" applyNumberFormat="0" applyAlignment="0" applyProtection="0"/>
    <xf numFmtId="0" fontId="41" fillId="13" borderId="214" applyNumberFormat="0" applyAlignment="0" applyProtection="0"/>
    <xf numFmtId="0" fontId="41" fillId="13" borderId="214" applyNumberFormat="0" applyAlignment="0" applyProtection="0"/>
    <xf numFmtId="0" fontId="41" fillId="13" borderId="214" applyNumberFormat="0" applyAlignment="0" applyProtection="0"/>
    <xf numFmtId="0" fontId="41" fillId="13" borderId="214" applyNumberFormat="0" applyAlignment="0" applyProtection="0"/>
    <xf numFmtId="0" fontId="41" fillId="13" borderId="214" applyNumberFormat="0" applyAlignment="0" applyProtection="0"/>
    <xf numFmtId="0" fontId="41" fillId="13" borderId="214" applyNumberFormat="0" applyAlignment="0" applyProtection="0"/>
    <xf numFmtId="0" fontId="41" fillId="13" borderId="214" applyNumberFormat="0" applyAlignment="0" applyProtection="0"/>
    <xf numFmtId="0" fontId="41" fillId="13" borderId="214" applyNumberFormat="0" applyAlignment="0" applyProtection="0"/>
    <xf numFmtId="0" fontId="41" fillId="13" borderId="214" applyNumberFormat="0" applyAlignment="0" applyProtection="0"/>
    <xf numFmtId="0" fontId="41" fillId="13" borderId="214" applyNumberFormat="0" applyAlignment="0" applyProtection="0"/>
    <xf numFmtId="0" fontId="41" fillId="13" borderId="214" applyNumberFormat="0" applyAlignment="0" applyProtection="0"/>
    <xf numFmtId="0" fontId="41" fillId="13" borderId="214" applyNumberFormat="0" applyAlignment="0" applyProtection="0"/>
    <xf numFmtId="0" fontId="41" fillId="13" borderId="214" applyNumberFormat="0" applyAlignment="0" applyProtection="0"/>
    <xf numFmtId="0" fontId="41" fillId="13" borderId="214" applyNumberFormat="0" applyAlignment="0" applyProtection="0"/>
    <xf numFmtId="0" fontId="41" fillId="13" borderId="214" applyNumberFormat="0" applyAlignment="0" applyProtection="0"/>
    <xf numFmtId="0" fontId="41" fillId="13" borderId="214" applyNumberFormat="0" applyAlignment="0" applyProtection="0"/>
    <xf numFmtId="0" fontId="41" fillId="13" borderId="214" applyNumberFormat="0" applyAlignment="0" applyProtection="0"/>
    <xf numFmtId="0" fontId="41" fillId="13" borderId="214" applyNumberFormat="0" applyAlignment="0" applyProtection="0"/>
    <xf numFmtId="0" fontId="41" fillId="13" borderId="214" applyNumberFormat="0" applyAlignment="0" applyProtection="0"/>
    <xf numFmtId="0" fontId="41" fillId="13" borderId="214" applyNumberFormat="0" applyAlignment="0" applyProtection="0"/>
    <xf numFmtId="0" fontId="41" fillId="13" borderId="214" applyNumberFormat="0" applyAlignment="0" applyProtection="0"/>
    <xf numFmtId="0" fontId="41" fillId="13" borderId="214" applyNumberFormat="0" applyAlignment="0" applyProtection="0"/>
    <xf numFmtId="0" fontId="41" fillId="13" borderId="214" applyNumberFormat="0" applyAlignment="0" applyProtection="0"/>
    <xf numFmtId="0" fontId="41" fillId="13" borderId="214" applyNumberFormat="0" applyAlignment="0" applyProtection="0"/>
    <xf numFmtId="0" fontId="25" fillId="13" borderId="214" applyNumberFormat="0" applyAlignment="0" applyProtection="0"/>
    <xf numFmtId="0" fontId="25" fillId="13" borderId="214" applyNumberFormat="0" applyAlignment="0" applyProtection="0"/>
    <xf numFmtId="0" fontId="25" fillId="13" borderId="214" applyNumberFormat="0" applyAlignment="0" applyProtection="0"/>
    <xf numFmtId="0" fontId="25" fillId="13" borderId="214" applyNumberFormat="0" applyAlignment="0" applyProtection="0"/>
    <xf numFmtId="0" fontId="25" fillId="13" borderId="214" applyNumberFormat="0" applyAlignment="0" applyProtection="0"/>
    <xf numFmtId="0" fontId="25" fillId="13" borderId="214" applyNumberFormat="0" applyAlignment="0" applyProtection="0"/>
    <xf numFmtId="0" fontId="25" fillId="13" borderId="214" applyNumberFormat="0" applyAlignment="0" applyProtection="0"/>
    <xf numFmtId="0" fontId="25" fillId="13" borderId="214" applyNumberFormat="0" applyAlignment="0" applyProtection="0"/>
    <xf numFmtId="0" fontId="25" fillId="13" borderId="214" applyNumberFormat="0" applyAlignment="0" applyProtection="0"/>
    <xf numFmtId="0" fontId="25" fillId="13" borderId="214" applyNumberFormat="0" applyAlignment="0" applyProtection="0"/>
    <xf numFmtId="0" fontId="25" fillId="13" borderId="214" applyNumberFormat="0" applyAlignment="0" applyProtection="0"/>
    <xf numFmtId="0" fontId="25" fillId="13" borderId="214" applyNumberFormat="0" applyAlignment="0" applyProtection="0"/>
    <xf numFmtId="0" fontId="25" fillId="13" borderId="214" applyNumberFormat="0" applyAlignment="0" applyProtection="0"/>
    <xf numFmtId="0" fontId="25" fillId="13" borderId="214" applyNumberFormat="0" applyAlignment="0" applyProtection="0"/>
    <xf numFmtId="0" fontId="25" fillId="13" borderId="214" applyNumberFormat="0" applyAlignment="0" applyProtection="0"/>
    <xf numFmtId="0" fontId="25" fillId="13" borderId="214" applyNumberFormat="0" applyAlignment="0" applyProtection="0"/>
    <xf numFmtId="0" fontId="25" fillId="13" borderId="214" applyNumberFormat="0" applyAlignment="0" applyProtection="0"/>
    <xf numFmtId="0" fontId="25" fillId="13" borderId="214" applyNumberFormat="0" applyAlignment="0" applyProtection="0"/>
    <xf numFmtId="0" fontId="25" fillId="13" borderId="214" applyNumberFormat="0" applyAlignment="0" applyProtection="0"/>
    <xf numFmtId="0" fontId="25" fillId="13" borderId="214" applyNumberFormat="0" applyAlignment="0" applyProtection="0"/>
    <xf numFmtId="0" fontId="25" fillId="13" borderId="214" applyNumberFormat="0" applyAlignment="0" applyProtection="0"/>
    <xf numFmtId="0" fontId="25" fillId="13" borderId="214" applyNumberFormat="0" applyAlignment="0" applyProtection="0"/>
    <xf numFmtId="0" fontId="25" fillId="13" borderId="214" applyNumberFormat="0" applyAlignment="0" applyProtection="0"/>
    <xf numFmtId="0" fontId="25" fillId="13" borderId="214" applyNumberFormat="0" applyAlignment="0" applyProtection="0"/>
    <xf numFmtId="0" fontId="25" fillId="13" borderId="214" applyNumberFormat="0" applyAlignment="0" applyProtection="0"/>
    <xf numFmtId="0" fontId="25" fillId="13" borderId="214" applyNumberFormat="0" applyAlignment="0" applyProtection="0"/>
    <xf numFmtId="0" fontId="25" fillId="13" borderId="214" applyNumberFormat="0" applyAlignment="0" applyProtection="0"/>
    <xf numFmtId="0" fontId="25" fillId="13" borderId="214" applyNumberFormat="0" applyAlignment="0" applyProtection="0"/>
    <xf numFmtId="0" fontId="25" fillId="13" borderId="214" applyNumberFormat="0" applyAlignment="0" applyProtection="0"/>
    <xf numFmtId="0" fontId="25" fillId="13" borderId="214" applyNumberFormat="0" applyAlignment="0" applyProtection="0"/>
    <xf numFmtId="0" fontId="25" fillId="13" borderId="214" applyNumberFormat="0" applyAlignment="0" applyProtection="0"/>
    <xf numFmtId="0" fontId="25" fillId="13" borderId="214" applyNumberFormat="0" applyAlignment="0" applyProtection="0"/>
    <xf numFmtId="0" fontId="25" fillId="13" borderId="214" applyNumberFormat="0" applyAlignment="0" applyProtection="0"/>
    <xf numFmtId="0" fontId="25" fillId="13" borderId="214" applyNumberFormat="0" applyAlignment="0" applyProtection="0"/>
    <xf numFmtId="0" fontId="25" fillId="13" borderId="214" applyNumberFormat="0" applyAlignment="0" applyProtection="0"/>
    <xf numFmtId="0" fontId="25" fillId="13" borderId="214" applyNumberFormat="0" applyAlignment="0" applyProtection="0"/>
    <xf numFmtId="0" fontId="25" fillId="13" borderId="214" applyNumberFormat="0" applyAlignment="0" applyProtection="0"/>
    <xf numFmtId="0" fontId="25" fillId="13" borderId="214" applyNumberFormat="0" applyAlignment="0" applyProtection="0"/>
    <xf numFmtId="0" fontId="25" fillId="13" borderId="214" applyNumberFormat="0" applyAlignment="0" applyProtection="0"/>
    <xf numFmtId="0" fontId="25" fillId="13" borderId="214" applyNumberFormat="0" applyAlignment="0" applyProtection="0"/>
    <xf numFmtId="0" fontId="25" fillId="13" borderId="214" applyNumberFormat="0" applyAlignment="0" applyProtection="0"/>
    <xf numFmtId="0" fontId="25" fillId="13" borderId="214" applyNumberFormat="0" applyAlignment="0" applyProtection="0"/>
    <xf numFmtId="0" fontId="25" fillId="13" borderId="214" applyNumberFormat="0" applyAlignment="0" applyProtection="0"/>
    <xf numFmtId="0" fontId="25" fillId="13" borderId="214" applyNumberFormat="0" applyAlignment="0" applyProtection="0"/>
    <xf numFmtId="0" fontId="25" fillId="13" borderId="214" applyNumberFormat="0" applyAlignment="0" applyProtection="0"/>
    <xf numFmtId="0" fontId="25" fillId="13" borderId="214" applyNumberFormat="0" applyAlignment="0" applyProtection="0"/>
    <xf numFmtId="0" fontId="25" fillId="13" borderId="214" applyNumberFormat="0" applyAlignment="0" applyProtection="0"/>
    <xf numFmtId="0" fontId="25" fillId="13" borderId="214" applyNumberFormat="0" applyAlignment="0" applyProtection="0"/>
    <xf numFmtId="0" fontId="25" fillId="13" borderId="214" applyNumberFormat="0" applyAlignment="0" applyProtection="0"/>
    <xf numFmtId="0" fontId="25" fillId="8" borderId="214" applyNumberFormat="0" applyAlignment="0" applyProtection="0"/>
    <xf numFmtId="0" fontId="25" fillId="8" borderId="214" applyNumberFormat="0" applyAlignment="0" applyProtection="0"/>
    <xf numFmtId="0" fontId="25" fillId="8" borderId="214" applyNumberFormat="0" applyAlignment="0" applyProtection="0"/>
    <xf numFmtId="0" fontId="25" fillId="8" borderId="214" applyNumberFormat="0" applyAlignment="0" applyProtection="0"/>
    <xf numFmtId="0" fontId="25" fillId="8" borderId="214" applyNumberFormat="0" applyAlignment="0" applyProtection="0"/>
    <xf numFmtId="0" fontId="25" fillId="8" borderId="214" applyNumberFormat="0" applyAlignment="0" applyProtection="0"/>
    <xf numFmtId="0" fontId="25" fillId="8" borderId="214" applyNumberFormat="0" applyAlignment="0" applyProtection="0"/>
    <xf numFmtId="0" fontId="25" fillId="8" borderId="214" applyNumberFormat="0" applyAlignment="0" applyProtection="0"/>
    <xf numFmtId="0" fontId="25" fillId="8" borderId="214" applyNumberFormat="0" applyAlignment="0" applyProtection="0"/>
    <xf numFmtId="0" fontId="25" fillId="8" borderId="214" applyNumberFormat="0" applyAlignment="0" applyProtection="0"/>
    <xf numFmtId="0" fontId="25" fillId="8" borderId="214" applyNumberFormat="0" applyAlignment="0" applyProtection="0"/>
    <xf numFmtId="0" fontId="25" fillId="8" borderId="214" applyNumberFormat="0" applyAlignment="0" applyProtection="0"/>
    <xf numFmtId="0" fontId="25" fillId="8" borderId="214" applyNumberFormat="0" applyAlignment="0" applyProtection="0"/>
    <xf numFmtId="0" fontId="25" fillId="8" borderId="214" applyNumberFormat="0" applyAlignment="0" applyProtection="0"/>
    <xf numFmtId="0" fontId="25" fillId="8" borderId="214" applyNumberFormat="0" applyAlignment="0" applyProtection="0"/>
    <xf numFmtId="0" fontId="25" fillId="8" borderId="214" applyNumberFormat="0" applyAlignment="0" applyProtection="0"/>
    <xf numFmtId="0" fontId="25" fillId="8" borderId="214" applyNumberFormat="0" applyAlignment="0" applyProtection="0"/>
    <xf numFmtId="0" fontId="25" fillId="8" borderId="214" applyNumberFormat="0" applyAlignment="0" applyProtection="0"/>
    <xf numFmtId="0" fontId="25" fillId="8" borderId="214" applyNumberFormat="0" applyAlignment="0" applyProtection="0"/>
    <xf numFmtId="0" fontId="25" fillId="8" borderId="214" applyNumberFormat="0" applyAlignment="0" applyProtection="0"/>
    <xf numFmtId="0" fontId="25" fillId="8" borderId="214" applyNumberFormat="0" applyAlignment="0" applyProtection="0"/>
    <xf numFmtId="0" fontId="25" fillId="8" borderId="214" applyNumberFormat="0" applyAlignment="0" applyProtection="0"/>
    <xf numFmtId="0" fontId="25" fillId="8" borderId="214" applyNumberFormat="0" applyAlignment="0" applyProtection="0"/>
    <xf numFmtId="0" fontId="25" fillId="8" borderId="214" applyNumberFormat="0" applyAlignment="0" applyProtection="0"/>
    <xf numFmtId="0" fontId="25" fillId="8" borderId="214" applyNumberFormat="0" applyAlignment="0" applyProtection="0"/>
    <xf numFmtId="0" fontId="25" fillId="8" borderId="214" applyNumberFormat="0" applyAlignment="0" applyProtection="0"/>
    <xf numFmtId="0" fontId="25" fillId="8" borderId="214" applyNumberFormat="0" applyAlignment="0" applyProtection="0"/>
    <xf numFmtId="0" fontId="25" fillId="8" borderId="214" applyNumberFormat="0" applyAlignment="0" applyProtection="0"/>
    <xf numFmtId="0" fontId="25" fillId="8" borderId="214" applyNumberFormat="0" applyAlignment="0" applyProtection="0"/>
    <xf numFmtId="0" fontId="25" fillId="8" borderId="214" applyNumberFormat="0" applyAlignment="0" applyProtection="0"/>
    <xf numFmtId="0" fontId="25" fillId="8" borderId="214" applyNumberFormat="0" applyAlignment="0" applyProtection="0"/>
    <xf numFmtId="0" fontId="25" fillId="8" borderId="214" applyNumberFormat="0" applyAlignment="0" applyProtection="0"/>
    <xf numFmtId="0" fontId="25" fillId="8" borderId="214" applyNumberFormat="0" applyAlignment="0" applyProtection="0"/>
    <xf numFmtId="0" fontId="25" fillId="8" borderId="214" applyNumberFormat="0" applyAlignment="0" applyProtection="0"/>
    <xf numFmtId="0" fontId="25" fillId="8" borderId="214" applyNumberFormat="0" applyAlignment="0" applyProtection="0"/>
    <xf numFmtId="0" fontId="25" fillId="8" borderId="214" applyNumberFormat="0" applyAlignment="0" applyProtection="0"/>
    <xf numFmtId="0" fontId="25" fillId="8" borderId="214" applyNumberFormat="0" applyAlignment="0" applyProtection="0"/>
    <xf numFmtId="0" fontId="25" fillId="8" borderId="214" applyNumberFormat="0" applyAlignment="0" applyProtection="0"/>
    <xf numFmtId="0" fontId="25" fillId="8" borderId="214" applyNumberFormat="0" applyAlignment="0" applyProtection="0"/>
    <xf numFmtId="0" fontId="25" fillId="8" borderId="214" applyNumberFormat="0" applyAlignment="0" applyProtection="0"/>
    <xf numFmtId="0" fontId="25" fillId="8" borderId="214" applyNumberFormat="0" applyAlignment="0" applyProtection="0"/>
    <xf numFmtId="0" fontId="25" fillId="8" borderId="214" applyNumberFormat="0" applyAlignment="0" applyProtection="0"/>
    <xf numFmtId="0" fontId="25" fillId="8" borderId="214" applyNumberFormat="0" applyAlignment="0" applyProtection="0"/>
    <xf numFmtId="0" fontId="25" fillId="8" borderId="214" applyNumberFormat="0" applyAlignment="0" applyProtection="0"/>
    <xf numFmtId="0" fontId="25" fillId="8" borderId="214" applyNumberFormat="0" applyAlignment="0" applyProtection="0"/>
    <xf numFmtId="0" fontId="25" fillId="8" borderId="214" applyNumberFormat="0" applyAlignment="0" applyProtection="0"/>
    <xf numFmtId="0" fontId="25" fillId="8" borderId="214" applyNumberFormat="0" applyAlignment="0" applyProtection="0"/>
    <xf numFmtId="0" fontId="25" fillId="8" borderId="214" applyNumberFormat="0" applyAlignment="0" applyProtection="0"/>
    <xf numFmtId="0" fontId="25" fillId="8" borderId="214" applyNumberFormat="0" applyAlignment="0" applyProtection="0"/>
    <xf numFmtId="0" fontId="25" fillId="8" borderId="214" applyNumberFormat="0" applyAlignment="0" applyProtection="0"/>
    <xf numFmtId="0" fontId="25" fillId="8" borderId="214" applyNumberFormat="0" applyAlignment="0" applyProtection="0"/>
    <xf numFmtId="0" fontId="25" fillId="8" borderId="214" applyNumberFormat="0" applyAlignment="0" applyProtection="0"/>
    <xf numFmtId="0" fontId="25" fillId="8" borderId="214" applyNumberFormat="0" applyAlignment="0" applyProtection="0"/>
    <xf numFmtId="0" fontId="25" fillId="8" borderId="214" applyNumberFormat="0" applyAlignment="0" applyProtection="0"/>
    <xf numFmtId="0" fontId="25" fillId="8" borderId="214" applyNumberFormat="0" applyAlignment="0" applyProtection="0"/>
    <xf numFmtId="0" fontId="25" fillId="8" borderId="214" applyNumberFormat="0" applyAlignment="0" applyProtection="0"/>
    <xf numFmtId="0" fontId="25" fillId="8" borderId="214" applyNumberFormat="0" applyAlignment="0" applyProtection="0"/>
    <xf numFmtId="0" fontId="25" fillId="8" borderId="214" applyNumberFormat="0" applyAlignment="0" applyProtection="0"/>
    <xf numFmtId="0" fontId="25" fillId="8" borderId="214" applyNumberFormat="0" applyAlignment="0" applyProtection="0"/>
    <xf numFmtId="0" fontId="25" fillId="8" borderId="214" applyNumberFormat="0" applyAlignment="0" applyProtection="0"/>
    <xf numFmtId="0" fontId="25" fillId="8" borderId="214" applyNumberFormat="0" applyAlignment="0" applyProtection="0"/>
    <xf numFmtId="0" fontId="25" fillId="8" borderId="214" applyNumberFormat="0" applyAlignment="0" applyProtection="0"/>
    <xf numFmtId="0" fontId="25" fillId="8" borderId="214" applyNumberFormat="0" applyAlignment="0" applyProtection="0"/>
    <xf numFmtId="0" fontId="25" fillId="8" borderId="214" applyNumberFormat="0" applyAlignment="0" applyProtection="0"/>
    <xf numFmtId="0" fontId="25" fillId="8" borderId="214" applyNumberFormat="0" applyAlignment="0" applyProtection="0"/>
    <xf numFmtId="0" fontId="25" fillId="8" borderId="214" applyNumberFormat="0" applyAlignment="0" applyProtection="0"/>
    <xf numFmtId="0" fontId="25" fillId="8" borderId="214" applyNumberFormat="0" applyAlignment="0" applyProtection="0"/>
    <xf numFmtId="0" fontId="25" fillId="8" borderId="214" applyNumberFormat="0" applyAlignment="0" applyProtection="0"/>
    <xf numFmtId="0" fontId="25" fillId="8" borderId="214" applyNumberFormat="0" applyAlignment="0" applyProtection="0"/>
    <xf numFmtId="0" fontId="25" fillId="8" borderId="214" applyNumberFormat="0" applyAlignment="0" applyProtection="0"/>
    <xf numFmtId="0" fontId="25" fillId="8" borderId="214" applyNumberFormat="0" applyAlignment="0" applyProtection="0"/>
    <xf numFmtId="0" fontId="25" fillId="8" borderId="214" applyNumberFormat="0" applyAlignment="0" applyProtection="0"/>
    <xf numFmtId="0" fontId="25" fillId="8" borderId="214" applyNumberFormat="0" applyAlignment="0" applyProtection="0"/>
    <xf numFmtId="0" fontId="25" fillId="8" borderId="214" applyNumberFormat="0" applyAlignment="0" applyProtection="0"/>
    <xf numFmtId="0" fontId="25" fillId="8" borderId="214" applyNumberFormat="0" applyAlignment="0" applyProtection="0"/>
    <xf numFmtId="0" fontId="25" fillId="8" borderId="214" applyNumberFormat="0" applyAlignment="0" applyProtection="0"/>
    <xf numFmtId="0" fontId="25" fillId="8" borderId="214" applyNumberFormat="0" applyAlignment="0" applyProtection="0"/>
    <xf numFmtId="0" fontId="84" fillId="73" borderId="218"/>
    <xf numFmtId="0" fontId="84" fillId="73" borderId="218"/>
    <xf numFmtId="0" fontId="84" fillId="73" borderId="218"/>
    <xf numFmtId="0" fontId="84" fillId="73" borderId="218"/>
    <xf numFmtId="0" fontId="84" fillId="73" borderId="218"/>
    <xf numFmtId="0" fontId="84" fillId="73" borderId="218"/>
    <xf numFmtId="0" fontId="84" fillId="73" borderId="218"/>
    <xf numFmtId="0" fontId="84" fillId="73" borderId="218"/>
    <xf numFmtId="0" fontId="84" fillId="73" borderId="218"/>
    <xf numFmtId="0" fontId="84" fillId="73" borderId="218"/>
    <xf numFmtId="0" fontId="84" fillId="73" borderId="218"/>
    <xf numFmtId="0" fontId="84" fillId="73" borderId="218"/>
    <xf numFmtId="0" fontId="84" fillId="73" borderId="218"/>
    <xf numFmtId="0" fontId="84" fillId="73" borderId="218"/>
    <xf numFmtId="0" fontId="84" fillId="73" borderId="218"/>
    <xf numFmtId="0" fontId="84" fillId="73" borderId="218"/>
    <xf numFmtId="0" fontId="84" fillId="73" borderId="218"/>
    <xf numFmtId="0" fontId="84" fillId="73" borderId="218"/>
    <xf numFmtId="0" fontId="84" fillId="73" borderId="218"/>
    <xf numFmtId="0" fontId="84" fillId="73" borderId="218"/>
    <xf numFmtId="0" fontId="84" fillId="73" borderId="218"/>
    <xf numFmtId="0" fontId="84" fillId="73" borderId="218"/>
    <xf numFmtId="0" fontId="84" fillId="73" borderId="218"/>
    <xf numFmtId="0" fontId="84" fillId="73" borderId="218"/>
    <xf numFmtId="0" fontId="84" fillId="73" borderId="218"/>
    <xf numFmtId="0" fontId="84" fillId="73" borderId="218"/>
    <xf numFmtId="0" fontId="84" fillId="73" borderId="218"/>
    <xf numFmtId="0" fontId="84" fillId="73" borderId="218"/>
    <xf numFmtId="0" fontId="84" fillId="73" borderId="218"/>
    <xf numFmtId="0" fontId="84" fillId="73" borderId="218"/>
    <xf numFmtId="0" fontId="84" fillId="73" borderId="218"/>
    <xf numFmtId="0" fontId="84" fillId="73" borderId="218"/>
    <xf numFmtId="0" fontId="84" fillId="73" borderId="218"/>
    <xf numFmtId="0" fontId="84" fillId="73" borderId="218"/>
    <xf numFmtId="0" fontId="84" fillId="73" borderId="218"/>
    <xf numFmtId="0" fontId="84" fillId="73" borderId="218"/>
    <xf numFmtId="0" fontId="84" fillId="73" borderId="218"/>
    <xf numFmtId="0" fontId="84" fillId="73" borderId="218"/>
    <xf numFmtId="0" fontId="84" fillId="73" borderId="218"/>
    <xf numFmtId="0" fontId="84" fillId="73" borderId="218"/>
    <xf numFmtId="0" fontId="84" fillId="73" borderId="218"/>
    <xf numFmtId="0" fontId="84" fillId="73" borderId="218"/>
    <xf numFmtId="0" fontId="84" fillId="73" borderId="218"/>
    <xf numFmtId="0" fontId="84" fillId="73" borderId="218"/>
    <xf numFmtId="0" fontId="84" fillId="73" borderId="218"/>
    <xf numFmtId="0" fontId="31" fillId="0" borderId="290" applyNumberFormat="0" applyFill="0" applyAlignment="0" applyProtection="0"/>
    <xf numFmtId="0" fontId="31" fillId="0" borderId="267" applyNumberFormat="0" applyFill="0" applyAlignment="0" applyProtection="0"/>
    <xf numFmtId="0" fontId="28" fillId="10" borderId="238" applyNumberFormat="0" applyFont="0" applyAlignment="0" applyProtection="0"/>
    <xf numFmtId="0" fontId="28" fillId="10" borderId="238" applyNumberFormat="0" applyFont="0" applyAlignment="0" applyProtection="0"/>
    <xf numFmtId="0" fontId="48" fillId="24" borderId="237" applyNumberFormat="0" applyAlignment="0" applyProtection="0"/>
    <xf numFmtId="0" fontId="48" fillId="12" borderId="237" applyNumberFormat="0" applyAlignment="0" applyProtection="0"/>
    <xf numFmtId="0" fontId="41" fillId="13" borderId="237" applyNumberFormat="0" applyAlignment="0" applyProtection="0"/>
    <xf numFmtId="0" fontId="8" fillId="10" borderId="238" applyNumberFormat="0" applyFont="0" applyAlignment="0" applyProtection="0"/>
    <xf numFmtId="0" fontId="49" fillId="10" borderId="238" applyNumberFormat="0" applyFont="0" applyAlignment="0" applyProtection="0"/>
    <xf numFmtId="0" fontId="72" fillId="0" borderId="242" applyBorder="0">
      <alignment horizontal="center" vertical="center" wrapText="1"/>
    </xf>
    <xf numFmtId="0" fontId="32" fillId="24" borderId="237" applyNumberFormat="0" applyAlignment="0" applyProtection="0"/>
    <xf numFmtId="0" fontId="16" fillId="24" borderId="237" applyNumberFormat="0" applyAlignment="0" applyProtection="0"/>
    <xf numFmtId="0" fontId="25" fillId="13" borderId="237" applyNumberFormat="0" applyAlignment="0" applyProtection="0"/>
    <xf numFmtId="0" fontId="18" fillId="10" borderId="238" applyNumberFormat="0" applyFont="0" applyAlignment="0" applyProtection="0"/>
    <xf numFmtId="0" fontId="8" fillId="10" borderId="238" applyNumberFormat="0" applyFont="0" applyAlignment="0" applyProtection="0"/>
    <xf numFmtId="0" fontId="28" fillId="0" borderId="321"/>
    <xf numFmtId="0" fontId="41" fillId="13" borderId="268" applyNumberFormat="0" applyAlignment="0" applyProtection="0"/>
    <xf numFmtId="0" fontId="29" fillId="24" borderId="250" applyNumberFormat="0" applyAlignment="0" applyProtection="0"/>
    <xf numFmtId="0" fontId="29" fillId="12" borderId="271" applyNumberFormat="0" applyAlignment="0" applyProtection="0"/>
    <xf numFmtId="0" fontId="49" fillId="10" borderId="222" applyNumberFormat="0" applyFont="0" applyAlignment="0" applyProtection="0"/>
    <xf numFmtId="0" fontId="48" fillId="12" borderId="221" applyNumberFormat="0" applyAlignment="0" applyProtection="0"/>
    <xf numFmtId="0" fontId="25" fillId="8" borderId="221" applyNumberFormat="0" applyAlignment="0" applyProtection="0"/>
    <xf numFmtId="0" fontId="31" fillId="0" borderId="219" applyNumberFormat="0" applyFill="0" applyAlignment="0" applyProtection="0"/>
    <xf numFmtId="0" fontId="31" fillId="0" borderId="224" applyNumberFormat="0" applyFill="0" applyAlignment="0" applyProtection="0"/>
    <xf numFmtId="0" fontId="24" fillId="24" borderId="223" applyNumberFormat="0" applyAlignment="0" applyProtection="0"/>
    <xf numFmtId="0" fontId="8" fillId="10" borderId="222" applyNumberFormat="0" applyFont="0" applyAlignment="0" applyProtection="0"/>
    <xf numFmtId="0" fontId="41" fillId="13" borderId="221" applyNumberFormat="0" applyAlignment="0" applyProtection="0"/>
    <xf numFmtId="0" fontId="48" fillId="12" borderId="221" applyNumberFormat="0" applyAlignment="0" applyProtection="0"/>
    <xf numFmtId="0" fontId="48" fillId="24" borderId="221" applyNumberFormat="0" applyAlignment="0" applyProtection="0"/>
    <xf numFmtId="0" fontId="31" fillId="0" borderId="219" applyNumberFormat="0" applyFill="0" applyAlignment="0" applyProtection="0"/>
    <xf numFmtId="0" fontId="48" fillId="24" borderId="221" applyNumberFormat="0" applyAlignment="0" applyProtection="0"/>
    <xf numFmtId="0" fontId="49" fillId="10" borderId="222" applyNumberFormat="0" applyFont="0" applyAlignment="0" applyProtection="0"/>
    <xf numFmtId="0" fontId="29" fillId="12" borderId="220" applyNumberFormat="0" applyAlignment="0" applyProtection="0"/>
    <xf numFmtId="0" fontId="8" fillId="10" borderId="222" applyNumberFormat="0" applyFont="0" applyAlignment="0" applyProtection="0"/>
    <xf numFmtId="0" fontId="8" fillId="10" borderId="215" applyNumberFormat="0" applyFont="0" applyAlignment="0" applyProtection="0"/>
    <xf numFmtId="0" fontId="49" fillId="10" borderId="215" applyNumberFormat="0" applyFont="0" applyAlignment="0" applyProtection="0"/>
    <xf numFmtId="0" fontId="31" fillId="0" borderId="217" applyNumberFormat="0" applyFill="0" applyAlignment="0" applyProtection="0"/>
    <xf numFmtId="0" fontId="31" fillId="0" borderId="219" applyNumberFormat="0" applyFill="0" applyAlignment="0" applyProtection="0"/>
    <xf numFmtId="0" fontId="31" fillId="0" borderId="224" applyNumberFormat="0" applyFill="0" applyAlignment="0" applyProtection="0"/>
    <xf numFmtId="0" fontId="31" fillId="0" borderId="219" applyNumberFormat="0" applyFill="0" applyAlignment="0" applyProtection="0"/>
    <xf numFmtId="0" fontId="48" fillId="24" borderId="268" applyNumberFormat="0" applyAlignment="0" applyProtection="0"/>
    <xf numFmtId="0" fontId="29" fillId="24" borderId="260" applyNumberFormat="0" applyAlignment="0" applyProtection="0"/>
    <xf numFmtId="0" fontId="8" fillId="10" borderId="262" applyNumberFormat="0" applyFont="0" applyAlignment="0" applyProtection="0"/>
    <xf numFmtId="0" fontId="72" fillId="0" borderId="198" applyBorder="0">
      <alignment horizontal="center" vertical="center" wrapText="1"/>
    </xf>
    <xf numFmtId="0" fontId="28" fillId="0" borderId="275"/>
    <xf numFmtId="0" fontId="8" fillId="10" borderId="292" applyNumberFormat="0" applyFont="0" applyAlignment="0" applyProtection="0"/>
    <xf numFmtId="0" fontId="84" fillId="0" borderId="298"/>
    <xf numFmtId="0" fontId="25" fillId="13" borderId="268" applyNumberFormat="0" applyAlignment="0" applyProtection="0"/>
    <xf numFmtId="0" fontId="25" fillId="13" borderId="237" applyNumberFormat="0" applyAlignment="0" applyProtection="0"/>
    <xf numFmtId="0" fontId="72" fillId="0" borderId="228" applyBorder="0">
      <alignment horizontal="center" vertical="center" wrapText="1"/>
    </xf>
    <xf numFmtId="0" fontId="72" fillId="0" borderId="228" applyBorder="0">
      <alignment horizontal="center" vertical="center" wrapText="1"/>
    </xf>
    <xf numFmtId="0" fontId="72" fillId="0" borderId="228" applyBorder="0">
      <alignment horizontal="center" vertical="center" wrapText="1"/>
    </xf>
    <xf numFmtId="0" fontId="72" fillId="0" borderId="228" applyBorder="0">
      <alignment horizontal="center" vertical="center" wrapText="1"/>
    </xf>
    <xf numFmtId="0" fontId="72" fillId="0" borderId="228" applyBorder="0">
      <alignment horizontal="center" vertical="center" wrapText="1"/>
    </xf>
    <xf numFmtId="0" fontId="72" fillId="0" borderId="228" applyBorder="0">
      <alignment horizontal="center" vertical="center" wrapText="1"/>
    </xf>
    <xf numFmtId="0" fontId="72" fillId="0" borderId="228" applyBorder="0">
      <alignment horizontal="center" vertical="center" wrapText="1"/>
    </xf>
    <xf numFmtId="0" fontId="72" fillId="0" borderId="228" applyBorder="0">
      <alignment horizontal="center" vertical="center" wrapText="1"/>
    </xf>
    <xf numFmtId="0" fontId="72" fillId="0" borderId="228" applyBorder="0">
      <alignment horizontal="center" vertical="center" wrapText="1"/>
    </xf>
    <xf numFmtId="0" fontId="72" fillId="0" borderId="228" applyBorder="0">
      <alignment horizontal="center" vertical="center" wrapText="1"/>
    </xf>
    <xf numFmtId="0" fontId="72" fillId="0" borderId="228" applyBorder="0">
      <alignment horizontal="center" vertical="center" wrapText="1"/>
    </xf>
    <xf numFmtId="0" fontId="72" fillId="0" borderId="228" applyBorder="0">
      <alignment horizontal="center" vertical="center" wrapText="1"/>
    </xf>
    <xf numFmtId="0" fontId="72" fillId="0" borderId="228" applyBorder="0">
      <alignment horizontal="center" vertical="center" wrapText="1"/>
    </xf>
    <xf numFmtId="0" fontId="72" fillId="0" borderId="228" applyBorder="0">
      <alignment horizontal="center" vertical="center" wrapText="1"/>
    </xf>
    <xf numFmtId="0" fontId="72" fillId="0" borderId="228" applyBorder="0">
      <alignment horizontal="center" vertical="center" wrapText="1"/>
    </xf>
    <xf numFmtId="0" fontId="72" fillId="0" borderId="228" applyBorder="0">
      <alignment horizontal="center" vertical="center" wrapText="1"/>
    </xf>
    <xf numFmtId="0" fontId="72" fillId="0" borderId="228" applyBorder="0">
      <alignment horizontal="center" vertical="center" wrapText="1"/>
    </xf>
    <xf numFmtId="0" fontId="72" fillId="0" borderId="228" applyBorder="0">
      <alignment horizontal="center" vertical="center" wrapText="1"/>
    </xf>
    <xf numFmtId="0" fontId="72" fillId="0" borderId="228" applyBorder="0">
      <alignment horizontal="center" vertical="center" wrapText="1"/>
    </xf>
    <xf numFmtId="0" fontId="72" fillId="0" borderId="228" applyBorder="0">
      <alignment horizontal="center" vertical="center" wrapText="1"/>
    </xf>
    <xf numFmtId="0" fontId="72" fillId="0" borderId="228" applyBorder="0">
      <alignment horizontal="center" vertical="center" wrapText="1"/>
    </xf>
    <xf numFmtId="0" fontId="72" fillId="0" borderId="228" applyBorder="0">
      <alignment horizontal="center" vertical="center" wrapText="1"/>
    </xf>
    <xf numFmtId="0" fontId="72" fillId="0" borderId="228" applyBorder="0">
      <alignment horizontal="center" vertical="center" wrapText="1"/>
    </xf>
    <xf numFmtId="0" fontId="72" fillId="0" borderId="228" applyBorder="0">
      <alignment horizontal="center" vertical="center" wrapText="1"/>
    </xf>
    <xf numFmtId="0" fontId="72" fillId="0" borderId="228" applyBorder="0">
      <alignment horizontal="center" vertical="center" wrapText="1"/>
    </xf>
    <xf numFmtId="0" fontId="72" fillId="0" borderId="228" applyBorder="0">
      <alignment horizontal="center" vertical="center" wrapText="1"/>
    </xf>
    <xf numFmtId="0" fontId="72" fillId="0" borderId="228" applyBorder="0">
      <alignment horizontal="center" vertical="center" wrapText="1"/>
    </xf>
    <xf numFmtId="0" fontId="72" fillId="0" borderId="228" applyBorder="0">
      <alignment horizontal="center" vertical="center" wrapText="1"/>
    </xf>
    <xf numFmtId="0" fontId="72" fillId="0" borderId="228" applyBorder="0">
      <alignment horizontal="center" vertical="center" wrapText="1"/>
    </xf>
    <xf numFmtId="0" fontId="72" fillId="0" borderId="228" applyBorder="0">
      <alignment horizontal="center" vertical="center" wrapText="1"/>
    </xf>
    <xf numFmtId="0" fontId="48" fillId="24" borderId="230" applyNumberFormat="0" applyAlignment="0" applyProtection="0"/>
    <xf numFmtId="0" fontId="48" fillId="24" borderId="230" applyNumberFormat="0" applyAlignment="0" applyProtection="0"/>
    <xf numFmtId="0" fontId="48" fillId="24" borderId="230" applyNumberFormat="0" applyAlignment="0" applyProtection="0"/>
    <xf numFmtId="0" fontId="48" fillId="24" borderId="230" applyNumberFormat="0" applyAlignment="0" applyProtection="0"/>
    <xf numFmtId="0" fontId="48" fillId="24" borderId="230" applyNumberFormat="0" applyAlignment="0" applyProtection="0"/>
    <xf numFmtId="0" fontId="48" fillId="24" borderId="230" applyNumberFormat="0" applyAlignment="0" applyProtection="0"/>
    <xf numFmtId="0" fontId="48" fillId="24" borderId="230" applyNumberFormat="0" applyAlignment="0" applyProtection="0"/>
    <xf numFmtId="0" fontId="48" fillId="24" borderId="230" applyNumberFormat="0" applyAlignment="0" applyProtection="0"/>
    <xf numFmtId="0" fontId="48" fillId="24" borderId="230" applyNumberFormat="0" applyAlignment="0" applyProtection="0"/>
    <xf numFmtId="0" fontId="48" fillId="24" borderId="230" applyNumberFormat="0" applyAlignment="0" applyProtection="0"/>
    <xf numFmtId="0" fontId="48" fillId="24" borderId="230" applyNumberFormat="0" applyAlignment="0" applyProtection="0"/>
    <xf numFmtId="0" fontId="48" fillId="24" borderId="230" applyNumberFormat="0" applyAlignment="0" applyProtection="0"/>
    <xf numFmtId="0" fontId="48" fillId="24" borderId="230" applyNumberFormat="0" applyAlignment="0" applyProtection="0"/>
    <xf numFmtId="0" fontId="48" fillId="24" borderId="230" applyNumberFormat="0" applyAlignment="0" applyProtection="0"/>
    <xf numFmtId="0" fontId="48" fillId="24" borderId="230" applyNumberFormat="0" applyAlignment="0" applyProtection="0"/>
    <xf numFmtId="0" fontId="48" fillId="24" borderId="230" applyNumberFormat="0" applyAlignment="0" applyProtection="0"/>
    <xf numFmtId="0" fontId="48" fillId="24" borderId="230" applyNumberFormat="0" applyAlignment="0" applyProtection="0"/>
    <xf numFmtId="0" fontId="48" fillId="24" borderId="230" applyNumberFormat="0" applyAlignment="0" applyProtection="0"/>
    <xf numFmtId="0" fontId="48" fillId="24" borderId="230" applyNumberFormat="0" applyAlignment="0" applyProtection="0"/>
    <xf numFmtId="0" fontId="48" fillId="24" borderId="230" applyNumberFormat="0" applyAlignment="0" applyProtection="0"/>
    <xf numFmtId="0" fontId="48" fillId="24" borderId="230" applyNumberFormat="0" applyAlignment="0" applyProtection="0"/>
    <xf numFmtId="0" fontId="48" fillId="24" borderId="230" applyNumberFormat="0" applyAlignment="0" applyProtection="0"/>
    <xf numFmtId="0" fontId="48" fillId="24" borderId="230" applyNumberFormat="0" applyAlignment="0" applyProtection="0"/>
    <xf numFmtId="0" fontId="48" fillId="24" borderId="230" applyNumberFormat="0" applyAlignment="0" applyProtection="0"/>
    <xf numFmtId="0" fontId="48" fillId="24" borderId="230" applyNumberFormat="0" applyAlignment="0" applyProtection="0"/>
    <xf numFmtId="0" fontId="48" fillId="24" borderId="230" applyNumberFormat="0" applyAlignment="0" applyProtection="0"/>
    <xf numFmtId="0" fontId="48" fillId="24" borderId="230" applyNumberFormat="0" applyAlignment="0" applyProtection="0"/>
    <xf numFmtId="0" fontId="48" fillId="24" borderId="230" applyNumberFormat="0" applyAlignment="0" applyProtection="0"/>
    <xf numFmtId="0" fontId="48" fillId="24" borderId="230" applyNumberFormat="0" applyAlignment="0" applyProtection="0"/>
    <xf numFmtId="0" fontId="48" fillId="24" borderId="230" applyNumberFormat="0" applyAlignment="0" applyProtection="0"/>
    <xf numFmtId="0" fontId="48" fillId="24" borderId="230" applyNumberFormat="0" applyAlignment="0" applyProtection="0"/>
    <xf numFmtId="0" fontId="48" fillId="24" borderId="230" applyNumberFormat="0" applyAlignment="0" applyProtection="0"/>
    <xf numFmtId="0" fontId="48" fillId="24" borderId="230" applyNumberFormat="0" applyAlignment="0" applyProtection="0"/>
    <xf numFmtId="0" fontId="48" fillId="24" borderId="230" applyNumberFormat="0" applyAlignment="0" applyProtection="0"/>
    <xf numFmtId="0" fontId="48" fillId="24" borderId="230" applyNumberFormat="0" applyAlignment="0" applyProtection="0"/>
    <xf numFmtId="0" fontId="48" fillId="24" borderId="230" applyNumberFormat="0" applyAlignment="0" applyProtection="0"/>
    <xf numFmtId="0" fontId="48" fillId="24" borderId="230" applyNumberFormat="0" applyAlignment="0" applyProtection="0"/>
    <xf numFmtId="0" fontId="48" fillId="24" borderId="230" applyNumberFormat="0" applyAlignment="0" applyProtection="0"/>
    <xf numFmtId="0" fontId="48" fillId="24" borderId="230" applyNumberFormat="0" applyAlignment="0" applyProtection="0"/>
    <xf numFmtId="0" fontId="48" fillId="24" borderId="230" applyNumberFormat="0" applyAlignment="0" applyProtection="0"/>
    <xf numFmtId="0" fontId="48" fillId="24" borderId="230" applyNumberFormat="0" applyAlignment="0" applyProtection="0"/>
    <xf numFmtId="0" fontId="48" fillId="24" borderId="230" applyNumberFormat="0" applyAlignment="0" applyProtection="0"/>
    <xf numFmtId="0" fontId="48" fillId="24" borderId="230" applyNumberFormat="0" applyAlignment="0" applyProtection="0"/>
    <xf numFmtId="0" fontId="48" fillId="24" borderId="230" applyNumberFormat="0" applyAlignment="0" applyProtection="0"/>
    <xf numFmtId="0" fontId="48" fillId="24" borderId="230" applyNumberFormat="0" applyAlignment="0" applyProtection="0"/>
    <xf numFmtId="0" fontId="48" fillId="24" borderId="230" applyNumberFormat="0" applyAlignment="0" applyProtection="0"/>
    <xf numFmtId="0" fontId="48" fillId="24" borderId="230" applyNumberFormat="0" applyAlignment="0" applyProtection="0"/>
    <xf numFmtId="0" fontId="48" fillId="24" borderId="230" applyNumberFormat="0" applyAlignment="0" applyProtection="0"/>
    <xf numFmtId="0" fontId="48" fillId="24" borderId="230" applyNumberFormat="0" applyAlignment="0" applyProtection="0"/>
    <xf numFmtId="0" fontId="48" fillId="24" borderId="230" applyNumberFormat="0" applyAlignment="0" applyProtection="0"/>
    <xf numFmtId="0" fontId="48" fillId="24" borderId="230" applyNumberFormat="0" applyAlignment="0" applyProtection="0"/>
    <xf numFmtId="0" fontId="48" fillId="24" borderId="230" applyNumberFormat="0" applyAlignment="0" applyProtection="0"/>
    <xf numFmtId="0" fontId="48" fillId="24" borderId="230" applyNumberFormat="0" applyAlignment="0" applyProtection="0"/>
    <xf numFmtId="0" fontId="48" fillId="24" borderId="230" applyNumberFormat="0" applyAlignment="0" applyProtection="0"/>
    <xf numFmtId="0" fontId="48" fillId="24" borderId="230" applyNumberFormat="0" applyAlignment="0" applyProtection="0"/>
    <xf numFmtId="0" fontId="48" fillId="24" borderId="230" applyNumberFormat="0" applyAlignment="0" applyProtection="0"/>
    <xf numFmtId="0" fontId="48" fillId="24" borderId="230" applyNumberFormat="0" applyAlignment="0" applyProtection="0"/>
    <xf numFmtId="0" fontId="48" fillId="24" borderId="230" applyNumberFormat="0" applyAlignment="0" applyProtection="0"/>
    <xf numFmtId="0" fontId="48" fillId="24" borderId="230" applyNumberFormat="0" applyAlignment="0" applyProtection="0"/>
    <xf numFmtId="0" fontId="48" fillId="24" borderId="230" applyNumberFormat="0" applyAlignment="0" applyProtection="0"/>
    <xf numFmtId="0" fontId="48" fillId="24" borderId="230" applyNumberFormat="0" applyAlignment="0" applyProtection="0"/>
    <xf numFmtId="0" fontId="48" fillId="24" borderId="230" applyNumberFormat="0" applyAlignment="0" applyProtection="0"/>
    <xf numFmtId="0" fontId="48" fillId="24" borderId="230" applyNumberFormat="0" applyAlignment="0" applyProtection="0"/>
    <xf numFmtId="0" fontId="48" fillId="24" borderId="230" applyNumberFormat="0" applyAlignment="0" applyProtection="0"/>
    <xf numFmtId="0" fontId="48" fillId="24" borderId="230" applyNumberFormat="0" applyAlignment="0" applyProtection="0"/>
    <xf numFmtId="0" fontId="48" fillId="24" borderId="230" applyNumberFormat="0" applyAlignment="0" applyProtection="0"/>
    <xf numFmtId="0" fontId="48" fillId="24" borderId="230" applyNumberFormat="0" applyAlignment="0" applyProtection="0"/>
    <xf numFmtId="0" fontId="48" fillId="24" borderId="230" applyNumberFormat="0" applyAlignment="0" applyProtection="0"/>
    <xf numFmtId="0" fontId="48" fillId="24" borderId="230" applyNumberFormat="0" applyAlignment="0" applyProtection="0"/>
    <xf numFmtId="0" fontId="48" fillId="24" borderId="230" applyNumberFormat="0" applyAlignment="0" applyProtection="0"/>
    <xf numFmtId="0" fontId="48" fillId="24" borderId="230" applyNumberFormat="0" applyAlignment="0" applyProtection="0"/>
    <xf numFmtId="0" fontId="48" fillId="24" borderId="230" applyNumberFormat="0" applyAlignment="0" applyProtection="0"/>
    <xf numFmtId="0" fontId="48" fillId="24" borderId="230" applyNumberFormat="0" applyAlignment="0" applyProtection="0"/>
    <xf numFmtId="0" fontId="48" fillId="24" borderId="230" applyNumberFormat="0" applyAlignment="0" applyProtection="0"/>
    <xf numFmtId="0" fontId="48" fillId="24" borderId="230" applyNumberFormat="0" applyAlignment="0" applyProtection="0"/>
    <xf numFmtId="0" fontId="48" fillId="24" borderId="230" applyNumberFormat="0" applyAlignment="0" applyProtection="0"/>
    <xf numFmtId="0" fontId="48" fillId="24" borderId="230" applyNumberFormat="0" applyAlignment="0" applyProtection="0"/>
    <xf numFmtId="0" fontId="48" fillId="24" borderId="230" applyNumberFormat="0" applyAlignment="0" applyProtection="0"/>
    <xf numFmtId="0" fontId="32" fillId="24" borderId="230" applyNumberFormat="0" applyAlignment="0" applyProtection="0"/>
    <xf numFmtId="0" fontId="32" fillId="24" borderId="230" applyNumberFormat="0" applyAlignment="0" applyProtection="0"/>
    <xf numFmtId="0" fontId="32" fillId="24" borderId="230" applyNumberFormat="0" applyAlignment="0" applyProtection="0"/>
    <xf numFmtId="0" fontId="32" fillId="24" borderId="230" applyNumberFormat="0" applyAlignment="0" applyProtection="0"/>
    <xf numFmtId="0" fontId="32" fillId="24" borderId="230" applyNumberFormat="0" applyAlignment="0" applyProtection="0"/>
    <xf numFmtId="0" fontId="32" fillId="24" borderId="230" applyNumberFormat="0" applyAlignment="0" applyProtection="0"/>
    <xf numFmtId="0" fontId="32" fillId="24" borderId="230" applyNumberFormat="0" applyAlignment="0" applyProtection="0"/>
    <xf numFmtId="0" fontId="32" fillId="24" borderId="230" applyNumberFormat="0" applyAlignment="0" applyProtection="0"/>
    <xf numFmtId="0" fontId="32" fillId="24" borderId="230" applyNumberFormat="0" applyAlignment="0" applyProtection="0"/>
    <xf numFmtId="0" fontId="32" fillId="24" borderId="230" applyNumberFormat="0" applyAlignment="0" applyProtection="0"/>
    <xf numFmtId="0" fontId="32" fillId="24" borderId="230" applyNumberFormat="0" applyAlignment="0" applyProtection="0"/>
    <xf numFmtId="0" fontId="32" fillId="24" borderId="230" applyNumberFormat="0" applyAlignment="0" applyProtection="0"/>
    <xf numFmtId="0" fontId="32" fillId="24" borderId="230" applyNumberFormat="0" applyAlignment="0" applyProtection="0"/>
    <xf numFmtId="0" fontId="32" fillId="24" borderId="230" applyNumberFormat="0" applyAlignment="0" applyProtection="0"/>
    <xf numFmtId="0" fontId="32" fillId="24" borderId="230" applyNumberFormat="0" applyAlignment="0" applyProtection="0"/>
    <xf numFmtId="0" fontId="32" fillId="24" borderId="230" applyNumberFormat="0" applyAlignment="0" applyProtection="0"/>
    <xf numFmtId="0" fontId="32" fillId="24" borderId="230" applyNumberFormat="0" applyAlignment="0" applyProtection="0"/>
    <xf numFmtId="0" fontId="32" fillId="24" borderId="230" applyNumberFormat="0" applyAlignment="0" applyProtection="0"/>
    <xf numFmtId="0" fontId="32" fillId="24" borderId="230" applyNumberFormat="0" applyAlignment="0" applyProtection="0"/>
    <xf numFmtId="0" fontId="32" fillId="24" borderId="230" applyNumberFormat="0" applyAlignment="0" applyProtection="0"/>
    <xf numFmtId="0" fontId="32" fillId="24" borderId="230" applyNumberFormat="0" applyAlignment="0" applyProtection="0"/>
    <xf numFmtId="0" fontId="32" fillId="24" borderId="230" applyNumberFormat="0" applyAlignment="0" applyProtection="0"/>
    <xf numFmtId="0" fontId="32" fillId="24" borderId="230" applyNumberFormat="0" applyAlignment="0" applyProtection="0"/>
    <xf numFmtId="0" fontId="32" fillId="24" borderId="230" applyNumberFormat="0" applyAlignment="0" applyProtection="0"/>
    <xf numFmtId="0" fontId="32" fillId="24" borderId="230" applyNumberFormat="0" applyAlignment="0" applyProtection="0"/>
    <xf numFmtId="0" fontId="32" fillId="24" borderId="230" applyNumberFormat="0" applyAlignment="0" applyProtection="0"/>
    <xf numFmtId="0" fontId="32" fillId="24" borderId="230" applyNumberFormat="0" applyAlignment="0" applyProtection="0"/>
    <xf numFmtId="0" fontId="32" fillId="24" borderId="230" applyNumberFormat="0" applyAlignment="0" applyProtection="0"/>
    <xf numFmtId="0" fontId="32" fillId="24" borderId="230" applyNumberFormat="0" applyAlignment="0" applyProtection="0"/>
    <xf numFmtId="0" fontId="32" fillId="24" borderId="230" applyNumberFormat="0" applyAlignment="0" applyProtection="0"/>
    <xf numFmtId="0" fontId="32" fillId="24" borderId="230" applyNumberFormat="0" applyAlignment="0" applyProtection="0"/>
    <xf numFmtId="0" fontId="32" fillId="24" borderId="230" applyNumberFormat="0" applyAlignment="0" applyProtection="0"/>
    <xf numFmtId="0" fontId="32" fillId="24" borderId="230" applyNumberFormat="0" applyAlignment="0" applyProtection="0"/>
    <xf numFmtId="0" fontId="32" fillId="24" borderId="230" applyNumberFormat="0" applyAlignment="0" applyProtection="0"/>
    <xf numFmtId="0" fontId="32" fillId="24" borderId="230" applyNumberFormat="0" applyAlignment="0" applyProtection="0"/>
    <xf numFmtId="0" fontId="32" fillId="24" borderId="230" applyNumberFormat="0" applyAlignment="0" applyProtection="0"/>
    <xf numFmtId="0" fontId="32" fillId="24" borderId="230" applyNumberFormat="0" applyAlignment="0" applyProtection="0"/>
    <xf numFmtId="0" fontId="32" fillId="24" borderId="230" applyNumberFormat="0" applyAlignment="0" applyProtection="0"/>
    <xf numFmtId="0" fontId="32" fillId="24" borderId="230" applyNumberFormat="0" applyAlignment="0" applyProtection="0"/>
    <xf numFmtId="0" fontId="32" fillId="24" borderId="230" applyNumberFormat="0" applyAlignment="0" applyProtection="0"/>
    <xf numFmtId="0" fontId="32" fillId="24" borderId="230" applyNumberFormat="0" applyAlignment="0" applyProtection="0"/>
    <xf numFmtId="0" fontId="32" fillId="24" borderId="230" applyNumberFormat="0" applyAlignment="0" applyProtection="0"/>
    <xf numFmtId="0" fontId="32" fillId="24" borderId="230" applyNumberFormat="0" applyAlignment="0" applyProtection="0"/>
    <xf numFmtId="0" fontId="32" fillId="24" borderId="230" applyNumberFormat="0" applyAlignment="0" applyProtection="0"/>
    <xf numFmtId="0" fontId="32" fillId="24" borderId="230" applyNumberFormat="0" applyAlignment="0" applyProtection="0"/>
    <xf numFmtId="0" fontId="32" fillId="24" borderId="230" applyNumberFormat="0" applyAlignment="0" applyProtection="0"/>
    <xf numFmtId="0" fontId="32" fillId="24" borderId="230" applyNumberFormat="0" applyAlignment="0" applyProtection="0"/>
    <xf numFmtId="0" fontId="32" fillId="24" borderId="230" applyNumberFormat="0" applyAlignment="0" applyProtection="0"/>
    <xf numFmtId="0" fontId="32" fillId="24" borderId="230" applyNumberFormat="0" applyAlignment="0" applyProtection="0"/>
    <xf numFmtId="0" fontId="16" fillId="24" borderId="230" applyNumberFormat="0" applyAlignment="0" applyProtection="0"/>
    <xf numFmtId="0" fontId="16" fillId="24" borderId="230" applyNumberFormat="0" applyAlignment="0" applyProtection="0"/>
    <xf numFmtId="0" fontId="16" fillId="24" borderId="230" applyNumberFormat="0" applyAlignment="0" applyProtection="0"/>
    <xf numFmtId="0" fontId="16" fillId="24" borderId="230" applyNumberFormat="0" applyAlignment="0" applyProtection="0"/>
    <xf numFmtId="0" fontId="16" fillId="24" borderId="230" applyNumberFormat="0" applyAlignment="0" applyProtection="0"/>
    <xf numFmtId="0" fontId="16" fillId="24" borderId="230" applyNumberFormat="0" applyAlignment="0" applyProtection="0"/>
    <xf numFmtId="0" fontId="16" fillId="24" borderId="230" applyNumberFormat="0" applyAlignment="0" applyProtection="0"/>
    <xf numFmtId="0" fontId="16" fillId="24" borderId="230" applyNumberFormat="0" applyAlignment="0" applyProtection="0"/>
    <xf numFmtId="0" fontId="16" fillId="24" borderId="230" applyNumberFormat="0" applyAlignment="0" applyProtection="0"/>
    <xf numFmtId="0" fontId="16" fillId="24" borderId="230" applyNumberFormat="0" applyAlignment="0" applyProtection="0"/>
    <xf numFmtId="0" fontId="16" fillId="24" borderId="230" applyNumberFormat="0" applyAlignment="0" applyProtection="0"/>
    <xf numFmtId="0" fontId="16" fillId="24" borderId="230" applyNumberFormat="0" applyAlignment="0" applyProtection="0"/>
    <xf numFmtId="0" fontId="16" fillId="24" borderId="230" applyNumberFormat="0" applyAlignment="0" applyProtection="0"/>
    <xf numFmtId="0" fontId="16" fillId="24" borderId="230" applyNumberFormat="0" applyAlignment="0" applyProtection="0"/>
    <xf numFmtId="0" fontId="16" fillId="24" borderId="230" applyNumberFormat="0" applyAlignment="0" applyProtection="0"/>
    <xf numFmtId="0" fontId="16" fillId="24" borderId="230" applyNumberFormat="0" applyAlignment="0" applyProtection="0"/>
    <xf numFmtId="0" fontId="16" fillId="24" borderId="230" applyNumberFormat="0" applyAlignment="0" applyProtection="0"/>
    <xf numFmtId="0" fontId="16" fillId="24" borderId="230" applyNumberFormat="0" applyAlignment="0" applyProtection="0"/>
    <xf numFmtId="0" fontId="16" fillId="24" borderId="230" applyNumberFormat="0" applyAlignment="0" applyProtection="0"/>
    <xf numFmtId="0" fontId="16" fillId="24" borderId="230" applyNumberFormat="0" applyAlignment="0" applyProtection="0"/>
    <xf numFmtId="0" fontId="16" fillId="24" borderId="230" applyNumberFormat="0" applyAlignment="0" applyProtection="0"/>
    <xf numFmtId="0" fontId="16" fillId="24" borderId="230" applyNumberFormat="0" applyAlignment="0" applyProtection="0"/>
    <xf numFmtId="0" fontId="16" fillId="24" borderId="230" applyNumberFormat="0" applyAlignment="0" applyProtection="0"/>
    <xf numFmtId="0" fontId="16" fillId="24" borderId="230" applyNumberFormat="0" applyAlignment="0" applyProtection="0"/>
    <xf numFmtId="0" fontId="16" fillId="24" borderId="230" applyNumberFormat="0" applyAlignment="0" applyProtection="0"/>
    <xf numFmtId="0" fontId="16" fillId="24" borderId="230" applyNumberFormat="0" applyAlignment="0" applyProtection="0"/>
    <xf numFmtId="0" fontId="16" fillId="24" borderId="230" applyNumberFormat="0" applyAlignment="0" applyProtection="0"/>
    <xf numFmtId="0" fontId="16" fillId="24" borderId="230" applyNumberFormat="0" applyAlignment="0" applyProtection="0"/>
    <xf numFmtId="0" fontId="16" fillId="24" borderId="230" applyNumberFormat="0" applyAlignment="0" applyProtection="0"/>
    <xf numFmtId="0" fontId="16" fillId="24" borderId="230" applyNumberFormat="0" applyAlignment="0" applyProtection="0"/>
    <xf numFmtId="0" fontId="16" fillId="24" borderId="230" applyNumberFormat="0" applyAlignment="0" applyProtection="0"/>
    <xf numFmtId="0" fontId="16" fillId="24" borderId="230" applyNumberFormat="0" applyAlignment="0" applyProtection="0"/>
    <xf numFmtId="0" fontId="16" fillId="24" borderId="230" applyNumberFormat="0" applyAlignment="0" applyProtection="0"/>
    <xf numFmtId="0" fontId="16" fillId="24" borderId="230" applyNumberFormat="0" applyAlignment="0" applyProtection="0"/>
    <xf numFmtId="0" fontId="16" fillId="24" borderId="230" applyNumberFormat="0" applyAlignment="0" applyProtection="0"/>
    <xf numFmtId="0" fontId="16" fillId="24" borderId="230" applyNumberFormat="0" applyAlignment="0" applyProtection="0"/>
    <xf numFmtId="0" fontId="16" fillId="24" borderId="230" applyNumberFormat="0" applyAlignment="0" applyProtection="0"/>
    <xf numFmtId="0" fontId="16" fillId="24" borderId="230" applyNumberFormat="0" applyAlignment="0" applyProtection="0"/>
    <xf numFmtId="0" fontId="16" fillId="24" borderId="230" applyNumberFormat="0" applyAlignment="0" applyProtection="0"/>
    <xf numFmtId="0" fontId="16" fillId="24" borderId="230" applyNumberFormat="0" applyAlignment="0" applyProtection="0"/>
    <xf numFmtId="0" fontId="16" fillId="24" borderId="230" applyNumberFormat="0" applyAlignment="0" applyProtection="0"/>
    <xf numFmtId="0" fontId="16" fillId="24" borderId="230" applyNumberFormat="0" applyAlignment="0" applyProtection="0"/>
    <xf numFmtId="0" fontId="16" fillId="24" borderId="230" applyNumberFormat="0" applyAlignment="0" applyProtection="0"/>
    <xf numFmtId="0" fontId="16" fillId="24" borderId="230" applyNumberFormat="0" applyAlignment="0" applyProtection="0"/>
    <xf numFmtId="0" fontId="16" fillId="24" borderId="230" applyNumberFormat="0" applyAlignment="0" applyProtection="0"/>
    <xf numFmtId="0" fontId="16" fillId="24" borderId="230" applyNumberFormat="0" applyAlignment="0" applyProtection="0"/>
    <xf numFmtId="0" fontId="16" fillId="24" borderId="230" applyNumberFormat="0" applyAlignment="0" applyProtection="0"/>
    <xf numFmtId="0" fontId="16" fillId="24" borderId="230" applyNumberFormat="0" applyAlignment="0" applyProtection="0"/>
    <xf numFmtId="0" fontId="16" fillId="24" borderId="230" applyNumberFormat="0" applyAlignment="0" applyProtection="0"/>
    <xf numFmtId="0" fontId="48" fillId="24" borderId="230" applyNumberFormat="0" applyAlignment="0" applyProtection="0"/>
    <xf numFmtId="0" fontId="48" fillId="24" borderId="230" applyNumberFormat="0" applyAlignment="0" applyProtection="0"/>
    <xf numFmtId="0" fontId="48" fillId="24" borderId="230" applyNumberFormat="0" applyAlignment="0" applyProtection="0"/>
    <xf numFmtId="0" fontId="48" fillId="24" borderId="230" applyNumberFormat="0" applyAlignment="0" applyProtection="0"/>
    <xf numFmtId="0" fontId="48" fillId="24" borderId="230" applyNumberFormat="0" applyAlignment="0" applyProtection="0"/>
    <xf numFmtId="0" fontId="48" fillId="24" borderId="230" applyNumberFormat="0" applyAlignment="0" applyProtection="0"/>
    <xf numFmtId="0" fontId="48" fillId="24" borderId="230" applyNumberFormat="0" applyAlignment="0" applyProtection="0"/>
    <xf numFmtId="0" fontId="48" fillId="24" borderId="230" applyNumberFormat="0" applyAlignment="0" applyProtection="0"/>
    <xf numFmtId="0" fontId="48" fillId="24" borderId="230" applyNumberFormat="0" applyAlignment="0" applyProtection="0"/>
    <xf numFmtId="0" fontId="48" fillId="24" borderId="230" applyNumberFormat="0" applyAlignment="0" applyProtection="0"/>
    <xf numFmtId="0" fontId="48" fillId="24" borderId="230" applyNumberFormat="0" applyAlignment="0" applyProtection="0"/>
    <xf numFmtId="0" fontId="48" fillId="24" borderId="230" applyNumberFormat="0" applyAlignment="0" applyProtection="0"/>
    <xf numFmtId="0" fontId="48" fillId="24" borderId="230" applyNumberFormat="0" applyAlignment="0" applyProtection="0"/>
    <xf numFmtId="0" fontId="48" fillId="24" borderId="230" applyNumberFormat="0" applyAlignment="0" applyProtection="0"/>
    <xf numFmtId="0" fontId="48" fillId="24" borderId="230" applyNumberFormat="0" applyAlignment="0" applyProtection="0"/>
    <xf numFmtId="0" fontId="48" fillId="24" borderId="230" applyNumberFormat="0" applyAlignment="0" applyProtection="0"/>
    <xf numFmtId="0" fontId="48" fillId="24" borderId="230" applyNumberFormat="0" applyAlignment="0" applyProtection="0"/>
    <xf numFmtId="0" fontId="48" fillId="24" borderId="230" applyNumberFormat="0" applyAlignment="0" applyProtection="0"/>
    <xf numFmtId="0" fontId="48" fillId="24" borderId="230" applyNumberFormat="0" applyAlignment="0" applyProtection="0"/>
    <xf numFmtId="0" fontId="48" fillId="24" borderId="230" applyNumberFormat="0" applyAlignment="0" applyProtection="0"/>
    <xf numFmtId="0" fontId="48" fillId="24" borderId="230" applyNumberFormat="0" applyAlignment="0" applyProtection="0"/>
    <xf numFmtId="0" fontId="48" fillId="24" borderId="230" applyNumberFormat="0" applyAlignment="0" applyProtection="0"/>
    <xf numFmtId="0" fontId="48" fillId="24" borderId="230" applyNumberFormat="0" applyAlignment="0" applyProtection="0"/>
    <xf numFmtId="0" fontId="48" fillId="24" borderId="230" applyNumberFormat="0" applyAlignment="0" applyProtection="0"/>
    <xf numFmtId="0" fontId="48" fillId="24" borderId="230" applyNumberFormat="0" applyAlignment="0" applyProtection="0"/>
    <xf numFmtId="0" fontId="48" fillId="24" borderId="230" applyNumberFormat="0" applyAlignment="0" applyProtection="0"/>
    <xf numFmtId="0" fontId="48" fillId="24" borderId="230" applyNumberFormat="0" applyAlignment="0" applyProtection="0"/>
    <xf numFmtId="0" fontId="48" fillId="24" borderId="230" applyNumberFormat="0" applyAlignment="0" applyProtection="0"/>
    <xf numFmtId="0" fontId="48" fillId="24" borderId="230" applyNumberFormat="0" applyAlignment="0" applyProtection="0"/>
    <xf numFmtId="0" fontId="48" fillId="24" borderId="230" applyNumberFormat="0" applyAlignment="0" applyProtection="0"/>
    <xf numFmtId="0" fontId="48" fillId="24" borderId="230" applyNumberFormat="0" applyAlignment="0" applyProtection="0"/>
    <xf numFmtId="0" fontId="48" fillId="24" borderId="230" applyNumberFormat="0" applyAlignment="0" applyProtection="0"/>
    <xf numFmtId="0" fontId="48" fillId="24" borderId="230" applyNumberFormat="0" applyAlignment="0" applyProtection="0"/>
    <xf numFmtId="0" fontId="48" fillId="24" borderId="230" applyNumberFormat="0" applyAlignment="0" applyProtection="0"/>
    <xf numFmtId="0" fontId="48" fillId="24" borderId="230" applyNumberFormat="0" applyAlignment="0" applyProtection="0"/>
    <xf numFmtId="0" fontId="48" fillId="24" borderId="230" applyNumberFormat="0" applyAlignment="0" applyProtection="0"/>
    <xf numFmtId="0" fontId="48" fillId="24" borderId="230" applyNumberFormat="0" applyAlignment="0" applyProtection="0"/>
    <xf numFmtId="0" fontId="48" fillId="24" borderId="230" applyNumberFormat="0" applyAlignment="0" applyProtection="0"/>
    <xf numFmtId="0" fontId="48" fillId="24" borderId="230" applyNumberFormat="0" applyAlignment="0" applyProtection="0"/>
    <xf numFmtId="0" fontId="48" fillId="24" borderId="230" applyNumberFormat="0" applyAlignment="0" applyProtection="0"/>
    <xf numFmtId="0" fontId="48" fillId="24" borderId="230" applyNumberFormat="0" applyAlignment="0" applyProtection="0"/>
    <xf numFmtId="0" fontId="48" fillId="24" borderId="230" applyNumberFormat="0" applyAlignment="0" applyProtection="0"/>
    <xf numFmtId="0" fontId="48" fillId="24" borderId="230" applyNumberFormat="0" applyAlignment="0" applyProtection="0"/>
    <xf numFmtId="0" fontId="48" fillId="24" borderId="230" applyNumberFormat="0" applyAlignment="0" applyProtection="0"/>
    <xf numFmtId="0" fontId="48" fillId="24" borderId="230" applyNumberFormat="0" applyAlignment="0" applyProtection="0"/>
    <xf numFmtId="0" fontId="48" fillId="24" borderId="230" applyNumberFormat="0" applyAlignment="0" applyProtection="0"/>
    <xf numFmtId="0" fontId="48" fillId="24" borderId="230" applyNumberFormat="0" applyAlignment="0" applyProtection="0"/>
    <xf numFmtId="0" fontId="48" fillId="24" borderId="230" applyNumberFormat="0" applyAlignment="0" applyProtection="0"/>
    <xf numFmtId="0" fontId="48" fillId="12" borderId="230" applyNumberFormat="0" applyAlignment="0" applyProtection="0"/>
    <xf numFmtId="0" fontId="48" fillId="12" borderId="230" applyNumberFormat="0" applyAlignment="0" applyProtection="0"/>
    <xf numFmtId="0" fontId="48" fillId="12" borderId="230" applyNumberFormat="0" applyAlignment="0" applyProtection="0"/>
    <xf numFmtId="0" fontId="48" fillId="12" borderId="230" applyNumberFormat="0" applyAlignment="0" applyProtection="0"/>
    <xf numFmtId="0" fontId="48" fillId="12" borderId="230" applyNumberFormat="0" applyAlignment="0" applyProtection="0"/>
    <xf numFmtId="0" fontId="48" fillId="12" borderId="230" applyNumberFormat="0" applyAlignment="0" applyProtection="0"/>
    <xf numFmtId="0" fontId="48" fillId="12" borderId="230" applyNumberFormat="0" applyAlignment="0" applyProtection="0"/>
    <xf numFmtId="0" fontId="48" fillId="12" borderId="230" applyNumberFormat="0" applyAlignment="0" applyProtection="0"/>
    <xf numFmtId="0" fontId="48" fillId="12" borderId="230" applyNumberFormat="0" applyAlignment="0" applyProtection="0"/>
    <xf numFmtId="0" fontId="48" fillId="12" borderId="230" applyNumberFormat="0" applyAlignment="0" applyProtection="0"/>
    <xf numFmtId="0" fontId="48" fillId="12" borderId="230" applyNumberFormat="0" applyAlignment="0" applyProtection="0"/>
    <xf numFmtId="0" fontId="48" fillId="12" borderId="230" applyNumberFormat="0" applyAlignment="0" applyProtection="0"/>
    <xf numFmtId="0" fontId="48" fillId="12" borderId="230" applyNumberFormat="0" applyAlignment="0" applyProtection="0"/>
    <xf numFmtId="0" fontId="48" fillId="12" borderId="230" applyNumberFormat="0" applyAlignment="0" applyProtection="0"/>
    <xf numFmtId="0" fontId="48" fillId="12" borderId="230" applyNumberFormat="0" applyAlignment="0" applyProtection="0"/>
    <xf numFmtId="0" fontId="48" fillId="12" borderId="230" applyNumberFormat="0" applyAlignment="0" applyProtection="0"/>
    <xf numFmtId="0" fontId="48" fillId="12" borderId="230" applyNumberFormat="0" applyAlignment="0" applyProtection="0"/>
    <xf numFmtId="0" fontId="48" fillId="12" borderId="230" applyNumberFormat="0" applyAlignment="0" applyProtection="0"/>
    <xf numFmtId="0" fontId="48" fillId="12" borderId="230" applyNumberFormat="0" applyAlignment="0" applyProtection="0"/>
    <xf numFmtId="0" fontId="48" fillId="12" borderId="230" applyNumberFormat="0" applyAlignment="0" applyProtection="0"/>
    <xf numFmtId="0" fontId="48" fillId="12" borderId="230" applyNumberFormat="0" applyAlignment="0" applyProtection="0"/>
    <xf numFmtId="0" fontId="48" fillId="12" borderId="230" applyNumberFormat="0" applyAlignment="0" applyProtection="0"/>
    <xf numFmtId="0" fontId="48" fillId="12" borderId="230" applyNumberFormat="0" applyAlignment="0" applyProtection="0"/>
    <xf numFmtId="0" fontId="48" fillId="12" borderId="230" applyNumberFormat="0" applyAlignment="0" applyProtection="0"/>
    <xf numFmtId="0" fontId="48" fillId="12" borderId="230" applyNumberFormat="0" applyAlignment="0" applyProtection="0"/>
    <xf numFmtId="0" fontId="48" fillId="12" borderId="230" applyNumberFormat="0" applyAlignment="0" applyProtection="0"/>
    <xf numFmtId="0" fontId="48" fillId="12" borderId="230" applyNumberFormat="0" applyAlignment="0" applyProtection="0"/>
    <xf numFmtId="0" fontId="48" fillId="12" borderId="230" applyNumberFormat="0" applyAlignment="0" applyProtection="0"/>
    <xf numFmtId="0" fontId="48" fillId="12" borderId="230" applyNumberFormat="0" applyAlignment="0" applyProtection="0"/>
    <xf numFmtId="0" fontId="48" fillId="12" borderId="230" applyNumberFormat="0" applyAlignment="0" applyProtection="0"/>
    <xf numFmtId="0" fontId="48" fillId="12" borderId="230" applyNumberFormat="0" applyAlignment="0" applyProtection="0"/>
    <xf numFmtId="0" fontId="48" fillId="12" borderId="230" applyNumberFormat="0" applyAlignment="0" applyProtection="0"/>
    <xf numFmtId="0" fontId="48" fillId="12" borderId="230" applyNumberFormat="0" applyAlignment="0" applyProtection="0"/>
    <xf numFmtId="0" fontId="48" fillId="12" borderId="230" applyNumberFormat="0" applyAlignment="0" applyProtection="0"/>
    <xf numFmtId="0" fontId="48" fillId="12" borderId="230" applyNumberFormat="0" applyAlignment="0" applyProtection="0"/>
    <xf numFmtId="0" fontId="48" fillId="12" borderId="230" applyNumberFormat="0" applyAlignment="0" applyProtection="0"/>
    <xf numFmtId="0" fontId="48" fillId="12" borderId="230" applyNumberFormat="0" applyAlignment="0" applyProtection="0"/>
    <xf numFmtId="0" fontId="48" fillId="12" borderId="230" applyNumberFormat="0" applyAlignment="0" applyProtection="0"/>
    <xf numFmtId="0" fontId="48" fillId="12" borderId="230" applyNumberFormat="0" applyAlignment="0" applyProtection="0"/>
    <xf numFmtId="0" fontId="48" fillId="12" borderId="230" applyNumberFormat="0" applyAlignment="0" applyProtection="0"/>
    <xf numFmtId="0" fontId="48" fillId="12" borderId="230" applyNumberFormat="0" applyAlignment="0" applyProtection="0"/>
    <xf numFmtId="0" fontId="48" fillId="12" borderId="230" applyNumberFormat="0" applyAlignment="0" applyProtection="0"/>
    <xf numFmtId="0" fontId="48" fillId="12" borderId="230" applyNumberFormat="0" applyAlignment="0" applyProtection="0"/>
    <xf numFmtId="0" fontId="48" fillId="12" borderId="230" applyNumberFormat="0" applyAlignment="0" applyProtection="0"/>
    <xf numFmtId="0" fontId="48" fillId="12" borderId="230" applyNumberFormat="0" applyAlignment="0" applyProtection="0"/>
    <xf numFmtId="0" fontId="48" fillId="12" borderId="230" applyNumberFormat="0" applyAlignment="0" applyProtection="0"/>
    <xf numFmtId="0" fontId="48" fillId="12" borderId="230" applyNumberFormat="0" applyAlignment="0" applyProtection="0"/>
    <xf numFmtId="0" fontId="48" fillId="12" borderId="230" applyNumberFormat="0" applyAlignment="0" applyProtection="0"/>
    <xf numFmtId="0" fontId="48" fillId="12" borderId="230" applyNumberFormat="0" applyAlignment="0" applyProtection="0"/>
    <xf numFmtId="0" fontId="48" fillId="12" borderId="230" applyNumberFormat="0" applyAlignment="0" applyProtection="0"/>
    <xf numFmtId="0" fontId="48" fillId="12" borderId="230" applyNumberFormat="0" applyAlignment="0" applyProtection="0"/>
    <xf numFmtId="0" fontId="48" fillId="12" borderId="230" applyNumberFormat="0" applyAlignment="0" applyProtection="0"/>
    <xf numFmtId="0" fontId="48" fillId="12" borderId="230" applyNumberFormat="0" applyAlignment="0" applyProtection="0"/>
    <xf numFmtId="0" fontId="48" fillId="12" borderId="230" applyNumberFormat="0" applyAlignment="0" applyProtection="0"/>
    <xf numFmtId="0" fontId="48" fillId="12" borderId="230" applyNumberFormat="0" applyAlignment="0" applyProtection="0"/>
    <xf numFmtId="0" fontId="48" fillId="12" borderId="230" applyNumberFormat="0" applyAlignment="0" applyProtection="0"/>
    <xf numFmtId="0" fontId="48" fillId="12" borderId="230" applyNumberFormat="0" applyAlignment="0" applyProtection="0"/>
    <xf numFmtId="0" fontId="48" fillId="12" borderId="230" applyNumberFormat="0" applyAlignment="0" applyProtection="0"/>
    <xf numFmtId="0" fontId="48" fillId="12" borderId="230" applyNumberFormat="0" applyAlignment="0" applyProtection="0"/>
    <xf numFmtId="0" fontId="48" fillId="12" borderId="230" applyNumberFormat="0" applyAlignment="0" applyProtection="0"/>
    <xf numFmtId="0" fontId="48" fillId="12" borderId="230" applyNumberFormat="0" applyAlignment="0" applyProtection="0"/>
    <xf numFmtId="0" fontId="48" fillId="12" borderId="230" applyNumberFormat="0" applyAlignment="0" applyProtection="0"/>
    <xf numFmtId="0" fontId="48" fillId="12" borderId="230" applyNumberFormat="0" applyAlignment="0" applyProtection="0"/>
    <xf numFmtId="0" fontId="48" fillId="12" borderId="230" applyNumberFormat="0" applyAlignment="0" applyProtection="0"/>
    <xf numFmtId="0" fontId="48" fillId="12" borderId="230" applyNumberFormat="0" applyAlignment="0" applyProtection="0"/>
    <xf numFmtId="0" fontId="48" fillId="12" borderId="230" applyNumberFormat="0" applyAlignment="0" applyProtection="0"/>
    <xf numFmtId="0" fontId="48" fillId="12" borderId="230" applyNumberFormat="0" applyAlignment="0" applyProtection="0"/>
    <xf numFmtId="0" fontId="48" fillId="12" borderId="230" applyNumberFormat="0" applyAlignment="0" applyProtection="0"/>
    <xf numFmtId="0" fontId="48" fillId="12" borderId="230" applyNumberFormat="0" applyAlignment="0" applyProtection="0"/>
    <xf numFmtId="0" fontId="48" fillId="12" borderId="230" applyNumberFormat="0" applyAlignment="0" applyProtection="0"/>
    <xf numFmtId="0" fontId="48" fillId="12" borderId="230" applyNumberFormat="0" applyAlignment="0" applyProtection="0"/>
    <xf numFmtId="0" fontId="48" fillId="12" borderId="230" applyNumberFormat="0" applyAlignment="0" applyProtection="0"/>
    <xf numFmtId="0" fontId="48" fillId="12" borderId="230" applyNumberFormat="0" applyAlignment="0" applyProtection="0"/>
    <xf numFmtId="0" fontId="48" fillId="12" borderId="230" applyNumberFormat="0" applyAlignment="0" applyProtection="0"/>
    <xf numFmtId="0" fontId="48" fillId="12" borderId="230" applyNumberFormat="0" applyAlignment="0" applyProtection="0"/>
    <xf numFmtId="0" fontId="48" fillId="12" borderId="230" applyNumberFormat="0" applyAlignment="0" applyProtection="0"/>
    <xf numFmtId="0" fontId="48" fillId="12" borderId="230" applyNumberFormat="0" applyAlignment="0" applyProtection="0"/>
    <xf numFmtId="0" fontId="16" fillId="24" borderId="230" applyNumberFormat="0" applyAlignment="0" applyProtection="0"/>
    <xf numFmtId="0" fontId="16" fillId="24" borderId="230" applyNumberFormat="0" applyAlignment="0" applyProtection="0"/>
    <xf numFmtId="0" fontId="16" fillId="24" borderId="230" applyNumberFormat="0" applyAlignment="0" applyProtection="0"/>
    <xf numFmtId="0" fontId="16" fillId="24" borderId="230" applyNumberFormat="0" applyAlignment="0" applyProtection="0"/>
    <xf numFmtId="0" fontId="16" fillId="24" borderId="230" applyNumberFormat="0" applyAlignment="0" applyProtection="0"/>
    <xf numFmtId="0" fontId="16" fillId="24" borderId="230" applyNumberFormat="0" applyAlignment="0" applyProtection="0"/>
    <xf numFmtId="0" fontId="16" fillId="24" borderId="230" applyNumberFormat="0" applyAlignment="0" applyProtection="0"/>
    <xf numFmtId="0" fontId="16" fillId="24" borderId="230" applyNumberFormat="0" applyAlignment="0" applyProtection="0"/>
    <xf numFmtId="0" fontId="16" fillId="24" borderId="230" applyNumberFormat="0" applyAlignment="0" applyProtection="0"/>
    <xf numFmtId="0" fontId="16" fillId="24" borderId="230" applyNumberFormat="0" applyAlignment="0" applyProtection="0"/>
    <xf numFmtId="0" fontId="16" fillId="24" borderId="230" applyNumberFormat="0" applyAlignment="0" applyProtection="0"/>
    <xf numFmtId="0" fontId="16" fillId="24" borderId="230" applyNumberFormat="0" applyAlignment="0" applyProtection="0"/>
    <xf numFmtId="0" fontId="16" fillId="24" borderId="230" applyNumberFormat="0" applyAlignment="0" applyProtection="0"/>
    <xf numFmtId="0" fontId="16" fillId="24" borderId="230" applyNumberFormat="0" applyAlignment="0" applyProtection="0"/>
    <xf numFmtId="0" fontId="16" fillId="24" borderId="230" applyNumberFormat="0" applyAlignment="0" applyProtection="0"/>
    <xf numFmtId="0" fontId="16" fillId="24" borderId="230" applyNumberFormat="0" applyAlignment="0" applyProtection="0"/>
    <xf numFmtId="0" fontId="16" fillId="24" borderId="230" applyNumberFormat="0" applyAlignment="0" applyProtection="0"/>
    <xf numFmtId="0" fontId="16" fillId="24" borderId="230" applyNumberFormat="0" applyAlignment="0" applyProtection="0"/>
    <xf numFmtId="0" fontId="16" fillId="24" borderId="230" applyNumberFormat="0" applyAlignment="0" applyProtection="0"/>
    <xf numFmtId="0" fontId="16" fillId="24" borderId="230" applyNumberFormat="0" applyAlignment="0" applyProtection="0"/>
    <xf numFmtId="0" fontId="16" fillId="24" borderId="230" applyNumberFormat="0" applyAlignment="0" applyProtection="0"/>
    <xf numFmtId="0" fontId="16" fillId="24" borderId="230" applyNumberFormat="0" applyAlignment="0" applyProtection="0"/>
    <xf numFmtId="0" fontId="16" fillId="24" borderId="230" applyNumberFormat="0" applyAlignment="0" applyProtection="0"/>
    <xf numFmtId="0" fontId="16" fillId="24" borderId="230" applyNumberFormat="0" applyAlignment="0" applyProtection="0"/>
    <xf numFmtId="0" fontId="16" fillId="24" borderId="230" applyNumberFormat="0" applyAlignment="0" applyProtection="0"/>
    <xf numFmtId="0" fontId="16" fillId="24" borderId="230" applyNumberFormat="0" applyAlignment="0" applyProtection="0"/>
    <xf numFmtId="0" fontId="16" fillId="24" borderId="230" applyNumberFormat="0" applyAlignment="0" applyProtection="0"/>
    <xf numFmtId="0" fontId="16" fillId="24" borderId="230" applyNumberFormat="0" applyAlignment="0" applyProtection="0"/>
    <xf numFmtId="0" fontId="16" fillId="24" borderId="230" applyNumberFormat="0" applyAlignment="0" applyProtection="0"/>
    <xf numFmtId="0" fontId="16" fillId="24" borderId="230" applyNumberFormat="0" applyAlignment="0" applyProtection="0"/>
    <xf numFmtId="0" fontId="16" fillId="24" borderId="230" applyNumberFormat="0" applyAlignment="0" applyProtection="0"/>
    <xf numFmtId="0" fontId="16" fillId="24" borderId="230" applyNumberFormat="0" applyAlignment="0" applyProtection="0"/>
    <xf numFmtId="0" fontId="16" fillId="24" borderId="230" applyNumberFormat="0" applyAlignment="0" applyProtection="0"/>
    <xf numFmtId="0" fontId="16" fillId="24" borderId="230" applyNumberFormat="0" applyAlignment="0" applyProtection="0"/>
    <xf numFmtId="0" fontId="16" fillId="24" borderId="230" applyNumberFormat="0" applyAlignment="0" applyProtection="0"/>
    <xf numFmtId="0" fontId="16" fillId="24" borderId="230" applyNumberFormat="0" applyAlignment="0" applyProtection="0"/>
    <xf numFmtId="0" fontId="16" fillId="24" borderId="230" applyNumberFormat="0" applyAlignment="0" applyProtection="0"/>
    <xf numFmtId="0" fontId="16" fillId="24" borderId="230" applyNumberFormat="0" applyAlignment="0" applyProtection="0"/>
    <xf numFmtId="0" fontId="16" fillId="24" borderId="230" applyNumberFormat="0" applyAlignment="0" applyProtection="0"/>
    <xf numFmtId="0" fontId="16" fillId="24" borderId="230" applyNumberFormat="0" applyAlignment="0" applyProtection="0"/>
    <xf numFmtId="0" fontId="16" fillId="24" borderId="230" applyNumberFormat="0" applyAlignment="0" applyProtection="0"/>
    <xf numFmtId="0" fontId="16" fillId="24" borderId="230" applyNumberFormat="0" applyAlignment="0" applyProtection="0"/>
    <xf numFmtId="0" fontId="16" fillId="24" borderId="230" applyNumberFormat="0" applyAlignment="0" applyProtection="0"/>
    <xf numFmtId="0" fontId="16" fillId="24" borderId="230" applyNumberFormat="0" applyAlignment="0" applyProtection="0"/>
    <xf numFmtId="0" fontId="16" fillId="24" borderId="230" applyNumberFormat="0" applyAlignment="0" applyProtection="0"/>
    <xf numFmtId="0" fontId="16" fillId="24" borderId="230" applyNumberFormat="0" applyAlignment="0" applyProtection="0"/>
    <xf numFmtId="0" fontId="16" fillId="24" borderId="230" applyNumberFormat="0" applyAlignment="0" applyProtection="0"/>
    <xf numFmtId="0" fontId="16" fillId="24" borderId="230" applyNumberFormat="0" applyAlignment="0" applyProtection="0"/>
    <xf numFmtId="0" fontId="16" fillId="24" borderId="230" applyNumberFormat="0" applyAlignment="0" applyProtection="0"/>
    <xf numFmtId="0" fontId="48" fillId="12" borderId="230" applyNumberFormat="0" applyAlignment="0" applyProtection="0"/>
    <xf numFmtId="0" fontId="48" fillId="12" borderId="230" applyNumberFormat="0" applyAlignment="0" applyProtection="0"/>
    <xf numFmtId="0" fontId="48" fillId="12" borderId="230" applyNumberFormat="0" applyAlignment="0" applyProtection="0"/>
    <xf numFmtId="0" fontId="48" fillId="12" borderId="230" applyNumberFormat="0" applyAlignment="0" applyProtection="0"/>
    <xf numFmtId="0" fontId="48" fillId="12" borderId="230" applyNumberFormat="0" applyAlignment="0" applyProtection="0"/>
    <xf numFmtId="0" fontId="48" fillId="12" borderId="230" applyNumberFormat="0" applyAlignment="0" applyProtection="0"/>
    <xf numFmtId="0" fontId="48" fillId="12" borderId="230" applyNumberFormat="0" applyAlignment="0" applyProtection="0"/>
    <xf numFmtId="0" fontId="48" fillId="12" borderId="230" applyNumberFormat="0" applyAlignment="0" applyProtection="0"/>
    <xf numFmtId="0" fontId="48" fillId="12" borderId="230" applyNumberFormat="0" applyAlignment="0" applyProtection="0"/>
    <xf numFmtId="0" fontId="48" fillId="12" borderId="230" applyNumberFormat="0" applyAlignment="0" applyProtection="0"/>
    <xf numFmtId="0" fontId="48" fillId="12" borderId="230" applyNumberFormat="0" applyAlignment="0" applyProtection="0"/>
    <xf numFmtId="0" fontId="48" fillId="12" borderId="230" applyNumberFormat="0" applyAlignment="0" applyProtection="0"/>
    <xf numFmtId="0" fontId="48" fillId="12" borderId="230" applyNumberFormat="0" applyAlignment="0" applyProtection="0"/>
    <xf numFmtId="0" fontId="48" fillId="12" borderId="230" applyNumberFormat="0" applyAlignment="0" applyProtection="0"/>
    <xf numFmtId="0" fontId="48" fillId="12" borderId="230" applyNumberFormat="0" applyAlignment="0" applyProtection="0"/>
    <xf numFmtId="0" fontId="48" fillId="12" borderId="230" applyNumberFormat="0" applyAlignment="0" applyProtection="0"/>
    <xf numFmtId="0" fontId="48" fillId="12" borderId="230" applyNumberFormat="0" applyAlignment="0" applyProtection="0"/>
    <xf numFmtId="0" fontId="48" fillId="12" borderId="230" applyNumberFormat="0" applyAlignment="0" applyProtection="0"/>
    <xf numFmtId="0" fontId="48" fillId="12" borderId="230" applyNumberFormat="0" applyAlignment="0" applyProtection="0"/>
    <xf numFmtId="0" fontId="48" fillId="12" borderId="230" applyNumberFormat="0" applyAlignment="0" applyProtection="0"/>
    <xf numFmtId="0" fontId="48" fillId="12" borderId="230" applyNumberFormat="0" applyAlignment="0" applyProtection="0"/>
    <xf numFmtId="0" fontId="48" fillId="12" borderId="230" applyNumberFormat="0" applyAlignment="0" applyProtection="0"/>
    <xf numFmtId="0" fontId="48" fillId="12" borderId="230" applyNumberFormat="0" applyAlignment="0" applyProtection="0"/>
    <xf numFmtId="0" fontId="48" fillId="12" borderId="230" applyNumberFormat="0" applyAlignment="0" applyProtection="0"/>
    <xf numFmtId="0" fontId="48" fillId="12" borderId="230" applyNumberFormat="0" applyAlignment="0" applyProtection="0"/>
    <xf numFmtId="0" fontId="48" fillId="12" borderId="230" applyNumberFormat="0" applyAlignment="0" applyProtection="0"/>
    <xf numFmtId="0" fontId="48" fillId="12" borderId="230" applyNumberFormat="0" applyAlignment="0" applyProtection="0"/>
    <xf numFmtId="0" fontId="48" fillId="12" borderId="230" applyNumberFormat="0" applyAlignment="0" applyProtection="0"/>
    <xf numFmtId="0" fontId="48" fillId="12" borderId="230" applyNumberFormat="0" applyAlignment="0" applyProtection="0"/>
    <xf numFmtId="0" fontId="48" fillId="12" borderId="230" applyNumberFormat="0" applyAlignment="0" applyProtection="0"/>
    <xf numFmtId="0" fontId="48" fillId="12" borderId="230" applyNumberFormat="0" applyAlignment="0" applyProtection="0"/>
    <xf numFmtId="0" fontId="48" fillId="12" borderId="230" applyNumberFormat="0" applyAlignment="0" applyProtection="0"/>
    <xf numFmtId="0" fontId="48" fillId="12" borderId="230" applyNumberFormat="0" applyAlignment="0" applyProtection="0"/>
    <xf numFmtId="0" fontId="48" fillId="12" borderId="230" applyNumberFormat="0" applyAlignment="0" applyProtection="0"/>
    <xf numFmtId="0" fontId="48" fillId="12" borderId="230" applyNumberFormat="0" applyAlignment="0" applyProtection="0"/>
    <xf numFmtId="0" fontId="48" fillId="12" borderId="230" applyNumberFormat="0" applyAlignment="0" applyProtection="0"/>
    <xf numFmtId="0" fontId="48" fillId="12" borderId="230" applyNumberFormat="0" applyAlignment="0" applyProtection="0"/>
    <xf numFmtId="0" fontId="48" fillId="12" borderId="230" applyNumberFormat="0" applyAlignment="0" applyProtection="0"/>
    <xf numFmtId="0" fontId="48" fillId="12" borderId="230" applyNumberFormat="0" applyAlignment="0" applyProtection="0"/>
    <xf numFmtId="0" fontId="48" fillId="12" borderId="230" applyNumberFormat="0" applyAlignment="0" applyProtection="0"/>
    <xf numFmtId="0" fontId="48" fillId="12" borderId="230" applyNumberFormat="0" applyAlignment="0" applyProtection="0"/>
    <xf numFmtId="0" fontId="48" fillId="12" borderId="230" applyNumberFormat="0" applyAlignment="0" applyProtection="0"/>
    <xf numFmtId="0" fontId="48" fillId="12" borderId="230" applyNumberFormat="0" applyAlignment="0" applyProtection="0"/>
    <xf numFmtId="0" fontId="48" fillId="12" borderId="230" applyNumberFormat="0" applyAlignment="0" applyProtection="0"/>
    <xf numFmtId="0" fontId="48" fillId="12" borderId="230" applyNumberFormat="0" applyAlignment="0" applyProtection="0"/>
    <xf numFmtId="0" fontId="48" fillId="12" borderId="230" applyNumberFormat="0" applyAlignment="0" applyProtection="0"/>
    <xf numFmtId="0" fontId="48" fillId="12" borderId="230" applyNumberFormat="0" applyAlignment="0" applyProtection="0"/>
    <xf numFmtId="0" fontId="48" fillId="12" borderId="230" applyNumberFormat="0" applyAlignment="0" applyProtection="0"/>
    <xf numFmtId="0" fontId="48" fillId="12" borderId="230" applyNumberFormat="0" applyAlignment="0" applyProtection="0"/>
    <xf numFmtId="0" fontId="48" fillId="12" borderId="230" applyNumberFormat="0" applyAlignment="0" applyProtection="0"/>
    <xf numFmtId="0" fontId="48" fillId="12" borderId="230" applyNumberFormat="0" applyAlignment="0" applyProtection="0"/>
    <xf numFmtId="0" fontId="48" fillId="12" borderId="230" applyNumberFormat="0" applyAlignment="0" applyProtection="0"/>
    <xf numFmtId="0" fontId="48" fillId="12" borderId="230" applyNumberFormat="0" applyAlignment="0" applyProtection="0"/>
    <xf numFmtId="0" fontId="48" fillId="12" borderId="230" applyNumberFormat="0" applyAlignment="0" applyProtection="0"/>
    <xf numFmtId="0" fontId="48" fillId="12" borderId="230" applyNumberFormat="0" applyAlignment="0" applyProtection="0"/>
    <xf numFmtId="0" fontId="48" fillId="12" borderId="230" applyNumberFormat="0" applyAlignment="0" applyProtection="0"/>
    <xf numFmtId="0" fontId="48" fillId="12" borderId="230" applyNumberFormat="0" applyAlignment="0" applyProtection="0"/>
    <xf numFmtId="0" fontId="48" fillId="12" borderId="230" applyNumberFormat="0" applyAlignment="0" applyProtection="0"/>
    <xf numFmtId="0" fontId="48" fillId="12" borderId="230" applyNumberFormat="0" applyAlignment="0" applyProtection="0"/>
    <xf numFmtId="0" fontId="48" fillId="12" borderId="230" applyNumberFormat="0" applyAlignment="0" applyProtection="0"/>
    <xf numFmtId="0" fontId="48" fillId="12" borderId="230" applyNumberFormat="0" applyAlignment="0" applyProtection="0"/>
    <xf numFmtId="0" fontId="48" fillId="12" borderId="230" applyNumberFormat="0" applyAlignment="0" applyProtection="0"/>
    <xf numFmtId="0" fontId="48" fillId="12" borderId="230" applyNumberFormat="0" applyAlignment="0" applyProtection="0"/>
    <xf numFmtId="0" fontId="48" fillId="12" borderId="230" applyNumberFormat="0" applyAlignment="0" applyProtection="0"/>
    <xf numFmtId="0" fontId="48" fillId="12" borderId="230" applyNumberFormat="0" applyAlignment="0" applyProtection="0"/>
    <xf numFmtId="0" fontId="48" fillId="12" borderId="230" applyNumberFormat="0" applyAlignment="0" applyProtection="0"/>
    <xf numFmtId="0" fontId="48" fillId="12" borderId="230" applyNumberFormat="0" applyAlignment="0" applyProtection="0"/>
    <xf numFmtId="0" fontId="48" fillId="12" borderId="230" applyNumberFormat="0" applyAlignment="0" applyProtection="0"/>
    <xf numFmtId="0" fontId="48" fillId="12" borderId="230" applyNumberFormat="0" applyAlignment="0" applyProtection="0"/>
    <xf numFmtId="0" fontId="48" fillId="12" borderId="230" applyNumberFormat="0" applyAlignment="0" applyProtection="0"/>
    <xf numFmtId="0" fontId="48" fillId="12" borderId="230" applyNumberFormat="0" applyAlignment="0" applyProtection="0"/>
    <xf numFmtId="0" fontId="48" fillId="12" borderId="230" applyNumberFormat="0" applyAlignment="0" applyProtection="0"/>
    <xf numFmtId="0" fontId="48" fillId="12" borderId="230" applyNumberFormat="0" applyAlignment="0" applyProtection="0"/>
    <xf numFmtId="0" fontId="48" fillId="12" borderId="230" applyNumberFormat="0" applyAlignment="0" applyProtection="0"/>
    <xf numFmtId="0" fontId="48" fillId="12" borderId="230" applyNumberFormat="0" applyAlignment="0" applyProtection="0"/>
    <xf numFmtId="0" fontId="48" fillId="12" borderId="230" applyNumberFormat="0" applyAlignment="0" applyProtection="0"/>
    <xf numFmtId="0" fontId="48" fillId="12" borderId="230" applyNumberFormat="0" applyAlignment="0" applyProtection="0"/>
    <xf numFmtId="0" fontId="16" fillId="24" borderId="230" applyNumberFormat="0" applyAlignment="0" applyProtection="0"/>
    <xf numFmtId="0" fontId="16" fillId="24" borderId="230" applyNumberFormat="0" applyAlignment="0" applyProtection="0"/>
    <xf numFmtId="0" fontId="16" fillId="24" borderId="230" applyNumberFormat="0" applyAlignment="0" applyProtection="0"/>
    <xf numFmtId="0" fontId="16" fillId="24" borderId="230" applyNumberFormat="0" applyAlignment="0" applyProtection="0"/>
    <xf numFmtId="0" fontId="16" fillId="24" borderId="230" applyNumberFormat="0" applyAlignment="0" applyProtection="0"/>
    <xf numFmtId="0" fontId="16" fillId="24" borderId="230" applyNumberFormat="0" applyAlignment="0" applyProtection="0"/>
    <xf numFmtId="0" fontId="16" fillId="24" borderId="230" applyNumberFormat="0" applyAlignment="0" applyProtection="0"/>
    <xf numFmtId="0" fontId="16" fillId="24" borderId="230" applyNumberFormat="0" applyAlignment="0" applyProtection="0"/>
    <xf numFmtId="0" fontId="16" fillId="24" borderId="230" applyNumberFormat="0" applyAlignment="0" applyProtection="0"/>
    <xf numFmtId="0" fontId="16" fillId="24" borderId="230" applyNumberFormat="0" applyAlignment="0" applyProtection="0"/>
    <xf numFmtId="0" fontId="16" fillId="24" borderId="230" applyNumberFormat="0" applyAlignment="0" applyProtection="0"/>
    <xf numFmtId="0" fontId="16" fillId="24" borderId="230" applyNumberFormat="0" applyAlignment="0" applyProtection="0"/>
    <xf numFmtId="0" fontId="16" fillId="24" borderId="230" applyNumberFormat="0" applyAlignment="0" applyProtection="0"/>
    <xf numFmtId="0" fontId="16" fillId="24" borderId="230" applyNumberFormat="0" applyAlignment="0" applyProtection="0"/>
    <xf numFmtId="0" fontId="16" fillId="24" borderId="230" applyNumberFormat="0" applyAlignment="0" applyProtection="0"/>
    <xf numFmtId="0" fontId="16" fillId="24" borderId="230" applyNumberFormat="0" applyAlignment="0" applyProtection="0"/>
    <xf numFmtId="0" fontId="16" fillId="24" borderId="230" applyNumberFormat="0" applyAlignment="0" applyProtection="0"/>
    <xf numFmtId="0" fontId="16" fillId="24" borderId="230" applyNumberFormat="0" applyAlignment="0" applyProtection="0"/>
    <xf numFmtId="0" fontId="16" fillId="24" borderId="230" applyNumberFormat="0" applyAlignment="0" applyProtection="0"/>
    <xf numFmtId="0" fontId="16" fillId="24" borderId="230" applyNumberFormat="0" applyAlignment="0" applyProtection="0"/>
    <xf numFmtId="0" fontId="16" fillId="24" borderId="230" applyNumberFormat="0" applyAlignment="0" applyProtection="0"/>
    <xf numFmtId="0" fontId="16" fillId="24" borderId="230" applyNumberFormat="0" applyAlignment="0" applyProtection="0"/>
    <xf numFmtId="0" fontId="16" fillId="24" borderId="230" applyNumberFormat="0" applyAlignment="0" applyProtection="0"/>
    <xf numFmtId="0" fontId="16" fillId="24" borderId="230" applyNumberFormat="0" applyAlignment="0" applyProtection="0"/>
    <xf numFmtId="0" fontId="16" fillId="24" borderId="230" applyNumberFormat="0" applyAlignment="0" applyProtection="0"/>
    <xf numFmtId="0" fontId="16" fillId="24" borderId="230" applyNumberFormat="0" applyAlignment="0" applyProtection="0"/>
    <xf numFmtId="0" fontId="16" fillId="24" borderId="230" applyNumberFormat="0" applyAlignment="0" applyProtection="0"/>
    <xf numFmtId="0" fontId="16" fillId="24" borderId="230" applyNumberFormat="0" applyAlignment="0" applyProtection="0"/>
    <xf numFmtId="0" fontId="16" fillId="24" borderId="230" applyNumberFormat="0" applyAlignment="0" applyProtection="0"/>
    <xf numFmtId="0" fontId="16" fillId="24" borderId="230" applyNumberFormat="0" applyAlignment="0" applyProtection="0"/>
    <xf numFmtId="0" fontId="16" fillId="24" borderId="230" applyNumberFormat="0" applyAlignment="0" applyProtection="0"/>
    <xf numFmtId="0" fontId="16" fillId="24" borderId="230" applyNumberFormat="0" applyAlignment="0" applyProtection="0"/>
    <xf numFmtId="0" fontId="16" fillId="24" borderId="230" applyNumberFormat="0" applyAlignment="0" applyProtection="0"/>
    <xf numFmtId="0" fontId="16" fillId="24" borderId="230" applyNumberFormat="0" applyAlignment="0" applyProtection="0"/>
    <xf numFmtId="0" fontId="16" fillId="24" borderId="230" applyNumberFormat="0" applyAlignment="0" applyProtection="0"/>
    <xf numFmtId="0" fontId="16" fillId="24" borderId="230" applyNumberFormat="0" applyAlignment="0" applyProtection="0"/>
    <xf numFmtId="0" fontId="16" fillId="24" borderId="230" applyNumberFormat="0" applyAlignment="0" applyProtection="0"/>
    <xf numFmtId="0" fontId="16" fillId="24" borderId="230" applyNumberFormat="0" applyAlignment="0" applyProtection="0"/>
    <xf numFmtId="0" fontId="16" fillId="24" borderId="230" applyNumberFormat="0" applyAlignment="0" applyProtection="0"/>
    <xf numFmtId="0" fontId="16" fillId="24" borderId="230" applyNumberFormat="0" applyAlignment="0" applyProtection="0"/>
    <xf numFmtId="0" fontId="16" fillId="24" borderId="230" applyNumberFormat="0" applyAlignment="0" applyProtection="0"/>
    <xf numFmtId="0" fontId="16" fillId="24" borderId="230" applyNumberFormat="0" applyAlignment="0" applyProtection="0"/>
    <xf numFmtId="0" fontId="16" fillId="24" borderId="230" applyNumberFormat="0" applyAlignment="0" applyProtection="0"/>
    <xf numFmtId="0" fontId="16" fillId="24" borderId="230" applyNumberFormat="0" applyAlignment="0" applyProtection="0"/>
    <xf numFmtId="0" fontId="16" fillId="24" borderId="230" applyNumberFormat="0" applyAlignment="0" applyProtection="0"/>
    <xf numFmtId="0" fontId="16" fillId="24" borderId="230" applyNumberFormat="0" applyAlignment="0" applyProtection="0"/>
    <xf numFmtId="0" fontId="16" fillId="24" borderId="230" applyNumberFormat="0" applyAlignment="0" applyProtection="0"/>
    <xf numFmtId="0" fontId="16" fillId="24" borderId="230" applyNumberFormat="0" applyAlignment="0" applyProtection="0"/>
    <xf numFmtId="0" fontId="16" fillId="24" borderId="230" applyNumberFormat="0" applyAlignment="0" applyProtection="0"/>
    <xf numFmtId="0" fontId="28" fillId="0" borderId="234"/>
    <xf numFmtId="0" fontId="28" fillId="0" borderId="234"/>
    <xf numFmtId="0" fontId="28" fillId="0" borderId="234"/>
    <xf numFmtId="0" fontId="28" fillId="0" borderId="234"/>
    <xf numFmtId="0" fontId="28" fillId="0" borderId="234"/>
    <xf numFmtId="0" fontId="28" fillId="0" borderId="234"/>
    <xf numFmtId="0" fontId="28" fillId="0" borderId="234"/>
    <xf numFmtId="0" fontId="28" fillId="0" borderId="234"/>
    <xf numFmtId="0" fontId="28" fillId="0" borderId="234"/>
    <xf numFmtId="0" fontId="28" fillId="0" borderId="234"/>
    <xf numFmtId="0" fontId="28" fillId="0" borderId="234"/>
    <xf numFmtId="0" fontId="28" fillId="0" borderId="234"/>
    <xf numFmtId="0" fontId="28" fillId="0" borderId="234"/>
    <xf numFmtId="0" fontId="28" fillId="0" borderId="234"/>
    <xf numFmtId="0" fontId="28" fillId="0" borderId="234"/>
    <xf numFmtId="0" fontId="28" fillId="0" borderId="234"/>
    <xf numFmtId="0" fontId="28" fillId="0" borderId="234"/>
    <xf numFmtId="0" fontId="28" fillId="0" borderId="234"/>
    <xf numFmtId="0" fontId="28" fillId="0" borderId="234"/>
    <xf numFmtId="0" fontId="28" fillId="0" borderId="234"/>
    <xf numFmtId="0" fontId="28" fillId="0" borderId="234"/>
    <xf numFmtId="0" fontId="28" fillId="0" borderId="234"/>
    <xf numFmtId="0" fontId="28" fillId="0" borderId="234"/>
    <xf numFmtId="0" fontId="28" fillId="0" borderId="234"/>
    <xf numFmtId="0" fontId="28" fillId="0" borderId="234"/>
    <xf numFmtId="0" fontId="28" fillId="0" borderId="234"/>
    <xf numFmtId="0" fontId="28" fillId="0" borderId="234"/>
    <xf numFmtId="0" fontId="28" fillId="0" borderId="234"/>
    <xf numFmtId="0" fontId="28" fillId="0" borderId="234"/>
    <xf numFmtId="0" fontId="28" fillId="0" borderId="234"/>
    <xf numFmtId="0" fontId="28" fillId="0" borderId="234"/>
    <xf numFmtId="0" fontId="28" fillId="0" borderId="234"/>
    <xf numFmtId="0" fontId="28" fillId="0" borderId="234"/>
    <xf numFmtId="0" fontId="28" fillId="0" borderId="234"/>
    <xf numFmtId="0" fontId="28" fillId="0" borderId="234"/>
    <xf numFmtId="0" fontId="28" fillId="0" borderId="234"/>
    <xf numFmtId="0" fontId="28" fillId="0" borderId="234"/>
    <xf numFmtId="0" fontId="28" fillId="0" borderId="234"/>
    <xf numFmtId="0" fontId="28" fillId="0" borderId="234"/>
    <xf numFmtId="0" fontId="28" fillId="0" borderId="234"/>
    <xf numFmtId="0" fontId="28" fillId="0" borderId="234"/>
    <xf numFmtId="0" fontId="28" fillId="0" borderId="234"/>
    <xf numFmtId="0" fontId="28" fillId="0" borderId="234"/>
    <xf numFmtId="0" fontId="28" fillId="0" borderId="234"/>
    <xf numFmtId="0" fontId="28" fillId="0" borderId="234"/>
    <xf numFmtId="0" fontId="25" fillId="13" borderId="230" applyNumberFormat="0" applyAlignment="0" applyProtection="0"/>
    <xf numFmtId="0" fontId="25" fillId="13" borderId="230" applyNumberFormat="0" applyAlignment="0" applyProtection="0"/>
    <xf numFmtId="0" fontId="25" fillId="13" borderId="230" applyNumberFormat="0" applyAlignment="0" applyProtection="0"/>
    <xf numFmtId="0" fontId="25" fillId="13" borderId="230" applyNumberFormat="0" applyAlignment="0" applyProtection="0"/>
    <xf numFmtId="0" fontId="25" fillId="13" borderId="230" applyNumberFormat="0" applyAlignment="0" applyProtection="0"/>
    <xf numFmtId="0" fontId="25" fillId="13" borderId="230" applyNumberFormat="0" applyAlignment="0" applyProtection="0"/>
    <xf numFmtId="0" fontId="25" fillId="13" borderId="230" applyNumberFormat="0" applyAlignment="0" applyProtection="0"/>
    <xf numFmtId="0" fontId="25" fillId="13" borderId="230" applyNumberFormat="0" applyAlignment="0" applyProtection="0"/>
    <xf numFmtId="0" fontId="25" fillId="13" borderId="230" applyNumberFormat="0" applyAlignment="0" applyProtection="0"/>
    <xf numFmtId="0" fontId="25" fillId="13" borderId="230" applyNumberFormat="0" applyAlignment="0" applyProtection="0"/>
    <xf numFmtId="0" fontId="25" fillId="13" borderId="230" applyNumberFormat="0" applyAlignment="0" applyProtection="0"/>
    <xf numFmtId="0" fontId="25" fillId="13" borderId="230" applyNumberFormat="0" applyAlignment="0" applyProtection="0"/>
    <xf numFmtId="0" fontId="25" fillId="13" borderId="230" applyNumberFormat="0" applyAlignment="0" applyProtection="0"/>
    <xf numFmtId="0" fontId="25" fillId="13" borderId="230" applyNumberFormat="0" applyAlignment="0" applyProtection="0"/>
    <xf numFmtId="0" fontId="25" fillId="13" borderId="230" applyNumberFormat="0" applyAlignment="0" applyProtection="0"/>
    <xf numFmtId="0" fontId="25" fillId="13" borderId="230" applyNumberFormat="0" applyAlignment="0" applyProtection="0"/>
    <xf numFmtId="0" fontId="25" fillId="13" borderId="230" applyNumberFormat="0" applyAlignment="0" applyProtection="0"/>
    <xf numFmtId="0" fontId="25" fillId="13" borderId="230" applyNumberFormat="0" applyAlignment="0" applyProtection="0"/>
    <xf numFmtId="0" fontId="25" fillId="13" borderId="230" applyNumberFormat="0" applyAlignment="0" applyProtection="0"/>
    <xf numFmtId="0" fontId="25" fillId="13" borderId="230" applyNumberFormat="0" applyAlignment="0" applyProtection="0"/>
    <xf numFmtId="0" fontId="25" fillId="13" borderId="230" applyNumberFormat="0" applyAlignment="0" applyProtection="0"/>
    <xf numFmtId="0" fontId="25" fillId="13" borderId="230" applyNumberFormat="0" applyAlignment="0" applyProtection="0"/>
    <xf numFmtId="0" fontId="25" fillId="13" borderId="230" applyNumberFormat="0" applyAlignment="0" applyProtection="0"/>
    <xf numFmtId="0" fontId="25" fillId="13" borderId="230" applyNumberFormat="0" applyAlignment="0" applyProtection="0"/>
    <xf numFmtId="0" fontId="25" fillId="13" borderId="230" applyNumberFormat="0" applyAlignment="0" applyProtection="0"/>
    <xf numFmtId="0" fontId="25" fillId="13" borderId="230" applyNumberFormat="0" applyAlignment="0" applyProtection="0"/>
    <xf numFmtId="0" fontId="25" fillId="13" borderId="230" applyNumberFormat="0" applyAlignment="0" applyProtection="0"/>
    <xf numFmtId="0" fontId="25" fillId="13" borderId="230" applyNumberFormat="0" applyAlignment="0" applyProtection="0"/>
    <xf numFmtId="0" fontId="25" fillId="13" borderId="230" applyNumberFormat="0" applyAlignment="0" applyProtection="0"/>
    <xf numFmtId="0" fontId="25" fillId="13" borderId="230" applyNumberFormat="0" applyAlignment="0" applyProtection="0"/>
    <xf numFmtId="0" fontId="25" fillId="13" borderId="230" applyNumberFormat="0" applyAlignment="0" applyProtection="0"/>
    <xf numFmtId="0" fontId="25" fillId="13" borderId="230" applyNumberFormat="0" applyAlignment="0" applyProtection="0"/>
    <xf numFmtId="0" fontId="25" fillId="13" borderId="230" applyNumberFormat="0" applyAlignment="0" applyProtection="0"/>
    <xf numFmtId="0" fontId="25" fillId="13" borderId="230" applyNumberFormat="0" applyAlignment="0" applyProtection="0"/>
    <xf numFmtId="0" fontId="25" fillId="13" borderId="230" applyNumberFormat="0" applyAlignment="0" applyProtection="0"/>
    <xf numFmtId="0" fontId="25" fillId="13" borderId="230" applyNumberFormat="0" applyAlignment="0" applyProtection="0"/>
    <xf numFmtId="0" fontId="25" fillId="13" borderId="230" applyNumberFormat="0" applyAlignment="0" applyProtection="0"/>
    <xf numFmtId="0" fontId="25" fillId="13" borderId="230" applyNumberFormat="0" applyAlignment="0" applyProtection="0"/>
    <xf numFmtId="0" fontId="25" fillId="13" borderId="230" applyNumberFormat="0" applyAlignment="0" applyProtection="0"/>
    <xf numFmtId="0" fontId="25" fillId="13" borderId="230" applyNumberFormat="0" applyAlignment="0" applyProtection="0"/>
    <xf numFmtId="0" fontId="25" fillId="13" borderId="230" applyNumberFormat="0" applyAlignment="0" applyProtection="0"/>
    <xf numFmtId="0" fontId="25" fillId="13" borderId="230" applyNumberFormat="0" applyAlignment="0" applyProtection="0"/>
    <xf numFmtId="0" fontId="25" fillId="13" borderId="230" applyNumberFormat="0" applyAlignment="0" applyProtection="0"/>
    <xf numFmtId="0" fontId="25" fillId="13" borderId="230" applyNumberFormat="0" applyAlignment="0" applyProtection="0"/>
    <xf numFmtId="0" fontId="25" fillId="13" borderId="230" applyNumberFormat="0" applyAlignment="0" applyProtection="0"/>
    <xf numFmtId="0" fontId="25" fillId="13" borderId="230" applyNumberFormat="0" applyAlignment="0" applyProtection="0"/>
    <xf numFmtId="0" fontId="25" fillId="13" borderId="230" applyNumberFormat="0" applyAlignment="0" applyProtection="0"/>
    <xf numFmtId="0" fontId="25" fillId="13" borderId="230" applyNumberFormat="0" applyAlignment="0" applyProtection="0"/>
    <xf numFmtId="0" fontId="25" fillId="13" borderId="230" applyNumberFormat="0" applyAlignment="0" applyProtection="0"/>
    <xf numFmtId="0" fontId="41" fillId="13" borderId="230" applyNumberFormat="0" applyAlignment="0" applyProtection="0"/>
    <xf numFmtId="0" fontId="41" fillId="13" borderId="230" applyNumberFormat="0" applyAlignment="0" applyProtection="0"/>
    <xf numFmtId="0" fontId="41" fillId="13" borderId="230" applyNumberFormat="0" applyAlignment="0" applyProtection="0"/>
    <xf numFmtId="0" fontId="41" fillId="13" borderId="230" applyNumberFormat="0" applyAlignment="0" applyProtection="0"/>
    <xf numFmtId="0" fontId="41" fillId="13" borderId="230" applyNumberFormat="0" applyAlignment="0" applyProtection="0"/>
    <xf numFmtId="0" fontId="41" fillId="13" borderId="230" applyNumberFormat="0" applyAlignment="0" applyProtection="0"/>
    <xf numFmtId="0" fontId="41" fillId="13" borderId="230" applyNumberFormat="0" applyAlignment="0" applyProtection="0"/>
    <xf numFmtId="0" fontId="41" fillId="13" borderId="230" applyNumberFormat="0" applyAlignment="0" applyProtection="0"/>
    <xf numFmtId="0" fontId="41" fillId="13" borderId="230" applyNumberFormat="0" applyAlignment="0" applyProtection="0"/>
    <xf numFmtId="0" fontId="41" fillId="13" borderId="230" applyNumberFormat="0" applyAlignment="0" applyProtection="0"/>
    <xf numFmtId="0" fontId="41" fillId="13" borderId="230" applyNumberFormat="0" applyAlignment="0" applyProtection="0"/>
    <xf numFmtId="0" fontId="41" fillId="13" borderId="230" applyNumberFormat="0" applyAlignment="0" applyProtection="0"/>
    <xf numFmtId="0" fontId="41" fillId="13" borderId="230" applyNumberFormat="0" applyAlignment="0" applyProtection="0"/>
    <xf numFmtId="0" fontId="41" fillId="13" borderId="230" applyNumberFormat="0" applyAlignment="0" applyProtection="0"/>
    <xf numFmtId="0" fontId="41" fillId="13" borderId="230" applyNumberFormat="0" applyAlignment="0" applyProtection="0"/>
    <xf numFmtId="0" fontId="41" fillId="13" borderId="230" applyNumberFormat="0" applyAlignment="0" applyProtection="0"/>
    <xf numFmtId="0" fontId="41" fillId="13" borderId="230" applyNumberFormat="0" applyAlignment="0" applyProtection="0"/>
    <xf numFmtId="0" fontId="41" fillId="13" borderId="230" applyNumberFormat="0" applyAlignment="0" applyProtection="0"/>
    <xf numFmtId="0" fontId="41" fillId="13" borderId="230" applyNumberFormat="0" applyAlignment="0" applyProtection="0"/>
    <xf numFmtId="0" fontId="41" fillId="13" borderId="230" applyNumberFormat="0" applyAlignment="0" applyProtection="0"/>
    <xf numFmtId="0" fontId="41" fillId="13" borderId="230" applyNumberFormat="0" applyAlignment="0" applyProtection="0"/>
    <xf numFmtId="0" fontId="41" fillId="13" borderId="230" applyNumberFormat="0" applyAlignment="0" applyProtection="0"/>
    <xf numFmtId="0" fontId="41" fillId="13" borderId="230" applyNumberFormat="0" applyAlignment="0" applyProtection="0"/>
    <xf numFmtId="0" fontId="41" fillId="13" borderId="230" applyNumberFormat="0" applyAlignment="0" applyProtection="0"/>
    <xf numFmtId="0" fontId="41" fillId="13" borderId="230" applyNumberFormat="0" applyAlignment="0" applyProtection="0"/>
    <xf numFmtId="0" fontId="41" fillId="13" borderId="230" applyNumberFormat="0" applyAlignment="0" applyProtection="0"/>
    <xf numFmtId="0" fontId="41" fillId="13" borderId="230" applyNumberFormat="0" applyAlignment="0" applyProtection="0"/>
    <xf numFmtId="0" fontId="41" fillId="13" borderId="230" applyNumberFormat="0" applyAlignment="0" applyProtection="0"/>
    <xf numFmtId="0" fontId="41" fillId="13" borderId="230" applyNumberFormat="0" applyAlignment="0" applyProtection="0"/>
    <xf numFmtId="0" fontId="41" fillId="13" borderId="230" applyNumberFormat="0" applyAlignment="0" applyProtection="0"/>
    <xf numFmtId="0" fontId="41" fillId="13" borderId="230" applyNumberFormat="0" applyAlignment="0" applyProtection="0"/>
    <xf numFmtId="0" fontId="41" fillId="13" borderId="230" applyNumberFormat="0" applyAlignment="0" applyProtection="0"/>
    <xf numFmtId="0" fontId="41" fillId="13" borderId="230" applyNumberFormat="0" applyAlignment="0" applyProtection="0"/>
    <xf numFmtId="0" fontId="41" fillId="13" borderId="230" applyNumberFormat="0" applyAlignment="0" applyProtection="0"/>
    <xf numFmtId="0" fontId="41" fillId="13" borderId="230" applyNumberFormat="0" applyAlignment="0" applyProtection="0"/>
    <xf numFmtId="0" fontId="41" fillId="13" borderId="230" applyNumberFormat="0" applyAlignment="0" applyProtection="0"/>
    <xf numFmtId="0" fontId="41" fillId="13" borderId="230" applyNumberFormat="0" applyAlignment="0" applyProtection="0"/>
    <xf numFmtId="0" fontId="41" fillId="13" borderId="230" applyNumberFormat="0" applyAlignment="0" applyProtection="0"/>
    <xf numFmtId="0" fontId="41" fillId="13" borderId="230" applyNumberFormat="0" applyAlignment="0" applyProtection="0"/>
    <xf numFmtId="0" fontId="41" fillId="13" borderId="230" applyNumberFormat="0" applyAlignment="0" applyProtection="0"/>
    <xf numFmtId="0" fontId="41" fillId="13" borderId="230" applyNumberFormat="0" applyAlignment="0" applyProtection="0"/>
    <xf numFmtId="0" fontId="41" fillId="13" borderId="230" applyNumberFormat="0" applyAlignment="0" applyProtection="0"/>
    <xf numFmtId="0" fontId="41" fillId="13" borderId="230" applyNumberFormat="0" applyAlignment="0" applyProtection="0"/>
    <xf numFmtId="0" fontId="41" fillId="13" borderId="230" applyNumberFormat="0" applyAlignment="0" applyProtection="0"/>
    <xf numFmtId="0" fontId="41" fillId="13" borderId="230" applyNumberFormat="0" applyAlignment="0" applyProtection="0"/>
    <xf numFmtId="0" fontId="41" fillId="13" borderId="230" applyNumberFormat="0" applyAlignment="0" applyProtection="0"/>
    <xf numFmtId="0" fontId="41" fillId="13" borderId="230" applyNumberFormat="0" applyAlignment="0" applyProtection="0"/>
    <xf numFmtId="0" fontId="41" fillId="13" borderId="230" applyNumberFormat="0" applyAlignment="0" applyProtection="0"/>
    <xf numFmtId="0" fontId="41" fillId="13" borderId="230" applyNumberFormat="0" applyAlignment="0" applyProtection="0"/>
    <xf numFmtId="0" fontId="25" fillId="13" borderId="230" applyNumberFormat="0" applyAlignment="0" applyProtection="0"/>
    <xf numFmtId="0" fontId="25" fillId="13" borderId="230" applyNumberFormat="0" applyAlignment="0" applyProtection="0"/>
    <xf numFmtId="0" fontId="25" fillId="13" borderId="230" applyNumberFormat="0" applyAlignment="0" applyProtection="0"/>
    <xf numFmtId="0" fontId="25" fillId="13" borderId="230" applyNumberFormat="0" applyAlignment="0" applyProtection="0"/>
    <xf numFmtId="0" fontId="25" fillId="13" borderId="230" applyNumberFormat="0" applyAlignment="0" applyProtection="0"/>
    <xf numFmtId="0" fontId="25" fillId="13" borderId="230" applyNumberFormat="0" applyAlignment="0" applyProtection="0"/>
    <xf numFmtId="0" fontId="25" fillId="13" borderId="230" applyNumberFormat="0" applyAlignment="0" applyProtection="0"/>
    <xf numFmtId="0" fontId="25" fillId="13" borderId="230" applyNumberFormat="0" applyAlignment="0" applyProtection="0"/>
    <xf numFmtId="0" fontId="25" fillId="13" borderId="230" applyNumberFormat="0" applyAlignment="0" applyProtection="0"/>
    <xf numFmtId="0" fontId="25" fillId="13" borderId="230" applyNumberFormat="0" applyAlignment="0" applyProtection="0"/>
    <xf numFmtId="0" fontId="25" fillId="13" borderId="230" applyNumberFormat="0" applyAlignment="0" applyProtection="0"/>
    <xf numFmtId="0" fontId="25" fillId="13" borderId="230" applyNumberFormat="0" applyAlignment="0" applyProtection="0"/>
    <xf numFmtId="0" fontId="25" fillId="13" borderId="230" applyNumberFormat="0" applyAlignment="0" applyProtection="0"/>
    <xf numFmtId="0" fontId="25" fillId="13" borderId="230" applyNumberFormat="0" applyAlignment="0" applyProtection="0"/>
    <xf numFmtId="0" fontId="25" fillId="13" borderId="230" applyNumberFormat="0" applyAlignment="0" applyProtection="0"/>
    <xf numFmtId="0" fontId="25" fillId="13" borderId="230" applyNumberFormat="0" applyAlignment="0" applyProtection="0"/>
    <xf numFmtId="0" fontId="25" fillId="13" borderId="230" applyNumberFormat="0" applyAlignment="0" applyProtection="0"/>
    <xf numFmtId="0" fontId="25" fillId="13" borderId="230" applyNumberFormat="0" applyAlignment="0" applyProtection="0"/>
    <xf numFmtId="0" fontId="25" fillId="13" borderId="230" applyNumberFormat="0" applyAlignment="0" applyProtection="0"/>
    <xf numFmtId="0" fontId="25" fillId="13" borderId="230" applyNumberFormat="0" applyAlignment="0" applyProtection="0"/>
    <xf numFmtId="0" fontId="25" fillId="13" borderId="230" applyNumberFormat="0" applyAlignment="0" applyProtection="0"/>
    <xf numFmtId="0" fontId="25" fillId="13" borderId="230" applyNumberFormat="0" applyAlignment="0" applyProtection="0"/>
    <xf numFmtId="0" fontId="25" fillId="13" borderId="230" applyNumberFormat="0" applyAlignment="0" applyProtection="0"/>
    <xf numFmtId="0" fontId="25" fillId="13" borderId="230" applyNumberFormat="0" applyAlignment="0" applyProtection="0"/>
    <xf numFmtId="0" fontId="25" fillId="13" borderId="230" applyNumberFormat="0" applyAlignment="0" applyProtection="0"/>
    <xf numFmtId="0" fontId="25" fillId="13" borderId="230" applyNumberFormat="0" applyAlignment="0" applyProtection="0"/>
    <xf numFmtId="0" fontId="25" fillId="13" borderId="230" applyNumberFormat="0" applyAlignment="0" applyProtection="0"/>
    <xf numFmtId="0" fontId="25" fillId="13" borderId="230" applyNumberFormat="0" applyAlignment="0" applyProtection="0"/>
    <xf numFmtId="0" fontId="25" fillId="13" borderId="230" applyNumberFormat="0" applyAlignment="0" applyProtection="0"/>
    <xf numFmtId="0" fontId="25" fillId="13" borderId="230" applyNumberFormat="0" applyAlignment="0" applyProtection="0"/>
    <xf numFmtId="0" fontId="25" fillId="13" borderId="230" applyNumberFormat="0" applyAlignment="0" applyProtection="0"/>
    <xf numFmtId="0" fontId="25" fillId="13" borderId="230" applyNumberFormat="0" applyAlignment="0" applyProtection="0"/>
    <xf numFmtId="0" fontId="25" fillId="13" borderId="230" applyNumberFormat="0" applyAlignment="0" applyProtection="0"/>
    <xf numFmtId="0" fontId="25" fillId="13" borderId="230" applyNumberFormat="0" applyAlignment="0" applyProtection="0"/>
    <xf numFmtId="0" fontId="25" fillId="13" borderId="230" applyNumberFormat="0" applyAlignment="0" applyProtection="0"/>
    <xf numFmtId="0" fontId="25" fillId="13" borderId="230" applyNumberFormat="0" applyAlignment="0" applyProtection="0"/>
    <xf numFmtId="0" fontId="25" fillId="13" borderId="230" applyNumberFormat="0" applyAlignment="0" applyProtection="0"/>
    <xf numFmtId="0" fontId="25" fillId="13" borderId="230" applyNumberFormat="0" applyAlignment="0" applyProtection="0"/>
    <xf numFmtId="0" fontId="25" fillId="13" borderId="230" applyNumberFormat="0" applyAlignment="0" applyProtection="0"/>
    <xf numFmtId="0" fontId="25" fillId="13" borderId="230" applyNumberFormat="0" applyAlignment="0" applyProtection="0"/>
    <xf numFmtId="0" fontId="25" fillId="13" borderId="230" applyNumberFormat="0" applyAlignment="0" applyProtection="0"/>
    <xf numFmtId="0" fontId="25" fillId="13" borderId="230" applyNumberFormat="0" applyAlignment="0" applyProtection="0"/>
    <xf numFmtId="0" fontId="25" fillId="13" borderId="230" applyNumberFormat="0" applyAlignment="0" applyProtection="0"/>
    <xf numFmtId="0" fontId="25" fillId="13" borderId="230" applyNumberFormat="0" applyAlignment="0" applyProtection="0"/>
    <xf numFmtId="0" fontId="25" fillId="13" borderId="230" applyNumberFormat="0" applyAlignment="0" applyProtection="0"/>
    <xf numFmtId="0" fontId="25" fillId="13" borderId="230" applyNumberFormat="0" applyAlignment="0" applyProtection="0"/>
    <xf numFmtId="0" fontId="25" fillId="13" borderId="230" applyNumberFormat="0" applyAlignment="0" applyProtection="0"/>
    <xf numFmtId="0" fontId="25" fillId="13" borderId="230" applyNumberFormat="0" applyAlignment="0" applyProtection="0"/>
    <xf numFmtId="0" fontId="25" fillId="13" borderId="230" applyNumberFormat="0" applyAlignment="0" applyProtection="0"/>
    <xf numFmtId="0" fontId="41" fillId="13" borderId="230" applyNumberFormat="0" applyAlignment="0" applyProtection="0"/>
    <xf numFmtId="0" fontId="41" fillId="13" borderId="230" applyNumberFormat="0" applyAlignment="0" applyProtection="0"/>
    <xf numFmtId="0" fontId="41" fillId="13" borderId="230" applyNumberFormat="0" applyAlignment="0" applyProtection="0"/>
    <xf numFmtId="0" fontId="41" fillId="13" borderId="230" applyNumberFormat="0" applyAlignment="0" applyProtection="0"/>
    <xf numFmtId="0" fontId="41" fillId="13" borderId="230" applyNumberFormat="0" applyAlignment="0" applyProtection="0"/>
    <xf numFmtId="0" fontId="41" fillId="13" borderId="230" applyNumberFormat="0" applyAlignment="0" applyProtection="0"/>
    <xf numFmtId="0" fontId="41" fillId="13" borderId="230" applyNumberFormat="0" applyAlignment="0" applyProtection="0"/>
    <xf numFmtId="0" fontId="41" fillId="13" borderId="230" applyNumberFormat="0" applyAlignment="0" applyProtection="0"/>
    <xf numFmtId="0" fontId="41" fillId="13" borderId="230" applyNumberFormat="0" applyAlignment="0" applyProtection="0"/>
    <xf numFmtId="0" fontId="41" fillId="13" borderId="230" applyNumberFormat="0" applyAlignment="0" applyProtection="0"/>
    <xf numFmtId="0" fontId="41" fillId="13" borderId="230" applyNumberFormat="0" applyAlignment="0" applyProtection="0"/>
    <xf numFmtId="0" fontId="41" fillId="13" borderId="230" applyNumberFormat="0" applyAlignment="0" applyProtection="0"/>
    <xf numFmtId="0" fontId="41" fillId="13" borderId="230" applyNumberFormat="0" applyAlignment="0" applyProtection="0"/>
    <xf numFmtId="0" fontId="41" fillId="13" borderId="230" applyNumberFormat="0" applyAlignment="0" applyProtection="0"/>
    <xf numFmtId="0" fontId="41" fillId="13" borderId="230" applyNumberFormat="0" applyAlignment="0" applyProtection="0"/>
    <xf numFmtId="0" fontId="41" fillId="13" borderId="230" applyNumberFormat="0" applyAlignment="0" applyProtection="0"/>
    <xf numFmtId="0" fontId="41" fillId="13" borderId="230" applyNumberFormat="0" applyAlignment="0" applyProtection="0"/>
    <xf numFmtId="0" fontId="41" fillId="13" borderId="230" applyNumberFormat="0" applyAlignment="0" applyProtection="0"/>
    <xf numFmtId="0" fontId="41" fillId="13" borderId="230" applyNumberFormat="0" applyAlignment="0" applyProtection="0"/>
    <xf numFmtId="0" fontId="41" fillId="13" borderId="230" applyNumberFormat="0" applyAlignment="0" applyProtection="0"/>
    <xf numFmtId="0" fontId="41" fillId="13" borderId="230" applyNumberFormat="0" applyAlignment="0" applyProtection="0"/>
    <xf numFmtId="0" fontId="41" fillId="13" borderId="230" applyNumberFormat="0" applyAlignment="0" applyProtection="0"/>
    <xf numFmtId="0" fontId="41" fillId="13" borderId="230" applyNumberFormat="0" applyAlignment="0" applyProtection="0"/>
    <xf numFmtId="0" fontId="41" fillId="13" borderId="230" applyNumberFormat="0" applyAlignment="0" applyProtection="0"/>
    <xf numFmtId="0" fontId="41" fillId="13" borderId="230" applyNumberFormat="0" applyAlignment="0" applyProtection="0"/>
    <xf numFmtId="0" fontId="41" fillId="13" borderId="230" applyNumberFormat="0" applyAlignment="0" applyProtection="0"/>
    <xf numFmtId="0" fontId="41" fillId="13" borderId="230" applyNumberFormat="0" applyAlignment="0" applyProtection="0"/>
    <xf numFmtId="0" fontId="41" fillId="13" borderId="230" applyNumberFormat="0" applyAlignment="0" applyProtection="0"/>
    <xf numFmtId="0" fontId="41" fillId="13" borderId="230" applyNumberFormat="0" applyAlignment="0" applyProtection="0"/>
    <xf numFmtId="0" fontId="41" fillId="13" borderId="230" applyNumberFormat="0" applyAlignment="0" applyProtection="0"/>
    <xf numFmtId="0" fontId="41" fillId="13" borderId="230" applyNumberFormat="0" applyAlignment="0" applyProtection="0"/>
    <xf numFmtId="0" fontId="41" fillId="13" borderId="230" applyNumberFormat="0" applyAlignment="0" applyProtection="0"/>
    <xf numFmtId="0" fontId="41" fillId="13" borderId="230" applyNumberFormat="0" applyAlignment="0" applyProtection="0"/>
    <xf numFmtId="0" fontId="41" fillId="13" borderId="230" applyNumberFormat="0" applyAlignment="0" applyProtection="0"/>
    <xf numFmtId="0" fontId="41" fillId="13" borderId="230" applyNumberFormat="0" applyAlignment="0" applyProtection="0"/>
    <xf numFmtId="0" fontId="41" fillId="13" borderId="230" applyNumberFormat="0" applyAlignment="0" applyProtection="0"/>
    <xf numFmtId="0" fontId="41" fillId="13" borderId="230" applyNumberFormat="0" applyAlignment="0" applyProtection="0"/>
    <xf numFmtId="0" fontId="41" fillId="13" borderId="230" applyNumberFormat="0" applyAlignment="0" applyProtection="0"/>
    <xf numFmtId="0" fontId="41" fillId="13" borderId="230" applyNumberFormat="0" applyAlignment="0" applyProtection="0"/>
    <xf numFmtId="0" fontId="41" fillId="13" borderId="230" applyNumberFormat="0" applyAlignment="0" applyProtection="0"/>
    <xf numFmtId="0" fontId="41" fillId="13" borderId="230" applyNumberFormat="0" applyAlignment="0" applyProtection="0"/>
    <xf numFmtId="0" fontId="41" fillId="13" borderId="230" applyNumberFormat="0" applyAlignment="0" applyProtection="0"/>
    <xf numFmtId="0" fontId="41" fillId="13" borderId="230" applyNumberFormat="0" applyAlignment="0" applyProtection="0"/>
    <xf numFmtId="0" fontId="41" fillId="13" borderId="230" applyNumberFormat="0" applyAlignment="0" applyProtection="0"/>
    <xf numFmtId="0" fontId="41" fillId="13" borderId="230" applyNumberFormat="0" applyAlignment="0" applyProtection="0"/>
    <xf numFmtId="0" fontId="41" fillId="13" borderId="230" applyNumberFormat="0" applyAlignment="0" applyProtection="0"/>
    <xf numFmtId="0" fontId="41" fillId="13" borderId="230" applyNumberFormat="0" applyAlignment="0" applyProtection="0"/>
    <xf numFmtId="0" fontId="41" fillId="13" borderId="230" applyNumberFormat="0" applyAlignment="0" applyProtection="0"/>
    <xf numFmtId="0" fontId="41" fillId="13" borderId="230" applyNumberFormat="0" applyAlignment="0" applyProtection="0"/>
    <xf numFmtId="0" fontId="25" fillId="13" borderId="230" applyNumberFormat="0" applyAlignment="0" applyProtection="0"/>
    <xf numFmtId="0" fontId="25" fillId="13" borderId="230" applyNumberFormat="0" applyAlignment="0" applyProtection="0"/>
    <xf numFmtId="0" fontId="25" fillId="13" borderId="230" applyNumberFormat="0" applyAlignment="0" applyProtection="0"/>
    <xf numFmtId="0" fontId="25" fillId="13" borderId="230" applyNumberFormat="0" applyAlignment="0" applyProtection="0"/>
    <xf numFmtId="0" fontId="25" fillId="13" borderId="230" applyNumberFormat="0" applyAlignment="0" applyProtection="0"/>
    <xf numFmtId="0" fontId="25" fillId="13" borderId="230" applyNumberFormat="0" applyAlignment="0" applyProtection="0"/>
    <xf numFmtId="0" fontId="25" fillId="13" borderId="230" applyNumberFormat="0" applyAlignment="0" applyProtection="0"/>
    <xf numFmtId="0" fontId="25" fillId="13" borderId="230" applyNumberFormat="0" applyAlignment="0" applyProtection="0"/>
    <xf numFmtId="0" fontId="25" fillId="13" borderId="230" applyNumberFormat="0" applyAlignment="0" applyProtection="0"/>
    <xf numFmtId="0" fontId="25" fillId="13" borderId="230" applyNumberFormat="0" applyAlignment="0" applyProtection="0"/>
    <xf numFmtId="0" fontId="25" fillId="13" borderId="230" applyNumberFormat="0" applyAlignment="0" applyProtection="0"/>
    <xf numFmtId="0" fontId="25" fillId="13" borderId="230" applyNumberFormat="0" applyAlignment="0" applyProtection="0"/>
    <xf numFmtId="0" fontId="25" fillId="13" borderId="230" applyNumberFormat="0" applyAlignment="0" applyProtection="0"/>
    <xf numFmtId="0" fontId="25" fillId="13" borderId="230" applyNumberFormat="0" applyAlignment="0" applyProtection="0"/>
    <xf numFmtId="0" fontId="25" fillId="13" borderId="230" applyNumberFormat="0" applyAlignment="0" applyProtection="0"/>
    <xf numFmtId="0" fontId="25" fillId="13" borderId="230" applyNumberFormat="0" applyAlignment="0" applyProtection="0"/>
    <xf numFmtId="0" fontId="25" fillId="13" borderId="230" applyNumberFormat="0" applyAlignment="0" applyProtection="0"/>
    <xf numFmtId="0" fontId="25" fillId="13" borderId="230" applyNumberFormat="0" applyAlignment="0" applyProtection="0"/>
    <xf numFmtId="0" fontId="25" fillId="13" borderId="230" applyNumberFormat="0" applyAlignment="0" applyProtection="0"/>
    <xf numFmtId="0" fontId="25" fillId="13" borderId="230" applyNumberFormat="0" applyAlignment="0" applyProtection="0"/>
    <xf numFmtId="0" fontId="25" fillId="13" borderId="230" applyNumberFormat="0" applyAlignment="0" applyProtection="0"/>
    <xf numFmtId="0" fontId="25" fillId="13" borderId="230" applyNumberFormat="0" applyAlignment="0" applyProtection="0"/>
    <xf numFmtId="0" fontId="25" fillId="13" borderId="230" applyNumberFormat="0" applyAlignment="0" applyProtection="0"/>
    <xf numFmtId="0" fontId="25" fillId="13" borderId="230" applyNumberFormat="0" applyAlignment="0" applyProtection="0"/>
    <xf numFmtId="0" fontId="25" fillId="13" borderId="230" applyNumberFormat="0" applyAlignment="0" applyProtection="0"/>
    <xf numFmtId="0" fontId="25" fillId="13" borderId="230" applyNumberFormat="0" applyAlignment="0" applyProtection="0"/>
    <xf numFmtId="0" fontId="25" fillId="13" borderId="230" applyNumberFormat="0" applyAlignment="0" applyProtection="0"/>
    <xf numFmtId="0" fontId="25" fillId="13" borderId="230" applyNumberFormat="0" applyAlignment="0" applyProtection="0"/>
    <xf numFmtId="0" fontId="25" fillId="13" borderId="230" applyNumberFormat="0" applyAlignment="0" applyProtection="0"/>
    <xf numFmtId="0" fontId="25" fillId="13" borderId="230" applyNumberFormat="0" applyAlignment="0" applyProtection="0"/>
    <xf numFmtId="0" fontId="25" fillId="13" borderId="230" applyNumberFormat="0" applyAlignment="0" applyProtection="0"/>
    <xf numFmtId="0" fontId="25" fillId="13" borderId="230" applyNumberFormat="0" applyAlignment="0" applyProtection="0"/>
    <xf numFmtId="0" fontId="25" fillId="13" borderId="230" applyNumberFormat="0" applyAlignment="0" applyProtection="0"/>
    <xf numFmtId="0" fontId="25" fillId="13" borderId="230" applyNumberFormat="0" applyAlignment="0" applyProtection="0"/>
    <xf numFmtId="0" fontId="25" fillId="13" borderId="230" applyNumberFormat="0" applyAlignment="0" applyProtection="0"/>
    <xf numFmtId="0" fontId="25" fillId="13" borderId="230" applyNumberFormat="0" applyAlignment="0" applyProtection="0"/>
    <xf numFmtId="0" fontId="25" fillId="13" borderId="230" applyNumberFormat="0" applyAlignment="0" applyProtection="0"/>
    <xf numFmtId="0" fontId="25" fillId="13" borderId="230" applyNumberFormat="0" applyAlignment="0" applyProtection="0"/>
    <xf numFmtId="0" fontId="25" fillId="13" borderId="230" applyNumberFormat="0" applyAlignment="0" applyProtection="0"/>
    <xf numFmtId="0" fontId="25" fillId="13" borderId="230" applyNumberFormat="0" applyAlignment="0" applyProtection="0"/>
    <xf numFmtId="0" fontId="25" fillId="13" borderId="230" applyNumberFormat="0" applyAlignment="0" applyProtection="0"/>
    <xf numFmtId="0" fontId="25" fillId="13" borderId="230" applyNumberFormat="0" applyAlignment="0" applyProtection="0"/>
    <xf numFmtId="0" fontId="25" fillId="13" borderId="230" applyNumberFormat="0" applyAlignment="0" applyProtection="0"/>
    <xf numFmtId="0" fontId="25" fillId="13" borderId="230" applyNumberFormat="0" applyAlignment="0" applyProtection="0"/>
    <xf numFmtId="0" fontId="25" fillId="13" borderId="230" applyNumberFormat="0" applyAlignment="0" applyProtection="0"/>
    <xf numFmtId="0" fontId="25" fillId="13" borderId="230" applyNumberFormat="0" applyAlignment="0" applyProtection="0"/>
    <xf numFmtId="0" fontId="25" fillId="13" borderId="230" applyNumberFormat="0" applyAlignment="0" applyProtection="0"/>
    <xf numFmtId="0" fontId="25" fillId="13" borderId="230" applyNumberFormat="0" applyAlignment="0" applyProtection="0"/>
    <xf numFmtId="0" fontId="25" fillId="13" borderId="230" applyNumberFormat="0" applyAlignment="0" applyProtection="0"/>
    <xf numFmtId="0" fontId="25" fillId="8" borderId="230" applyNumberFormat="0" applyAlignment="0" applyProtection="0"/>
    <xf numFmtId="0" fontId="25" fillId="8" borderId="230" applyNumberFormat="0" applyAlignment="0" applyProtection="0"/>
    <xf numFmtId="0" fontId="25" fillId="8" borderId="230" applyNumberFormat="0" applyAlignment="0" applyProtection="0"/>
    <xf numFmtId="0" fontId="25" fillId="8" borderId="230" applyNumberFormat="0" applyAlignment="0" applyProtection="0"/>
    <xf numFmtId="0" fontId="25" fillId="8" borderId="230" applyNumberFormat="0" applyAlignment="0" applyProtection="0"/>
    <xf numFmtId="0" fontId="25" fillId="8" borderId="230" applyNumberFormat="0" applyAlignment="0" applyProtection="0"/>
    <xf numFmtId="0" fontId="25" fillId="8" borderId="230" applyNumberFormat="0" applyAlignment="0" applyProtection="0"/>
    <xf numFmtId="0" fontId="25" fillId="8" borderId="230" applyNumberFormat="0" applyAlignment="0" applyProtection="0"/>
    <xf numFmtId="0" fontId="25" fillId="8" borderId="230" applyNumberFormat="0" applyAlignment="0" applyProtection="0"/>
    <xf numFmtId="0" fontId="25" fillId="8" borderId="230" applyNumberFormat="0" applyAlignment="0" applyProtection="0"/>
    <xf numFmtId="0" fontId="25" fillId="8" borderId="230" applyNumberFormat="0" applyAlignment="0" applyProtection="0"/>
    <xf numFmtId="0" fontId="25" fillId="8" borderId="230" applyNumberFormat="0" applyAlignment="0" applyProtection="0"/>
    <xf numFmtId="0" fontId="25" fillId="8" borderId="230" applyNumberFormat="0" applyAlignment="0" applyProtection="0"/>
    <xf numFmtId="0" fontId="25" fillId="8" borderId="230" applyNumberFormat="0" applyAlignment="0" applyProtection="0"/>
    <xf numFmtId="0" fontId="25" fillId="8" borderId="230" applyNumberFormat="0" applyAlignment="0" applyProtection="0"/>
    <xf numFmtId="0" fontId="25" fillId="8" borderId="230" applyNumberFormat="0" applyAlignment="0" applyProtection="0"/>
    <xf numFmtId="0" fontId="25" fillId="8" borderId="230" applyNumberFormat="0" applyAlignment="0" applyProtection="0"/>
    <xf numFmtId="0" fontId="25" fillId="8" borderId="230" applyNumberFormat="0" applyAlignment="0" applyProtection="0"/>
    <xf numFmtId="0" fontId="25" fillId="8" borderId="230" applyNumberFormat="0" applyAlignment="0" applyProtection="0"/>
    <xf numFmtId="0" fontId="25" fillId="8" borderId="230" applyNumberFormat="0" applyAlignment="0" applyProtection="0"/>
    <xf numFmtId="0" fontId="25" fillId="8" borderId="230" applyNumberFormat="0" applyAlignment="0" applyProtection="0"/>
    <xf numFmtId="0" fontId="25" fillId="8" borderId="230" applyNumberFormat="0" applyAlignment="0" applyProtection="0"/>
    <xf numFmtId="0" fontId="25" fillId="8" borderId="230" applyNumberFormat="0" applyAlignment="0" applyProtection="0"/>
    <xf numFmtId="0" fontId="25" fillId="8" borderId="230" applyNumberFormat="0" applyAlignment="0" applyProtection="0"/>
    <xf numFmtId="0" fontId="25" fillId="8" borderId="230" applyNumberFormat="0" applyAlignment="0" applyProtection="0"/>
    <xf numFmtId="0" fontId="25" fillId="8" borderId="230" applyNumberFormat="0" applyAlignment="0" applyProtection="0"/>
    <xf numFmtId="0" fontId="25" fillId="8" borderId="230" applyNumberFormat="0" applyAlignment="0" applyProtection="0"/>
    <xf numFmtId="0" fontId="25" fillId="8" borderId="230" applyNumberFormat="0" applyAlignment="0" applyProtection="0"/>
    <xf numFmtId="0" fontId="25" fillId="8" borderId="230" applyNumberFormat="0" applyAlignment="0" applyProtection="0"/>
    <xf numFmtId="0" fontId="25" fillId="8" borderId="230" applyNumberFormat="0" applyAlignment="0" applyProtection="0"/>
    <xf numFmtId="0" fontId="25" fillId="8" borderId="230" applyNumberFormat="0" applyAlignment="0" applyProtection="0"/>
    <xf numFmtId="0" fontId="25" fillId="8" borderId="230" applyNumberFormat="0" applyAlignment="0" applyProtection="0"/>
    <xf numFmtId="0" fontId="25" fillId="8" borderId="230" applyNumberFormat="0" applyAlignment="0" applyProtection="0"/>
    <xf numFmtId="0" fontId="25" fillId="8" borderId="230" applyNumberFormat="0" applyAlignment="0" applyProtection="0"/>
    <xf numFmtId="0" fontId="25" fillId="8" borderId="230" applyNumberFormat="0" applyAlignment="0" applyProtection="0"/>
    <xf numFmtId="0" fontId="25" fillId="8" borderId="230" applyNumberFormat="0" applyAlignment="0" applyProtection="0"/>
    <xf numFmtId="0" fontId="25" fillId="8" borderId="230" applyNumberFormat="0" applyAlignment="0" applyProtection="0"/>
    <xf numFmtId="0" fontId="25" fillId="8" borderId="230" applyNumberFormat="0" applyAlignment="0" applyProtection="0"/>
    <xf numFmtId="0" fontId="25" fillId="8" borderId="230" applyNumberFormat="0" applyAlignment="0" applyProtection="0"/>
    <xf numFmtId="0" fontId="25" fillId="8" borderId="230" applyNumberFormat="0" applyAlignment="0" applyProtection="0"/>
    <xf numFmtId="0" fontId="25" fillId="8" borderId="230" applyNumberFormat="0" applyAlignment="0" applyProtection="0"/>
    <xf numFmtId="0" fontId="25" fillId="8" borderId="230" applyNumberFormat="0" applyAlignment="0" applyProtection="0"/>
    <xf numFmtId="0" fontId="25" fillId="8" borderId="230" applyNumberFormat="0" applyAlignment="0" applyProtection="0"/>
    <xf numFmtId="0" fontId="25" fillId="8" borderId="230" applyNumberFormat="0" applyAlignment="0" applyProtection="0"/>
    <xf numFmtId="0" fontId="25" fillId="8" borderId="230" applyNumberFormat="0" applyAlignment="0" applyProtection="0"/>
    <xf numFmtId="0" fontId="25" fillId="8" borderId="230" applyNumberFormat="0" applyAlignment="0" applyProtection="0"/>
    <xf numFmtId="0" fontId="25" fillId="8" borderId="230" applyNumberFormat="0" applyAlignment="0" applyProtection="0"/>
    <xf numFmtId="0" fontId="25" fillId="8" borderId="230" applyNumberFormat="0" applyAlignment="0" applyProtection="0"/>
    <xf numFmtId="0" fontId="25" fillId="8" borderId="230" applyNumberFormat="0" applyAlignment="0" applyProtection="0"/>
    <xf numFmtId="0" fontId="25" fillId="8" borderId="230" applyNumberFormat="0" applyAlignment="0" applyProtection="0"/>
    <xf numFmtId="0" fontId="25" fillId="8" borderId="230" applyNumberFormat="0" applyAlignment="0" applyProtection="0"/>
    <xf numFmtId="0" fontId="25" fillId="8" borderId="230" applyNumberFormat="0" applyAlignment="0" applyProtection="0"/>
    <xf numFmtId="0" fontId="25" fillId="8" borderId="230" applyNumberFormat="0" applyAlignment="0" applyProtection="0"/>
    <xf numFmtId="0" fontId="25" fillId="8" borderId="230" applyNumberFormat="0" applyAlignment="0" applyProtection="0"/>
    <xf numFmtId="0" fontId="25" fillId="8" borderId="230" applyNumberFormat="0" applyAlignment="0" applyProtection="0"/>
    <xf numFmtId="0" fontId="25" fillId="8" borderId="230" applyNumberFormat="0" applyAlignment="0" applyProtection="0"/>
    <xf numFmtId="0" fontId="25" fillId="8" borderId="230" applyNumberFormat="0" applyAlignment="0" applyProtection="0"/>
    <xf numFmtId="0" fontId="25" fillId="8" borderId="230" applyNumberFormat="0" applyAlignment="0" applyProtection="0"/>
    <xf numFmtId="0" fontId="25" fillId="8" borderId="230" applyNumberFormat="0" applyAlignment="0" applyProtection="0"/>
    <xf numFmtId="0" fontId="25" fillId="8" borderId="230" applyNumberFormat="0" applyAlignment="0" applyProtection="0"/>
    <xf numFmtId="0" fontId="25" fillId="8" borderId="230" applyNumberFormat="0" applyAlignment="0" applyProtection="0"/>
    <xf numFmtId="0" fontId="25" fillId="8" borderId="230" applyNumberFormat="0" applyAlignment="0" applyProtection="0"/>
    <xf numFmtId="0" fontId="25" fillId="8" borderId="230" applyNumberFormat="0" applyAlignment="0" applyProtection="0"/>
    <xf numFmtId="0" fontId="25" fillId="8" borderId="230" applyNumberFormat="0" applyAlignment="0" applyProtection="0"/>
    <xf numFmtId="0" fontId="25" fillId="8" borderId="230" applyNumberFormat="0" applyAlignment="0" applyProtection="0"/>
    <xf numFmtId="0" fontId="25" fillId="8" borderId="230" applyNumberFormat="0" applyAlignment="0" applyProtection="0"/>
    <xf numFmtId="0" fontId="25" fillId="8" borderId="230" applyNumberFormat="0" applyAlignment="0" applyProtection="0"/>
    <xf numFmtId="0" fontId="25" fillId="8" borderId="230" applyNumberFormat="0" applyAlignment="0" applyProtection="0"/>
    <xf numFmtId="0" fontId="25" fillId="8" borderId="230" applyNumberFormat="0" applyAlignment="0" applyProtection="0"/>
    <xf numFmtId="0" fontId="25" fillId="8" borderId="230" applyNumberFormat="0" applyAlignment="0" applyProtection="0"/>
    <xf numFmtId="0" fontId="25" fillId="8" borderId="230" applyNumberFormat="0" applyAlignment="0" applyProtection="0"/>
    <xf numFmtId="0" fontId="25" fillId="8" borderId="230" applyNumberFormat="0" applyAlignment="0" applyProtection="0"/>
    <xf numFmtId="0" fontId="25" fillId="8" borderId="230" applyNumberFormat="0" applyAlignment="0" applyProtection="0"/>
    <xf numFmtId="0" fontId="25" fillId="8" borderId="230" applyNumberFormat="0" applyAlignment="0" applyProtection="0"/>
    <xf numFmtId="0" fontId="25" fillId="8" borderId="230" applyNumberFormat="0" applyAlignment="0" applyProtection="0"/>
    <xf numFmtId="0" fontId="25" fillId="8" borderId="230" applyNumberFormat="0" applyAlignment="0" applyProtection="0"/>
    <xf numFmtId="0" fontId="25" fillId="8" borderId="230" applyNumberFormat="0" applyAlignment="0" applyProtection="0"/>
    <xf numFmtId="0" fontId="84" fillId="73" borderId="234"/>
    <xf numFmtId="0" fontId="84" fillId="73" borderId="234"/>
    <xf numFmtId="0" fontId="84" fillId="73" borderId="234"/>
    <xf numFmtId="0" fontId="84" fillId="73" borderId="234"/>
    <xf numFmtId="0" fontId="84" fillId="73" borderId="234"/>
    <xf numFmtId="0" fontId="84" fillId="73" borderId="234"/>
    <xf numFmtId="0" fontId="84" fillId="73" borderId="234"/>
    <xf numFmtId="0" fontId="84" fillId="73" borderId="234"/>
    <xf numFmtId="0" fontId="84" fillId="73" borderId="234"/>
    <xf numFmtId="0" fontId="84" fillId="73" borderId="234"/>
    <xf numFmtId="0" fontId="84" fillId="73" borderId="234"/>
    <xf numFmtId="0" fontId="84" fillId="73" borderId="234"/>
    <xf numFmtId="0" fontId="84" fillId="73" borderId="234"/>
    <xf numFmtId="0" fontId="84" fillId="73" borderId="234"/>
    <xf numFmtId="0" fontId="84" fillId="73" borderId="234"/>
    <xf numFmtId="0" fontId="84" fillId="73" borderId="234"/>
    <xf numFmtId="0" fontId="84" fillId="73" borderId="234"/>
    <xf numFmtId="0" fontId="84" fillId="73" borderId="234"/>
    <xf numFmtId="0" fontId="84" fillId="73" borderId="234"/>
    <xf numFmtId="0" fontId="84" fillId="73" borderId="234"/>
    <xf numFmtId="0" fontId="84" fillId="73" borderId="234"/>
    <xf numFmtId="0" fontId="84" fillId="73" borderId="234"/>
    <xf numFmtId="0" fontId="84" fillId="73" borderId="234"/>
    <xf numFmtId="0" fontId="84" fillId="73" borderId="234"/>
    <xf numFmtId="0" fontId="84" fillId="73" borderId="234"/>
    <xf numFmtId="0" fontId="84" fillId="73" borderId="234"/>
    <xf numFmtId="0" fontId="84" fillId="73" borderId="234"/>
    <xf numFmtId="0" fontId="84" fillId="73" borderId="234"/>
    <xf numFmtId="0" fontId="84" fillId="73" borderId="234"/>
    <xf numFmtId="0" fontId="84" fillId="73" borderId="234"/>
    <xf numFmtId="0" fontId="84" fillId="73" borderId="234"/>
    <xf numFmtId="0" fontId="84" fillId="73" borderId="234"/>
    <xf numFmtId="0" fontId="84" fillId="73" borderId="234"/>
    <xf numFmtId="0" fontId="84" fillId="73" borderId="234"/>
    <xf numFmtId="0" fontId="84" fillId="73" borderId="234"/>
    <xf numFmtId="0" fontId="84" fillId="73" borderId="234"/>
    <xf numFmtId="0" fontId="84" fillId="73" borderId="234"/>
    <xf numFmtId="0" fontId="84" fillId="73" borderId="234"/>
    <xf numFmtId="0" fontId="84" fillId="73" borderId="234"/>
    <xf numFmtId="0" fontId="84" fillId="73" borderId="234"/>
    <xf numFmtId="0" fontId="84" fillId="73" borderId="234"/>
    <xf numFmtId="0" fontId="84" fillId="73" borderId="234"/>
    <xf numFmtId="0" fontId="84" fillId="73" borderId="234"/>
    <xf numFmtId="0" fontId="84" fillId="73" borderId="234"/>
    <xf numFmtId="0" fontId="84" fillId="73" borderId="234"/>
    <xf numFmtId="0" fontId="72" fillId="0" borderId="228" applyBorder="0">
      <alignment horizontal="center" vertical="center" wrapText="1"/>
    </xf>
    <xf numFmtId="0" fontId="72" fillId="0" borderId="228" applyBorder="0">
      <alignment horizontal="center" vertical="center" wrapText="1"/>
    </xf>
    <xf numFmtId="0" fontId="72" fillId="0" borderId="228" applyBorder="0">
      <alignment horizontal="center" vertical="center" wrapText="1"/>
    </xf>
    <xf numFmtId="0" fontId="72" fillId="0" borderId="228" applyBorder="0">
      <alignment horizontal="center" vertical="center" wrapText="1"/>
    </xf>
    <xf numFmtId="0" fontId="72" fillId="0" borderId="228" applyBorder="0">
      <alignment horizontal="center" vertical="center" wrapText="1"/>
    </xf>
    <xf numFmtId="0" fontId="72" fillId="0" borderId="228" applyBorder="0">
      <alignment horizontal="center" vertical="center" wrapText="1"/>
    </xf>
    <xf numFmtId="0" fontId="72" fillId="0" borderId="228" applyBorder="0">
      <alignment horizontal="center" vertical="center" wrapText="1"/>
    </xf>
    <xf numFmtId="0" fontId="72" fillId="0" borderId="228" applyBorder="0">
      <alignment horizontal="center" vertical="center" wrapText="1"/>
    </xf>
    <xf numFmtId="0" fontId="72" fillId="0" borderId="228" applyBorder="0">
      <alignment horizontal="center" vertical="center" wrapText="1"/>
    </xf>
    <xf numFmtId="0" fontId="72" fillId="0" borderId="228" applyBorder="0">
      <alignment horizontal="center" vertical="center" wrapText="1"/>
    </xf>
    <xf numFmtId="0" fontId="72" fillId="0" borderId="228" applyBorder="0">
      <alignment horizontal="center" vertical="center" wrapText="1"/>
    </xf>
    <xf numFmtId="0" fontId="72" fillId="0" borderId="228" applyBorder="0">
      <alignment horizontal="center" vertical="center" wrapText="1"/>
    </xf>
    <xf numFmtId="0" fontId="72" fillId="0" borderId="228" applyBorder="0">
      <alignment horizontal="center" vertical="center" wrapText="1"/>
    </xf>
    <xf numFmtId="0" fontId="72" fillId="0" borderId="228" applyBorder="0">
      <alignment horizontal="center" vertical="center" wrapText="1"/>
    </xf>
    <xf numFmtId="0" fontId="72" fillId="0" borderId="228" applyBorder="0">
      <alignment horizontal="center" vertical="center" wrapText="1"/>
    </xf>
    <xf numFmtId="0" fontId="72" fillId="0" borderId="228" applyBorder="0">
      <alignment horizontal="center" vertical="center" wrapText="1"/>
    </xf>
    <xf numFmtId="0" fontId="72" fillId="0" borderId="228" applyBorder="0">
      <alignment horizontal="center" vertical="center" wrapText="1"/>
    </xf>
    <xf numFmtId="0" fontId="72" fillId="0" borderId="228" applyBorder="0">
      <alignment horizontal="center" vertical="center" wrapText="1"/>
    </xf>
    <xf numFmtId="0" fontId="72" fillId="0" borderId="228" applyBorder="0">
      <alignment horizontal="center" vertical="center" wrapText="1"/>
    </xf>
    <xf numFmtId="0" fontId="72" fillId="0" borderId="228" applyBorder="0">
      <alignment horizontal="center" vertical="center" wrapText="1"/>
    </xf>
    <xf numFmtId="0" fontId="72" fillId="0" borderId="228" applyBorder="0">
      <alignment horizontal="center" vertical="center" wrapText="1"/>
    </xf>
    <xf numFmtId="0" fontId="72" fillId="0" borderId="228" applyBorder="0">
      <alignment horizontal="center" vertical="center" wrapText="1"/>
    </xf>
    <xf numFmtId="0" fontId="72" fillId="0" borderId="228" applyBorder="0">
      <alignment horizontal="center" vertical="center" wrapText="1"/>
    </xf>
    <xf numFmtId="0" fontId="72" fillId="0" borderId="228" applyBorder="0">
      <alignment horizontal="center" vertical="center" wrapText="1"/>
    </xf>
    <xf numFmtId="0" fontId="72" fillId="0" borderId="228" applyBorder="0">
      <alignment horizontal="center" vertical="center" wrapText="1"/>
    </xf>
    <xf numFmtId="0" fontId="72" fillId="0" borderId="228" applyBorder="0">
      <alignment horizontal="center" vertical="center" wrapText="1"/>
    </xf>
    <xf numFmtId="0" fontId="72" fillId="0" borderId="228" applyBorder="0">
      <alignment horizontal="center" vertical="center" wrapText="1"/>
    </xf>
    <xf numFmtId="0" fontId="72" fillId="0" borderId="228" applyBorder="0">
      <alignment horizontal="center" vertical="center" wrapText="1"/>
    </xf>
    <xf numFmtId="0" fontId="72" fillId="0" borderId="228" applyBorder="0">
      <alignment horizontal="center" vertical="center" wrapText="1"/>
    </xf>
    <xf numFmtId="0" fontId="72" fillId="0" borderId="228" applyBorder="0">
      <alignment horizontal="center" vertical="center" wrapText="1"/>
    </xf>
    <xf numFmtId="0" fontId="72" fillId="0" borderId="228" applyBorder="0">
      <alignment horizontal="center" vertical="center" wrapText="1"/>
    </xf>
    <xf numFmtId="0" fontId="72" fillId="0" borderId="228" applyBorder="0">
      <alignment horizontal="center" vertical="center" wrapText="1"/>
    </xf>
    <xf numFmtId="0" fontId="72" fillId="0" borderId="228" applyBorder="0">
      <alignment horizontal="center" vertical="center" wrapText="1"/>
    </xf>
    <xf numFmtId="0" fontId="72" fillId="0" borderId="228" applyBorder="0">
      <alignment horizontal="center" vertical="center" wrapText="1"/>
    </xf>
    <xf numFmtId="0" fontId="72" fillId="0" borderId="228" applyBorder="0">
      <alignment horizontal="center" vertical="center" wrapText="1"/>
    </xf>
    <xf numFmtId="0" fontId="72" fillId="0" borderId="228" applyBorder="0">
      <alignment horizontal="center" vertical="center" wrapText="1"/>
    </xf>
    <xf numFmtId="0" fontId="72" fillId="0" borderId="228" applyBorder="0">
      <alignment horizontal="center" vertical="center" wrapText="1"/>
    </xf>
    <xf numFmtId="0" fontId="72" fillId="0" borderId="228" applyBorder="0">
      <alignment horizontal="center" vertical="center" wrapText="1"/>
    </xf>
    <xf numFmtId="0" fontId="72" fillId="0" borderId="228" applyBorder="0">
      <alignment horizontal="center" vertical="center" wrapText="1"/>
    </xf>
    <xf numFmtId="0" fontId="72" fillId="0" borderId="228" applyBorder="0">
      <alignment horizontal="center" vertical="center" wrapText="1"/>
    </xf>
    <xf numFmtId="0" fontId="72" fillId="0" borderId="228" applyBorder="0">
      <alignment horizontal="center" vertical="center" wrapText="1"/>
    </xf>
    <xf numFmtId="0" fontId="72" fillId="0" borderId="228" applyBorder="0">
      <alignment horizontal="center" vertical="center" wrapText="1"/>
    </xf>
    <xf numFmtId="0" fontId="72" fillId="0" borderId="228" applyBorder="0">
      <alignment horizontal="center" vertical="center" wrapText="1"/>
    </xf>
    <xf numFmtId="0" fontId="72" fillId="0" borderId="228" applyBorder="0">
      <alignment horizontal="center" vertical="center" wrapText="1"/>
    </xf>
    <xf numFmtId="0" fontId="72" fillId="0" borderId="228" applyBorder="0">
      <alignment horizontal="center" vertical="center" wrapText="1"/>
    </xf>
    <xf numFmtId="0" fontId="72" fillId="0" borderId="228" applyBorder="0">
      <alignment horizontal="center" vertical="center" wrapText="1"/>
    </xf>
    <xf numFmtId="0" fontId="72" fillId="0" borderId="228" applyBorder="0">
      <alignment horizontal="center" vertical="center" wrapText="1"/>
    </xf>
    <xf numFmtId="0" fontId="72" fillId="0" borderId="228" applyBorder="0">
      <alignment horizontal="center" vertical="center" wrapText="1"/>
    </xf>
    <xf numFmtId="0" fontId="72" fillId="0" borderId="228" applyBorder="0">
      <alignment horizontal="center" vertical="center" wrapText="1"/>
    </xf>
    <xf numFmtId="0" fontId="72" fillId="0" borderId="228" applyBorder="0">
      <alignment horizontal="center" vertical="center" wrapText="1"/>
    </xf>
    <xf numFmtId="0" fontId="72" fillId="0" borderId="228" applyBorder="0">
      <alignment horizontal="center" vertical="center" wrapText="1"/>
    </xf>
    <xf numFmtId="0" fontId="72" fillId="0" borderId="228" applyBorder="0">
      <alignment horizontal="center" vertical="center" wrapText="1"/>
    </xf>
    <xf numFmtId="0" fontId="72" fillId="0" borderId="228" applyBorder="0">
      <alignment horizontal="center" vertical="center" wrapText="1"/>
    </xf>
    <xf numFmtId="0" fontId="72" fillId="0" borderId="228" applyBorder="0">
      <alignment horizontal="center" vertical="center" wrapText="1"/>
    </xf>
    <xf numFmtId="0" fontId="72" fillId="0" borderId="228" applyBorder="0">
      <alignment horizontal="center" vertical="center" wrapText="1"/>
    </xf>
    <xf numFmtId="0" fontId="72" fillId="0" borderId="228" applyBorder="0">
      <alignment horizontal="center" vertical="center" wrapText="1"/>
    </xf>
    <xf numFmtId="0" fontId="72" fillId="0" borderId="228" applyBorder="0">
      <alignment horizontal="center" vertical="center" wrapText="1"/>
    </xf>
    <xf numFmtId="0" fontId="72" fillId="0" borderId="228" applyBorder="0">
      <alignment horizontal="center" vertical="center" wrapText="1"/>
    </xf>
    <xf numFmtId="0" fontId="72" fillId="0" borderId="228" applyBorder="0">
      <alignment horizontal="center" vertical="center" wrapText="1"/>
    </xf>
    <xf numFmtId="0" fontId="72" fillId="0" borderId="228" applyBorder="0">
      <alignment horizontal="center" vertical="center" wrapText="1"/>
    </xf>
    <xf numFmtId="0" fontId="29" fillId="24" borderId="306" applyNumberFormat="0" applyAlignment="0" applyProtection="0"/>
    <xf numFmtId="0" fontId="72" fillId="0" borderId="274" applyBorder="0">
      <alignment horizontal="center" vertical="center" wrapText="1"/>
    </xf>
    <xf numFmtId="0" fontId="16" fillId="24" borderId="268" applyNumberFormat="0" applyAlignment="0" applyProtection="0"/>
    <xf numFmtId="0" fontId="8" fillId="10" borderId="315" applyNumberFormat="0" applyFont="0" applyAlignment="0" applyProtection="0"/>
    <xf numFmtId="0" fontId="29" fillId="12" borderId="271" applyNumberFormat="0" applyAlignment="0" applyProtection="0"/>
    <xf numFmtId="0" fontId="8" fillId="10" borderId="315" applyNumberFormat="0" applyFont="0" applyAlignment="0" applyProtection="0"/>
    <xf numFmtId="0" fontId="41" fillId="13" borderId="268" applyNumberFormat="0" applyAlignment="0" applyProtection="0"/>
    <xf numFmtId="0" fontId="18" fillId="10" borderId="285" applyNumberFormat="0" applyFont="0" applyAlignment="0" applyProtection="0"/>
    <xf numFmtId="0" fontId="28" fillId="0" borderId="298"/>
    <xf numFmtId="0" fontId="49" fillId="10" borderId="238" applyNumberFormat="0" applyFont="0" applyAlignment="0" applyProtection="0"/>
    <xf numFmtId="0" fontId="48" fillId="12" borderId="237" applyNumberFormat="0" applyAlignment="0" applyProtection="0"/>
    <xf numFmtId="0" fontId="25" fillId="8" borderId="237" applyNumberFormat="0" applyAlignment="0" applyProtection="0"/>
    <xf numFmtId="0" fontId="31" fillId="0" borderId="235" applyNumberFormat="0" applyFill="0" applyAlignment="0" applyProtection="0"/>
    <xf numFmtId="0" fontId="31" fillId="0" borderId="240" applyNumberFormat="0" applyFill="0" applyAlignment="0" applyProtection="0"/>
    <xf numFmtId="0" fontId="24" fillId="24" borderId="239" applyNumberFormat="0" applyAlignment="0" applyProtection="0"/>
    <xf numFmtId="0" fontId="8" fillId="10" borderId="238" applyNumberFormat="0" applyFont="0" applyAlignment="0" applyProtection="0"/>
    <xf numFmtId="0" fontId="41" fillId="13" borderId="237" applyNumberFormat="0" applyAlignment="0" applyProtection="0"/>
    <xf numFmtId="0" fontId="48" fillId="12" borderId="237" applyNumberFormat="0" applyAlignment="0" applyProtection="0"/>
    <xf numFmtId="0" fontId="48" fillId="24" borderId="237" applyNumberFormat="0" applyAlignment="0" applyProtection="0"/>
    <xf numFmtId="0" fontId="31" fillId="0" borderId="235" applyNumberFormat="0" applyFill="0" applyAlignment="0" applyProtection="0"/>
    <xf numFmtId="0" fontId="48" fillId="24" borderId="237" applyNumberFormat="0" applyAlignment="0" applyProtection="0"/>
    <xf numFmtId="0" fontId="49" fillId="10" borderId="238" applyNumberFormat="0" applyFont="0" applyAlignment="0" applyProtection="0"/>
    <xf numFmtId="0" fontId="29" fillId="12" borderId="236" applyNumberFormat="0" applyAlignment="0" applyProtection="0"/>
    <xf numFmtId="0" fontId="8" fillId="10" borderId="238" applyNumberFormat="0" applyFont="0" applyAlignment="0" applyProtection="0"/>
    <xf numFmtId="0" fontId="8" fillId="10" borderId="231" applyNumberFormat="0" applyFont="0" applyAlignment="0" applyProtection="0"/>
    <xf numFmtId="0" fontId="49" fillId="10" borderId="231" applyNumberFormat="0" applyFont="0" applyAlignment="0" applyProtection="0"/>
    <xf numFmtId="0" fontId="31" fillId="0" borderId="233" applyNumberFormat="0" applyFill="0" applyAlignment="0" applyProtection="0"/>
    <xf numFmtId="0" fontId="31" fillId="0" borderId="235" applyNumberFormat="0" applyFill="0" applyAlignment="0" applyProtection="0"/>
    <xf numFmtId="0" fontId="31" fillId="0" borderId="240" applyNumberFormat="0" applyFill="0" applyAlignment="0" applyProtection="0"/>
    <xf numFmtId="0" fontId="31" fillId="0" borderId="235" applyNumberFormat="0" applyFill="0" applyAlignment="0" applyProtection="0"/>
    <xf numFmtId="0" fontId="31" fillId="0" borderId="290" applyNumberFormat="0" applyFill="0" applyAlignment="0" applyProtection="0"/>
    <xf numFmtId="0" fontId="72" fillId="0" borderId="248" applyBorder="0">
      <alignment horizontal="center" vertical="center" wrapText="1"/>
    </xf>
    <xf numFmtId="0" fontId="31" fillId="0" borderId="296" applyNumberFormat="0" applyFill="0" applyAlignment="0" applyProtection="0"/>
    <xf numFmtId="0" fontId="28" fillId="0" borderId="321"/>
    <xf numFmtId="0" fontId="29" fillId="24" borderId="317" applyNumberFormat="0" applyAlignment="0" applyProtection="0"/>
    <xf numFmtId="0" fontId="31" fillId="0" borderId="313" applyNumberFormat="0" applyFill="0" applyAlignment="0" applyProtection="0"/>
    <xf numFmtId="0" fontId="31" fillId="0" borderId="296" applyNumberFormat="0" applyFill="0" applyAlignment="0" applyProtection="0"/>
    <xf numFmtId="0" fontId="31" fillId="0" borderId="296" applyNumberFormat="0" applyFill="0" applyAlignment="0" applyProtection="0"/>
    <xf numFmtId="0" fontId="28" fillId="10" borderId="292" applyNumberFormat="0" applyFont="0" applyAlignment="0" applyProtection="0"/>
    <xf numFmtId="0" fontId="48" fillId="24" borderId="291" applyNumberFormat="0" applyAlignment="0" applyProtection="0"/>
    <xf numFmtId="0" fontId="72" fillId="0" borderId="297" applyBorder="0">
      <alignment horizontal="center" vertical="center" wrapText="1"/>
    </xf>
    <xf numFmtId="0" fontId="8" fillId="10" borderId="285" applyNumberFormat="0" applyFont="0" applyAlignment="0" applyProtection="0"/>
    <xf numFmtId="0" fontId="31" fillId="0" borderId="313" applyNumberFormat="0" applyFill="0" applyAlignment="0" applyProtection="0"/>
    <xf numFmtId="0" fontId="29" fillId="24" borderId="294" applyNumberFormat="0" applyAlignment="0" applyProtection="0"/>
    <xf numFmtId="0" fontId="29" fillId="24" borderId="317" applyNumberFormat="0" applyAlignment="0" applyProtection="0"/>
    <xf numFmtId="0" fontId="31" fillId="0" borderId="296" applyNumberFormat="0" applyFill="0" applyAlignment="0" applyProtection="0"/>
    <xf numFmtId="0" fontId="16" fillId="24" borderId="314" applyNumberFormat="0" applyAlignment="0" applyProtection="0"/>
    <xf numFmtId="0" fontId="84" fillId="73" borderId="321"/>
    <xf numFmtId="0" fontId="48" fillId="12" borderId="268" applyNumberFormat="0" applyAlignment="0" applyProtection="0"/>
    <xf numFmtId="0" fontId="25" fillId="13" borderId="291" applyNumberFormat="0" applyAlignment="0" applyProtection="0"/>
    <xf numFmtId="0" fontId="24" fillId="24" borderId="293" applyNumberFormat="0" applyAlignment="0" applyProtection="0"/>
    <xf numFmtId="0" fontId="31" fillId="0" borderId="326" applyNumberFormat="0" applyFill="0" applyAlignment="0" applyProtection="0"/>
    <xf numFmtId="0" fontId="48" fillId="12" borderId="291" applyNumberFormat="0" applyAlignment="0" applyProtection="0"/>
    <xf numFmtId="0" fontId="72" fillId="0" borderId="274" applyBorder="0">
      <alignment horizontal="center" vertical="center" wrapText="1"/>
    </xf>
    <xf numFmtId="0" fontId="49" fillId="10" borderId="269" applyNumberFormat="0" applyFont="0" applyAlignment="0" applyProtection="0"/>
    <xf numFmtId="0" fontId="84" fillId="73" borderId="275"/>
    <xf numFmtId="0" fontId="31" fillId="0" borderId="272" applyNumberFormat="0" applyFill="0" applyAlignment="0" applyProtection="0"/>
    <xf numFmtId="0" fontId="29" fillId="24" borderId="271" applyNumberFormat="0" applyAlignment="0" applyProtection="0"/>
    <xf numFmtId="0" fontId="31" fillId="0" borderId="267" applyNumberFormat="0" applyFill="0" applyAlignment="0" applyProtection="0"/>
    <xf numFmtId="0" fontId="28" fillId="10" borderId="269" applyNumberFormat="0" applyFont="0" applyAlignment="0" applyProtection="0"/>
    <xf numFmtId="0" fontId="48" fillId="12" borderId="268" applyNumberFormat="0" applyAlignment="0" applyProtection="0"/>
    <xf numFmtId="0" fontId="72" fillId="0" borderId="242" applyBorder="0">
      <alignment horizontal="center" vertical="center" wrapText="1"/>
    </xf>
    <xf numFmtId="0" fontId="72" fillId="0" borderId="242" applyBorder="0">
      <alignment horizontal="center" vertical="center" wrapText="1"/>
    </xf>
    <xf numFmtId="0" fontId="72" fillId="0" borderId="242" applyBorder="0">
      <alignment horizontal="center" vertical="center" wrapText="1"/>
    </xf>
    <xf numFmtId="0" fontId="72" fillId="0" borderId="242" applyBorder="0">
      <alignment horizontal="center" vertical="center" wrapText="1"/>
    </xf>
    <xf numFmtId="0" fontId="72" fillId="0" borderId="242" applyBorder="0">
      <alignment horizontal="center" vertical="center" wrapText="1"/>
    </xf>
    <xf numFmtId="0" fontId="72" fillId="0" borderId="242" applyBorder="0">
      <alignment horizontal="center" vertical="center" wrapText="1"/>
    </xf>
    <xf numFmtId="0" fontId="72" fillId="0" borderId="242" applyBorder="0">
      <alignment horizontal="center" vertical="center" wrapText="1"/>
    </xf>
    <xf numFmtId="0" fontId="72" fillId="0" borderId="242" applyBorder="0">
      <alignment horizontal="center" vertical="center" wrapText="1"/>
    </xf>
    <xf numFmtId="0" fontId="72" fillId="0" borderId="242" applyBorder="0">
      <alignment horizontal="center" vertical="center" wrapText="1"/>
    </xf>
    <xf numFmtId="0" fontId="72" fillId="0" borderId="242" applyBorder="0">
      <alignment horizontal="center" vertical="center" wrapText="1"/>
    </xf>
    <xf numFmtId="0" fontId="72" fillId="0" borderId="242" applyBorder="0">
      <alignment horizontal="center" vertical="center" wrapText="1"/>
    </xf>
    <xf numFmtId="0" fontId="72" fillId="0" borderId="242" applyBorder="0">
      <alignment horizontal="center" vertical="center" wrapText="1"/>
    </xf>
    <xf numFmtId="0" fontId="72" fillId="0" borderId="242" applyBorder="0">
      <alignment horizontal="center" vertical="center" wrapText="1"/>
    </xf>
    <xf numFmtId="0" fontId="72" fillId="0" borderId="242" applyBorder="0">
      <alignment horizontal="center" vertical="center" wrapText="1"/>
    </xf>
    <xf numFmtId="0" fontId="72" fillId="0" borderId="242" applyBorder="0">
      <alignment horizontal="center" vertical="center" wrapText="1"/>
    </xf>
    <xf numFmtId="0" fontId="72" fillId="0" borderId="242" applyBorder="0">
      <alignment horizontal="center" vertical="center" wrapText="1"/>
    </xf>
    <xf numFmtId="0" fontId="72" fillId="0" borderId="242" applyBorder="0">
      <alignment horizontal="center" vertical="center" wrapText="1"/>
    </xf>
    <xf numFmtId="0" fontId="72" fillId="0" borderId="242" applyBorder="0">
      <alignment horizontal="center" vertical="center" wrapText="1"/>
    </xf>
    <xf numFmtId="0" fontId="72" fillId="0" borderId="242" applyBorder="0">
      <alignment horizontal="center" vertical="center" wrapText="1"/>
    </xf>
    <xf numFmtId="0" fontId="72" fillId="0" borderId="242" applyBorder="0">
      <alignment horizontal="center" vertical="center" wrapText="1"/>
    </xf>
    <xf numFmtId="0" fontId="72" fillId="0" borderId="242" applyBorder="0">
      <alignment horizontal="center" vertical="center" wrapText="1"/>
    </xf>
    <xf numFmtId="0" fontId="72" fillId="0" borderId="242" applyBorder="0">
      <alignment horizontal="center" vertical="center" wrapText="1"/>
    </xf>
    <xf numFmtId="0" fontId="72" fillId="0" borderId="242" applyBorder="0">
      <alignment horizontal="center" vertical="center" wrapText="1"/>
    </xf>
    <xf numFmtId="0" fontId="72" fillId="0" borderId="242" applyBorder="0">
      <alignment horizontal="center" vertical="center" wrapText="1"/>
    </xf>
    <xf numFmtId="0" fontId="72" fillId="0" borderId="242" applyBorder="0">
      <alignment horizontal="center" vertical="center" wrapText="1"/>
    </xf>
    <xf numFmtId="0" fontId="72" fillId="0" borderId="242" applyBorder="0">
      <alignment horizontal="center" vertical="center" wrapText="1"/>
    </xf>
    <xf numFmtId="0" fontId="72" fillId="0" borderId="242" applyBorder="0">
      <alignment horizontal="center" vertical="center" wrapText="1"/>
    </xf>
    <xf numFmtId="0" fontId="72" fillId="0" borderId="242" applyBorder="0">
      <alignment horizontal="center" vertical="center" wrapText="1"/>
    </xf>
    <xf numFmtId="0" fontId="72" fillId="0" borderId="242" applyBorder="0">
      <alignment horizontal="center" vertical="center" wrapText="1"/>
    </xf>
    <xf numFmtId="0" fontId="72" fillId="0" borderId="242" applyBorder="0">
      <alignment horizontal="center" vertical="center" wrapText="1"/>
    </xf>
    <xf numFmtId="0" fontId="48" fillId="24" borderId="243" applyNumberFormat="0" applyAlignment="0" applyProtection="0"/>
    <xf numFmtId="0" fontId="48" fillId="24" borderId="243" applyNumberFormat="0" applyAlignment="0" applyProtection="0"/>
    <xf numFmtId="0" fontId="48" fillId="24" borderId="243" applyNumberFormat="0" applyAlignment="0" applyProtection="0"/>
    <xf numFmtId="0" fontId="48" fillId="24" borderId="243" applyNumberFormat="0" applyAlignment="0" applyProtection="0"/>
    <xf numFmtId="0" fontId="48" fillId="24" borderId="243" applyNumberFormat="0" applyAlignment="0" applyProtection="0"/>
    <xf numFmtId="0" fontId="48" fillId="24" borderId="243" applyNumberFormat="0" applyAlignment="0" applyProtection="0"/>
    <xf numFmtId="0" fontId="48" fillId="24" borderId="243" applyNumberFormat="0" applyAlignment="0" applyProtection="0"/>
    <xf numFmtId="0" fontId="48" fillId="24" borderId="243" applyNumberFormat="0" applyAlignment="0" applyProtection="0"/>
    <xf numFmtId="0" fontId="48" fillId="24" borderId="243" applyNumberFormat="0" applyAlignment="0" applyProtection="0"/>
    <xf numFmtId="0" fontId="48" fillId="24" borderId="243" applyNumberFormat="0" applyAlignment="0" applyProtection="0"/>
    <xf numFmtId="0" fontId="48" fillId="24" borderId="243" applyNumberFormat="0" applyAlignment="0" applyProtection="0"/>
    <xf numFmtId="0" fontId="48" fillId="24" borderId="243" applyNumberFormat="0" applyAlignment="0" applyProtection="0"/>
    <xf numFmtId="0" fontId="48" fillId="24" borderId="243" applyNumberFormat="0" applyAlignment="0" applyProtection="0"/>
    <xf numFmtId="0" fontId="48" fillId="24" borderId="243" applyNumberFormat="0" applyAlignment="0" applyProtection="0"/>
    <xf numFmtId="0" fontId="48" fillId="24" borderId="243" applyNumberFormat="0" applyAlignment="0" applyProtection="0"/>
    <xf numFmtId="0" fontId="48" fillId="24" borderId="243" applyNumberFormat="0" applyAlignment="0" applyProtection="0"/>
    <xf numFmtId="0" fontId="48" fillId="24" borderId="243" applyNumberFormat="0" applyAlignment="0" applyProtection="0"/>
    <xf numFmtId="0" fontId="48" fillId="24" borderId="243" applyNumberFormat="0" applyAlignment="0" applyProtection="0"/>
    <xf numFmtId="0" fontId="48" fillId="24" borderId="243" applyNumberFormat="0" applyAlignment="0" applyProtection="0"/>
    <xf numFmtId="0" fontId="48" fillId="24" borderId="243" applyNumberFormat="0" applyAlignment="0" applyProtection="0"/>
    <xf numFmtId="0" fontId="48" fillId="24" borderId="243" applyNumberFormat="0" applyAlignment="0" applyProtection="0"/>
    <xf numFmtId="0" fontId="48" fillId="24" borderId="243" applyNumberFormat="0" applyAlignment="0" applyProtection="0"/>
    <xf numFmtId="0" fontId="48" fillId="24" borderId="243" applyNumberFormat="0" applyAlignment="0" applyProtection="0"/>
    <xf numFmtId="0" fontId="48" fillId="24" borderId="243" applyNumberFormat="0" applyAlignment="0" applyProtection="0"/>
    <xf numFmtId="0" fontId="48" fillId="24" borderId="243" applyNumberFormat="0" applyAlignment="0" applyProtection="0"/>
    <xf numFmtId="0" fontId="48" fillId="24" borderId="243" applyNumberFormat="0" applyAlignment="0" applyProtection="0"/>
    <xf numFmtId="0" fontId="48" fillId="24" borderId="243" applyNumberFormat="0" applyAlignment="0" applyProtection="0"/>
    <xf numFmtId="0" fontId="48" fillId="24" borderId="243" applyNumberFormat="0" applyAlignment="0" applyProtection="0"/>
    <xf numFmtId="0" fontId="48" fillId="24" borderId="243" applyNumberFormat="0" applyAlignment="0" applyProtection="0"/>
    <xf numFmtId="0" fontId="48" fillId="24" borderId="243" applyNumberFormat="0" applyAlignment="0" applyProtection="0"/>
    <xf numFmtId="0" fontId="48" fillId="24" borderId="243" applyNumberFormat="0" applyAlignment="0" applyProtection="0"/>
    <xf numFmtId="0" fontId="48" fillId="24" borderId="243" applyNumberFormat="0" applyAlignment="0" applyProtection="0"/>
    <xf numFmtId="0" fontId="48" fillId="24" borderId="243" applyNumberFormat="0" applyAlignment="0" applyProtection="0"/>
    <xf numFmtId="0" fontId="48" fillId="24" borderId="243" applyNumberFormat="0" applyAlignment="0" applyProtection="0"/>
    <xf numFmtId="0" fontId="48" fillId="24" borderId="243" applyNumberFormat="0" applyAlignment="0" applyProtection="0"/>
    <xf numFmtId="0" fontId="48" fillId="24" borderId="243" applyNumberFormat="0" applyAlignment="0" applyProtection="0"/>
    <xf numFmtId="0" fontId="48" fillId="24" borderId="243" applyNumberFormat="0" applyAlignment="0" applyProtection="0"/>
    <xf numFmtId="0" fontId="48" fillId="24" borderId="243" applyNumberFormat="0" applyAlignment="0" applyProtection="0"/>
    <xf numFmtId="0" fontId="48" fillId="24" borderId="243" applyNumberFormat="0" applyAlignment="0" applyProtection="0"/>
    <xf numFmtId="0" fontId="48" fillId="24" borderId="243" applyNumberFormat="0" applyAlignment="0" applyProtection="0"/>
    <xf numFmtId="0" fontId="48" fillId="24" borderId="243" applyNumberFormat="0" applyAlignment="0" applyProtection="0"/>
    <xf numFmtId="0" fontId="48" fillId="24" borderId="243" applyNumberFormat="0" applyAlignment="0" applyProtection="0"/>
    <xf numFmtId="0" fontId="48" fillId="24" borderId="243" applyNumberFormat="0" applyAlignment="0" applyProtection="0"/>
    <xf numFmtId="0" fontId="48" fillId="24" borderId="243" applyNumberFormat="0" applyAlignment="0" applyProtection="0"/>
    <xf numFmtId="0" fontId="48" fillId="24" borderId="243" applyNumberFormat="0" applyAlignment="0" applyProtection="0"/>
    <xf numFmtId="0" fontId="48" fillId="24" borderId="243" applyNumberFormat="0" applyAlignment="0" applyProtection="0"/>
    <xf numFmtId="0" fontId="48" fillId="24" borderId="243" applyNumberFormat="0" applyAlignment="0" applyProtection="0"/>
    <xf numFmtId="0" fontId="48" fillId="24" borderId="243" applyNumberFormat="0" applyAlignment="0" applyProtection="0"/>
    <xf numFmtId="0" fontId="48" fillId="24" borderId="243" applyNumberFormat="0" applyAlignment="0" applyProtection="0"/>
    <xf numFmtId="0" fontId="48" fillId="24" borderId="243" applyNumberFormat="0" applyAlignment="0" applyProtection="0"/>
    <xf numFmtId="0" fontId="48" fillId="24" borderId="243" applyNumberFormat="0" applyAlignment="0" applyProtection="0"/>
    <xf numFmtId="0" fontId="48" fillId="24" borderId="243" applyNumberFormat="0" applyAlignment="0" applyProtection="0"/>
    <xf numFmtId="0" fontId="48" fillId="24" borderId="243" applyNumberFormat="0" applyAlignment="0" applyProtection="0"/>
    <xf numFmtId="0" fontId="48" fillId="24" borderId="243" applyNumberFormat="0" applyAlignment="0" applyProtection="0"/>
    <xf numFmtId="0" fontId="48" fillId="24" borderId="243" applyNumberFormat="0" applyAlignment="0" applyProtection="0"/>
    <xf numFmtId="0" fontId="48" fillId="24" borderId="243" applyNumberFormat="0" applyAlignment="0" applyProtection="0"/>
    <xf numFmtId="0" fontId="48" fillId="24" borderId="243" applyNumberFormat="0" applyAlignment="0" applyProtection="0"/>
    <xf numFmtId="0" fontId="48" fillId="24" borderId="243" applyNumberFormat="0" applyAlignment="0" applyProtection="0"/>
    <xf numFmtId="0" fontId="48" fillId="24" borderId="243" applyNumberFormat="0" applyAlignment="0" applyProtection="0"/>
    <xf numFmtId="0" fontId="48" fillId="24" borderId="243" applyNumberFormat="0" applyAlignment="0" applyProtection="0"/>
    <xf numFmtId="0" fontId="48" fillId="24" borderId="243" applyNumberFormat="0" applyAlignment="0" applyProtection="0"/>
    <xf numFmtId="0" fontId="48" fillId="24" borderId="243" applyNumberFormat="0" applyAlignment="0" applyProtection="0"/>
    <xf numFmtId="0" fontId="48" fillId="24" borderId="243" applyNumberFormat="0" applyAlignment="0" applyProtection="0"/>
    <xf numFmtId="0" fontId="48" fillId="24" borderId="243" applyNumberFormat="0" applyAlignment="0" applyProtection="0"/>
    <xf numFmtId="0" fontId="48" fillId="24" borderId="243" applyNumberFormat="0" applyAlignment="0" applyProtection="0"/>
    <xf numFmtId="0" fontId="48" fillId="24" borderId="243" applyNumberFormat="0" applyAlignment="0" applyProtection="0"/>
    <xf numFmtId="0" fontId="48" fillId="24" borderId="243" applyNumberFormat="0" applyAlignment="0" applyProtection="0"/>
    <xf numFmtId="0" fontId="48" fillId="24" borderId="243" applyNumberFormat="0" applyAlignment="0" applyProtection="0"/>
    <xf numFmtId="0" fontId="48" fillId="24" borderId="243" applyNumberFormat="0" applyAlignment="0" applyProtection="0"/>
    <xf numFmtId="0" fontId="48" fillId="24" borderId="243" applyNumberFormat="0" applyAlignment="0" applyProtection="0"/>
    <xf numFmtId="0" fontId="48" fillId="24" borderId="243" applyNumberFormat="0" applyAlignment="0" applyProtection="0"/>
    <xf numFmtId="0" fontId="48" fillId="24" borderId="243" applyNumberFormat="0" applyAlignment="0" applyProtection="0"/>
    <xf numFmtId="0" fontId="48" fillId="24" borderId="243" applyNumberFormat="0" applyAlignment="0" applyProtection="0"/>
    <xf numFmtId="0" fontId="48" fillId="24" borderId="243" applyNumberFormat="0" applyAlignment="0" applyProtection="0"/>
    <xf numFmtId="0" fontId="48" fillId="24" borderId="243" applyNumberFormat="0" applyAlignment="0" applyProtection="0"/>
    <xf numFmtId="0" fontId="48" fillId="24" borderId="243" applyNumberFormat="0" applyAlignment="0" applyProtection="0"/>
    <xf numFmtId="0" fontId="48" fillId="24" borderId="243" applyNumberFormat="0" applyAlignment="0" applyProtection="0"/>
    <xf numFmtId="0" fontId="48" fillId="24" borderId="243" applyNumberFormat="0" applyAlignment="0" applyProtection="0"/>
    <xf numFmtId="0" fontId="32" fillId="24" borderId="243" applyNumberFormat="0" applyAlignment="0" applyProtection="0"/>
    <xf numFmtId="0" fontId="32" fillId="24" borderId="243" applyNumberFormat="0" applyAlignment="0" applyProtection="0"/>
    <xf numFmtId="0" fontId="32" fillId="24" borderId="243" applyNumberFormat="0" applyAlignment="0" applyProtection="0"/>
    <xf numFmtId="0" fontId="32" fillId="24" borderId="243" applyNumberFormat="0" applyAlignment="0" applyProtection="0"/>
    <xf numFmtId="0" fontId="32" fillId="24" borderId="243" applyNumberFormat="0" applyAlignment="0" applyProtection="0"/>
    <xf numFmtId="0" fontId="32" fillId="24" borderId="243" applyNumberFormat="0" applyAlignment="0" applyProtection="0"/>
    <xf numFmtId="0" fontId="32" fillId="24" borderId="243" applyNumberFormat="0" applyAlignment="0" applyProtection="0"/>
    <xf numFmtId="0" fontId="32" fillId="24" borderId="243" applyNumberFormat="0" applyAlignment="0" applyProtection="0"/>
    <xf numFmtId="0" fontId="32" fillId="24" borderId="243" applyNumberFormat="0" applyAlignment="0" applyProtection="0"/>
    <xf numFmtId="0" fontId="32" fillId="24" borderId="243" applyNumberFormat="0" applyAlignment="0" applyProtection="0"/>
    <xf numFmtId="0" fontId="32" fillId="24" borderId="243" applyNumberFormat="0" applyAlignment="0" applyProtection="0"/>
    <xf numFmtId="0" fontId="32" fillId="24" borderId="243" applyNumberFormat="0" applyAlignment="0" applyProtection="0"/>
    <xf numFmtId="0" fontId="32" fillId="24" borderId="243" applyNumberFormat="0" applyAlignment="0" applyProtection="0"/>
    <xf numFmtId="0" fontId="32" fillId="24" borderId="243" applyNumberFormat="0" applyAlignment="0" applyProtection="0"/>
    <xf numFmtId="0" fontId="32" fillId="24" borderId="243" applyNumberFormat="0" applyAlignment="0" applyProtection="0"/>
    <xf numFmtId="0" fontId="32" fillId="24" borderId="243" applyNumberFormat="0" applyAlignment="0" applyProtection="0"/>
    <xf numFmtId="0" fontId="32" fillId="24" borderId="243" applyNumberFormat="0" applyAlignment="0" applyProtection="0"/>
    <xf numFmtId="0" fontId="32" fillId="24" borderId="243" applyNumberFormat="0" applyAlignment="0" applyProtection="0"/>
    <xf numFmtId="0" fontId="32" fillId="24" borderId="243" applyNumberFormat="0" applyAlignment="0" applyProtection="0"/>
    <xf numFmtId="0" fontId="32" fillId="24" borderId="243" applyNumberFormat="0" applyAlignment="0" applyProtection="0"/>
    <xf numFmtId="0" fontId="32" fillId="24" borderId="243" applyNumberFormat="0" applyAlignment="0" applyProtection="0"/>
    <xf numFmtId="0" fontId="32" fillId="24" borderId="243" applyNumberFormat="0" applyAlignment="0" applyProtection="0"/>
    <xf numFmtId="0" fontId="32" fillId="24" borderId="243" applyNumberFormat="0" applyAlignment="0" applyProtection="0"/>
    <xf numFmtId="0" fontId="32" fillId="24" borderId="243" applyNumberFormat="0" applyAlignment="0" applyProtection="0"/>
    <xf numFmtId="0" fontId="32" fillId="24" borderId="243" applyNumberFormat="0" applyAlignment="0" applyProtection="0"/>
    <xf numFmtId="0" fontId="32" fillId="24" borderId="243" applyNumberFormat="0" applyAlignment="0" applyProtection="0"/>
    <xf numFmtId="0" fontId="32" fillId="24" borderId="243" applyNumberFormat="0" applyAlignment="0" applyProtection="0"/>
    <xf numFmtId="0" fontId="32" fillId="24" borderId="243" applyNumberFormat="0" applyAlignment="0" applyProtection="0"/>
    <xf numFmtId="0" fontId="32" fillId="24" borderId="243" applyNumberFormat="0" applyAlignment="0" applyProtection="0"/>
    <xf numFmtId="0" fontId="32" fillId="24" borderId="243" applyNumberFormat="0" applyAlignment="0" applyProtection="0"/>
    <xf numFmtId="0" fontId="32" fillId="24" borderId="243" applyNumberFormat="0" applyAlignment="0" applyProtection="0"/>
    <xf numFmtId="0" fontId="32" fillId="24" borderId="243" applyNumberFormat="0" applyAlignment="0" applyProtection="0"/>
    <xf numFmtId="0" fontId="32" fillId="24" borderId="243" applyNumberFormat="0" applyAlignment="0" applyProtection="0"/>
    <xf numFmtId="0" fontId="32" fillId="24" borderId="243" applyNumberFormat="0" applyAlignment="0" applyProtection="0"/>
    <xf numFmtId="0" fontId="32" fillId="24" borderId="243" applyNumberFormat="0" applyAlignment="0" applyProtection="0"/>
    <xf numFmtId="0" fontId="32" fillId="24" borderId="243" applyNumberFormat="0" applyAlignment="0" applyProtection="0"/>
    <xf numFmtId="0" fontId="32" fillId="24" borderId="243" applyNumberFormat="0" applyAlignment="0" applyProtection="0"/>
    <xf numFmtId="0" fontId="32" fillId="24" borderId="243" applyNumberFormat="0" applyAlignment="0" applyProtection="0"/>
    <xf numFmtId="0" fontId="32" fillId="24" borderId="243" applyNumberFormat="0" applyAlignment="0" applyProtection="0"/>
    <xf numFmtId="0" fontId="32" fillId="24" borderId="243" applyNumberFormat="0" applyAlignment="0" applyProtection="0"/>
    <xf numFmtId="0" fontId="32" fillId="24" borderId="243" applyNumberFormat="0" applyAlignment="0" applyProtection="0"/>
    <xf numFmtId="0" fontId="32" fillId="24" borderId="243" applyNumberFormat="0" applyAlignment="0" applyProtection="0"/>
    <xf numFmtId="0" fontId="32" fillId="24" borderId="243" applyNumberFormat="0" applyAlignment="0" applyProtection="0"/>
    <xf numFmtId="0" fontId="32" fillId="24" borderId="243" applyNumberFormat="0" applyAlignment="0" applyProtection="0"/>
    <xf numFmtId="0" fontId="32" fillId="24" borderId="243" applyNumberFormat="0" applyAlignment="0" applyProtection="0"/>
    <xf numFmtId="0" fontId="32" fillId="24" borderId="243" applyNumberFormat="0" applyAlignment="0" applyProtection="0"/>
    <xf numFmtId="0" fontId="32" fillId="24" borderId="243" applyNumberFormat="0" applyAlignment="0" applyProtection="0"/>
    <xf numFmtId="0" fontId="32" fillId="24" borderId="243" applyNumberFormat="0" applyAlignment="0" applyProtection="0"/>
    <xf numFmtId="0" fontId="32" fillId="24" borderId="243" applyNumberFormat="0" applyAlignment="0" applyProtection="0"/>
    <xf numFmtId="0" fontId="16" fillId="24" borderId="243" applyNumberFormat="0" applyAlignment="0" applyProtection="0"/>
    <xf numFmtId="0" fontId="16" fillId="24" borderId="243" applyNumberFormat="0" applyAlignment="0" applyProtection="0"/>
    <xf numFmtId="0" fontId="16" fillId="24" borderId="243" applyNumberFormat="0" applyAlignment="0" applyProtection="0"/>
    <xf numFmtId="0" fontId="16" fillId="24" borderId="243" applyNumberFormat="0" applyAlignment="0" applyProtection="0"/>
    <xf numFmtId="0" fontId="16" fillId="24" borderId="243" applyNumberFormat="0" applyAlignment="0" applyProtection="0"/>
    <xf numFmtId="0" fontId="16" fillId="24" borderId="243" applyNumberFormat="0" applyAlignment="0" applyProtection="0"/>
    <xf numFmtId="0" fontId="16" fillId="24" borderId="243" applyNumberFormat="0" applyAlignment="0" applyProtection="0"/>
    <xf numFmtId="0" fontId="16" fillId="24" borderId="243" applyNumberFormat="0" applyAlignment="0" applyProtection="0"/>
    <xf numFmtId="0" fontId="16" fillId="24" borderId="243" applyNumberFormat="0" applyAlignment="0" applyProtection="0"/>
    <xf numFmtId="0" fontId="16" fillId="24" borderId="243" applyNumberFormat="0" applyAlignment="0" applyProtection="0"/>
    <xf numFmtId="0" fontId="16" fillId="24" borderId="243" applyNumberFormat="0" applyAlignment="0" applyProtection="0"/>
    <xf numFmtId="0" fontId="16" fillId="24" borderId="243" applyNumberFormat="0" applyAlignment="0" applyProtection="0"/>
    <xf numFmtId="0" fontId="16" fillId="24" borderId="243" applyNumberFormat="0" applyAlignment="0" applyProtection="0"/>
    <xf numFmtId="0" fontId="16" fillId="24" borderId="243" applyNumberFormat="0" applyAlignment="0" applyProtection="0"/>
    <xf numFmtId="0" fontId="16" fillId="24" borderId="243" applyNumberFormat="0" applyAlignment="0" applyProtection="0"/>
    <xf numFmtId="0" fontId="16" fillId="24" borderId="243" applyNumberFormat="0" applyAlignment="0" applyProtection="0"/>
    <xf numFmtId="0" fontId="16" fillId="24" borderId="243" applyNumberFormat="0" applyAlignment="0" applyProtection="0"/>
    <xf numFmtId="0" fontId="16" fillId="24" borderId="243" applyNumberFormat="0" applyAlignment="0" applyProtection="0"/>
    <xf numFmtId="0" fontId="16" fillId="24" borderId="243" applyNumberFormat="0" applyAlignment="0" applyProtection="0"/>
    <xf numFmtId="0" fontId="16" fillId="24" borderId="243" applyNumberFormat="0" applyAlignment="0" applyProtection="0"/>
    <xf numFmtId="0" fontId="16" fillId="24" borderId="243" applyNumberFormat="0" applyAlignment="0" applyProtection="0"/>
    <xf numFmtId="0" fontId="16" fillId="24" borderId="243" applyNumberFormat="0" applyAlignment="0" applyProtection="0"/>
    <xf numFmtId="0" fontId="16" fillId="24" borderId="243" applyNumberFormat="0" applyAlignment="0" applyProtection="0"/>
    <xf numFmtId="0" fontId="16" fillId="24" borderId="243" applyNumberFormat="0" applyAlignment="0" applyProtection="0"/>
    <xf numFmtId="0" fontId="16" fillId="24" borderId="243" applyNumberFormat="0" applyAlignment="0" applyProtection="0"/>
    <xf numFmtId="0" fontId="16" fillId="24" borderId="243" applyNumberFormat="0" applyAlignment="0" applyProtection="0"/>
    <xf numFmtId="0" fontId="16" fillId="24" borderId="243" applyNumberFormat="0" applyAlignment="0" applyProtection="0"/>
    <xf numFmtId="0" fontId="16" fillId="24" borderId="243" applyNumberFormat="0" applyAlignment="0" applyProtection="0"/>
    <xf numFmtId="0" fontId="16" fillId="24" borderId="243" applyNumberFormat="0" applyAlignment="0" applyProtection="0"/>
    <xf numFmtId="0" fontId="16" fillId="24" borderId="243" applyNumberFormat="0" applyAlignment="0" applyProtection="0"/>
    <xf numFmtId="0" fontId="16" fillId="24" borderId="243" applyNumberFormat="0" applyAlignment="0" applyProtection="0"/>
    <xf numFmtId="0" fontId="16" fillId="24" borderId="243" applyNumberFormat="0" applyAlignment="0" applyProtection="0"/>
    <xf numFmtId="0" fontId="16" fillId="24" borderId="243" applyNumberFormat="0" applyAlignment="0" applyProtection="0"/>
    <xf numFmtId="0" fontId="16" fillId="24" borderId="243" applyNumberFormat="0" applyAlignment="0" applyProtection="0"/>
    <xf numFmtId="0" fontId="16" fillId="24" borderId="243" applyNumberFormat="0" applyAlignment="0" applyProtection="0"/>
    <xf numFmtId="0" fontId="16" fillId="24" borderId="243" applyNumberFormat="0" applyAlignment="0" applyProtection="0"/>
    <xf numFmtId="0" fontId="16" fillId="24" borderId="243" applyNumberFormat="0" applyAlignment="0" applyProtection="0"/>
    <xf numFmtId="0" fontId="16" fillId="24" borderId="243" applyNumberFormat="0" applyAlignment="0" applyProtection="0"/>
    <xf numFmtId="0" fontId="16" fillId="24" borderId="243" applyNumberFormat="0" applyAlignment="0" applyProtection="0"/>
    <xf numFmtId="0" fontId="16" fillId="24" borderId="243" applyNumberFormat="0" applyAlignment="0" applyProtection="0"/>
    <xf numFmtId="0" fontId="16" fillId="24" borderId="243" applyNumberFormat="0" applyAlignment="0" applyProtection="0"/>
    <xf numFmtId="0" fontId="16" fillId="24" borderId="243" applyNumberFormat="0" applyAlignment="0" applyProtection="0"/>
    <xf numFmtId="0" fontId="16" fillId="24" borderId="243" applyNumberFormat="0" applyAlignment="0" applyProtection="0"/>
    <xf numFmtId="0" fontId="16" fillId="24" borderId="243" applyNumberFormat="0" applyAlignment="0" applyProtection="0"/>
    <xf numFmtId="0" fontId="16" fillId="24" borderId="243" applyNumberFormat="0" applyAlignment="0" applyProtection="0"/>
    <xf numFmtId="0" fontId="16" fillId="24" borderId="243" applyNumberFormat="0" applyAlignment="0" applyProtection="0"/>
    <xf numFmtId="0" fontId="16" fillId="24" borderId="243" applyNumberFormat="0" applyAlignment="0" applyProtection="0"/>
    <xf numFmtId="0" fontId="16" fillId="24" borderId="243" applyNumberFormat="0" applyAlignment="0" applyProtection="0"/>
    <xf numFmtId="0" fontId="16" fillId="24" borderId="243" applyNumberFormat="0" applyAlignment="0" applyProtection="0"/>
    <xf numFmtId="0" fontId="48" fillId="24" borderId="243" applyNumberFormat="0" applyAlignment="0" applyProtection="0"/>
    <xf numFmtId="0" fontId="48" fillId="24" borderId="243" applyNumberFormat="0" applyAlignment="0" applyProtection="0"/>
    <xf numFmtId="0" fontId="48" fillId="24" borderId="243" applyNumberFormat="0" applyAlignment="0" applyProtection="0"/>
    <xf numFmtId="0" fontId="48" fillId="24" borderId="243" applyNumberFormat="0" applyAlignment="0" applyProtection="0"/>
    <xf numFmtId="0" fontId="48" fillId="24" borderId="243" applyNumberFormat="0" applyAlignment="0" applyProtection="0"/>
    <xf numFmtId="0" fontId="48" fillId="24" borderId="243" applyNumberFormat="0" applyAlignment="0" applyProtection="0"/>
    <xf numFmtId="0" fontId="48" fillId="24" borderId="243" applyNumberFormat="0" applyAlignment="0" applyProtection="0"/>
    <xf numFmtId="0" fontId="48" fillId="24" borderId="243" applyNumberFormat="0" applyAlignment="0" applyProtection="0"/>
    <xf numFmtId="0" fontId="48" fillId="24" borderId="243" applyNumberFormat="0" applyAlignment="0" applyProtection="0"/>
    <xf numFmtId="0" fontId="48" fillId="24" borderId="243" applyNumberFormat="0" applyAlignment="0" applyProtection="0"/>
    <xf numFmtId="0" fontId="48" fillId="24" borderId="243" applyNumberFormat="0" applyAlignment="0" applyProtection="0"/>
    <xf numFmtId="0" fontId="48" fillId="24" borderId="243" applyNumberFormat="0" applyAlignment="0" applyProtection="0"/>
    <xf numFmtId="0" fontId="48" fillId="24" borderId="243" applyNumberFormat="0" applyAlignment="0" applyProtection="0"/>
    <xf numFmtId="0" fontId="48" fillId="24" borderId="243" applyNumberFormat="0" applyAlignment="0" applyProtection="0"/>
    <xf numFmtId="0" fontId="48" fillId="24" borderId="243" applyNumberFormat="0" applyAlignment="0" applyProtection="0"/>
    <xf numFmtId="0" fontId="48" fillId="24" borderId="243" applyNumberFormat="0" applyAlignment="0" applyProtection="0"/>
    <xf numFmtId="0" fontId="48" fillId="24" borderId="243" applyNumberFormat="0" applyAlignment="0" applyProtection="0"/>
    <xf numFmtId="0" fontId="48" fillId="24" borderId="243" applyNumberFormat="0" applyAlignment="0" applyProtection="0"/>
    <xf numFmtId="0" fontId="48" fillId="24" borderId="243" applyNumberFormat="0" applyAlignment="0" applyProtection="0"/>
    <xf numFmtId="0" fontId="48" fillId="24" borderId="243" applyNumberFormat="0" applyAlignment="0" applyProtection="0"/>
    <xf numFmtId="0" fontId="48" fillId="24" borderId="243" applyNumberFormat="0" applyAlignment="0" applyProtection="0"/>
    <xf numFmtId="0" fontId="48" fillId="24" borderId="243" applyNumberFormat="0" applyAlignment="0" applyProtection="0"/>
    <xf numFmtId="0" fontId="48" fillId="24" borderId="243" applyNumberFormat="0" applyAlignment="0" applyProtection="0"/>
    <xf numFmtId="0" fontId="48" fillId="24" borderId="243" applyNumberFormat="0" applyAlignment="0" applyProtection="0"/>
    <xf numFmtId="0" fontId="48" fillId="24" borderId="243" applyNumberFormat="0" applyAlignment="0" applyProtection="0"/>
    <xf numFmtId="0" fontId="48" fillId="24" borderId="243" applyNumberFormat="0" applyAlignment="0" applyProtection="0"/>
    <xf numFmtId="0" fontId="48" fillId="24" borderId="243" applyNumberFormat="0" applyAlignment="0" applyProtection="0"/>
    <xf numFmtId="0" fontId="48" fillId="24" borderId="243" applyNumberFormat="0" applyAlignment="0" applyProtection="0"/>
    <xf numFmtId="0" fontId="48" fillId="24" borderId="243" applyNumberFormat="0" applyAlignment="0" applyProtection="0"/>
    <xf numFmtId="0" fontId="48" fillId="24" borderId="243" applyNumberFormat="0" applyAlignment="0" applyProtection="0"/>
    <xf numFmtId="0" fontId="48" fillId="24" borderId="243" applyNumberFormat="0" applyAlignment="0" applyProtection="0"/>
    <xf numFmtId="0" fontId="48" fillId="24" borderId="243" applyNumberFormat="0" applyAlignment="0" applyProtection="0"/>
    <xf numFmtId="0" fontId="48" fillId="24" borderId="243" applyNumberFormat="0" applyAlignment="0" applyProtection="0"/>
    <xf numFmtId="0" fontId="48" fillId="24" borderId="243" applyNumberFormat="0" applyAlignment="0" applyProtection="0"/>
    <xf numFmtId="0" fontId="48" fillId="24" borderId="243" applyNumberFormat="0" applyAlignment="0" applyProtection="0"/>
    <xf numFmtId="0" fontId="48" fillId="24" borderId="243" applyNumberFormat="0" applyAlignment="0" applyProtection="0"/>
    <xf numFmtId="0" fontId="48" fillId="24" borderId="243" applyNumberFormat="0" applyAlignment="0" applyProtection="0"/>
    <xf numFmtId="0" fontId="48" fillId="24" borderId="243" applyNumberFormat="0" applyAlignment="0" applyProtection="0"/>
    <xf numFmtId="0" fontId="48" fillId="24" borderId="243" applyNumberFormat="0" applyAlignment="0" applyProtection="0"/>
    <xf numFmtId="0" fontId="48" fillId="24" borderId="243" applyNumberFormat="0" applyAlignment="0" applyProtection="0"/>
    <xf numFmtId="0" fontId="48" fillId="24" borderId="243" applyNumberFormat="0" applyAlignment="0" applyProtection="0"/>
    <xf numFmtId="0" fontId="48" fillId="24" borderId="243" applyNumberFormat="0" applyAlignment="0" applyProtection="0"/>
    <xf numFmtId="0" fontId="48" fillId="24" borderId="243" applyNumberFormat="0" applyAlignment="0" applyProtection="0"/>
    <xf numFmtId="0" fontId="48" fillId="24" borderId="243" applyNumberFormat="0" applyAlignment="0" applyProtection="0"/>
    <xf numFmtId="0" fontId="48" fillId="24" borderId="243" applyNumberFormat="0" applyAlignment="0" applyProtection="0"/>
    <xf numFmtId="0" fontId="48" fillId="24" borderId="243" applyNumberFormat="0" applyAlignment="0" applyProtection="0"/>
    <xf numFmtId="0" fontId="48" fillId="24" borderId="243" applyNumberFormat="0" applyAlignment="0" applyProtection="0"/>
    <xf numFmtId="0" fontId="48" fillId="24" borderId="243" applyNumberFormat="0" applyAlignment="0" applyProtection="0"/>
    <xf numFmtId="0" fontId="48" fillId="12" borderId="243" applyNumberFormat="0" applyAlignment="0" applyProtection="0"/>
    <xf numFmtId="0" fontId="48" fillId="12" borderId="243" applyNumberFormat="0" applyAlignment="0" applyProtection="0"/>
    <xf numFmtId="0" fontId="48" fillId="12" borderId="243" applyNumberFormat="0" applyAlignment="0" applyProtection="0"/>
    <xf numFmtId="0" fontId="48" fillId="12" borderId="243" applyNumberFormat="0" applyAlignment="0" applyProtection="0"/>
    <xf numFmtId="0" fontId="48" fillId="12" borderId="243" applyNumberFormat="0" applyAlignment="0" applyProtection="0"/>
    <xf numFmtId="0" fontId="48" fillId="12" borderId="243" applyNumberFormat="0" applyAlignment="0" applyProtection="0"/>
    <xf numFmtId="0" fontId="48" fillId="12" borderId="243" applyNumberFormat="0" applyAlignment="0" applyProtection="0"/>
    <xf numFmtId="0" fontId="48" fillId="12" borderId="243" applyNumberFormat="0" applyAlignment="0" applyProtection="0"/>
    <xf numFmtId="0" fontId="48" fillId="12" borderId="243" applyNumberFormat="0" applyAlignment="0" applyProtection="0"/>
    <xf numFmtId="0" fontId="48" fillId="12" borderId="243" applyNumberFormat="0" applyAlignment="0" applyProtection="0"/>
    <xf numFmtId="0" fontId="48" fillId="12" borderId="243" applyNumberFormat="0" applyAlignment="0" applyProtection="0"/>
    <xf numFmtId="0" fontId="48" fillId="12" borderId="243" applyNumberFormat="0" applyAlignment="0" applyProtection="0"/>
    <xf numFmtId="0" fontId="48" fillId="12" borderId="243" applyNumberFormat="0" applyAlignment="0" applyProtection="0"/>
    <xf numFmtId="0" fontId="48" fillId="12" borderId="243" applyNumberFormat="0" applyAlignment="0" applyProtection="0"/>
    <xf numFmtId="0" fontId="48" fillId="12" borderId="243" applyNumberFormat="0" applyAlignment="0" applyProtection="0"/>
    <xf numFmtId="0" fontId="48" fillId="12" borderId="243" applyNumberFormat="0" applyAlignment="0" applyProtection="0"/>
    <xf numFmtId="0" fontId="48" fillId="12" borderId="243" applyNumberFormat="0" applyAlignment="0" applyProtection="0"/>
    <xf numFmtId="0" fontId="48" fillId="12" borderId="243" applyNumberFormat="0" applyAlignment="0" applyProtection="0"/>
    <xf numFmtId="0" fontId="48" fillId="12" borderId="243" applyNumberFormat="0" applyAlignment="0" applyProtection="0"/>
    <xf numFmtId="0" fontId="48" fillId="12" borderId="243" applyNumberFormat="0" applyAlignment="0" applyProtection="0"/>
    <xf numFmtId="0" fontId="48" fillId="12" borderId="243" applyNumberFormat="0" applyAlignment="0" applyProtection="0"/>
    <xf numFmtId="0" fontId="48" fillId="12" borderId="243" applyNumberFormat="0" applyAlignment="0" applyProtection="0"/>
    <xf numFmtId="0" fontId="48" fillId="12" borderId="243" applyNumberFormat="0" applyAlignment="0" applyProtection="0"/>
    <xf numFmtId="0" fontId="48" fillId="12" borderId="243" applyNumberFormat="0" applyAlignment="0" applyProtection="0"/>
    <xf numFmtId="0" fontId="48" fillId="12" borderId="243" applyNumberFormat="0" applyAlignment="0" applyProtection="0"/>
    <xf numFmtId="0" fontId="48" fillId="12" borderId="243" applyNumberFormat="0" applyAlignment="0" applyProtection="0"/>
    <xf numFmtId="0" fontId="48" fillId="12" borderId="243" applyNumberFormat="0" applyAlignment="0" applyProtection="0"/>
    <xf numFmtId="0" fontId="48" fillId="12" borderId="243" applyNumberFormat="0" applyAlignment="0" applyProtection="0"/>
    <xf numFmtId="0" fontId="48" fillId="12" borderId="243" applyNumberFormat="0" applyAlignment="0" applyProtection="0"/>
    <xf numFmtId="0" fontId="48" fillId="12" borderId="243" applyNumberFormat="0" applyAlignment="0" applyProtection="0"/>
    <xf numFmtId="0" fontId="48" fillId="12" borderId="243" applyNumberFormat="0" applyAlignment="0" applyProtection="0"/>
    <xf numFmtId="0" fontId="48" fillId="12" borderId="243" applyNumberFormat="0" applyAlignment="0" applyProtection="0"/>
    <xf numFmtId="0" fontId="48" fillId="12" borderId="243" applyNumberFormat="0" applyAlignment="0" applyProtection="0"/>
    <xf numFmtId="0" fontId="48" fillId="12" borderId="243" applyNumberFormat="0" applyAlignment="0" applyProtection="0"/>
    <xf numFmtId="0" fontId="48" fillId="12" borderId="243" applyNumberFormat="0" applyAlignment="0" applyProtection="0"/>
    <xf numFmtId="0" fontId="48" fillId="12" borderId="243" applyNumberFormat="0" applyAlignment="0" applyProtection="0"/>
    <xf numFmtId="0" fontId="48" fillId="12" borderId="243" applyNumberFormat="0" applyAlignment="0" applyProtection="0"/>
    <xf numFmtId="0" fontId="48" fillId="12" borderId="243" applyNumberFormat="0" applyAlignment="0" applyProtection="0"/>
    <xf numFmtId="0" fontId="48" fillId="12" borderId="243" applyNumberFormat="0" applyAlignment="0" applyProtection="0"/>
    <xf numFmtId="0" fontId="48" fillId="12" borderId="243" applyNumberFormat="0" applyAlignment="0" applyProtection="0"/>
    <xf numFmtId="0" fontId="48" fillId="12" borderId="243" applyNumberFormat="0" applyAlignment="0" applyProtection="0"/>
    <xf numFmtId="0" fontId="48" fillId="12" borderId="243" applyNumberFormat="0" applyAlignment="0" applyProtection="0"/>
    <xf numFmtId="0" fontId="48" fillId="12" borderId="243" applyNumberFormat="0" applyAlignment="0" applyProtection="0"/>
    <xf numFmtId="0" fontId="48" fillId="12" borderId="243" applyNumberFormat="0" applyAlignment="0" applyProtection="0"/>
    <xf numFmtId="0" fontId="48" fillId="12" borderId="243" applyNumberFormat="0" applyAlignment="0" applyProtection="0"/>
    <xf numFmtId="0" fontId="48" fillId="12" borderId="243" applyNumberFormat="0" applyAlignment="0" applyProtection="0"/>
    <xf numFmtId="0" fontId="48" fillId="12" borderId="243" applyNumberFormat="0" applyAlignment="0" applyProtection="0"/>
    <xf numFmtId="0" fontId="48" fillId="12" borderId="243" applyNumberFormat="0" applyAlignment="0" applyProtection="0"/>
    <xf numFmtId="0" fontId="48" fillId="12" borderId="243" applyNumberFormat="0" applyAlignment="0" applyProtection="0"/>
    <xf numFmtId="0" fontId="48" fillId="12" borderId="243" applyNumberFormat="0" applyAlignment="0" applyProtection="0"/>
    <xf numFmtId="0" fontId="48" fillId="12" borderId="243" applyNumberFormat="0" applyAlignment="0" applyProtection="0"/>
    <xf numFmtId="0" fontId="48" fillId="12" borderId="243" applyNumberFormat="0" applyAlignment="0" applyProtection="0"/>
    <xf numFmtId="0" fontId="48" fillId="12" borderId="243" applyNumberFormat="0" applyAlignment="0" applyProtection="0"/>
    <xf numFmtId="0" fontId="48" fillId="12" borderId="243" applyNumberFormat="0" applyAlignment="0" applyProtection="0"/>
    <xf numFmtId="0" fontId="48" fillId="12" borderId="243" applyNumberFormat="0" applyAlignment="0" applyProtection="0"/>
    <xf numFmtId="0" fontId="48" fillId="12" borderId="243" applyNumberFormat="0" applyAlignment="0" applyProtection="0"/>
    <xf numFmtId="0" fontId="48" fillId="12" borderId="243" applyNumberFormat="0" applyAlignment="0" applyProtection="0"/>
    <xf numFmtId="0" fontId="48" fillId="12" borderId="243" applyNumberFormat="0" applyAlignment="0" applyProtection="0"/>
    <xf numFmtId="0" fontId="48" fillId="12" borderId="243" applyNumberFormat="0" applyAlignment="0" applyProtection="0"/>
    <xf numFmtId="0" fontId="48" fillId="12" borderId="243" applyNumberFormat="0" applyAlignment="0" applyProtection="0"/>
    <xf numFmtId="0" fontId="48" fillId="12" borderId="243" applyNumberFormat="0" applyAlignment="0" applyProtection="0"/>
    <xf numFmtId="0" fontId="48" fillId="12" borderId="243" applyNumberFormat="0" applyAlignment="0" applyProtection="0"/>
    <xf numFmtId="0" fontId="48" fillId="12" borderId="243" applyNumberFormat="0" applyAlignment="0" applyProtection="0"/>
    <xf numFmtId="0" fontId="48" fillId="12" borderId="243" applyNumberFormat="0" applyAlignment="0" applyProtection="0"/>
    <xf numFmtId="0" fontId="48" fillId="12" borderId="243" applyNumberFormat="0" applyAlignment="0" applyProtection="0"/>
    <xf numFmtId="0" fontId="48" fillId="12" borderId="243" applyNumberFormat="0" applyAlignment="0" applyProtection="0"/>
    <xf numFmtId="0" fontId="48" fillId="12" borderId="243" applyNumberFormat="0" applyAlignment="0" applyProtection="0"/>
    <xf numFmtId="0" fontId="48" fillId="12" borderId="243" applyNumberFormat="0" applyAlignment="0" applyProtection="0"/>
    <xf numFmtId="0" fontId="48" fillId="12" borderId="243" applyNumberFormat="0" applyAlignment="0" applyProtection="0"/>
    <xf numFmtId="0" fontId="48" fillId="12" borderId="243" applyNumberFormat="0" applyAlignment="0" applyProtection="0"/>
    <xf numFmtId="0" fontId="48" fillId="12" borderId="243" applyNumberFormat="0" applyAlignment="0" applyProtection="0"/>
    <xf numFmtId="0" fontId="48" fillId="12" borderId="243" applyNumberFormat="0" applyAlignment="0" applyProtection="0"/>
    <xf numFmtId="0" fontId="48" fillId="12" borderId="243" applyNumberFormat="0" applyAlignment="0" applyProtection="0"/>
    <xf numFmtId="0" fontId="48" fillId="12" borderId="243" applyNumberFormat="0" applyAlignment="0" applyProtection="0"/>
    <xf numFmtId="0" fontId="48" fillId="12" borderId="243" applyNumberFormat="0" applyAlignment="0" applyProtection="0"/>
    <xf numFmtId="0" fontId="48" fillId="12" borderId="243" applyNumberFormat="0" applyAlignment="0" applyProtection="0"/>
    <xf numFmtId="0" fontId="48" fillId="12" borderId="243" applyNumberFormat="0" applyAlignment="0" applyProtection="0"/>
    <xf numFmtId="0" fontId="16" fillId="24" borderId="243" applyNumberFormat="0" applyAlignment="0" applyProtection="0"/>
    <xf numFmtId="0" fontId="16" fillId="24" borderId="243" applyNumberFormat="0" applyAlignment="0" applyProtection="0"/>
    <xf numFmtId="0" fontId="16" fillId="24" borderId="243" applyNumberFormat="0" applyAlignment="0" applyProtection="0"/>
    <xf numFmtId="0" fontId="16" fillId="24" borderId="243" applyNumberFormat="0" applyAlignment="0" applyProtection="0"/>
    <xf numFmtId="0" fontId="16" fillId="24" borderId="243" applyNumberFormat="0" applyAlignment="0" applyProtection="0"/>
    <xf numFmtId="0" fontId="16" fillId="24" borderId="243" applyNumberFormat="0" applyAlignment="0" applyProtection="0"/>
    <xf numFmtId="0" fontId="16" fillId="24" borderId="243" applyNumberFormat="0" applyAlignment="0" applyProtection="0"/>
    <xf numFmtId="0" fontId="16" fillId="24" borderId="243" applyNumberFormat="0" applyAlignment="0" applyProtection="0"/>
    <xf numFmtId="0" fontId="16" fillId="24" borderId="243" applyNumberFormat="0" applyAlignment="0" applyProtection="0"/>
    <xf numFmtId="0" fontId="16" fillId="24" borderId="243" applyNumberFormat="0" applyAlignment="0" applyProtection="0"/>
    <xf numFmtId="0" fontId="16" fillId="24" borderId="243" applyNumberFormat="0" applyAlignment="0" applyProtection="0"/>
    <xf numFmtId="0" fontId="16" fillId="24" borderId="243" applyNumberFormat="0" applyAlignment="0" applyProtection="0"/>
    <xf numFmtId="0" fontId="16" fillId="24" borderId="243" applyNumberFormat="0" applyAlignment="0" applyProtection="0"/>
    <xf numFmtId="0" fontId="16" fillId="24" borderId="243" applyNumberFormat="0" applyAlignment="0" applyProtection="0"/>
    <xf numFmtId="0" fontId="16" fillId="24" borderId="243" applyNumberFormat="0" applyAlignment="0" applyProtection="0"/>
    <xf numFmtId="0" fontId="16" fillId="24" borderId="243" applyNumberFormat="0" applyAlignment="0" applyProtection="0"/>
    <xf numFmtId="0" fontId="16" fillId="24" borderId="243" applyNumberFormat="0" applyAlignment="0" applyProtection="0"/>
    <xf numFmtId="0" fontId="16" fillId="24" borderId="243" applyNumberFormat="0" applyAlignment="0" applyProtection="0"/>
    <xf numFmtId="0" fontId="16" fillId="24" borderId="243" applyNumberFormat="0" applyAlignment="0" applyProtection="0"/>
    <xf numFmtId="0" fontId="16" fillId="24" borderId="243" applyNumberFormat="0" applyAlignment="0" applyProtection="0"/>
    <xf numFmtId="0" fontId="16" fillId="24" borderId="243" applyNumberFormat="0" applyAlignment="0" applyProtection="0"/>
    <xf numFmtId="0" fontId="16" fillId="24" borderId="243" applyNumberFormat="0" applyAlignment="0" applyProtection="0"/>
    <xf numFmtId="0" fontId="16" fillId="24" borderId="243" applyNumberFormat="0" applyAlignment="0" applyProtection="0"/>
    <xf numFmtId="0" fontId="16" fillId="24" borderId="243" applyNumberFormat="0" applyAlignment="0" applyProtection="0"/>
    <xf numFmtId="0" fontId="16" fillId="24" borderId="243" applyNumberFormat="0" applyAlignment="0" applyProtection="0"/>
    <xf numFmtId="0" fontId="16" fillId="24" borderId="243" applyNumberFormat="0" applyAlignment="0" applyProtection="0"/>
    <xf numFmtId="0" fontId="16" fillId="24" borderId="243" applyNumberFormat="0" applyAlignment="0" applyProtection="0"/>
    <xf numFmtId="0" fontId="16" fillId="24" borderId="243" applyNumberFormat="0" applyAlignment="0" applyProtection="0"/>
    <xf numFmtId="0" fontId="16" fillId="24" borderId="243" applyNumberFormat="0" applyAlignment="0" applyProtection="0"/>
    <xf numFmtId="0" fontId="16" fillId="24" borderId="243" applyNumberFormat="0" applyAlignment="0" applyProtection="0"/>
    <xf numFmtId="0" fontId="16" fillId="24" borderId="243" applyNumberFormat="0" applyAlignment="0" applyProtection="0"/>
    <xf numFmtId="0" fontId="16" fillId="24" borderId="243" applyNumberFormat="0" applyAlignment="0" applyProtection="0"/>
    <xf numFmtId="0" fontId="16" fillId="24" borderId="243" applyNumberFormat="0" applyAlignment="0" applyProtection="0"/>
    <xf numFmtId="0" fontId="16" fillId="24" borderId="243" applyNumberFormat="0" applyAlignment="0" applyProtection="0"/>
    <xf numFmtId="0" fontId="16" fillId="24" borderId="243" applyNumberFormat="0" applyAlignment="0" applyProtection="0"/>
    <xf numFmtId="0" fontId="16" fillId="24" borderId="243" applyNumberFormat="0" applyAlignment="0" applyProtection="0"/>
    <xf numFmtId="0" fontId="16" fillId="24" borderId="243" applyNumberFormat="0" applyAlignment="0" applyProtection="0"/>
    <xf numFmtId="0" fontId="16" fillId="24" borderId="243" applyNumberFormat="0" applyAlignment="0" applyProtection="0"/>
    <xf numFmtId="0" fontId="16" fillId="24" borderId="243" applyNumberFormat="0" applyAlignment="0" applyProtection="0"/>
    <xf numFmtId="0" fontId="16" fillId="24" borderId="243" applyNumberFormat="0" applyAlignment="0" applyProtection="0"/>
    <xf numFmtId="0" fontId="16" fillId="24" borderId="243" applyNumberFormat="0" applyAlignment="0" applyProtection="0"/>
    <xf numFmtId="0" fontId="16" fillId="24" borderId="243" applyNumberFormat="0" applyAlignment="0" applyProtection="0"/>
    <xf numFmtId="0" fontId="16" fillId="24" borderId="243" applyNumberFormat="0" applyAlignment="0" applyProtection="0"/>
    <xf numFmtId="0" fontId="16" fillId="24" borderId="243" applyNumberFormat="0" applyAlignment="0" applyProtection="0"/>
    <xf numFmtId="0" fontId="16" fillId="24" borderId="243" applyNumberFormat="0" applyAlignment="0" applyProtection="0"/>
    <xf numFmtId="0" fontId="16" fillId="24" borderId="243" applyNumberFormat="0" applyAlignment="0" applyProtection="0"/>
    <xf numFmtId="0" fontId="16" fillId="24" borderId="243" applyNumberFormat="0" applyAlignment="0" applyProtection="0"/>
    <xf numFmtId="0" fontId="16" fillId="24" borderId="243" applyNumberFormat="0" applyAlignment="0" applyProtection="0"/>
    <xf numFmtId="0" fontId="16" fillId="24" borderId="243" applyNumberFormat="0" applyAlignment="0" applyProtection="0"/>
    <xf numFmtId="0" fontId="48" fillId="12" borderId="243" applyNumberFormat="0" applyAlignment="0" applyProtection="0"/>
    <xf numFmtId="0" fontId="48" fillId="12" borderId="243" applyNumberFormat="0" applyAlignment="0" applyProtection="0"/>
    <xf numFmtId="0" fontId="48" fillId="12" borderId="243" applyNumberFormat="0" applyAlignment="0" applyProtection="0"/>
    <xf numFmtId="0" fontId="48" fillId="12" borderId="243" applyNumberFormat="0" applyAlignment="0" applyProtection="0"/>
    <xf numFmtId="0" fontId="48" fillId="12" borderId="243" applyNumberFormat="0" applyAlignment="0" applyProtection="0"/>
    <xf numFmtId="0" fontId="48" fillId="12" borderId="243" applyNumberFormat="0" applyAlignment="0" applyProtection="0"/>
    <xf numFmtId="0" fontId="48" fillId="12" borderId="243" applyNumberFormat="0" applyAlignment="0" applyProtection="0"/>
    <xf numFmtId="0" fontId="48" fillId="12" borderId="243" applyNumberFormat="0" applyAlignment="0" applyProtection="0"/>
    <xf numFmtId="0" fontId="48" fillId="12" borderId="243" applyNumberFormat="0" applyAlignment="0" applyProtection="0"/>
    <xf numFmtId="0" fontId="48" fillId="12" borderId="243" applyNumberFormat="0" applyAlignment="0" applyProtection="0"/>
    <xf numFmtId="0" fontId="48" fillId="12" borderId="243" applyNumberFormat="0" applyAlignment="0" applyProtection="0"/>
    <xf numFmtId="0" fontId="48" fillId="12" borderId="243" applyNumberFormat="0" applyAlignment="0" applyProtection="0"/>
    <xf numFmtId="0" fontId="48" fillId="12" borderId="243" applyNumberFormat="0" applyAlignment="0" applyProtection="0"/>
    <xf numFmtId="0" fontId="48" fillId="12" borderId="243" applyNumberFormat="0" applyAlignment="0" applyProtection="0"/>
    <xf numFmtId="0" fontId="48" fillId="12" borderId="243" applyNumberFormat="0" applyAlignment="0" applyProtection="0"/>
    <xf numFmtId="0" fontId="48" fillId="12" borderId="243" applyNumberFormat="0" applyAlignment="0" applyProtection="0"/>
    <xf numFmtId="0" fontId="48" fillId="12" borderId="243" applyNumberFormat="0" applyAlignment="0" applyProtection="0"/>
    <xf numFmtId="0" fontId="48" fillId="12" borderId="243" applyNumberFormat="0" applyAlignment="0" applyProtection="0"/>
    <xf numFmtId="0" fontId="48" fillId="12" borderId="243" applyNumberFormat="0" applyAlignment="0" applyProtection="0"/>
    <xf numFmtId="0" fontId="48" fillId="12" borderId="243" applyNumberFormat="0" applyAlignment="0" applyProtection="0"/>
    <xf numFmtId="0" fontId="48" fillId="12" borderId="243" applyNumberFormat="0" applyAlignment="0" applyProtection="0"/>
    <xf numFmtId="0" fontId="48" fillId="12" borderId="243" applyNumberFormat="0" applyAlignment="0" applyProtection="0"/>
    <xf numFmtId="0" fontId="48" fillId="12" borderId="243" applyNumberFormat="0" applyAlignment="0" applyProtection="0"/>
    <xf numFmtId="0" fontId="48" fillId="12" borderId="243" applyNumberFormat="0" applyAlignment="0" applyProtection="0"/>
    <xf numFmtId="0" fontId="48" fillId="12" borderId="243" applyNumberFormat="0" applyAlignment="0" applyProtection="0"/>
    <xf numFmtId="0" fontId="48" fillId="12" borderId="243" applyNumberFormat="0" applyAlignment="0" applyProtection="0"/>
    <xf numFmtId="0" fontId="48" fillId="12" borderId="243" applyNumberFormat="0" applyAlignment="0" applyProtection="0"/>
    <xf numFmtId="0" fontId="48" fillId="12" borderId="243" applyNumberFormat="0" applyAlignment="0" applyProtection="0"/>
    <xf numFmtId="0" fontId="48" fillId="12" borderId="243" applyNumberFormat="0" applyAlignment="0" applyProtection="0"/>
    <xf numFmtId="0" fontId="48" fillId="12" borderId="243" applyNumberFormat="0" applyAlignment="0" applyProtection="0"/>
    <xf numFmtId="0" fontId="48" fillId="12" borderId="243" applyNumberFormat="0" applyAlignment="0" applyProtection="0"/>
    <xf numFmtId="0" fontId="48" fillId="12" borderId="243" applyNumberFormat="0" applyAlignment="0" applyProtection="0"/>
    <xf numFmtId="0" fontId="48" fillId="12" borderId="243" applyNumberFormat="0" applyAlignment="0" applyProtection="0"/>
    <xf numFmtId="0" fontId="48" fillId="12" borderId="243" applyNumberFormat="0" applyAlignment="0" applyProtection="0"/>
    <xf numFmtId="0" fontId="48" fillId="12" borderId="243" applyNumberFormat="0" applyAlignment="0" applyProtection="0"/>
    <xf numFmtId="0" fontId="48" fillId="12" borderId="243" applyNumberFormat="0" applyAlignment="0" applyProtection="0"/>
    <xf numFmtId="0" fontId="48" fillId="12" borderId="243" applyNumberFormat="0" applyAlignment="0" applyProtection="0"/>
    <xf numFmtId="0" fontId="48" fillId="12" borderId="243" applyNumberFormat="0" applyAlignment="0" applyProtection="0"/>
    <xf numFmtId="0" fontId="48" fillId="12" borderId="243" applyNumberFormat="0" applyAlignment="0" applyProtection="0"/>
    <xf numFmtId="0" fontId="48" fillId="12" borderId="243" applyNumberFormat="0" applyAlignment="0" applyProtection="0"/>
    <xf numFmtId="0" fontId="48" fillId="12" borderId="243" applyNumberFormat="0" applyAlignment="0" applyProtection="0"/>
    <xf numFmtId="0" fontId="48" fillId="12" borderId="243" applyNumberFormat="0" applyAlignment="0" applyProtection="0"/>
    <xf numFmtId="0" fontId="48" fillId="12" borderId="243" applyNumberFormat="0" applyAlignment="0" applyProtection="0"/>
    <xf numFmtId="0" fontId="48" fillId="12" borderId="243" applyNumberFormat="0" applyAlignment="0" applyProtection="0"/>
    <xf numFmtId="0" fontId="48" fillId="12" borderId="243" applyNumberFormat="0" applyAlignment="0" applyProtection="0"/>
    <xf numFmtId="0" fontId="48" fillId="12" borderId="243" applyNumberFormat="0" applyAlignment="0" applyProtection="0"/>
    <xf numFmtId="0" fontId="48" fillId="12" borderId="243" applyNumberFormat="0" applyAlignment="0" applyProtection="0"/>
    <xf numFmtId="0" fontId="48" fillId="12" borderId="243" applyNumberFormat="0" applyAlignment="0" applyProtection="0"/>
    <xf numFmtId="0" fontId="48" fillId="12" borderId="243" applyNumberFormat="0" applyAlignment="0" applyProtection="0"/>
    <xf numFmtId="0" fontId="48" fillId="12" borderId="243" applyNumberFormat="0" applyAlignment="0" applyProtection="0"/>
    <xf numFmtId="0" fontId="48" fillId="12" borderId="243" applyNumberFormat="0" applyAlignment="0" applyProtection="0"/>
    <xf numFmtId="0" fontId="48" fillId="12" borderId="243" applyNumberFormat="0" applyAlignment="0" applyProtection="0"/>
    <xf numFmtId="0" fontId="48" fillId="12" borderId="243" applyNumberFormat="0" applyAlignment="0" applyProtection="0"/>
    <xf numFmtId="0" fontId="48" fillId="12" borderId="243" applyNumberFormat="0" applyAlignment="0" applyProtection="0"/>
    <xf numFmtId="0" fontId="48" fillId="12" borderId="243" applyNumberFormat="0" applyAlignment="0" applyProtection="0"/>
    <xf numFmtId="0" fontId="48" fillId="12" borderId="243" applyNumberFormat="0" applyAlignment="0" applyProtection="0"/>
    <xf numFmtId="0" fontId="48" fillId="12" borderId="243" applyNumberFormat="0" applyAlignment="0" applyProtection="0"/>
    <xf numFmtId="0" fontId="48" fillId="12" borderId="243" applyNumberFormat="0" applyAlignment="0" applyProtection="0"/>
    <xf numFmtId="0" fontId="48" fillId="12" borderId="243" applyNumberFormat="0" applyAlignment="0" applyProtection="0"/>
    <xf numFmtId="0" fontId="48" fillId="12" borderId="243" applyNumberFormat="0" applyAlignment="0" applyProtection="0"/>
    <xf numFmtId="0" fontId="48" fillId="12" borderId="243" applyNumberFormat="0" applyAlignment="0" applyProtection="0"/>
    <xf numFmtId="0" fontId="48" fillId="12" borderId="243" applyNumberFormat="0" applyAlignment="0" applyProtection="0"/>
    <xf numFmtId="0" fontId="48" fillId="12" borderId="243" applyNumberFormat="0" applyAlignment="0" applyProtection="0"/>
    <xf numFmtId="0" fontId="48" fillId="12" borderId="243" applyNumberFormat="0" applyAlignment="0" applyProtection="0"/>
    <xf numFmtId="0" fontId="48" fillId="12" borderId="243" applyNumberFormat="0" applyAlignment="0" applyProtection="0"/>
    <xf numFmtId="0" fontId="48" fillId="12" borderId="243" applyNumberFormat="0" applyAlignment="0" applyProtection="0"/>
    <xf numFmtId="0" fontId="48" fillId="12" borderId="243" applyNumberFormat="0" applyAlignment="0" applyProtection="0"/>
    <xf numFmtId="0" fontId="48" fillId="12" borderId="243" applyNumberFormat="0" applyAlignment="0" applyProtection="0"/>
    <xf numFmtId="0" fontId="48" fillId="12" borderId="243" applyNumberFormat="0" applyAlignment="0" applyProtection="0"/>
    <xf numFmtId="0" fontId="48" fillId="12" borderId="243" applyNumberFormat="0" applyAlignment="0" applyProtection="0"/>
    <xf numFmtId="0" fontId="48" fillId="12" borderId="243" applyNumberFormat="0" applyAlignment="0" applyProtection="0"/>
    <xf numFmtId="0" fontId="48" fillId="12" borderId="243" applyNumberFormat="0" applyAlignment="0" applyProtection="0"/>
    <xf numFmtId="0" fontId="48" fillId="12" borderId="243" applyNumberFormat="0" applyAlignment="0" applyProtection="0"/>
    <xf numFmtId="0" fontId="48" fillId="12" borderId="243" applyNumberFormat="0" applyAlignment="0" applyProtection="0"/>
    <xf numFmtId="0" fontId="48" fillId="12" borderId="243" applyNumberFormat="0" applyAlignment="0" applyProtection="0"/>
    <xf numFmtId="0" fontId="48" fillId="12" borderId="243" applyNumberFormat="0" applyAlignment="0" applyProtection="0"/>
    <xf numFmtId="0" fontId="48" fillId="12" borderId="243" applyNumberFormat="0" applyAlignment="0" applyProtection="0"/>
    <xf numFmtId="0" fontId="16" fillId="24" borderId="243" applyNumberFormat="0" applyAlignment="0" applyProtection="0"/>
    <xf numFmtId="0" fontId="16" fillId="24" borderId="243" applyNumberFormat="0" applyAlignment="0" applyProtection="0"/>
    <xf numFmtId="0" fontId="16" fillId="24" borderId="243" applyNumberFormat="0" applyAlignment="0" applyProtection="0"/>
    <xf numFmtId="0" fontId="16" fillId="24" borderId="243" applyNumberFormat="0" applyAlignment="0" applyProtection="0"/>
    <xf numFmtId="0" fontId="16" fillId="24" borderId="243" applyNumberFormat="0" applyAlignment="0" applyProtection="0"/>
    <xf numFmtId="0" fontId="16" fillId="24" borderId="243" applyNumberFormat="0" applyAlignment="0" applyProtection="0"/>
    <xf numFmtId="0" fontId="16" fillId="24" borderId="243" applyNumberFormat="0" applyAlignment="0" applyProtection="0"/>
    <xf numFmtId="0" fontId="16" fillId="24" borderId="243" applyNumberFormat="0" applyAlignment="0" applyProtection="0"/>
    <xf numFmtId="0" fontId="16" fillId="24" borderId="243" applyNumberFormat="0" applyAlignment="0" applyProtection="0"/>
    <xf numFmtId="0" fontId="16" fillId="24" borderId="243" applyNumberFormat="0" applyAlignment="0" applyProtection="0"/>
    <xf numFmtId="0" fontId="16" fillId="24" borderId="243" applyNumberFormat="0" applyAlignment="0" applyProtection="0"/>
    <xf numFmtId="0" fontId="16" fillId="24" borderId="243" applyNumberFormat="0" applyAlignment="0" applyProtection="0"/>
    <xf numFmtId="0" fontId="16" fillId="24" borderId="243" applyNumberFormat="0" applyAlignment="0" applyProtection="0"/>
    <xf numFmtId="0" fontId="16" fillId="24" borderId="243" applyNumberFormat="0" applyAlignment="0" applyProtection="0"/>
    <xf numFmtId="0" fontId="16" fillId="24" borderId="243" applyNumberFormat="0" applyAlignment="0" applyProtection="0"/>
    <xf numFmtId="0" fontId="16" fillId="24" borderId="243" applyNumberFormat="0" applyAlignment="0" applyProtection="0"/>
    <xf numFmtId="0" fontId="16" fillId="24" borderId="243" applyNumberFormat="0" applyAlignment="0" applyProtection="0"/>
    <xf numFmtId="0" fontId="16" fillId="24" borderId="243" applyNumberFormat="0" applyAlignment="0" applyProtection="0"/>
    <xf numFmtId="0" fontId="16" fillId="24" borderId="243" applyNumberFormat="0" applyAlignment="0" applyProtection="0"/>
    <xf numFmtId="0" fontId="16" fillId="24" borderId="243" applyNumberFormat="0" applyAlignment="0" applyProtection="0"/>
    <xf numFmtId="0" fontId="16" fillId="24" borderId="243" applyNumberFormat="0" applyAlignment="0" applyProtection="0"/>
    <xf numFmtId="0" fontId="16" fillId="24" borderId="243" applyNumberFormat="0" applyAlignment="0" applyProtection="0"/>
    <xf numFmtId="0" fontId="16" fillId="24" borderId="243" applyNumberFormat="0" applyAlignment="0" applyProtection="0"/>
    <xf numFmtId="0" fontId="16" fillId="24" borderId="243" applyNumberFormat="0" applyAlignment="0" applyProtection="0"/>
    <xf numFmtId="0" fontId="16" fillId="24" borderId="243" applyNumberFormat="0" applyAlignment="0" applyProtection="0"/>
    <xf numFmtId="0" fontId="16" fillId="24" borderId="243" applyNumberFormat="0" applyAlignment="0" applyProtection="0"/>
    <xf numFmtId="0" fontId="16" fillId="24" borderId="243" applyNumberFormat="0" applyAlignment="0" applyProtection="0"/>
    <xf numFmtId="0" fontId="16" fillId="24" borderId="243" applyNumberFormat="0" applyAlignment="0" applyProtection="0"/>
    <xf numFmtId="0" fontId="16" fillId="24" borderId="243" applyNumberFormat="0" applyAlignment="0" applyProtection="0"/>
    <xf numFmtId="0" fontId="16" fillId="24" borderId="243" applyNumberFormat="0" applyAlignment="0" applyProtection="0"/>
    <xf numFmtId="0" fontId="16" fillId="24" borderId="243" applyNumberFormat="0" applyAlignment="0" applyProtection="0"/>
    <xf numFmtId="0" fontId="16" fillId="24" borderId="243" applyNumberFormat="0" applyAlignment="0" applyProtection="0"/>
    <xf numFmtId="0" fontId="16" fillId="24" borderId="243" applyNumberFormat="0" applyAlignment="0" applyProtection="0"/>
    <xf numFmtId="0" fontId="16" fillId="24" borderId="243" applyNumberFormat="0" applyAlignment="0" applyProtection="0"/>
    <xf numFmtId="0" fontId="16" fillId="24" borderId="243" applyNumberFormat="0" applyAlignment="0" applyProtection="0"/>
    <xf numFmtId="0" fontId="16" fillId="24" borderId="243" applyNumberFormat="0" applyAlignment="0" applyProtection="0"/>
    <xf numFmtId="0" fontId="16" fillId="24" borderId="243" applyNumberFormat="0" applyAlignment="0" applyProtection="0"/>
    <xf numFmtId="0" fontId="16" fillId="24" borderId="243" applyNumberFormat="0" applyAlignment="0" applyProtection="0"/>
    <xf numFmtId="0" fontId="16" fillId="24" borderId="243" applyNumberFormat="0" applyAlignment="0" applyProtection="0"/>
    <xf numFmtId="0" fontId="16" fillId="24" borderId="243" applyNumberFormat="0" applyAlignment="0" applyProtection="0"/>
    <xf numFmtId="0" fontId="16" fillId="24" borderId="243" applyNumberFormat="0" applyAlignment="0" applyProtection="0"/>
    <xf numFmtId="0" fontId="16" fillId="24" borderId="243" applyNumberFormat="0" applyAlignment="0" applyProtection="0"/>
    <xf numFmtId="0" fontId="16" fillId="24" borderId="243" applyNumberFormat="0" applyAlignment="0" applyProtection="0"/>
    <xf numFmtId="0" fontId="16" fillId="24" borderId="243" applyNumberFormat="0" applyAlignment="0" applyProtection="0"/>
    <xf numFmtId="0" fontId="16" fillId="24" borderId="243" applyNumberFormat="0" applyAlignment="0" applyProtection="0"/>
    <xf numFmtId="0" fontId="16" fillId="24" borderId="243" applyNumberFormat="0" applyAlignment="0" applyProtection="0"/>
    <xf numFmtId="0" fontId="16" fillId="24" borderId="243" applyNumberFormat="0" applyAlignment="0" applyProtection="0"/>
    <xf numFmtId="0" fontId="16" fillId="24" borderId="243" applyNumberFormat="0" applyAlignment="0" applyProtection="0"/>
    <xf numFmtId="0" fontId="16" fillId="24" borderId="243" applyNumberFormat="0" applyAlignment="0" applyProtection="0"/>
    <xf numFmtId="0" fontId="28" fillId="10" borderId="269" applyNumberFormat="0" applyFont="0" applyAlignment="0" applyProtection="0"/>
    <xf numFmtId="0" fontId="41" fillId="13" borderId="268" applyNumberFormat="0" applyAlignment="0" applyProtection="0"/>
    <xf numFmtId="0" fontId="72" fillId="0" borderId="265" applyBorder="0">
      <alignment horizontal="center" vertical="center" wrapText="1"/>
    </xf>
    <xf numFmtId="0" fontId="28" fillId="0" borderId="247"/>
    <xf numFmtId="0" fontId="28" fillId="0" borderId="247"/>
    <xf numFmtId="0" fontId="28" fillId="0" borderId="247"/>
    <xf numFmtId="0" fontId="28" fillId="0" borderId="247"/>
    <xf numFmtId="0" fontId="28" fillId="0" borderId="247"/>
    <xf numFmtId="0" fontId="28" fillId="0" borderId="247"/>
    <xf numFmtId="0" fontId="28" fillId="0" borderId="247"/>
    <xf numFmtId="0" fontId="28" fillId="0" borderId="247"/>
    <xf numFmtId="0" fontId="28" fillId="0" borderId="247"/>
    <xf numFmtId="0" fontId="28" fillId="0" borderId="247"/>
    <xf numFmtId="0" fontId="28" fillId="0" borderId="247"/>
    <xf numFmtId="0" fontId="28" fillId="0" borderId="247"/>
    <xf numFmtId="0" fontId="28" fillId="0" borderId="247"/>
    <xf numFmtId="0" fontId="28" fillId="0" borderId="247"/>
    <xf numFmtId="0" fontId="28" fillId="0" borderId="247"/>
    <xf numFmtId="0" fontId="28" fillId="0" borderId="247"/>
    <xf numFmtId="0" fontId="28" fillId="0" borderId="247"/>
    <xf numFmtId="0" fontId="28" fillId="0" borderId="247"/>
    <xf numFmtId="0" fontId="28" fillId="0" borderId="247"/>
    <xf numFmtId="0" fontId="28" fillId="0" borderId="247"/>
    <xf numFmtId="0" fontId="28" fillId="0" borderId="247"/>
    <xf numFmtId="0" fontId="28" fillId="0" borderId="247"/>
    <xf numFmtId="0" fontId="28" fillId="0" borderId="247"/>
    <xf numFmtId="0" fontId="28" fillId="0" borderId="247"/>
    <xf numFmtId="0" fontId="28" fillId="0" borderId="247"/>
    <xf numFmtId="0" fontId="28" fillId="0" borderId="247"/>
    <xf numFmtId="0" fontId="28" fillId="0" borderId="247"/>
    <xf numFmtId="0" fontId="28" fillId="0" borderId="247"/>
    <xf numFmtId="0" fontId="28" fillId="0" borderId="247"/>
    <xf numFmtId="0" fontId="28" fillId="0" borderId="247"/>
    <xf numFmtId="0" fontId="28" fillId="0" borderId="247"/>
    <xf numFmtId="0" fontId="28" fillId="0" borderId="247"/>
    <xf numFmtId="0" fontId="28" fillId="0" borderId="247"/>
    <xf numFmtId="0" fontId="28" fillId="0" borderId="247"/>
    <xf numFmtId="0" fontId="28" fillId="0" borderId="247"/>
    <xf numFmtId="0" fontId="28" fillId="0" borderId="247"/>
    <xf numFmtId="0" fontId="28" fillId="0" borderId="247"/>
    <xf numFmtId="0" fontId="28" fillId="0" borderId="247"/>
    <xf numFmtId="0" fontId="28" fillId="0" borderId="247"/>
    <xf numFmtId="0" fontId="28" fillId="0" borderId="247"/>
    <xf numFmtId="0" fontId="28" fillId="0" borderId="247"/>
    <xf numFmtId="0" fontId="28" fillId="0" borderId="247"/>
    <xf numFmtId="0" fontId="28" fillId="0" borderId="247"/>
    <xf numFmtId="0" fontId="28" fillId="0" borderId="247"/>
    <xf numFmtId="0" fontId="28" fillId="0" borderId="247"/>
    <xf numFmtId="0" fontId="25" fillId="13" borderId="243" applyNumberFormat="0" applyAlignment="0" applyProtection="0"/>
    <xf numFmtId="0" fontId="25" fillId="13" borderId="243" applyNumberFormat="0" applyAlignment="0" applyProtection="0"/>
    <xf numFmtId="0" fontId="25" fillId="13" borderId="243" applyNumberFormat="0" applyAlignment="0" applyProtection="0"/>
    <xf numFmtId="0" fontId="25" fillId="13" borderId="243" applyNumberFormat="0" applyAlignment="0" applyProtection="0"/>
    <xf numFmtId="0" fontId="25" fillId="13" borderId="243" applyNumberFormat="0" applyAlignment="0" applyProtection="0"/>
    <xf numFmtId="0" fontId="25" fillId="13" borderId="243" applyNumberFormat="0" applyAlignment="0" applyProtection="0"/>
    <xf numFmtId="0" fontId="25" fillId="13" borderId="243" applyNumberFormat="0" applyAlignment="0" applyProtection="0"/>
    <xf numFmtId="0" fontId="25" fillId="13" borderId="243" applyNumberFormat="0" applyAlignment="0" applyProtection="0"/>
    <xf numFmtId="0" fontId="25" fillId="13" borderId="243" applyNumberFormat="0" applyAlignment="0" applyProtection="0"/>
    <xf numFmtId="0" fontId="25" fillId="13" borderId="243" applyNumberFormat="0" applyAlignment="0" applyProtection="0"/>
    <xf numFmtId="0" fontId="25" fillId="13" borderId="243" applyNumberFormat="0" applyAlignment="0" applyProtection="0"/>
    <xf numFmtId="0" fontId="25" fillId="13" borderId="243" applyNumberFormat="0" applyAlignment="0" applyProtection="0"/>
    <xf numFmtId="0" fontId="25" fillId="13" borderId="243" applyNumberFormat="0" applyAlignment="0" applyProtection="0"/>
    <xf numFmtId="0" fontId="25" fillId="13" borderId="243" applyNumberFormat="0" applyAlignment="0" applyProtection="0"/>
    <xf numFmtId="0" fontId="25" fillId="13" borderId="243" applyNumberFormat="0" applyAlignment="0" applyProtection="0"/>
    <xf numFmtId="0" fontId="25" fillId="13" borderId="243" applyNumberFormat="0" applyAlignment="0" applyProtection="0"/>
    <xf numFmtId="0" fontId="25" fillId="13" borderId="243" applyNumberFormat="0" applyAlignment="0" applyProtection="0"/>
    <xf numFmtId="0" fontId="25" fillId="13" borderId="243" applyNumberFormat="0" applyAlignment="0" applyProtection="0"/>
    <xf numFmtId="0" fontId="25" fillId="13" borderId="243" applyNumberFormat="0" applyAlignment="0" applyProtection="0"/>
    <xf numFmtId="0" fontId="25" fillId="13" borderId="243" applyNumberFormat="0" applyAlignment="0" applyProtection="0"/>
    <xf numFmtId="0" fontId="25" fillId="13" borderId="243" applyNumberFormat="0" applyAlignment="0" applyProtection="0"/>
    <xf numFmtId="0" fontId="25" fillId="13" borderId="243" applyNumberFormat="0" applyAlignment="0" applyProtection="0"/>
    <xf numFmtId="0" fontId="25" fillId="13" borderId="243" applyNumberFormat="0" applyAlignment="0" applyProtection="0"/>
    <xf numFmtId="0" fontId="25" fillId="13" borderId="243" applyNumberFormat="0" applyAlignment="0" applyProtection="0"/>
    <xf numFmtId="0" fontId="25" fillId="13" borderId="243" applyNumberFormat="0" applyAlignment="0" applyProtection="0"/>
    <xf numFmtId="0" fontId="25" fillId="13" borderId="243" applyNumberFormat="0" applyAlignment="0" applyProtection="0"/>
    <xf numFmtId="0" fontId="25" fillId="13" borderId="243" applyNumberFormat="0" applyAlignment="0" applyProtection="0"/>
    <xf numFmtId="0" fontId="25" fillId="13" borderId="243" applyNumberFormat="0" applyAlignment="0" applyProtection="0"/>
    <xf numFmtId="0" fontId="25" fillId="13" borderId="243" applyNumberFormat="0" applyAlignment="0" applyProtection="0"/>
    <xf numFmtId="0" fontId="25" fillId="13" borderId="243" applyNumberFormat="0" applyAlignment="0" applyProtection="0"/>
    <xf numFmtId="0" fontId="25" fillId="13" borderId="243" applyNumberFormat="0" applyAlignment="0" applyProtection="0"/>
    <xf numFmtId="0" fontId="25" fillId="13" borderId="243" applyNumberFormat="0" applyAlignment="0" applyProtection="0"/>
    <xf numFmtId="0" fontId="25" fillId="13" borderId="243" applyNumberFormat="0" applyAlignment="0" applyProtection="0"/>
    <xf numFmtId="0" fontId="25" fillId="13" borderId="243" applyNumberFormat="0" applyAlignment="0" applyProtection="0"/>
    <xf numFmtId="0" fontId="25" fillId="13" borderId="243" applyNumberFormat="0" applyAlignment="0" applyProtection="0"/>
    <xf numFmtId="0" fontId="25" fillId="13" borderId="243" applyNumberFormat="0" applyAlignment="0" applyProtection="0"/>
    <xf numFmtId="0" fontId="25" fillId="13" borderId="243" applyNumberFormat="0" applyAlignment="0" applyProtection="0"/>
    <xf numFmtId="0" fontId="25" fillId="13" borderId="243" applyNumberFormat="0" applyAlignment="0" applyProtection="0"/>
    <xf numFmtId="0" fontId="25" fillId="13" borderId="243" applyNumberFormat="0" applyAlignment="0" applyProtection="0"/>
    <xf numFmtId="0" fontId="25" fillId="13" borderId="243" applyNumberFormat="0" applyAlignment="0" applyProtection="0"/>
    <xf numFmtId="0" fontId="25" fillId="13" borderId="243" applyNumberFormat="0" applyAlignment="0" applyProtection="0"/>
    <xf numFmtId="0" fontId="25" fillId="13" borderId="243" applyNumberFormat="0" applyAlignment="0" applyProtection="0"/>
    <xf numFmtId="0" fontId="25" fillId="13" borderId="243" applyNumberFormat="0" applyAlignment="0" applyProtection="0"/>
    <xf numFmtId="0" fontId="25" fillId="13" borderId="243" applyNumberFormat="0" applyAlignment="0" applyProtection="0"/>
    <xf numFmtId="0" fontId="25" fillId="13" borderId="243" applyNumberFormat="0" applyAlignment="0" applyProtection="0"/>
    <xf numFmtId="0" fontId="25" fillId="13" borderId="243" applyNumberFormat="0" applyAlignment="0" applyProtection="0"/>
    <xf numFmtId="0" fontId="25" fillId="13" borderId="243" applyNumberFormat="0" applyAlignment="0" applyProtection="0"/>
    <xf numFmtId="0" fontId="25" fillId="13" borderId="243" applyNumberFormat="0" applyAlignment="0" applyProtection="0"/>
    <xf numFmtId="0" fontId="25" fillId="13" borderId="243" applyNumberFormat="0" applyAlignment="0" applyProtection="0"/>
    <xf numFmtId="0" fontId="41" fillId="13" borderId="243" applyNumberFormat="0" applyAlignment="0" applyProtection="0"/>
    <xf numFmtId="0" fontId="41" fillId="13" borderId="243" applyNumberFormat="0" applyAlignment="0" applyProtection="0"/>
    <xf numFmtId="0" fontId="41" fillId="13" borderId="243" applyNumberFormat="0" applyAlignment="0" applyProtection="0"/>
    <xf numFmtId="0" fontId="41" fillId="13" borderId="243" applyNumberFormat="0" applyAlignment="0" applyProtection="0"/>
    <xf numFmtId="0" fontId="41" fillId="13" borderId="243" applyNumberFormat="0" applyAlignment="0" applyProtection="0"/>
    <xf numFmtId="0" fontId="41" fillId="13" borderId="243" applyNumberFormat="0" applyAlignment="0" applyProtection="0"/>
    <xf numFmtId="0" fontId="41" fillId="13" borderId="243" applyNumberFormat="0" applyAlignment="0" applyProtection="0"/>
    <xf numFmtId="0" fontId="41" fillId="13" borderId="243" applyNumberFormat="0" applyAlignment="0" applyProtection="0"/>
    <xf numFmtId="0" fontId="41" fillId="13" borderId="243" applyNumberFormat="0" applyAlignment="0" applyProtection="0"/>
    <xf numFmtId="0" fontId="41" fillId="13" borderId="243" applyNumberFormat="0" applyAlignment="0" applyProtection="0"/>
    <xf numFmtId="0" fontId="41" fillId="13" borderId="243" applyNumberFormat="0" applyAlignment="0" applyProtection="0"/>
    <xf numFmtId="0" fontId="41" fillId="13" borderId="243" applyNumberFormat="0" applyAlignment="0" applyProtection="0"/>
    <xf numFmtId="0" fontId="41" fillId="13" borderId="243" applyNumberFormat="0" applyAlignment="0" applyProtection="0"/>
    <xf numFmtId="0" fontId="41" fillId="13" borderId="243" applyNumberFormat="0" applyAlignment="0" applyProtection="0"/>
    <xf numFmtId="0" fontId="41" fillId="13" borderId="243" applyNumberFormat="0" applyAlignment="0" applyProtection="0"/>
    <xf numFmtId="0" fontId="41" fillId="13" borderId="243" applyNumberFormat="0" applyAlignment="0" applyProtection="0"/>
    <xf numFmtId="0" fontId="41" fillId="13" borderId="243" applyNumberFormat="0" applyAlignment="0" applyProtection="0"/>
    <xf numFmtId="0" fontId="41" fillId="13" borderId="243" applyNumberFormat="0" applyAlignment="0" applyProtection="0"/>
    <xf numFmtId="0" fontId="41" fillId="13" borderId="243" applyNumberFormat="0" applyAlignment="0" applyProtection="0"/>
    <xf numFmtId="0" fontId="41" fillId="13" borderId="243" applyNumberFormat="0" applyAlignment="0" applyProtection="0"/>
    <xf numFmtId="0" fontId="41" fillId="13" borderId="243" applyNumberFormat="0" applyAlignment="0" applyProtection="0"/>
    <xf numFmtId="0" fontId="41" fillId="13" borderId="243" applyNumberFormat="0" applyAlignment="0" applyProtection="0"/>
    <xf numFmtId="0" fontId="41" fillId="13" borderId="243" applyNumberFormat="0" applyAlignment="0" applyProtection="0"/>
    <xf numFmtId="0" fontId="41" fillId="13" borderId="243" applyNumberFormat="0" applyAlignment="0" applyProtection="0"/>
    <xf numFmtId="0" fontId="41" fillId="13" borderId="243" applyNumberFormat="0" applyAlignment="0" applyProtection="0"/>
    <xf numFmtId="0" fontId="41" fillId="13" borderId="243" applyNumberFormat="0" applyAlignment="0" applyProtection="0"/>
    <xf numFmtId="0" fontId="41" fillId="13" borderId="243" applyNumberFormat="0" applyAlignment="0" applyProtection="0"/>
    <xf numFmtId="0" fontId="41" fillId="13" borderId="243" applyNumberFormat="0" applyAlignment="0" applyProtection="0"/>
    <xf numFmtId="0" fontId="41" fillId="13" borderId="243" applyNumberFormat="0" applyAlignment="0" applyProtection="0"/>
    <xf numFmtId="0" fontId="41" fillId="13" borderId="243" applyNumberFormat="0" applyAlignment="0" applyProtection="0"/>
    <xf numFmtId="0" fontId="41" fillId="13" borderId="243" applyNumberFormat="0" applyAlignment="0" applyProtection="0"/>
    <xf numFmtId="0" fontId="41" fillId="13" borderId="243" applyNumberFormat="0" applyAlignment="0" applyProtection="0"/>
    <xf numFmtId="0" fontId="41" fillId="13" borderId="243" applyNumberFormat="0" applyAlignment="0" applyProtection="0"/>
    <xf numFmtId="0" fontId="41" fillId="13" borderId="243" applyNumberFormat="0" applyAlignment="0" applyProtection="0"/>
    <xf numFmtId="0" fontId="41" fillId="13" borderId="243" applyNumberFormat="0" applyAlignment="0" applyProtection="0"/>
    <xf numFmtId="0" fontId="41" fillId="13" borderId="243" applyNumberFormat="0" applyAlignment="0" applyProtection="0"/>
    <xf numFmtId="0" fontId="41" fillId="13" borderId="243" applyNumberFormat="0" applyAlignment="0" applyProtection="0"/>
    <xf numFmtId="0" fontId="41" fillId="13" borderId="243" applyNumberFormat="0" applyAlignment="0" applyProtection="0"/>
    <xf numFmtId="0" fontId="41" fillId="13" borderId="243" applyNumberFormat="0" applyAlignment="0" applyProtection="0"/>
    <xf numFmtId="0" fontId="41" fillId="13" borderId="243" applyNumberFormat="0" applyAlignment="0" applyProtection="0"/>
    <xf numFmtId="0" fontId="41" fillId="13" borderId="243" applyNumberFormat="0" applyAlignment="0" applyProtection="0"/>
    <xf numFmtId="0" fontId="41" fillId="13" borderId="243" applyNumberFormat="0" applyAlignment="0" applyProtection="0"/>
    <xf numFmtId="0" fontId="41" fillId="13" borderId="243" applyNumberFormat="0" applyAlignment="0" applyProtection="0"/>
    <xf numFmtId="0" fontId="41" fillId="13" borderId="243" applyNumberFormat="0" applyAlignment="0" applyProtection="0"/>
    <xf numFmtId="0" fontId="41" fillId="13" borderId="243" applyNumberFormat="0" applyAlignment="0" applyProtection="0"/>
    <xf numFmtId="0" fontId="41" fillId="13" borderId="243" applyNumberFormat="0" applyAlignment="0" applyProtection="0"/>
    <xf numFmtId="0" fontId="41" fillId="13" borderId="243" applyNumberFormat="0" applyAlignment="0" applyProtection="0"/>
    <xf numFmtId="0" fontId="41" fillId="13" borderId="243" applyNumberFormat="0" applyAlignment="0" applyProtection="0"/>
    <xf numFmtId="0" fontId="41" fillId="13" borderId="243" applyNumberFormat="0" applyAlignment="0" applyProtection="0"/>
    <xf numFmtId="0" fontId="25" fillId="13" borderId="243" applyNumberFormat="0" applyAlignment="0" applyProtection="0"/>
    <xf numFmtId="0" fontId="25" fillId="13" borderId="243" applyNumberFormat="0" applyAlignment="0" applyProtection="0"/>
    <xf numFmtId="0" fontId="25" fillId="13" borderId="243" applyNumberFormat="0" applyAlignment="0" applyProtection="0"/>
    <xf numFmtId="0" fontId="25" fillId="13" borderId="243" applyNumberFormat="0" applyAlignment="0" applyProtection="0"/>
    <xf numFmtId="0" fontId="25" fillId="13" borderId="243" applyNumberFormat="0" applyAlignment="0" applyProtection="0"/>
    <xf numFmtId="0" fontId="25" fillId="13" borderId="243" applyNumberFormat="0" applyAlignment="0" applyProtection="0"/>
    <xf numFmtId="0" fontId="25" fillId="13" borderId="243" applyNumberFormat="0" applyAlignment="0" applyProtection="0"/>
    <xf numFmtId="0" fontId="25" fillId="13" borderId="243" applyNumberFormat="0" applyAlignment="0" applyProtection="0"/>
    <xf numFmtId="0" fontId="25" fillId="13" borderId="243" applyNumberFormat="0" applyAlignment="0" applyProtection="0"/>
    <xf numFmtId="0" fontId="25" fillId="13" borderId="243" applyNumberFormat="0" applyAlignment="0" applyProtection="0"/>
    <xf numFmtId="0" fontId="25" fillId="13" borderId="243" applyNumberFormat="0" applyAlignment="0" applyProtection="0"/>
    <xf numFmtId="0" fontId="25" fillId="13" borderId="243" applyNumberFormat="0" applyAlignment="0" applyProtection="0"/>
    <xf numFmtId="0" fontId="25" fillId="13" borderId="243" applyNumberFormat="0" applyAlignment="0" applyProtection="0"/>
    <xf numFmtId="0" fontId="25" fillId="13" borderId="243" applyNumberFormat="0" applyAlignment="0" applyProtection="0"/>
    <xf numFmtId="0" fontId="25" fillId="13" borderId="243" applyNumberFormat="0" applyAlignment="0" applyProtection="0"/>
    <xf numFmtId="0" fontId="25" fillId="13" borderId="243" applyNumberFormat="0" applyAlignment="0" applyProtection="0"/>
    <xf numFmtId="0" fontId="25" fillId="13" borderId="243" applyNumberFormat="0" applyAlignment="0" applyProtection="0"/>
    <xf numFmtId="0" fontId="25" fillId="13" borderId="243" applyNumberFormat="0" applyAlignment="0" applyProtection="0"/>
    <xf numFmtId="0" fontId="25" fillId="13" borderId="243" applyNumberFormat="0" applyAlignment="0" applyProtection="0"/>
    <xf numFmtId="0" fontId="25" fillId="13" borderId="243" applyNumberFormat="0" applyAlignment="0" applyProtection="0"/>
    <xf numFmtId="0" fontId="25" fillId="13" borderId="243" applyNumberFormat="0" applyAlignment="0" applyProtection="0"/>
    <xf numFmtId="0" fontId="25" fillId="13" borderId="243" applyNumberFormat="0" applyAlignment="0" applyProtection="0"/>
    <xf numFmtId="0" fontId="25" fillId="13" borderId="243" applyNumberFormat="0" applyAlignment="0" applyProtection="0"/>
    <xf numFmtId="0" fontId="25" fillId="13" borderId="243" applyNumberFormat="0" applyAlignment="0" applyProtection="0"/>
    <xf numFmtId="0" fontId="25" fillId="13" borderId="243" applyNumberFormat="0" applyAlignment="0" applyProtection="0"/>
    <xf numFmtId="0" fontId="25" fillId="13" borderId="243" applyNumberFormat="0" applyAlignment="0" applyProtection="0"/>
    <xf numFmtId="0" fontId="25" fillId="13" borderId="243" applyNumberFormat="0" applyAlignment="0" applyProtection="0"/>
    <xf numFmtId="0" fontId="25" fillId="13" borderId="243" applyNumberFormat="0" applyAlignment="0" applyProtection="0"/>
    <xf numFmtId="0" fontId="25" fillId="13" borderId="243" applyNumberFormat="0" applyAlignment="0" applyProtection="0"/>
    <xf numFmtId="0" fontId="25" fillId="13" borderId="243" applyNumberFormat="0" applyAlignment="0" applyProtection="0"/>
    <xf numFmtId="0" fontId="25" fillId="13" borderId="243" applyNumberFormat="0" applyAlignment="0" applyProtection="0"/>
    <xf numFmtId="0" fontId="25" fillId="13" borderId="243" applyNumberFormat="0" applyAlignment="0" applyProtection="0"/>
    <xf numFmtId="0" fontId="25" fillId="13" borderId="243" applyNumberFormat="0" applyAlignment="0" applyProtection="0"/>
    <xf numFmtId="0" fontId="25" fillId="13" borderId="243" applyNumberFormat="0" applyAlignment="0" applyProtection="0"/>
    <xf numFmtId="0" fontId="25" fillId="13" borderId="243" applyNumberFormat="0" applyAlignment="0" applyProtection="0"/>
    <xf numFmtId="0" fontId="25" fillId="13" borderId="243" applyNumberFormat="0" applyAlignment="0" applyProtection="0"/>
    <xf numFmtId="0" fontId="25" fillId="13" borderId="243" applyNumberFormat="0" applyAlignment="0" applyProtection="0"/>
    <xf numFmtId="0" fontId="25" fillId="13" borderId="243" applyNumberFormat="0" applyAlignment="0" applyProtection="0"/>
    <xf numFmtId="0" fontId="25" fillId="13" borderId="243" applyNumberFormat="0" applyAlignment="0" applyProtection="0"/>
    <xf numFmtId="0" fontId="25" fillId="13" borderId="243" applyNumberFormat="0" applyAlignment="0" applyProtection="0"/>
    <xf numFmtId="0" fontId="25" fillId="13" borderId="243" applyNumberFormat="0" applyAlignment="0" applyProtection="0"/>
    <xf numFmtId="0" fontId="25" fillId="13" borderId="243" applyNumberFormat="0" applyAlignment="0" applyProtection="0"/>
    <xf numFmtId="0" fontId="25" fillId="13" borderId="243" applyNumberFormat="0" applyAlignment="0" applyProtection="0"/>
    <xf numFmtId="0" fontId="25" fillId="13" borderId="243" applyNumberFormat="0" applyAlignment="0" applyProtection="0"/>
    <xf numFmtId="0" fontId="25" fillId="13" borderId="243" applyNumberFormat="0" applyAlignment="0" applyProtection="0"/>
    <xf numFmtId="0" fontId="25" fillId="13" borderId="243" applyNumberFormat="0" applyAlignment="0" applyProtection="0"/>
    <xf numFmtId="0" fontId="25" fillId="13" borderId="243" applyNumberFormat="0" applyAlignment="0" applyProtection="0"/>
    <xf numFmtId="0" fontId="25" fillId="13" borderId="243" applyNumberFormat="0" applyAlignment="0" applyProtection="0"/>
    <xf numFmtId="0" fontId="25" fillId="13" borderId="243" applyNumberFormat="0" applyAlignment="0" applyProtection="0"/>
    <xf numFmtId="0" fontId="41" fillId="13" borderId="243" applyNumberFormat="0" applyAlignment="0" applyProtection="0"/>
    <xf numFmtId="0" fontId="41" fillId="13" borderId="243" applyNumberFormat="0" applyAlignment="0" applyProtection="0"/>
    <xf numFmtId="0" fontId="41" fillId="13" borderId="243" applyNumberFormat="0" applyAlignment="0" applyProtection="0"/>
    <xf numFmtId="0" fontId="41" fillId="13" borderId="243" applyNumberFormat="0" applyAlignment="0" applyProtection="0"/>
    <xf numFmtId="0" fontId="41" fillId="13" borderId="243" applyNumberFormat="0" applyAlignment="0" applyProtection="0"/>
    <xf numFmtId="0" fontId="41" fillId="13" borderId="243" applyNumberFormat="0" applyAlignment="0" applyProtection="0"/>
    <xf numFmtId="0" fontId="41" fillId="13" borderId="243" applyNumberFormat="0" applyAlignment="0" applyProtection="0"/>
    <xf numFmtId="0" fontId="41" fillId="13" borderId="243" applyNumberFormat="0" applyAlignment="0" applyProtection="0"/>
    <xf numFmtId="0" fontId="41" fillId="13" borderId="243" applyNumberFormat="0" applyAlignment="0" applyProtection="0"/>
    <xf numFmtId="0" fontId="41" fillId="13" borderId="243" applyNumberFormat="0" applyAlignment="0" applyProtection="0"/>
    <xf numFmtId="0" fontId="41" fillId="13" borderId="243" applyNumberFormat="0" applyAlignment="0" applyProtection="0"/>
    <xf numFmtId="0" fontId="41" fillId="13" borderId="243" applyNumberFormat="0" applyAlignment="0" applyProtection="0"/>
    <xf numFmtId="0" fontId="41" fillId="13" borderId="243" applyNumberFormat="0" applyAlignment="0" applyProtection="0"/>
    <xf numFmtId="0" fontId="41" fillId="13" borderId="243" applyNumberFormat="0" applyAlignment="0" applyProtection="0"/>
    <xf numFmtId="0" fontId="41" fillId="13" borderId="243" applyNumberFormat="0" applyAlignment="0" applyProtection="0"/>
    <xf numFmtId="0" fontId="41" fillId="13" borderId="243" applyNumberFormat="0" applyAlignment="0" applyProtection="0"/>
    <xf numFmtId="0" fontId="41" fillId="13" borderId="243" applyNumberFormat="0" applyAlignment="0" applyProtection="0"/>
    <xf numFmtId="0" fontId="41" fillId="13" borderId="243" applyNumberFormat="0" applyAlignment="0" applyProtection="0"/>
    <xf numFmtId="0" fontId="41" fillId="13" borderId="243" applyNumberFormat="0" applyAlignment="0" applyProtection="0"/>
    <xf numFmtId="0" fontId="41" fillId="13" borderId="243" applyNumberFormat="0" applyAlignment="0" applyProtection="0"/>
    <xf numFmtId="0" fontId="41" fillId="13" borderId="243" applyNumberFormat="0" applyAlignment="0" applyProtection="0"/>
    <xf numFmtId="0" fontId="41" fillId="13" borderId="243" applyNumberFormat="0" applyAlignment="0" applyProtection="0"/>
    <xf numFmtId="0" fontId="41" fillId="13" borderId="243" applyNumberFormat="0" applyAlignment="0" applyProtection="0"/>
    <xf numFmtId="0" fontId="41" fillId="13" borderId="243" applyNumberFormat="0" applyAlignment="0" applyProtection="0"/>
    <xf numFmtId="0" fontId="41" fillId="13" borderId="243" applyNumberFormat="0" applyAlignment="0" applyProtection="0"/>
    <xf numFmtId="0" fontId="41" fillId="13" borderId="243" applyNumberFormat="0" applyAlignment="0" applyProtection="0"/>
    <xf numFmtId="0" fontId="41" fillId="13" borderId="243" applyNumberFormat="0" applyAlignment="0" applyProtection="0"/>
    <xf numFmtId="0" fontId="41" fillId="13" borderId="243" applyNumberFormat="0" applyAlignment="0" applyProtection="0"/>
    <xf numFmtId="0" fontId="41" fillId="13" borderId="243" applyNumberFormat="0" applyAlignment="0" applyProtection="0"/>
    <xf numFmtId="0" fontId="41" fillId="13" borderId="243" applyNumberFormat="0" applyAlignment="0" applyProtection="0"/>
    <xf numFmtId="0" fontId="41" fillId="13" borderId="243" applyNumberFormat="0" applyAlignment="0" applyProtection="0"/>
    <xf numFmtId="0" fontId="41" fillId="13" borderId="243" applyNumberFormat="0" applyAlignment="0" applyProtection="0"/>
    <xf numFmtId="0" fontId="41" fillId="13" borderId="243" applyNumberFormat="0" applyAlignment="0" applyProtection="0"/>
    <xf numFmtId="0" fontId="41" fillId="13" borderId="243" applyNumberFormat="0" applyAlignment="0" applyProtection="0"/>
    <xf numFmtId="0" fontId="41" fillId="13" borderId="243" applyNumberFormat="0" applyAlignment="0" applyProtection="0"/>
    <xf numFmtId="0" fontId="41" fillId="13" borderId="243" applyNumberFormat="0" applyAlignment="0" applyProtection="0"/>
    <xf numFmtId="0" fontId="41" fillId="13" borderId="243" applyNumberFormat="0" applyAlignment="0" applyProtection="0"/>
    <xf numFmtId="0" fontId="41" fillId="13" borderId="243" applyNumberFormat="0" applyAlignment="0" applyProtection="0"/>
    <xf numFmtId="0" fontId="41" fillId="13" borderId="243" applyNumberFormat="0" applyAlignment="0" applyProtection="0"/>
    <xf numFmtId="0" fontId="41" fillId="13" borderId="243" applyNumberFormat="0" applyAlignment="0" applyProtection="0"/>
    <xf numFmtId="0" fontId="41" fillId="13" borderId="243" applyNumberFormat="0" applyAlignment="0" applyProtection="0"/>
    <xf numFmtId="0" fontId="41" fillId="13" borderId="243" applyNumberFormat="0" applyAlignment="0" applyProtection="0"/>
    <xf numFmtId="0" fontId="41" fillId="13" borderId="243" applyNumberFormat="0" applyAlignment="0" applyProtection="0"/>
    <xf numFmtId="0" fontId="41" fillId="13" borderId="243" applyNumberFormat="0" applyAlignment="0" applyProtection="0"/>
    <xf numFmtId="0" fontId="41" fillId="13" borderId="243" applyNumberFormat="0" applyAlignment="0" applyProtection="0"/>
    <xf numFmtId="0" fontId="41" fillId="13" borderId="243" applyNumberFormat="0" applyAlignment="0" applyProtection="0"/>
    <xf numFmtId="0" fontId="41" fillId="13" borderId="243" applyNumberFormat="0" applyAlignment="0" applyProtection="0"/>
    <xf numFmtId="0" fontId="41" fillId="13" borderId="243" applyNumberFormat="0" applyAlignment="0" applyProtection="0"/>
    <xf numFmtId="0" fontId="41" fillId="13" borderId="243" applyNumberFormat="0" applyAlignment="0" applyProtection="0"/>
    <xf numFmtId="0" fontId="25" fillId="13" borderId="243" applyNumberFormat="0" applyAlignment="0" applyProtection="0"/>
    <xf numFmtId="0" fontId="25" fillId="13" borderId="243" applyNumberFormat="0" applyAlignment="0" applyProtection="0"/>
    <xf numFmtId="0" fontId="25" fillId="13" borderId="243" applyNumberFormat="0" applyAlignment="0" applyProtection="0"/>
    <xf numFmtId="0" fontId="25" fillId="13" borderId="243" applyNumberFormat="0" applyAlignment="0" applyProtection="0"/>
    <xf numFmtId="0" fontId="25" fillId="13" borderId="243" applyNumberFormat="0" applyAlignment="0" applyProtection="0"/>
    <xf numFmtId="0" fontId="25" fillId="13" borderId="243" applyNumberFormat="0" applyAlignment="0" applyProtection="0"/>
    <xf numFmtId="0" fontId="25" fillId="13" borderId="243" applyNumberFormat="0" applyAlignment="0" applyProtection="0"/>
    <xf numFmtId="0" fontId="25" fillId="13" borderId="243" applyNumberFormat="0" applyAlignment="0" applyProtection="0"/>
    <xf numFmtId="0" fontId="25" fillId="13" borderId="243" applyNumberFormat="0" applyAlignment="0" applyProtection="0"/>
    <xf numFmtId="0" fontId="25" fillId="13" borderId="243" applyNumberFormat="0" applyAlignment="0" applyProtection="0"/>
    <xf numFmtId="0" fontId="25" fillId="13" borderId="243" applyNumberFormat="0" applyAlignment="0" applyProtection="0"/>
    <xf numFmtId="0" fontId="25" fillId="13" borderId="243" applyNumberFormat="0" applyAlignment="0" applyProtection="0"/>
    <xf numFmtId="0" fontId="25" fillId="13" borderId="243" applyNumberFormat="0" applyAlignment="0" applyProtection="0"/>
    <xf numFmtId="0" fontId="25" fillId="13" borderId="243" applyNumberFormat="0" applyAlignment="0" applyProtection="0"/>
    <xf numFmtId="0" fontId="25" fillId="13" borderId="243" applyNumberFormat="0" applyAlignment="0" applyProtection="0"/>
    <xf numFmtId="0" fontId="25" fillId="13" borderId="243" applyNumberFormat="0" applyAlignment="0" applyProtection="0"/>
    <xf numFmtId="0" fontId="25" fillId="13" borderId="243" applyNumberFormat="0" applyAlignment="0" applyProtection="0"/>
    <xf numFmtId="0" fontId="25" fillId="13" borderId="243" applyNumberFormat="0" applyAlignment="0" applyProtection="0"/>
    <xf numFmtId="0" fontId="25" fillId="13" borderId="243" applyNumberFormat="0" applyAlignment="0" applyProtection="0"/>
    <xf numFmtId="0" fontId="25" fillId="13" borderId="243" applyNumberFormat="0" applyAlignment="0" applyProtection="0"/>
    <xf numFmtId="0" fontId="25" fillId="13" borderId="243" applyNumberFormat="0" applyAlignment="0" applyProtection="0"/>
    <xf numFmtId="0" fontId="25" fillId="13" borderId="243" applyNumberFormat="0" applyAlignment="0" applyProtection="0"/>
    <xf numFmtId="0" fontId="25" fillId="13" borderId="243" applyNumberFormat="0" applyAlignment="0" applyProtection="0"/>
    <xf numFmtId="0" fontId="25" fillId="13" borderId="243" applyNumberFormat="0" applyAlignment="0" applyProtection="0"/>
    <xf numFmtId="0" fontId="25" fillId="13" borderId="243" applyNumberFormat="0" applyAlignment="0" applyProtection="0"/>
    <xf numFmtId="0" fontId="25" fillId="13" borderId="243" applyNumberFormat="0" applyAlignment="0" applyProtection="0"/>
    <xf numFmtId="0" fontId="25" fillId="13" borderId="243" applyNumberFormat="0" applyAlignment="0" applyProtection="0"/>
    <xf numFmtId="0" fontId="25" fillId="13" borderId="243" applyNumberFormat="0" applyAlignment="0" applyProtection="0"/>
    <xf numFmtId="0" fontId="25" fillId="13" borderId="243" applyNumberFormat="0" applyAlignment="0" applyProtection="0"/>
    <xf numFmtId="0" fontId="25" fillId="13" borderId="243" applyNumberFormat="0" applyAlignment="0" applyProtection="0"/>
    <xf numFmtId="0" fontId="25" fillId="13" borderId="243" applyNumberFormat="0" applyAlignment="0" applyProtection="0"/>
    <xf numFmtId="0" fontId="25" fillId="13" borderId="243" applyNumberFormat="0" applyAlignment="0" applyProtection="0"/>
    <xf numFmtId="0" fontId="25" fillId="13" borderId="243" applyNumberFormat="0" applyAlignment="0" applyProtection="0"/>
    <xf numFmtId="0" fontId="25" fillId="13" borderId="243" applyNumberFormat="0" applyAlignment="0" applyProtection="0"/>
    <xf numFmtId="0" fontId="25" fillId="13" borderId="243" applyNumberFormat="0" applyAlignment="0" applyProtection="0"/>
    <xf numFmtId="0" fontId="25" fillId="13" borderId="243" applyNumberFormat="0" applyAlignment="0" applyProtection="0"/>
    <xf numFmtId="0" fontId="25" fillId="13" borderId="243" applyNumberFormat="0" applyAlignment="0" applyProtection="0"/>
    <xf numFmtId="0" fontId="25" fillId="13" borderId="243" applyNumberFormat="0" applyAlignment="0" applyProtection="0"/>
    <xf numFmtId="0" fontId="25" fillId="13" borderId="243" applyNumberFormat="0" applyAlignment="0" applyProtection="0"/>
    <xf numFmtId="0" fontId="25" fillId="13" borderId="243" applyNumberFormat="0" applyAlignment="0" applyProtection="0"/>
    <xf numFmtId="0" fontId="25" fillId="13" borderId="243" applyNumberFormat="0" applyAlignment="0" applyProtection="0"/>
    <xf numFmtId="0" fontId="25" fillId="13" borderId="243" applyNumberFormat="0" applyAlignment="0" applyProtection="0"/>
    <xf numFmtId="0" fontId="25" fillId="13" borderId="243" applyNumberFormat="0" applyAlignment="0" applyProtection="0"/>
    <xf numFmtId="0" fontId="25" fillId="13" borderId="243" applyNumberFormat="0" applyAlignment="0" applyProtection="0"/>
    <xf numFmtId="0" fontId="25" fillId="13" borderId="243" applyNumberFormat="0" applyAlignment="0" applyProtection="0"/>
    <xf numFmtId="0" fontId="25" fillId="13" borderId="243" applyNumberFormat="0" applyAlignment="0" applyProtection="0"/>
    <xf numFmtId="0" fontId="25" fillId="13" borderId="243" applyNumberFormat="0" applyAlignment="0" applyProtection="0"/>
    <xf numFmtId="0" fontId="25" fillId="13" borderId="243" applyNumberFormat="0" applyAlignment="0" applyProtection="0"/>
    <xf numFmtId="0" fontId="25" fillId="13" borderId="243" applyNumberFormat="0" applyAlignment="0" applyProtection="0"/>
    <xf numFmtId="0" fontId="25" fillId="8" borderId="243" applyNumberFormat="0" applyAlignment="0" applyProtection="0"/>
    <xf numFmtId="0" fontId="25" fillId="8" borderId="243" applyNumberFormat="0" applyAlignment="0" applyProtection="0"/>
    <xf numFmtId="0" fontId="25" fillId="8" borderId="243" applyNumberFormat="0" applyAlignment="0" applyProtection="0"/>
    <xf numFmtId="0" fontId="25" fillId="8" borderId="243" applyNumberFormat="0" applyAlignment="0" applyProtection="0"/>
    <xf numFmtId="0" fontId="25" fillId="8" borderId="243" applyNumberFormat="0" applyAlignment="0" applyProtection="0"/>
    <xf numFmtId="0" fontId="25" fillId="8" borderId="243" applyNumberFormat="0" applyAlignment="0" applyProtection="0"/>
    <xf numFmtId="0" fontId="25" fillId="8" borderId="243" applyNumberFormat="0" applyAlignment="0" applyProtection="0"/>
    <xf numFmtId="0" fontId="25" fillId="8" borderId="243" applyNumberFormat="0" applyAlignment="0" applyProtection="0"/>
    <xf numFmtId="0" fontId="25" fillId="8" borderId="243" applyNumberFormat="0" applyAlignment="0" applyProtection="0"/>
    <xf numFmtId="0" fontId="25" fillId="8" borderId="243" applyNumberFormat="0" applyAlignment="0" applyProtection="0"/>
    <xf numFmtId="0" fontId="25" fillId="8" borderId="243" applyNumberFormat="0" applyAlignment="0" applyProtection="0"/>
    <xf numFmtId="0" fontId="25" fillId="8" borderId="243" applyNumberFormat="0" applyAlignment="0" applyProtection="0"/>
    <xf numFmtId="0" fontId="25" fillId="8" borderId="243" applyNumberFormat="0" applyAlignment="0" applyProtection="0"/>
    <xf numFmtId="0" fontId="25" fillId="8" borderId="243" applyNumberFormat="0" applyAlignment="0" applyProtection="0"/>
    <xf numFmtId="0" fontId="25" fillId="8" borderId="243" applyNumberFormat="0" applyAlignment="0" applyProtection="0"/>
    <xf numFmtId="0" fontId="25" fillId="8" borderId="243" applyNumberFormat="0" applyAlignment="0" applyProtection="0"/>
    <xf numFmtId="0" fontId="25" fillId="8" borderId="243" applyNumberFormat="0" applyAlignment="0" applyProtection="0"/>
    <xf numFmtId="0" fontId="25" fillId="8" borderId="243" applyNumberFormat="0" applyAlignment="0" applyProtection="0"/>
    <xf numFmtId="0" fontId="25" fillId="8" borderId="243" applyNumberFormat="0" applyAlignment="0" applyProtection="0"/>
    <xf numFmtId="0" fontId="25" fillId="8" borderId="243" applyNumberFormat="0" applyAlignment="0" applyProtection="0"/>
    <xf numFmtId="0" fontId="25" fillId="8" borderId="243" applyNumberFormat="0" applyAlignment="0" applyProtection="0"/>
    <xf numFmtId="0" fontId="25" fillId="8" borderId="243" applyNumberFormat="0" applyAlignment="0" applyProtection="0"/>
    <xf numFmtId="0" fontId="25" fillId="8" borderId="243" applyNumberFormat="0" applyAlignment="0" applyProtection="0"/>
    <xf numFmtId="0" fontId="25" fillId="8" borderId="243" applyNumberFormat="0" applyAlignment="0" applyProtection="0"/>
    <xf numFmtId="0" fontId="25" fillId="8" borderId="243" applyNumberFormat="0" applyAlignment="0" applyProtection="0"/>
    <xf numFmtId="0" fontId="25" fillId="8" borderId="243" applyNumberFormat="0" applyAlignment="0" applyProtection="0"/>
    <xf numFmtId="0" fontId="25" fillId="8" borderId="243" applyNumberFormat="0" applyAlignment="0" applyProtection="0"/>
    <xf numFmtId="0" fontId="25" fillId="8" borderId="243" applyNumberFormat="0" applyAlignment="0" applyProtection="0"/>
    <xf numFmtId="0" fontId="25" fillId="8" borderId="243" applyNumberFormat="0" applyAlignment="0" applyProtection="0"/>
    <xf numFmtId="0" fontId="25" fillId="8" borderId="243" applyNumberFormat="0" applyAlignment="0" applyProtection="0"/>
    <xf numFmtId="0" fontId="25" fillId="8" borderId="243" applyNumberFormat="0" applyAlignment="0" applyProtection="0"/>
    <xf numFmtId="0" fontId="25" fillId="8" borderId="243" applyNumberFormat="0" applyAlignment="0" applyProtection="0"/>
    <xf numFmtId="0" fontId="25" fillId="8" borderId="243" applyNumberFormat="0" applyAlignment="0" applyProtection="0"/>
    <xf numFmtId="0" fontId="25" fillId="8" borderId="243" applyNumberFormat="0" applyAlignment="0" applyProtection="0"/>
    <xf numFmtId="0" fontId="25" fillId="8" borderId="243" applyNumberFormat="0" applyAlignment="0" applyProtection="0"/>
    <xf numFmtId="0" fontId="25" fillId="8" borderId="243" applyNumberFormat="0" applyAlignment="0" applyProtection="0"/>
    <xf numFmtId="0" fontId="25" fillId="8" borderId="243" applyNumberFormat="0" applyAlignment="0" applyProtection="0"/>
    <xf numFmtId="0" fontId="25" fillId="8" borderId="243" applyNumberFormat="0" applyAlignment="0" applyProtection="0"/>
    <xf numFmtId="0" fontId="25" fillId="8" borderId="243" applyNumberFormat="0" applyAlignment="0" applyProtection="0"/>
    <xf numFmtId="0" fontId="25" fillId="8" borderId="243" applyNumberFormat="0" applyAlignment="0" applyProtection="0"/>
    <xf numFmtId="0" fontId="25" fillId="8" borderId="243" applyNumberFormat="0" applyAlignment="0" applyProtection="0"/>
    <xf numFmtId="0" fontId="25" fillId="8" borderId="243" applyNumberFormat="0" applyAlignment="0" applyProtection="0"/>
    <xf numFmtId="0" fontId="25" fillId="8" borderId="243" applyNumberFormat="0" applyAlignment="0" applyProtection="0"/>
    <xf numFmtId="0" fontId="25" fillId="8" borderId="243" applyNumberFormat="0" applyAlignment="0" applyProtection="0"/>
    <xf numFmtId="0" fontId="25" fillId="8" borderId="243" applyNumberFormat="0" applyAlignment="0" applyProtection="0"/>
    <xf numFmtId="0" fontId="25" fillId="8" borderId="243" applyNumberFormat="0" applyAlignment="0" applyProtection="0"/>
    <xf numFmtId="0" fontId="25" fillId="8" borderId="243" applyNumberFormat="0" applyAlignment="0" applyProtection="0"/>
    <xf numFmtId="0" fontId="25" fillId="8" borderId="243" applyNumberFormat="0" applyAlignment="0" applyProtection="0"/>
    <xf numFmtId="0" fontId="25" fillId="8" borderId="243" applyNumberFormat="0" applyAlignment="0" applyProtection="0"/>
    <xf numFmtId="0" fontId="25" fillId="8" borderId="243" applyNumberFormat="0" applyAlignment="0" applyProtection="0"/>
    <xf numFmtId="0" fontId="25" fillId="8" borderId="243" applyNumberFormat="0" applyAlignment="0" applyProtection="0"/>
    <xf numFmtId="0" fontId="25" fillId="8" borderId="243" applyNumberFormat="0" applyAlignment="0" applyProtection="0"/>
    <xf numFmtId="0" fontId="25" fillId="8" borderId="243" applyNumberFormat="0" applyAlignment="0" applyProtection="0"/>
    <xf numFmtId="0" fontId="25" fillId="8" borderId="243" applyNumberFormat="0" applyAlignment="0" applyProtection="0"/>
    <xf numFmtId="0" fontId="25" fillId="8" borderId="243" applyNumberFormat="0" applyAlignment="0" applyProtection="0"/>
    <xf numFmtId="0" fontId="25" fillId="8" borderId="243" applyNumberFormat="0" applyAlignment="0" applyProtection="0"/>
    <xf numFmtId="0" fontId="25" fillId="8" borderId="243" applyNumberFormat="0" applyAlignment="0" applyProtection="0"/>
    <xf numFmtId="0" fontId="25" fillId="8" borderId="243" applyNumberFormat="0" applyAlignment="0" applyProtection="0"/>
    <xf numFmtId="0" fontId="25" fillId="8" borderId="243" applyNumberFormat="0" applyAlignment="0" applyProtection="0"/>
    <xf numFmtId="0" fontId="25" fillId="8" borderId="243" applyNumberFormat="0" applyAlignment="0" applyProtection="0"/>
    <xf numFmtId="0" fontId="25" fillId="8" borderId="243" applyNumberFormat="0" applyAlignment="0" applyProtection="0"/>
    <xf numFmtId="0" fontId="25" fillId="8" borderId="243" applyNumberFormat="0" applyAlignment="0" applyProtection="0"/>
    <xf numFmtId="0" fontId="25" fillId="8" borderId="243" applyNumberFormat="0" applyAlignment="0" applyProtection="0"/>
    <xf numFmtId="0" fontId="25" fillId="8" borderId="243" applyNumberFormat="0" applyAlignment="0" applyProtection="0"/>
    <xf numFmtId="0" fontId="25" fillId="8" borderId="243" applyNumberFormat="0" applyAlignment="0" applyProtection="0"/>
    <xf numFmtId="0" fontId="25" fillId="8" borderId="243" applyNumberFormat="0" applyAlignment="0" applyProtection="0"/>
    <xf numFmtId="0" fontId="25" fillId="8" borderId="243" applyNumberFormat="0" applyAlignment="0" applyProtection="0"/>
    <xf numFmtId="0" fontId="25" fillId="8" borderId="243" applyNumberFormat="0" applyAlignment="0" applyProtection="0"/>
    <xf numFmtId="0" fontId="25" fillId="8" borderId="243" applyNumberFormat="0" applyAlignment="0" applyProtection="0"/>
    <xf numFmtId="0" fontId="25" fillId="8" borderId="243" applyNumberFormat="0" applyAlignment="0" applyProtection="0"/>
    <xf numFmtId="0" fontId="25" fillId="8" borderId="243" applyNumberFormat="0" applyAlignment="0" applyProtection="0"/>
    <xf numFmtId="0" fontId="25" fillId="8" borderId="243" applyNumberFormat="0" applyAlignment="0" applyProtection="0"/>
    <xf numFmtId="0" fontId="25" fillId="8" borderId="243" applyNumberFormat="0" applyAlignment="0" applyProtection="0"/>
    <xf numFmtId="0" fontId="25" fillId="8" borderId="243" applyNumberFormat="0" applyAlignment="0" applyProtection="0"/>
    <xf numFmtId="0" fontId="25" fillId="8" borderId="243" applyNumberFormat="0" applyAlignment="0" applyProtection="0"/>
    <xf numFmtId="0" fontId="25" fillId="8" borderId="243" applyNumberFormat="0" applyAlignment="0" applyProtection="0"/>
    <xf numFmtId="0" fontId="25" fillId="8" borderId="243" applyNumberFormat="0" applyAlignment="0" applyProtection="0"/>
    <xf numFmtId="0" fontId="84" fillId="73" borderId="247"/>
    <xf numFmtId="0" fontId="84" fillId="73" borderId="247"/>
    <xf numFmtId="0" fontId="84" fillId="73" borderId="247"/>
    <xf numFmtId="0" fontId="84" fillId="73" borderId="247"/>
    <xf numFmtId="0" fontId="84" fillId="73" borderId="247"/>
    <xf numFmtId="0" fontId="84" fillId="73" borderId="247"/>
    <xf numFmtId="0" fontId="84" fillId="73" borderId="247"/>
    <xf numFmtId="0" fontId="84" fillId="73" borderId="247"/>
    <xf numFmtId="0" fontId="84" fillId="73" borderId="247"/>
    <xf numFmtId="0" fontId="84" fillId="73" borderId="247"/>
    <xf numFmtId="0" fontId="84" fillId="73" borderId="247"/>
    <xf numFmtId="0" fontId="84" fillId="73" borderId="247"/>
    <xf numFmtId="0" fontId="84" fillId="73" borderId="247"/>
    <xf numFmtId="0" fontId="84" fillId="73" borderId="247"/>
    <xf numFmtId="0" fontId="84" fillId="73" borderId="247"/>
    <xf numFmtId="0" fontId="84" fillId="73" borderId="247"/>
    <xf numFmtId="0" fontId="84" fillId="73" borderId="247"/>
    <xf numFmtId="0" fontId="84" fillId="73" borderId="247"/>
    <xf numFmtId="0" fontId="84" fillId="73" borderId="247"/>
    <xf numFmtId="0" fontId="84" fillId="73" borderId="247"/>
    <xf numFmtId="0" fontId="84" fillId="73" borderId="247"/>
    <xf numFmtId="0" fontId="84" fillId="73" borderId="247"/>
    <xf numFmtId="0" fontId="84" fillId="73" borderId="247"/>
    <xf numFmtId="0" fontId="84" fillId="73" borderId="247"/>
    <xf numFmtId="0" fontId="84" fillId="73" borderId="247"/>
    <xf numFmtId="0" fontId="84" fillId="73" borderId="247"/>
    <xf numFmtId="0" fontId="84" fillId="73" borderId="247"/>
    <xf numFmtId="0" fontId="84" fillId="73" borderId="247"/>
    <xf numFmtId="0" fontId="84" fillId="73" borderId="247"/>
    <xf numFmtId="0" fontId="84" fillId="73" borderId="247"/>
    <xf numFmtId="0" fontId="84" fillId="73" borderId="247"/>
    <xf numFmtId="0" fontId="84" fillId="73" borderId="247"/>
    <xf numFmtId="0" fontId="84" fillId="73" borderId="247"/>
    <xf numFmtId="0" fontId="84" fillId="73" borderId="247"/>
    <xf numFmtId="0" fontId="84" fillId="73" borderId="247"/>
    <xf numFmtId="0" fontId="84" fillId="73" borderId="247"/>
    <xf numFmtId="0" fontId="84" fillId="73" borderId="247"/>
    <xf numFmtId="0" fontId="84" fillId="73" borderId="247"/>
    <xf numFmtId="0" fontId="84" fillId="73" borderId="247"/>
    <xf numFmtId="0" fontId="84" fillId="73" borderId="247"/>
    <xf numFmtId="0" fontId="84" fillId="73" borderId="247"/>
    <xf numFmtId="0" fontId="84" fillId="73" borderId="247"/>
    <xf numFmtId="0" fontId="84" fillId="73" borderId="247"/>
    <xf numFmtId="0" fontId="84" fillId="73" borderId="247"/>
    <xf numFmtId="0" fontId="84" fillId="73" borderId="247"/>
    <xf numFmtId="0" fontId="72" fillId="0" borderId="248" applyBorder="0">
      <alignment horizontal="center" vertical="center" wrapText="1"/>
    </xf>
    <xf numFmtId="0" fontId="72" fillId="0" borderId="248" applyBorder="0">
      <alignment horizontal="center" vertical="center" wrapText="1"/>
    </xf>
    <xf numFmtId="0" fontId="72" fillId="0" borderId="248" applyBorder="0">
      <alignment horizontal="center" vertical="center" wrapText="1"/>
    </xf>
    <xf numFmtId="0" fontId="72" fillId="0" borderId="248" applyBorder="0">
      <alignment horizontal="center" vertical="center" wrapText="1"/>
    </xf>
    <xf numFmtId="0" fontId="72" fillId="0" borderId="248" applyBorder="0">
      <alignment horizontal="center" vertical="center" wrapText="1"/>
    </xf>
    <xf numFmtId="0" fontId="72" fillId="0" borderId="248" applyBorder="0">
      <alignment horizontal="center" vertical="center" wrapText="1"/>
    </xf>
    <xf numFmtId="0" fontId="72" fillId="0" borderId="248" applyBorder="0">
      <alignment horizontal="center" vertical="center" wrapText="1"/>
    </xf>
    <xf numFmtId="0" fontId="72" fillId="0" borderId="248" applyBorder="0">
      <alignment horizontal="center" vertical="center" wrapText="1"/>
    </xf>
    <xf numFmtId="0" fontId="72" fillId="0" borderId="248" applyBorder="0">
      <alignment horizontal="center" vertical="center" wrapText="1"/>
    </xf>
    <xf numFmtId="0" fontId="72" fillId="0" borderId="248" applyBorder="0">
      <alignment horizontal="center" vertical="center" wrapText="1"/>
    </xf>
    <xf numFmtId="0" fontId="72" fillId="0" borderId="248" applyBorder="0">
      <alignment horizontal="center" vertical="center" wrapText="1"/>
    </xf>
    <xf numFmtId="0" fontId="72" fillId="0" borderId="248" applyBorder="0">
      <alignment horizontal="center" vertical="center" wrapText="1"/>
    </xf>
    <xf numFmtId="0" fontId="72" fillId="0" borderId="248" applyBorder="0">
      <alignment horizontal="center" vertical="center" wrapText="1"/>
    </xf>
    <xf numFmtId="0" fontId="72" fillId="0" borderId="248" applyBorder="0">
      <alignment horizontal="center" vertical="center" wrapText="1"/>
    </xf>
    <xf numFmtId="0" fontId="72" fillId="0" borderId="248" applyBorder="0">
      <alignment horizontal="center" vertical="center" wrapText="1"/>
    </xf>
    <xf numFmtId="0" fontId="72" fillId="0" borderId="248" applyBorder="0">
      <alignment horizontal="center" vertical="center" wrapText="1"/>
    </xf>
    <xf numFmtId="0" fontId="72" fillId="0" borderId="248" applyBorder="0">
      <alignment horizontal="center" vertical="center" wrapText="1"/>
    </xf>
    <xf numFmtId="0" fontId="72" fillId="0" borderId="248" applyBorder="0">
      <alignment horizontal="center" vertical="center" wrapText="1"/>
    </xf>
    <xf numFmtId="0" fontId="72" fillId="0" borderId="248" applyBorder="0">
      <alignment horizontal="center" vertical="center" wrapText="1"/>
    </xf>
    <xf numFmtId="0" fontId="72" fillId="0" borderId="248" applyBorder="0">
      <alignment horizontal="center" vertical="center" wrapText="1"/>
    </xf>
    <xf numFmtId="0" fontId="72" fillId="0" borderId="248" applyBorder="0">
      <alignment horizontal="center" vertical="center" wrapText="1"/>
    </xf>
    <xf numFmtId="0" fontId="72" fillId="0" borderId="248" applyBorder="0">
      <alignment horizontal="center" vertical="center" wrapText="1"/>
    </xf>
    <xf numFmtId="0" fontId="72" fillId="0" borderId="248" applyBorder="0">
      <alignment horizontal="center" vertical="center" wrapText="1"/>
    </xf>
    <xf numFmtId="0" fontId="72" fillId="0" borderId="248" applyBorder="0">
      <alignment horizontal="center" vertical="center" wrapText="1"/>
    </xf>
    <xf numFmtId="0" fontId="72" fillId="0" borderId="248" applyBorder="0">
      <alignment horizontal="center" vertical="center" wrapText="1"/>
    </xf>
    <xf numFmtId="0" fontId="72" fillId="0" borderId="248" applyBorder="0">
      <alignment horizontal="center" vertical="center" wrapText="1"/>
    </xf>
    <xf numFmtId="0" fontId="72" fillId="0" borderId="248" applyBorder="0">
      <alignment horizontal="center" vertical="center" wrapText="1"/>
    </xf>
    <xf numFmtId="0" fontId="72" fillId="0" borderId="248" applyBorder="0">
      <alignment horizontal="center" vertical="center" wrapText="1"/>
    </xf>
    <xf numFmtId="0" fontId="72" fillId="0" borderId="248" applyBorder="0">
      <alignment horizontal="center" vertical="center" wrapText="1"/>
    </xf>
    <xf numFmtId="0" fontId="72" fillId="0" borderId="248" applyBorder="0">
      <alignment horizontal="center" vertical="center" wrapText="1"/>
    </xf>
    <xf numFmtId="0" fontId="72" fillId="0" borderId="248" applyBorder="0">
      <alignment horizontal="center" vertical="center" wrapText="1"/>
    </xf>
    <xf numFmtId="0" fontId="72" fillId="0" borderId="248" applyBorder="0">
      <alignment horizontal="center" vertical="center" wrapText="1"/>
    </xf>
    <xf numFmtId="0" fontId="72" fillId="0" borderId="248" applyBorder="0">
      <alignment horizontal="center" vertical="center" wrapText="1"/>
    </xf>
    <xf numFmtId="0" fontId="72" fillId="0" borderId="248" applyBorder="0">
      <alignment horizontal="center" vertical="center" wrapText="1"/>
    </xf>
    <xf numFmtId="0" fontId="72" fillId="0" borderId="248" applyBorder="0">
      <alignment horizontal="center" vertical="center" wrapText="1"/>
    </xf>
    <xf numFmtId="0" fontId="72" fillId="0" borderId="248" applyBorder="0">
      <alignment horizontal="center" vertical="center" wrapText="1"/>
    </xf>
    <xf numFmtId="0" fontId="72" fillId="0" borderId="248" applyBorder="0">
      <alignment horizontal="center" vertical="center" wrapText="1"/>
    </xf>
    <xf numFmtId="0" fontId="72" fillId="0" borderId="248" applyBorder="0">
      <alignment horizontal="center" vertical="center" wrapText="1"/>
    </xf>
    <xf numFmtId="0" fontId="72" fillId="0" borderId="248" applyBorder="0">
      <alignment horizontal="center" vertical="center" wrapText="1"/>
    </xf>
    <xf numFmtId="0" fontId="72" fillId="0" borderId="248" applyBorder="0">
      <alignment horizontal="center" vertical="center" wrapText="1"/>
    </xf>
    <xf numFmtId="0" fontId="72" fillId="0" borderId="248" applyBorder="0">
      <alignment horizontal="center" vertical="center" wrapText="1"/>
    </xf>
    <xf numFmtId="0" fontId="72" fillId="0" borderId="248" applyBorder="0">
      <alignment horizontal="center" vertical="center" wrapText="1"/>
    </xf>
    <xf numFmtId="0" fontId="72" fillId="0" borderId="248" applyBorder="0">
      <alignment horizontal="center" vertical="center" wrapText="1"/>
    </xf>
    <xf numFmtId="0" fontId="72" fillId="0" borderId="248" applyBorder="0">
      <alignment horizontal="center" vertical="center" wrapText="1"/>
    </xf>
    <xf numFmtId="0" fontId="72" fillId="0" borderId="248" applyBorder="0">
      <alignment horizontal="center" vertical="center" wrapText="1"/>
    </xf>
    <xf numFmtId="0" fontId="72" fillId="0" borderId="248" applyBorder="0">
      <alignment horizontal="center" vertical="center" wrapText="1"/>
    </xf>
    <xf numFmtId="0" fontId="72" fillId="0" borderId="248" applyBorder="0">
      <alignment horizontal="center" vertical="center" wrapText="1"/>
    </xf>
    <xf numFmtId="0" fontId="72" fillId="0" borderId="248" applyBorder="0">
      <alignment horizontal="center" vertical="center" wrapText="1"/>
    </xf>
    <xf numFmtId="0" fontId="72" fillId="0" borderId="248" applyBorder="0">
      <alignment horizontal="center" vertical="center" wrapText="1"/>
    </xf>
    <xf numFmtId="0" fontId="72" fillId="0" borderId="248" applyBorder="0">
      <alignment horizontal="center" vertical="center" wrapText="1"/>
    </xf>
    <xf numFmtId="0" fontId="72" fillId="0" borderId="248" applyBorder="0">
      <alignment horizontal="center" vertical="center" wrapText="1"/>
    </xf>
    <xf numFmtId="0" fontId="72" fillId="0" borderId="248" applyBorder="0">
      <alignment horizontal="center" vertical="center" wrapText="1"/>
    </xf>
    <xf numFmtId="0" fontId="72" fillId="0" borderId="248" applyBorder="0">
      <alignment horizontal="center" vertical="center" wrapText="1"/>
    </xf>
    <xf numFmtId="0" fontId="72" fillId="0" borderId="248" applyBorder="0">
      <alignment horizontal="center" vertical="center" wrapText="1"/>
    </xf>
    <xf numFmtId="0" fontId="72" fillId="0" borderId="248" applyBorder="0">
      <alignment horizontal="center" vertical="center" wrapText="1"/>
    </xf>
    <xf numFmtId="0" fontId="72" fillId="0" borderId="248" applyBorder="0">
      <alignment horizontal="center" vertical="center" wrapText="1"/>
    </xf>
    <xf numFmtId="0" fontId="72" fillId="0" borderId="248" applyBorder="0">
      <alignment horizontal="center" vertical="center" wrapText="1"/>
    </xf>
    <xf numFmtId="0" fontId="72" fillId="0" borderId="248" applyBorder="0">
      <alignment horizontal="center" vertical="center" wrapText="1"/>
    </xf>
    <xf numFmtId="0" fontId="72" fillId="0" borderId="248" applyBorder="0">
      <alignment horizontal="center" vertical="center" wrapText="1"/>
    </xf>
    <xf numFmtId="0" fontId="72" fillId="0" borderId="248" applyBorder="0">
      <alignment horizontal="center" vertical="center" wrapText="1"/>
    </xf>
    <xf numFmtId="0" fontId="49" fillId="10" borderId="244" applyNumberFormat="0" applyFont="0" applyAlignment="0" applyProtection="0"/>
    <xf numFmtId="0" fontId="48" fillId="12" borderId="243" applyNumberFormat="0" applyAlignment="0" applyProtection="0"/>
    <xf numFmtId="0" fontId="25" fillId="8" borderId="243" applyNumberFormat="0" applyAlignment="0" applyProtection="0"/>
    <xf numFmtId="0" fontId="31" fillId="0" borderId="249" applyNumberFormat="0" applyFill="0" applyAlignment="0" applyProtection="0"/>
    <xf numFmtId="0" fontId="31" fillId="0" borderId="246" applyNumberFormat="0" applyFill="0" applyAlignment="0" applyProtection="0"/>
    <xf numFmtId="0" fontId="24" fillId="24" borderId="245" applyNumberFormat="0" applyAlignment="0" applyProtection="0"/>
    <xf numFmtId="0" fontId="8" fillId="10" borderId="244" applyNumberFormat="0" applyFont="0" applyAlignment="0" applyProtection="0"/>
    <xf numFmtId="0" fontId="41" fillId="13" borderId="243" applyNumberFormat="0" applyAlignment="0" applyProtection="0"/>
    <xf numFmtId="0" fontId="48" fillId="12" borderId="243" applyNumberFormat="0" applyAlignment="0" applyProtection="0"/>
    <xf numFmtId="0" fontId="48" fillId="24" borderId="243" applyNumberFormat="0" applyAlignment="0" applyProtection="0"/>
    <xf numFmtId="0" fontId="31" fillId="0" borderId="249" applyNumberFormat="0" applyFill="0" applyAlignment="0" applyProtection="0"/>
    <xf numFmtId="0" fontId="48" fillId="24" borderId="243" applyNumberFormat="0" applyAlignment="0" applyProtection="0"/>
    <xf numFmtId="0" fontId="49" fillId="10" borderId="244" applyNumberFormat="0" applyFont="0" applyAlignment="0" applyProtection="0"/>
    <xf numFmtId="0" fontId="29" fillId="12" borderId="250" applyNumberFormat="0" applyAlignment="0" applyProtection="0"/>
    <xf numFmtId="0" fontId="8" fillId="10" borderId="244" applyNumberFormat="0" applyFont="0" applyAlignment="0" applyProtection="0"/>
    <xf numFmtId="0" fontId="8" fillId="10" borderId="244" applyNumberFormat="0" applyFont="0" applyAlignment="0" applyProtection="0"/>
    <xf numFmtId="0" fontId="49" fillId="10" borderId="244" applyNumberFormat="0" applyFont="0" applyAlignment="0" applyProtection="0"/>
    <xf numFmtId="0" fontId="31" fillId="0" borderId="246" applyNumberFormat="0" applyFill="0" applyAlignment="0" applyProtection="0"/>
    <xf numFmtId="0" fontId="31" fillId="0" borderId="249" applyNumberFormat="0" applyFill="0" applyAlignment="0" applyProtection="0"/>
    <xf numFmtId="0" fontId="31" fillId="0" borderId="246" applyNumberFormat="0" applyFill="0" applyAlignment="0" applyProtection="0"/>
    <xf numFmtId="0" fontId="31" fillId="0" borderId="249" applyNumberFormat="0" applyFill="0" applyAlignment="0" applyProtection="0"/>
    <xf numFmtId="0" fontId="28" fillId="0" borderId="298"/>
    <xf numFmtId="0" fontId="72" fillId="0" borderId="320" applyBorder="0">
      <alignment horizontal="center" vertical="center" wrapText="1"/>
    </xf>
    <xf numFmtId="0" fontId="8" fillId="10" borderId="315" applyNumberFormat="0" applyFont="0" applyAlignment="0" applyProtection="0"/>
    <xf numFmtId="0" fontId="29" fillId="24" borderId="317" applyNumberFormat="0" applyAlignment="0" applyProtection="0"/>
    <xf numFmtId="0" fontId="31" fillId="0" borderId="290" applyNumberFormat="0" applyFill="0" applyAlignment="0" applyProtection="0"/>
    <xf numFmtId="0" fontId="31" fillId="0" borderId="313" applyNumberFormat="0" applyFill="0" applyAlignment="0" applyProtection="0"/>
    <xf numFmtId="0" fontId="48" fillId="12" borderId="314" applyNumberFormat="0" applyAlignment="0" applyProtection="0"/>
    <xf numFmtId="0" fontId="31" fillId="0" borderId="295" applyNumberFormat="0" applyFill="0" applyAlignment="0" applyProtection="0"/>
    <xf numFmtId="0" fontId="29" fillId="24" borderId="294" applyNumberFormat="0" applyAlignment="0" applyProtection="0"/>
    <xf numFmtId="0" fontId="72" fillId="0" borderId="265" applyBorder="0">
      <alignment horizontal="center" vertical="center" wrapText="1"/>
    </xf>
    <xf numFmtId="0" fontId="29" fillId="24" borderId="317" applyNumberFormat="0" applyAlignment="0" applyProtection="0"/>
    <xf numFmtId="0" fontId="25" fillId="8" borderId="291" applyNumberFormat="0" applyAlignment="0" applyProtection="0"/>
    <xf numFmtId="0" fontId="31" fillId="0" borderId="295" applyNumberFormat="0" applyFill="0" applyAlignment="0" applyProtection="0"/>
    <xf numFmtId="0" fontId="48" fillId="12" borderId="291" applyNumberFormat="0" applyAlignment="0" applyProtection="0"/>
    <xf numFmtId="0" fontId="25" fillId="13" borderId="261" applyNumberFormat="0" applyAlignment="0" applyProtection="0"/>
    <xf numFmtId="0" fontId="25" fillId="13" borderId="291" applyNumberFormat="0" applyAlignment="0" applyProtection="0"/>
    <xf numFmtId="0" fontId="72" fillId="0" borderId="297" applyBorder="0">
      <alignment horizontal="center" vertical="center" wrapText="1"/>
    </xf>
    <xf numFmtId="0" fontId="28" fillId="10" borderId="292" applyNumberFormat="0" applyFont="0" applyAlignment="0" applyProtection="0"/>
    <xf numFmtId="0" fontId="28" fillId="10" borderId="292" applyNumberFormat="0" applyFont="0" applyAlignment="0" applyProtection="0"/>
    <xf numFmtId="0" fontId="29" fillId="24" borderId="294" applyNumberFormat="0" applyAlignment="0" applyProtection="0"/>
    <xf numFmtId="0" fontId="31" fillId="0" borderId="290" applyNumberFormat="0" applyFill="0" applyAlignment="0" applyProtection="0"/>
    <xf numFmtId="0" fontId="48" fillId="24" borderId="254" applyNumberFormat="0" applyAlignment="0" applyProtection="0"/>
    <xf numFmtId="0" fontId="48" fillId="24" borderId="254" applyNumberFormat="0" applyAlignment="0" applyProtection="0"/>
    <xf numFmtId="0" fontId="48" fillId="24" borderId="254" applyNumberFormat="0" applyAlignment="0" applyProtection="0"/>
    <xf numFmtId="0" fontId="48" fillId="24" borderId="254" applyNumberFormat="0" applyAlignment="0" applyProtection="0"/>
    <xf numFmtId="0" fontId="48" fillId="24" borderId="254" applyNumberFormat="0" applyAlignment="0" applyProtection="0"/>
    <xf numFmtId="0" fontId="48" fillId="24" borderId="254" applyNumberFormat="0" applyAlignment="0" applyProtection="0"/>
    <xf numFmtId="0" fontId="48" fillId="24" borderId="254" applyNumberFormat="0" applyAlignment="0" applyProtection="0"/>
    <xf numFmtId="0" fontId="48" fillId="24" borderId="254" applyNumberFormat="0" applyAlignment="0" applyProtection="0"/>
    <xf numFmtId="0" fontId="48" fillId="24" borderId="254" applyNumberFormat="0" applyAlignment="0" applyProtection="0"/>
    <xf numFmtId="0" fontId="48" fillId="24" borderId="254" applyNumberFormat="0" applyAlignment="0" applyProtection="0"/>
    <xf numFmtId="0" fontId="48" fillId="24" borderId="254" applyNumberFormat="0" applyAlignment="0" applyProtection="0"/>
    <xf numFmtId="0" fontId="48" fillId="24" borderId="254" applyNumberFormat="0" applyAlignment="0" applyProtection="0"/>
    <xf numFmtId="0" fontId="48" fillId="24" borderId="254" applyNumberFormat="0" applyAlignment="0" applyProtection="0"/>
    <xf numFmtId="0" fontId="48" fillId="24" borderId="254" applyNumberFormat="0" applyAlignment="0" applyProtection="0"/>
    <xf numFmtId="0" fontId="48" fillId="24" borderId="254" applyNumberFormat="0" applyAlignment="0" applyProtection="0"/>
    <xf numFmtId="0" fontId="48" fillId="24" borderId="254" applyNumberFormat="0" applyAlignment="0" applyProtection="0"/>
    <xf numFmtId="0" fontId="48" fillId="24" borderId="254" applyNumberFormat="0" applyAlignment="0" applyProtection="0"/>
    <xf numFmtId="0" fontId="48" fillId="24" borderId="254" applyNumberFormat="0" applyAlignment="0" applyProtection="0"/>
    <xf numFmtId="0" fontId="48" fillId="24" borderId="254" applyNumberFormat="0" applyAlignment="0" applyProtection="0"/>
    <xf numFmtId="0" fontId="48" fillId="24" borderId="254" applyNumberFormat="0" applyAlignment="0" applyProtection="0"/>
    <xf numFmtId="0" fontId="48" fillId="24" borderId="254" applyNumberFormat="0" applyAlignment="0" applyProtection="0"/>
    <xf numFmtId="0" fontId="48" fillId="24" borderId="254" applyNumberFormat="0" applyAlignment="0" applyProtection="0"/>
    <xf numFmtId="0" fontId="48" fillId="24" borderId="254" applyNumberFormat="0" applyAlignment="0" applyProtection="0"/>
    <xf numFmtId="0" fontId="48" fillId="24" borderId="254" applyNumberFormat="0" applyAlignment="0" applyProtection="0"/>
    <xf numFmtId="0" fontId="48" fillId="24" borderId="254" applyNumberFormat="0" applyAlignment="0" applyProtection="0"/>
    <xf numFmtId="0" fontId="48" fillId="24" borderId="254" applyNumberFormat="0" applyAlignment="0" applyProtection="0"/>
    <xf numFmtId="0" fontId="48" fillId="24" borderId="254" applyNumberFormat="0" applyAlignment="0" applyProtection="0"/>
    <xf numFmtId="0" fontId="48" fillId="24" borderId="254" applyNumberFormat="0" applyAlignment="0" applyProtection="0"/>
    <xf numFmtId="0" fontId="48" fillId="24" borderId="254" applyNumberFormat="0" applyAlignment="0" applyProtection="0"/>
    <xf numFmtId="0" fontId="48" fillId="24" borderId="254" applyNumberFormat="0" applyAlignment="0" applyProtection="0"/>
    <xf numFmtId="0" fontId="48" fillId="24" borderId="254" applyNumberFormat="0" applyAlignment="0" applyProtection="0"/>
    <xf numFmtId="0" fontId="48" fillId="24" borderId="254" applyNumberFormat="0" applyAlignment="0" applyProtection="0"/>
    <xf numFmtId="0" fontId="48" fillId="24" borderId="254" applyNumberFormat="0" applyAlignment="0" applyProtection="0"/>
    <xf numFmtId="0" fontId="48" fillId="24" borderId="254" applyNumberFormat="0" applyAlignment="0" applyProtection="0"/>
    <xf numFmtId="0" fontId="48" fillId="24" borderId="254" applyNumberFormat="0" applyAlignment="0" applyProtection="0"/>
    <xf numFmtId="0" fontId="48" fillId="24" borderId="254" applyNumberFormat="0" applyAlignment="0" applyProtection="0"/>
    <xf numFmtId="0" fontId="48" fillId="24" borderId="254" applyNumberFormat="0" applyAlignment="0" applyProtection="0"/>
    <xf numFmtId="0" fontId="48" fillId="24" borderId="254" applyNumberFormat="0" applyAlignment="0" applyProtection="0"/>
    <xf numFmtId="0" fontId="48" fillId="24" borderId="254" applyNumberFormat="0" applyAlignment="0" applyProtection="0"/>
    <xf numFmtId="0" fontId="48" fillId="24" borderId="254" applyNumberFormat="0" applyAlignment="0" applyProtection="0"/>
    <xf numFmtId="0" fontId="48" fillId="24" borderId="254" applyNumberFormat="0" applyAlignment="0" applyProtection="0"/>
    <xf numFmtId="0" fontId="48" fillId="24" borderId="254" applyNumberFormat="0" applyAlignment="0" applyProtection="0"/>
    <xf numFmtId="0" fontId="48" fillId="24" borderId="254" applyNumberFormat="0" applyAlignment="0" applyProtection="0"/>
    <xf numFmtId="0" fontId="48" fillId="24" borderId="254" applyNumberFormat="0" applyAlignment="0" applyProtection="0"/>
    <xf numFmtId="0" fontId="48" fillId="24" borderId="254" applyNumberFormat="0" applyAlignment="0" applyProtection="0"/>
    <xf numFmtId="0" fontId="48" fillId="24" borderId="254" applyNumberFormat="0" applyAlignment="0" applyProtection="0"/>
    <xf numFmtId="0" fontId="48" fillId="24" borderId="254" applyNumberFormat="0" applyAlignment="0" applyProtection="0"/>
    <xf numFmtId="0" fontId="48" fillId="24" borderId="254" applyNumberFormat="0" applyAlignment="0" applyProtection="0"/>
    <xf numFmtId="0" fontId="48" fillId="24" borderId="254" applyNumberFormat="0" applyAlignment="0" applyProtection="0"/>
    <xf numFmtId="0" fontId="48" fillId="24" borderId="254" applyNumberFormat="0" applyAlignment="0" applyProtection="0"/>
    <xf numFmtId="0" fontId="48" fillId="24" borderId="254" applyNumberFormat="0" applyAlignment="0" applyProtection="0"/>
    <xf numFmtId="0" fontId="48" fillId="24" borderId="254" applyNumberFormat="0" applyAlignment="0" applyProtection="0"/>
    <xf numFmtId="0" fontId="48" fillId="24" borderId="254" applyNumberFormat="0" applyAlignment="0" applyProtection="0"/>
    <xf numFmtId="0" fontId="48" fillId="24" borderId="254" applyNumberFormat="0" applyAlignment="0" applyProtection="0"/>
    <xf numFmtId="0" fontId="48" fillId="24" borderId="254" applyNumberFormat="0" applyAlignment="0" applyProtection="0"/>
    <xf numFmtId="0" fontId="48" fillId="24" borderId="254" applyNumberFormat="0" applyAlignment="0" applyProtection="0"/>
    <xf numFmtId="0" fontId="48" fillId="24" borderId="254" applyNumberFormat="0" applyAlignment="0" applyProtection="0"/>
    <xf numFmtId="0" fontId="48" fillId="24" borderId="254" applyNumberFormat="0" applyAlignment="0" applyProtection="0"/>
    <xf numFmtId="0" fontId="48" fillId="24" borderId="254" applyNumberFormat="0" applyAlignment="0" applyProtection="0"/>
    <xf numFmtId="0" fontId="48" fillId="24" borderId="254" applyNumberFormat="0" applyAlignment="0" applyProtection="0"/>
    <xf numFmtId="0" fontId="48" fillId="24" borderId="254" applyNumberFormat="0" applyAlignment="0" applyProtection="0"/>
    <xf numFmtId="0" fontId="48" fillId="24" borderId="254" applyNumberFormat="0" applyAlignment="0" applyProtection="0"/>
    <xf numFmtId="0" fontId="48" fillId="24" borderId="254" applyNumberFormat="0" applyAlignment="0" applyProtection="0"/>
    <xf numFmtId="0" fontId="48" fillId="24" borderId="254" applyNumberFormat="0" applyAlignment="0" applyProtection="0"/>
    <xf numFmtId="0" fontId="48" fillId="24" borderId="254" applyNumberFormat="0" applyAlignment="0" applyProtection="0"/>
    <xf numFmtId="0" fontId="48" fillId="24" borderId="254" applyNumberFormat="0" applyAlignment="0" applyProtection="0"/>
    <xf numFmtId="0" fontId="48" fillId="24" borderId="254" applyNumberFormat="0" applyAlignment="0" applyProtection="0"/>
    <xf numFmtId="0" fontId="48" fillId="24" borderId="254" applyNumberFormat="0" applyAlignment="0" applyProtection="0"/>
    <xf numFmtId="0" fontId="48" fillId="24" borderId="254" applyNumberFormat="0" applyAlignment="0" applyProtection="0"/>
    <xf numFmtId="0" fontId="48" fillId="24" borderId="254" applyNumberFormat="0" applyAlignment="0" applyProtection="0"/>
    <xf numFmtId="0" fontId="48" fillId="24" borderId="254" applyNumberFormat="0" applyAlignment="0" applyProtection="0"/>
    <xf numFmtId="0" fontId="48" fillId="24" borderId="254" applyNumberFormat="0" applyAlignment="0" applyProtection="0"/>
    <xf numFmtId="0" fontId="48" fillId="24" borderId="254" applyNumberFormat="0" applyAlignment="0" applyProtection="0"/>
    <xf numFmtId="0" fontId="48" fillId="24" borderId="254" applyNumberFormat="0" applyAlignment="0" applyProtection="0"/>
    <xf numFmtId="0" fontId="48" fillId="24" borderId="254" applyNumberFormat="0" applyAlignment="0" applyProtection="0"/>
    <xf numFmtId="0" fontId="48" fillId="24" borderId="254" applyNumberFormat="0" applyAlignment="0" applyProtection="0"/>
    <xf numFmtId="0" fontId="48" fillId="24" borderId="254" applyNumberFormat="0" applyAlignment="0" applyProtection="0"/>
    <xf numFmtId="0" fontId="48" fillId="24" borderId="254" applyNumberFormat="0" applyAlignment="0" applyProtection="0"/>
    <xf numFmtId="0" fontId="32" fillId="24" borderId="254" applyNumberFormat="0" applyAlignment="0" applyProtection="0"/>
    <xf numFmtId="0" fontId="32" fillId="24" borderId="254" applyNumberFormat="0" applyAlignment="0" applyProtection="0"/>
    <xf numFmtId="0" fontId="32" fillId="24" borderId="254" applyNumberFormat="0" applyAlignment="0" applyProtection="0"/>
    <xf numFmtId="0" fontId="32" fillId="24" borderId="254" applyNumberFormat="0" applyAlignment="0" applyProtection="0"/>
    <xf numFmtId="0" fontId="32" fillId="24" borderId="254" applyNumberFormat="0" applyAlignment="0" applyProtection="0"/>
    <xf numFmtId="0" fontId="32" fillId="24" borderId="254" applyNumberFormat="0" applyAlignment="0" applyProtection="0"/>
    <xf numFmtId="0" fontId="32" fillId="24" borderId="254" applyNumberFormat="0" applyAlignment="0" applyProtection="0"/>
    <xf numFmtId="0" fontId="32" fillId="24" borderId="254" applyNumberFormat="0" applyAlignment="0" applyProtection="0"/>
    <xf numFmtId="0" fontId="32" fillId="24" borderId="254" applyNumberFormat="0" applyAlignment="0" applyProtection="0"/>
    <xf numFmtId="0" fontId="32" fillId="24" borderId="254" applyNumberFormat="0" applyAlignment="0" applyProtection="0"/>
    <xf numFmtId="0" fontId="32" fillId="24" borderId="254" applyNumberFormat="0" applyAlignment="0" applyProtection="0"/>
    <xf numFmtId="0" fontId="32" fillId="24" borderId="254" applyNumberFormat="0" applyAlignment="0" applyProtection="0"/>
    <xf numFmtId="0" fontId="32" fillId="24" borderId="254" applyNumberFormat="0" applyAlignment="0" applyProtection="0"/>
    <xf numFmtId="0" fontId="32" fillId="24" borderId="254" applyNumberFormat="0" applyAlignment="0" applyProtection="0"/>
    <xf numFmtId="0" fontId="32" fillId="24" borderId="254" applyNumberFormat="0" applyAlignment="0" applyProtection="0"/>
    <xf numFmtId="0" fontId="32" fillId="24" borderId="254" applyNumberFormat="0" applyAlignment="0" applyProtection="0"/>
    <xf numFmtId="0" fontId="32" fillId="24" borderId="254" applyNumberFormat="0" applyAlignment="0" applyProtection="0"/>
    <xf numFmtId="0" fontId="32" fillId="24" borderId="254" applyNumberFormat="0" applyAlignment="0" applyProtection="0"/>
    <xf numFmtId="0" fontId="32" fillId="24" borderId="254" applyNumberFormat="0" applyAlignment="0" applyProtection="0"/>
    <xf numFmtId="0" fontId="32" fillId="24" borderId="254" applyNumberFormat="0" applyAlignment="0" applyProtection="0"/>
    <xf numFmtId="0" fontId="32" fillId="24" borderId="254" applyNumberFormat="0" applyAlignment="0" applyProtection="0"/>
    <xf numFmtId="0" fontId="32" fillId="24" borderId="254" applyNumberFormat="0" applyAlignment="0" applyProtection="0"/>
    <xf numFmtId="0" fontId="32" fillId="24" borderId="254" applyNumberFormat="0" applyAlignment="0" applyProtection="0"/>
    <xf numFmtId="0" fontId="32" fillId="24" borderId="254" applyNumberFormat="0" applyAlignment="0" applyProtection="0"/>
    <xf numFmtId="0" fontId="32" fillId="24" borderId="254" applyNumberFormat="0" applyAlignment="0" applyProtection="0"/>
    <xf numFmtId="0" fontId="32" fillId="24" borderId="254" applyNumberFormat="0" applyAlignment="0" applyProtection="0"/>
    <xf numFmtId="0" fontId="32" fillId="24" borderId="254" applyNumberFormat="0" applyAlignment="0" applyProtection="0"/>
    <xf numFmtId="0" fontId="32" fillId="24" borderId="254" applyNumberFormat="0" applyAlignment="0" applyProtection="0"/>
    <xf numFmtId="0" fontId="32" fillId="24" borderId="254" applyNumberFormat="0" applyAlignment="0" applyProtection="0"/>
    <xf numFmtId="0" fontId="32" fillId="24" borderId="254" applyNumberFormat="0" applyAlignment="0" applyProtection="0"/>
    <xf numFmtId="0" fontId="32" fillId="24" borderId="254" applyNumberFormat="0" applyAlignment="0" applyProtection="0"/>
    <xf numFmtId="0" fontId="32" fillId="24" borderId="254" applyNumberFormat="0" applyAlignment="0" applyProtection="0"/>
    <xf numFmtId="0" fontId="32" fillId="24" borderId="254" applyNumberFormat="0" applyAlignment="0" applyProtection="0"/>
    <xf numFmtId="0" fontId="32" fillId="24" borderId="254" applyNumberFormat="0" applyAlignment="0" applyProtection="0"/>
    <xf numFmtId="0" fontId="32" fillId="24" borderId="254" applyNumberFormat="0" applyAlignment="0" applyProtection="0"/>
    <xf numFmtId="0" fontId="32" fillId="24" borderId="254" applyNumberFormat="0" applyAlignment="0" applyProtection="0"/>
    <xf numFmtId="0" fontId="32" fillId="24" borderId="254" applyNumberFormat="0" applyAlignment="0" applyProtection="0"/>
    <xf numFmtId="0" fontId="32" fillId="24" borderId="254" applyNumberFormat="0" applyAlignment="0" applyProtection="0"/>
    <xf numFmtId="0" fontId="32" fillId="24" borderId="254" applyNumberFormat="0" applyAlignment="0" applyProtection="0"/>
    <xf numFmtId="0" fontId="32" fillId="24" borderId="254" applyNumberFormat="0" applyAlignment="0" applyProtection="0"/>
    <xf numFmtId="0" fontId="32" fillId="24" borderId="254" applyNumberFormat="0" applyAlignment="0" applyProtection="0"/>
    <xf numFmtId="0" fontId="32" fillId="24" borderId="254" applyNumberFormat="0" applyAlignment="0" applyProtection="0"/>
    <xf numFmtId="0" fontId="32" fillId="24" borderId="254" applyNumberFormat="0" applyAlignment="0" applyProtection="0"/>
    <xf numFmtId="0" fontId="32" fillId="24" borderId="254" applyNumberFormat="0" applyAlignment="0" applyProtection="0"/>
    <xf numFmtId="0" fontId="32" fillId="24" borderId="254" applyNumberFormat="0" applyAlignment="0" applyProtection="0"/>
    <xf numFmtId="0" fontId="32" fillId="24" borderId="254" applyNumberFormat="0" applyAlignment="0" applyProtection="0"/>
    <xf numFmtId="0" fontId="32" fillId="24" borderId="254" applyNumberFormat="0" applyAlignment="0" applyProtection="0"/>
    <xf numFmtId="0" fontId="32" fillId="24" borderId="254" applyNumberFormat="0" applyAlignment="0" applyProtection="0"/>
    <xf numFmtId="0" fontId="32" fillId="24" borderId="254" applyNumberFormat="0" applyAlignment="0" applyProtection="0"/>
    <xf numFmtId="0" fontId="16" fillId="24" borderId="254" applyNumberFormat="0" applyAlignment="0" applyProtection="0"/>
    <xf numFmtId="0" fontId="16" fillId="24" borderId="254" applyNumberFormat="0" applyAlignment="0" applyProtection="0"/>
    <xf numFmtId="0" fontId="16" fillId="24" borderId="254" applyNumberFormat="0" applyAlignment="0" applyProtection="0"/>
    <xf numFmtId="0" fontId="16" fillId="24" borderId="254" applyNumberFormat="0" applyAlignment="0" applyProtection="0"/>
    <xf numFmtId="0" fontId="16" fillId="24" borderId="254" applyNumberFormat="0" applyAlignment="0" applyProtection="0"/>
    <xf numFmtId="0" fontId="16" fillId="24" borderId="254" applyNumberFormat="0" applyAlignment="0" applyProtection="0"/>
    <xf numFmtId="0" fontId="16" fillId="24" borderId="254" applyNumberFormat="0" applyAlignment="0" applyProtection="0"/>
    <xf numFmtId="0" fontId="16" fillId="24" borderId="254" applyNumberFormat="0" applyAlignment="0" applyProtection="0"/>
    <xf numFmtId="0" fontId="16" fillId="24" borderId="254" applyNumberFormat="0" applyAlignment="0" applyProtection="0"/>
    <xf numFmtId="0" fontId="16" fillId="24" borderId="254" applyNumberFormat="0" applyAlignment="0" applyProtection="0"/>
    <xf numFmtId="0" fontId="16" fillId="24" borderId="254" applyNumberFormat="0" applyAlignment="0" applyProtection="0"/>
    <xf numFmtId="0" fontId="16" fillId="24" borderId="254" applyNumberFormat="0" applyAlignment="0" applyProtection="0"/>
    <xf numFmtId="0" fontId="16" fillId="24" borderId="254" applyNumberFormat="0" applyAlignment="0" applyProtection="0"/>
    <xf numFmtId="0" fontId="16" fillId="24" borderId="254" applyNumberFormat="0" applyAlignment="0" applyProtection="0"/>
    <xf numFmtId="0" fontId="16" fillId="24" borderId="254" applyNumberFormat="0" applyAlignment="0" applyProtection="0"/>
    <xf numFmtId="0" fontId="16" fillId="24" borderId="254" applyNumberFormat="0" applyAlignment="0" applyProtection="0"/>
    <xf numFmtId="0" fontId="16" fillId="24" borderId="254" applyNumberFormat="0" applyAlignment="0" applyProtection="0"/>
    <xf numFmtId="0" fontId="16" fillId="24" borderId="254" applyNumberFormat="0" applyAlignment="0" applyProtection="0"/>
    <xf numFmtId="0" fontId="16" fillId="24" borderId="254" applyNumberFormat="0" applyAlignment="0" applyProtection="0"/>
    <xf numFmtId="0" fontId="16" fillId="24" borderId="254" applyNumberFormat="0" applyAlignment="0" applyProtection="0"/>
    <xf numFmtId="0" fontId="16" fillId="24" borderId="254" applyNumberFormat="0" applyAlignment="0" applyProtection="0"/>
    <xf numFmtId="0" fontId="16" fillId="24" borderId="254" applyNumberFormat="0" applyAlignment="0" applyProtection="0"/>
    <xf numFmtId="0" fontId="16" fillId="24" borderId="254" applyNumberFormat="0" applyAlignment="0" applyProtection="0"/>
    <xf numFmtId="0" fontId="16" fillId="24" borderId="254" applyNumberFormat="0" applyAlignment="0" applyProtection="0"/>
    <xf numFmtId="0" fontId="16" fillId="24" borderId="254" applyNumberFormat="0" applyAlignment="0" applyProtection="0"/>
    <xf numFmtId="0" fontId="16" fillId="24" borderId="254" applyNumberFormat="0" applyAlignment="0" applyProtection="0"/>
    <xf numFmtId="0" fontId="16" fillId="24" borderId="254" applyNumberFormat="0" applyAlignment="0" applyProtection="0"/>
    <xf numFmtId="0" fontId="16" fillId="24" borderId="254" applyNumberFormat="0" applyAlignment="0" applyProtection="0"/>
    <xf numFmtId="0" fontId="16" fillId="24" borderId="254" applyNumberFormat="0" applyAlignment="0" applyProtection="0"/>
    <xf numFmtId="0" fontId="16" fillId="24" borderId="254" applyNumberFormat="0" applyAlignment="0" applyProtection="0"/>
    <xf numFmtId="0" fontId="16" fillId="24" borderId="254" applyNumberFormat="0" applyAlignment="0" applyProtection="0"/>
    <xf numFmtId="0" fontId="16" fillId="24" borderId="254" applyNumberFormat="0" applyAlignment="0" applyProtection="0"/>
    <xf numFmtId="0" fontId="16" fillId="24" borderId="254" applyNumberFormat="0" applyAlignment="0" applyProtection="0"/>
    <xf numFmtId="0" fontId="16" fillId="24" borderId="254" applyNumberFormat="0" applyAlignment="0" applyProtection="0"/>
    <xf numFmtId="0" fontId="16" fillId="24" borderId="254" applyNumberFormat="0" applyAlignment="0" applyProtection="0"/>
    <xf numFmtId="0" fontId="16" fillId="24" borderId="254" applyNumberFormat="0" applyAlignment="0" applyProtection="0"/>
    <xf numFmtId="0" fontId="16" fillId="24" borderId="254" applyNumberFormat="0" applyAlignment="0" applyProtection="0"/>
    <xf numFmtId="0" fontId="16" fillId="24" borderId="254" applyNumberFormat="0" applyAlignment="0" applyProtection="0"/>
    <xf numFmtId="0" fontId="16" fillId="24" borderId="254" applyNumberFormat="0" applyAlignment="0" applyProtection="0"/>
    <xf numFmtId="0" fontId="16" fillId="24" borderId="254" applyNumberFormat="0" applyAlignment="0" applyProtection="0"/>
    <xf numFmtId="0" fontId="16" fillId="24" borderId="254" applyNumberFormat="0" applyAlignment="0" applyProtection="0"/>
    <xf numFmtId="0" fontId="16" fillId="24" borderId="254" applyNumberFormat="0" applyAlignment="0" applyProtection="0"/>
    <xf numFmtId="0" fontId="16" fillId="24" borderId="254" applyNumberFormat="0" applyAlignment="0" applyProtection="0"/>
    <xf numFmtId="0" fontId="16" fillId="24" borderId="254" applyNumberFormat="0" applyAlignment="0" applyProtection="0"/>
    <xf numFmtId="0" fontId="16" fillId="24" borderId="254" applyNumberFormat="0" applyAlignment="0" applyProtection="0"/>
    <xf numFmtId="0" fontId="16" fillId="24" borderId="254" applyNumberFormat="0" applyAlignment="0" applyProtection="0"/>
    <xf numFmtId="0" fontId="16" fillId="24" borderId="254" applyNumberFormat="0" applyAlignment="0" applyProtection="0"/>
    <xf numFmtId="0" fontId="16" fillId="24" borderId="254" applyNumberFormat="0" applyAlignment="0" applyProtection="0"/>
    <xf numFmtId="0" fontId="16" fillId="24" borderId="254" applyNumberFormat="0" applyAlignment="0" applyProtection="0"/>
    <xf numFmtId="0" fontId="48" fillId="24" borderId="254" applyNumberFormat="0" applyAlignment="0" applyProtection="0"/>
    <xf numFmtId="0" fontId="48" fillId="24" borderId="254" applyNumberFormat="0" applyAlignment="0" applyProtection="0"/>
    <xf numFmtId="0" fontId="48" fillId="24" borderId="254" applyNumberFormat="0" applyAlignment="0" applyProtection="0"/>
    <xf numFmtId="0" fontId="48" fillId="24" borderId="254" applyNumberFormat="0" applyAlignment="0" applyProtection="0"/>
    <xf numFmtId="0" fontId="48" fillId="24" borderId="254" applyNumberFormat="0" applyAlignment="0" applyProtection="0"/>
    <xf numFmtId="0" fontId="48" fillId="24" borderId="254" applyNumberFormat="0" applyAlignment="0" applyProtection="0"/>
    <xf numFmtId="0" fontId="48" fillId="24" borderId="254" applyNumberFormat="0" applyAlignment="0" applyProtection="0"/>
    <xf numFmtId="0" fontId="48" fillId="24" borderId="254" applyNumberFormat="0" applyAlignment="0" applyProtection="0"/>
    <xf numFmtId="0" fontId="48" fillId="24" borderId="254" applyNumberFormat="0" applyAlignment="0" applyProtection="0"/>
    <xf numFmtId="0" fontId="48" fillId="24" borderId="254" applyNumberFormat="0" applyAlignment="0" applyProtection="0"/>
    <xf numFmtId="0" fontId="48" fillId="24" borderId="254" applyNumberFormat="0" applyAlignment="0" applyProtection="0"/>
    <xf numFmtId="0" fontId="48" fillId="24" borderId="254" applyNumberFormat="0" applyAlignment="0" applyProtection="0"/>
    <xf numFmtId="0" fontId="48" fillId="24" borderId="254" applyNumberFormat="0" applyAlignment="0" applyProtection="0"/>
    <xf numFmtId="0" fontId="48" fillId="24" borderId="254" applyNumberFormat="0" applyAlignment="0" applyProtection="0"/>
    <xf numFmtId="0" fontId="48" fillId="24" borderId="254" applyNumberFormat="0" applyAlignment="0" applyProtection="0"/>
    <xf numFmtId="0" fontId="48" fillId="24" borderId="254" applyNumberFormat="0" applyAlignment="0" applyProtection="0"/>
    <xf numFmtId="0" fontId="48" fillId="24" borderId="254" applyNumberFormat="0" applyAlignment="0" applyProtection="0"/>
    <xf numFmtId="0" fontId="48" fillId="24" borderId="254" applyNumberFormat="0" applyAlignment="0" applyProtection="0"/>
    <xf numFmtId="0" fontId="48" fillId="24" borderId="254" applyNumberFormat="0" applyAlignment="0" applyProtection="0"/>
    <xf numFmtId="0" fontId="48" fillId="24" borderId="254" applyNumberFormat="0" applyAlignment="0" applyProtection="0"/>
    <xf numFmtId="0" fontId="48" fillId="24" borderId="254" applyNumberFormat="0" applyAlignment="0" applyProtection="0"/>
    <xf numFmtId="0" fontId="48" fillId="24" borderId="254" applyNumberFormat="0" applyAlignment="0" applyProtection="0"/>
    <xf numFmtId="0" fontId="48" fillId="24" borderId="254" applyNumberFormat="0" applyAlignment="0" applyProtection="0"/>
    <xf numFmtId="0" fontId="48" fillId="24" borderId="254" applyNumberFormat="0" applyAlignment="0" applyProtection="0"/>
    <xf numFmtId="0" fontId="48" fillId="24" borderId="254" applyNumberFormat="0" applyAlignment="0" applyProtection="0"/>
    <xf numFmtId="0" fontId="48" fillId="24" borderId="254" applyNumberFormat="0" applyAlignment="0" applyProtection="0"/>
    <xf numFmtId="0" fontId="48" fillId="24" borderId="254" applyNumberFormat="0" applyAlignment="0" applyProtection="0"/>
    <xf numFmtId="0" fontId="48" fillId="24" borderId="254" applyNumberFormat="0" applyAlignment="0" applyProtection="0"/>
    <xf numFmtId="0" fontId="48" fillId="24" borderId="254" applyNumberFormat="0" applyAlignment="0" applyProtection="0"/>
    <xf numFmtId="0" fontId="48" fillId="24" borderId="254" applyNumberFormat="0" applyAlignment="0" applyProtection="0"/>
    <xf numFmtId="0" fontId="48" fillId="24" borderId="254" applyNumberFormat="0" applyAlignment="0" applyProtection="0"/>
    <xf numFmtId="0" fontId="48" fillId="24" borderId="254" applyNumberFormat="0" applyAlignment="0" applyProtection="0"/>
    <xf numFmtId="0" fontId="48" fillId="24" borderId="254" applyNumberFormat="0" applyAlignment="0" applyProtection="0"/>
    <xf numFmtId="0" fontId="48" fillId="24" borderId="254" applyNumberFormat="0" applyAlignment="0" applyProtection="0"/>
    <xf numFmtId="0" fontId="48" fillId="24" borderId="254" applyNumberFormat="0" applyAlignment="0" applyProtection="0"/>
    <xf numFmtId="0" fontId="48" fillId="24" borderId="254" applyNumberFormat="0" applyAlignment="0" applyProtection="0"/>
    <xf numFmtId="0" fontId="48" fillId="24" borderId="254" applyNumberFormat="0" applyAlignment="0" applyProtection="0"/>
    <xf numFmtId="0" fontId="48" fillId="24" borderId="254" applyNumberFormat="0" applyAlignment="0" applyProtection="0"/>
    <xf numFmtId="0" fontId="48" fillId="24" borderId="254" applyNumberFormat="0" applyAlignment="0" applyProtection="0"/>
    <xf numFmtId="0" fontId="48" fillId="24" borderId="254" applyNumberFormat="0" applyAlignment="0" applyProtection="0"/>
    <xf numFmtId="0" fontId="48" fillId="24" borderId="254" applyNumberFormat="0" applyAlignment="0" applyProtection="0"/>
    <xf numFmtId="0" fontId="48" fillId="24" borderId="254" applyNumberFormat="0" applyAlignment="0" applyProtection="0"/>
    <xf numFmtId="0" fontId="48" fillId="24" borderId="254" applyNumberFormat="0" applyAlignment="0" applyProtection="0"/>
    <xf numFmtId="0" fontId="48" fillId="24" borderId="254" applyNumberFormat="0" applyAlignment="0" applyProtection="0"/>
    <xf numFmtId="0" fontId="48" fillId="24" borderId="254" applyNumberFormat="0" applyAlignment="0" applyProtection="0"/>
    <xf numFmtId="0" fontId="48" fillId="24" borderId="254" applyNumberFormat="0" applyAlignment="0" applyProtection="0"/>
    <xf numFmtId="0" fontId="48" fillId="24" borderId="254" applyNumberFormat="0" applyAlignment="0" applyProtection="0"/>
    <xf numFmtId="0" fontId="48" fillId="24" borderId="254" applyNumberFormat="0" applyAlignment="0" applyProtection="0"/>
    <xf numFmtId="0" fontId="48" fillId="12" borderId="254" applyNumberFormat="0" applyAlignment="0" applyProtection="0"/>
    <xf numFmtId="0" fontId="48" fillId="12" borderId="254" applyNumberFormat="0" applyAlignment="0" applyProtection="0"/>
    <xf numFmtId="0" fontId="48" fillId="12" borderId="254" applyNumberFormat="0" applyAlignment="0" applyProtection="0"/>
    <xf numFmtId="0" fontId="48" fillId="12" borderId="254" applyNumberFormat="0" applyAlignment="0" applyProtection="0"/>
    <xf numFmtId="0" fontId="48" fillId="12" borderId="254" applyNumberFormat="0" applyAlignment="0" applyProtection="0"/>
    <xf numFmtId="0" fontId="48" fillId="12" borderId="254" applyNumberFormat="0" applyAlignment="0" applyProtection="0"/>
    <xf numFmtId="0" fontId="48" fillId="12" borderId="254" applyNumberFormat="0" applyAlignment="0" applyProtection="0"/>
    <xf numFmtId="0" fontId="48" fillId="12" borderId="254" applyNumberFormat="0" applyAlignment="0" applyProtection="0"/>
    <xf numFmtId="0" fontId="48" fillId="12" borderId="254" applyNumberFormat="0" applyAlignment="0" applyProtection="0"/>
    <xf numFmtId="0" fontId="48" fillId="12" borderId="254" applyNumberFormat="0" applyAlignment="0" applyProtection="0"/>
    <xf numFmtId="0" fontId="48" fillId="12" borderId="254" applyNumberFormat="0" applyAlignment="0" applyProtection="0"/>
    <xf numFmtId="0" fontId="48" fillId="12" borderId="254" applyNumberFormat="0" applyAlignment="0" applyProtection="0"/>
    <xf numFmtId="0" fontId="48" fillId="12" borderId="254" applyNumberFormat="0" applyAlignment="0" applyProtection="0"/>
    <xf numFmtId="0" fontId="48" fillId="12" borderId="254" applyNumberFormat="0" applyAlignment="0" applyProtection="0"/>
    <xf numFmtId="0" fontId="48" fillId="12" borderId="254" applyNumberFormat="0" applyAlignment="0" applyProtection="0"/>
    <xf numFmtId="0" fontId="48" fillId="12" borderId="254" applyNumberFormat="0" applyAlignment="0" applyProtection="0"/>
    <xf numFmtId="0" fontId="48" fillId="12" borderId="254" applyNumberFormat="0" applyAlignment="0" applyProtection="0"/>
    <xf numFmtId="0" fontId="48" fillId="12" borderId="254" applyNumberFormat="0" applyAlignment="0" applyProtection="0"/>
    <xf numFmtId="0" fontId="48" fillId="12" borderId="254" applyNumberFormat="0" applyAlignment="0" applyProtection="0"/>
    <xf numFmtId="0" fontId="48" fillId="12" borderId="254" applyNumberFormat="0" applyAlignment="0" applyProtection="0"/>
    <xf numFmtId="0" fontId="48" fillId="12" borderId="254" applyNumberFormat="0" applyAlignment="0" applyProtection="0"/>
    <xf numFmtId="0" fontId="48" fillId="12" borderId="254" applyNumberFormat="0" applyAlignment="0" applyProtection="0"/>
    <xf numFmtId="0" fontId="48" fillId="12" borderId="254" applyNumberFormat="0" applyAlignment="0" applyProtection="0"/>
    <xf numFmtId="0" fontId="48" fillId="12" borderId="254" applyNumberFormat="0" applyAlignment="0" applyProtection="0"/>
    <xf numFmtId="0" fontId="48" fillId="12" borderId="254" applyNumberFormat="0" applyAlignment="0" applyProtection="0"/>
    <xf numFmtId="0" fontId="48" fillId="12" borderId="254" applyNumberFormat="0" applyAlignment="0" applyProtection="0"/>
    <xf numFmtId="0" fontId="48" fillId="12" borderId="254" applyNumberFormat="0" applyAlignment="0" applyProtection="0"/>
    <xf numFmtId="0" fontId="48" fillId="12" borderId="254" applyNumberFormat="0" applyAlignment="0" applyProtection="0"/>
    <xf numFmtId="0" fontId="48" fillId="12" borderId="254" applyNumberFormat="0" applyAlignment="0" applyProtection="0"/>
    <xf numFmtId="0" fontId="48" fillId="12" borderId="254" applyNumberFormat="0" applyAlignment="0" applyProtection="0"/>
    <xf numFmtId="0" fontId="48" fillId="12" borderId="254" applyNumberFormat="0" applyAlignment="0" applyProtection="0"/>
    <xf numFmtId="0" fontId="48" fillId="12" borderId="254" applyNumberFormat="0" applyAlignment="0" applyProtection="0"/>
    <xf numFmtId="0" fontId="48" fillId="12" borderId="254" applyNumberFormat="0" applyAlignment="0" applyProtection="0"/>
    <xf numFmtId="0" fontId="48" fillId="12" borderId="254" applyNumberFormat="0" applyAlignment="0" applyProtection="0"/>
    <xf numFmtId="0" fontId="48" fillId="12" borderId="254" applyNumberFormat="0" applyAlignment="0" applyProtection="0"/>
    <xf numFmtId="0" fontId="48" fillId="12" borderId="254" applyNumberFormat="0" applyAlignment="0" applyProtection="0"/>
    <xf numFmtId="0" fontId="48" fillId="12" borderId="254" applyNumberFormat="0" applyAlignment="0" applyProtection="0"/>
    <xf numFmtId="0" fontId="48" fillId="12" borderId="254" applyNumberFormat="0" applyAlignment="0" applyProtection="0"/>
    <xf numFmtId="0" fontId="48" fillId="12" borderId="254" applyNumberFormat="0" applyAlignment="0" applyProtection="0"/>
    <xf numFmtId="0" fontId="48" fillId="12" borderId="254" applyNumberFormat="0" applyAlignment="0" applyProtection="0"/>
    <xf numFmtId="0" fontId="48" fillId="12" borderId="254" applyNumberFormat="0" applyAlignment="0" applyProtection="0"/>
    <xf numFmtId="0" fontId="48" fillId="12" borderId="254" applyNumberFormat="0" applyAlignment="0" applyProtection="0"/>
    <xf numFmtId="0" fontId="48" fillId="12" borderId="254" applyNumberFormat="0" applyAlignment="0" applyProtection="0"/>
    <xf numFmtId="0" fontId="48" fillId="12" borderId="254" applyNumberFormat="0" applyAlignment="0" applyProtection="0"/>
    <xf numFmtId="0" fontId="48" fillId="12" borderId="254" applyNumberFormat="0" applyAlignment="0" applyProtection="0"/>
    <xf numFmtId="0" fontId="48" fillId="12" borderId="254" applyNumberFormat="0" applyAlignment="0" applyProtection="0"/>
    <xf numFmtId="0" fontId="48" fillId="12" borderId="254" applyNumberFormat="0" applyAlignment="0" applyProtection="0"/>
    <xf numFmtId="0" fontId="48" fillId="12" borderId="254" applyNumberFormat="0" applyAlignment="0" applyProtection="0"/>
    <xf numFmtId="0" fontId="48" fillId="12" borderId="254" applyNumberFormat="0" applyAlignment="0" applyProtection="0"/>
    <xf numFmtId="0" fontId="48" fillId="12" borderId="254" applyNumberFormat="0" applyAlignment="0" applyProtection="0"/>
    <xf numFmtId="0" fontId="48" fillId="12" borderId="254" applyNumberFormat="0" applyAlignment="0" applyProtection="0"/>
    <xf numFmtId="0" fontId="48" fillId="12" borderId="254" applyNumberFormat="0" applyAlignment="0" applyProtection="0"/>
    <xf numFmtId="0" fontId="48" fillId="12" borderId="254" applyNumberFormat="0" applyAlignment="0" applyProtection="0"/>
    <xf numFmtId="0" fontId="48" fillId="12" borderId="254" applyNumberFormat="0" applyAlignment="0" applyProtection="0"/>
    <xf numFmtId="0" fontId="48" fillId="12" borderId="254" applyNumberFormat="0" applyAlignment="0" applyProtection="0"/>
    <xf numFmtId="0" fontId="48" fillId="12" borderId="254" applyNumberFormat="0" applyAlignment="0" applyProtection="0"/>
    <xf numFmtId="0" fontId="48" fillId="12" borderId="254" applyNumberFormat="0" applyAlignment="0" applyProtection="0"/>
    <xf numFmtId="0" fontId="48" fillId="12" borderId="254" applyNumberFormat="0" applyAlignment="0" applyProtection="0"/>
    <xf numFmtId="0" fontId="48" fillId="12" borderId="254" applyNumberFormat="0" applyAlignment="0" applyProtection="0"/>
    <xf numFmtId="0" fontId="48" fillId="12" borderId="254" applyNumberFormat="0" applyAlignment="0" applyProtection="0"/>
    <xf numFmtId="0" fontId="48" fillId="12" borderId="254" applyNumberFormat="0" applyAlignment="0" applyProtection="0"/>
    <xf numFmtId="0" fontId="48" fillId="12" borderId="254" applyNumberFormat="0" applyAlignment="0" applyProtection="0"/>
    <xf numFmtId="0" fontId="48" fillId="12" borderId="254" applyNumberFormat="0" applyAlignment="0" applyProtection="0"/>
    <xf numFmtId="0" fontId="48" fillId="12" borderId="254" applyNumberFormat="0" applyAlignment="0" applyProtection="0"/>
    <xf numFmtId="0" fontId="48" fillId="12" borderId="254" applyNumberFormat="0" applyAlignment="0" applyProtection="0"/>
    <xf numFmtId="0" fontId="48" fillId="12" borderId="254" applyNumberFormat="0" applyAlignment="0" applyProtection="0"/>
    <xf numFmtId="0" fontId="48" fillId="12" borderId="254" applyNumberFormat="0" applyAlignment="0" applyProtection="0"/>
    <xf numFmtId="0" fontId="48" fillId="12" borderId="254" applyNumberFormat="0" applyAlignment="0" applyProtection="0"/>
    <xf numFmtId="0" fontId="48" fillId="12" borderId="254" applyNumberFormat="0" applyAlignment="0" applyProtection="0"/>
    <xf numFmtId="0" fontId="48" fillId="12" borderId="254" applyNumberFormat="0" applyAlignment="0" applyProtection="0"/>
    <xf numFmtId="0" fontId="48" fillId="12" borderId="254" applyNumberFormat="0" applyAlignment="0" applyProtection="0"/>
    <xf numFmtId="0" fontId="48" fillId="12" borderId="254" applyNumberFormat="0" applyAlignment="0" applyProtection="0"/>
    <xf numFmtId="0" fontId="48" fillId="12" borderId="254" applyNumberFormat="0" applyAlignment="0" applyProtection="0"/>
    <xf numFmtId="0" fontId="48" fillId="12" borderId="254" applyNumberFormat="0" applyAlignment="0" applyProtection="0"/>
    <xf numFmtId="0" fontId="48" fillId="12" borderId="254" applyNumberFormat="0" applyAlignment="0" applyProtection="0"/>
    <xf numFmtId="0" fontId="48" fillId="12" borderId="254" applyNumberFormat="0" applyAlignment="0" applyProtection="0"/>
    <xf numFmtId="0" fontId="48" fillId="12" borderId="254" applyNumberFormat="0" applyAlignment="0" applyProtection="0"/>
    <xf numFmtId="0" fontId="16" fillId="24" borderId="254" applyNumberFormat="0" applyAlignment="0" applyProtection="0"/>
    <xf numFmtId="0" fontId="16" fillId="24" borderId="254" applyNumberFormat="0" applyAlignment="0" applyProtection="0"/>
    <xf numFmtId="0" fontId="16" fillId="24" borderId="254" applyNumberFormat="0" applyAlignment="0" applyProtection="0"/>
    <xf numFmtId="0" fontId="16" fillId="24" borderId="254" applyNumberFormat="0" applyAlignment="0" applyProtection="0"/>
    <xf numFmtId="0" fontId="16" fillId="24" borderId="254" applyNumberFormat="0" applyAlignment="0" applyProtection="0"/>
    <xf numFmtId="0" fontId="16" fillId="24" borderId="254" applyNumberFormat="0" applyAlignment="0" applyProtection="0"/>
    <xf numFmtId="0" fontId="16" fillId="24" borderId="254" applyNumberFormat="0" applyAlignment="0" applyProtection="0"/>
    <xf numFmtId="0" fontId="16" fillId="24" borderId="254" applyNumberFormat="0" applyAlignment="0" applyProtection="0"/>
    <xf numFmtId="0" fontId="16" fillId="24" borderId="254" applyNumberFormat="0" applyAlignment="0" applyProtection="0"/>
    <xf numFmtId="0" fontId="16" fillId="24" borderId="254" applyNumberFormat="0" applyAlignment="0" applyProtection="0"/>
    <xf numFmtId="0" fontId="16" fillId="24" borderId="254" applyNumberFormat="0" applyAlignment="0" applyProtection="0"/>
    <xf numFmtId="0" fontId="16" fillId="24" borderId="254" applyNumberFormat="0" applyAlignment="0" applyProtection="0"/>
    <xf numFmtId="0" fontId="16" fillId="24" borderId="254" applyNumberFormat="0" applyAlignment="0" applyProtection="0"/>
    <xf numFmtId="0" fontId="16" fillId="24" borderId="254" applyNumberFormat="0" applyAlignment="0" applyProtection="0"/>
    <xf numFmtId="0" fontId="16" fillId="24" borderId="254" applyNumberFormat="0" applyAlignment="0" applyProtection="0"/>
    <xf numFmtId="0" fontId="16" fillId="24" borderId="254" applyNumberFormat="0" applyAlignment="0" applyProtection="0"/>
    <xf numFmtId="0" fontId="16" fillId="24" borderId="254" applyNumberFormat="0" applyAlignment="0" applyProtection="0"/>
    <xf numFmtId="0" fontId="16" fillId="24" borderId="254" applyNumberFormat="0" applyAlignment="0" applyProtection="0"/>
    <xf numFmtId="0" fontId="16" fillId="24" borderId="254" applyNumberFormat="0" applyAlignment="0" applyProtection="0"/>
    <xf numFmtId="0" fontId="16" fillId="24" borderId="254" applyNumberFormat="0" applyAlignment="0" applyProtection="0"/>
    <xf numFmtId="0" fontId="16" fillId="24" borderId="254" applyNumberFormat="0" applyAlignment="0" applyProtection="0"/>
    <xf numFmtId="0" fontId="16" fillId="24" borderId="254" applyNumberFormat="0" applyAlignment="0" applyProtection="0"/>
    <xf numFmtId="0" fontId="16" fillId="24" borderId="254" applyNumberFormat="0" applyAlignment="0" applyProtection="0"/>
    <xf numFmtId="0" fontId="16" fillId="24" borderId="254" applyNumberFormat="0" applyAlignment="0" applyProtection="0"/>
    <xf numFmtId="0" fontId="16" fillId="24" borderId="254" applyNumberFormat="0" applyAlignment="0" applyProtection="0"/>
    <xf numFmtId="0" fontId="16" fillId="24" borderId="254" applyNumberFormat="0" applyAlignment="0" applyProtection="0"/>
    <xf numFmtId="0" fontId="16" fillId="24" borderId="254" applyNumberFormat="0" applyAlignment="0" applyProtection="0"/>
    <xf numFmtId="0" fontId="16" fillId="24" borderId="254" applyNumberFormat="0" applyAlignment="0" applyProtection="0"/>
    <xf numFmtId="0" fontId="16" fillId="24" borderId="254" applyNumberFormat="0" applyAlignment="0" applyProtection="0"/>
    <xf numFmtId="0" fontId="16" fillId="24" borderId="254" applyNumberFormat="0" applyAlignment="0" applyProtection="0"/>
    <xf numFmtId="0" fontId="16" fillId="24" borderId="254" applyNumberFormat="0" applyAlignment="0" applyProtection="0"/>
    <xf numFmtId="0" fontId="16" fillId="24" borderId="254" applyNumberFormat="0" applyAlignment="0" applyProtection="0"/>
    <xf numFmtId="0" fontId="16" fillId="24" borderId="254" applyNumberFormat="0" applyAlignment="0" applyProtection="0"/>
    <xf numFmtId="0" fontId="16" fillId="24" borderId="254" applyNumberFormat="0" applyAlignment="0" applyProtection="0"/>
    <xf numFmtId="0" fontId="16" fillId="24" borderId="254" applyNumberFormat="0" applyAlignment="0" applyProtection="0"/>
    <xf numFmtId="0" fontId="16" fillId="24" borderId="254" applyNumberFormat="0" applyAlignment="0" applyProtection="0"/>
    <xf numFmtId="0" fontId="16" fillId="24" borderId="254" applyNumberFormat="0" applyAlignment="0" applyProtection="0"/>
    <xf numFmtId="0" fontId="16" fillId="24" borderId="254" applyNumberFormat="0" applyAlignment="0" applyProtection="0"/>
    <xf numFmtId="0" fontId="16" fillId="24" borderId="254" applyNumberFormat="0" applyAlignment="0" applyProtection="0"/>
    <xf numFmtId="0" fontId="16" fillId="24" borderId="254" applyNumberFormat="0" applyAlignment="0" applyProtection="0"/>
    <xf numFmtId="0" fontId="16" fillId="24" borderId="254" applyNumberFormat="0" applyAlignment="0" applyProtection="0"/>
    <xf numFmtId="0" fontId="16" fillId="24" borderId="254" applyNumberFormat="0" applyAlignment="0" applyProtection="0"/>
    <xf numFmtId="0" fontId="16" fillId="24" borderId="254" applyNumberFormat="0" applyAlignment="0" applyProtection="0"/>
    <xf numFmtId="0" fontId="16" fillId="24" borderId="254" applyNumberFormat="0" applyAlignment="0" applyProtection="0"/>
    <xf numFmtId="0" fontId="16" fillId="24" borderId="254" applyNumberFormat="0" applyAlignment="0" applyProtection="0"/>
    <xf numFmtId="0" fontId="16" fillId="24" borderId="254" applyNumberFormat="0" applyAlignment="0" applyProtection="0"/>
    <xf numFmtId="0" fontId="16" fillId="24" borderId="254" applyNumberFormat="0" applyAlignment="0" applyProtection="0"/>
    <xf numFmtId="0" fontId="16" fillId="24" borderId="254" applyNumberFormat="0" applyAlignment="0" applyProtection="0"/>
    <xf numFmtId="0" fontId="16" fillId="24" borderId="254" applyNumberFormat="0" applyAlignment="0" applyProtection="0"/>
    <xf numFmtId="0" fontId="48" fillId="12" borderId="254" applyNumberFormat="0" applyAlignment="0" applyProtection="0"/>
    <xf numFmtId="0" fontId="48" fillId="12" borderId="254" applyNumberFormat="0" applyAlignment="0" applyProtection="0"/>
    <xf numFmtId="0" fontId="48" fillId="12" borderId="254" applyNumberFormat="0" applyAlignment="0" applyProtection="0"/>
    <xf numFmtId="0" fontId="48" fillId="12" borderId="254" applyNumberFormat="0" applyAlignment="0" applyProtection="0"/>
    <xf numFmtId="0" fontId="48" fillId="12" borderId="254" applyNumberFormat="0" applyAlignment="0" applyProtection="0"/>
    <xf numFmtId="0" fontId="48" fillId="12" borderId="254" applyNumberFormat="0" applyAlignment="0" applyProtection="0"/>
    <xf numFmtId="0" fontId="48" fillId="12" borderId="254" applyNumberFormat="0" applyAlignment="0" applyProtection="0"/>
    <xf numFmtId="0" fontId="48" fillId="12" borderId="254" applyNumberFormat="0" applyAlignment="0" applyProtection="0"/>
    <xf numFmtId="0" fontId="48" fillId="12" borderId="254" applyNumberFormat="0" applyAlignment="0" applyProtection="0"/>
    <xf numFmtId="0" fontId="48" fillId="12" borderId="254" applyNumberFormat="0" applyAlignment="0" applyProtection="0"/>
    <xf numFmtId="0" fontId="48" fillId="12" borderId="254" applyNumberFormat="0" applyAlignment="0" applyProtection="0"/>
    <xf numFmtId="0" fontId="48" fillId="12" borderId="254" applyNumberFormat="0" applyAlignment="0" applyProtection="0"/>
    <xf numFmtId="0" fontId="48" fillId="12" borderId="254" applyNumberFormat="0" applyAlignment="0" applyProtection="0"/>
    <xf numFmtId="0" fontId="48" fillId="12" borderId="254" applyNumberFormat="0" applyAlignment="0" applyProtection="0"/>
    <xf numFmtId="0" fontId="48" fillId="12" borderId="254" applyNumberFormat="0" applyAlignment="0" applyProtection="0"/>
    <xf numFmtId="0" fontId="48" fillId="12" borderId="254" applyNumberFormat="0" applyAlignment="0" applyProtection="0"/>
    <xf numFmtId="0" fontId="48" fillId="12" borderId="254" applyNumberFormat="0" applyAlignment="0" applyProtection="0"/>
    <xf numFmtId="0" fontId="48" fillId="12" borderId="254" applyNumberFormat="0" applyAlignment="0" applyProtection="0"/>
    <xf numFmtId="0" fontId="48" fillId="12" borderId="254" applyNumberFormat="0" applyAlignment="0" applyProtection="0"/>
    <xf numFmtId="0" fontId="48" fillId="12" borderId="254" applyNumberFormat="0" applyAlignment="0" applyProtection="0"/>
    <xf numFmtId="0" fontId="48" fillId="12" borderId="254" applyNumberFormat="0" applyAlignment="0" applyProtection="0"/>
    <xf numFmtId="0" fontId="48" fillId="12" borderId="254" applyNumberFormat="0" applyAlignment="0" applyProtection="0"/>
    <xf numFmtId="0" fontId="48" fillId="12" borderId="254" applyNumberFormat="0" applyAlignment="0" applyProtection="0"/>
    <xf numFmtId="0" fontId="48" fillId="12" borderId="254" applyNumberFormat="0" applyAlignment="0" applyProtection="0"/>
    <xf numFmtId="0" fontId="48" fillId="12" borderId="254" applyNumberFormat="0" applyAlignment="0" applyProtection="0"/>
    <xf numFmtId="0" fontId="48" fillId="12" borderId="254" applyNumberFormat="0" applyAlignment="0" applyProtection="0"/>
    <xf numFmtId="0" fontId="48" fillId="12" borderId="254" applyNumberFormat="0" applyAlignment="0" applyProtection="0"/>
    <xf numFmtId="0" fontId="48" fillId="12" borderId="254" applyNumberFormat="0" applyAlignment="0" applyProtection="0"/>
    <xf numFmtId="0" fontId="48" fillId="12" borderId="254" applyNumberFormat="0" applyAlignment="0" applyProtection="0"/>
    <xf numFmtId="0" fontId="48" fillId="12" borderId="254" applyNumberFormat="0" applyAlignment="0" applyProtection="0"/>
    <xf numFmtId="0" fontId="48" fillId="12" borderId="254" applyNumberFormat="0" applyAlignment="0" applyProtection="0"/>
    <xf numFmtId="0" fontId="48" fillId="12" borderId="254" applyNumberFormat="0" applyAlignment="0" applyProtection="0"/>
    <xf numFmtId="0" fontId="48" fillId="12" borderId="254" applyNumberFormat="0" applyAlignment="0" applyProtection="0"/>
    <xf numFmtId="0" fontId="48" fillId="12" borderId="254" applyNumberFormat="0" applyAlignment="0" applyProtection="0"/>
    <xf numFmtId="0" fontId="48" fillId="12" borderId="254" applyNumberFormat="0" applyAlignment="0" applyProtection="0"/>
    <xf numFmtId="0" fontId="48" fillId="12" borderId="254" applyNumberFormat="0" applyAlignment="0" applyProtection="0"/>
    <xf numFmtId="0" fontId="48" fillId="12" borderId="254" applyNumberFormat="0" applyAlignment="0" applyProtection="0"/>
    <xf numFmtId="0" fontId="48" fillId="12" borderId="254" applyNumberFormat="0" applyAlignment="0" applyProtection="0"/>
    <xf numFmtId="0" fontId="48" fillId="12" borderId="254" applyNumberFormat="0" applyAlignment="0" applyProtection="0"/>
    <xf numFmtId="0" fontId="48" fillId="12" borderId="254" applyNumberFormat="0" applyAlignment="0" applyProtection="0"/>
    <xf numFmtId="0" fontId="48" fillId="12" borderId="254" applyNumberFormat="0" applyAlignment="0" applyProtection="0"/>
    <xf numFmtId="0" fontId="48" fillId="12" borderId="254" applyNumberFormat="0" applyAlignment="0" applyProtection="0"/>
    <xf numFmtId="0" fontId="48" fillId="12" borderId="254" applyNumberFormat="0" applyAlignment="0" applyProtection="0"/>
    <xf numFmtId="0" fontId="48" fillId="12" borderId="254" applyNumberFormat="0" applyAlignment="0" applyProtection="0"/>
    <xf numFmtId="0" fontId="48" fillId="12" borderId="254" applyNumberFormat="0" applyAlignment="0" applyProtection="0"/>
    <xf numFmtId="0" fontId="48" fillId="12" borderId="254" applyNumberFormat="0" applyAlignment="0" applyProtection="0"/>
    <xf numFmtId="0" fontId="48" fillId="12" borderId="254" applyNumberFormat="0" applyAlignment="0" applyProtection="0"/>
    <xf numFmtId="0" fontId="48" fillId="12" borderId="254" applyNumberFormat="0" applyAlignment="0" applyProtection="0"/>
    <xf numFmtId="0" fontId="48" fillId="12" borderId="254" applyNumberFormat="0" applyAlignment="0" applyProtection="0"/>
    <xf numFmtId="0" fontId="48" fillId="12" borderId="254" applyNumberFormat="0" applyAlignment="0" applyProtection="0"/>
    <xf numFmtId="0" fontId="48" fillId="12" borderId="254" applyNumberFormat="0" applyAlignment="0" applyProtection="0"/>
    <xf numFmtId="0" fontId="48" fillId="12" borderId="254" applyNumberFormat="0" applyAlignment="0" applyProtection="0"/>
    <xf numFmtId="0" fontId="48" fillId="12" borderId="254" applyNumberFormat="0" applyAlignment="0" applyProtection="0"/>
    <xf numFmtId="0" fontId="48" fillId="12" borderId="254" applyNumberFormat="0" applyAlignment="0" applyProtection="0"/>
    <xf numFmtId="0" fontId="48" fillId="12" borderId="254" applyNumberFormat="0" applyAlignment="0" applyProtection="0"/>
    <xf numFmtId="0" fontId="48" fillId="12" borderId="254" applyNumberFormat="0" applyAlignment="0" applyProtection="0"/>
    <xf numFmtId="0" fontId="48" fillId="12" borderId="254" applyNumberFormat="0" applyAlignment="0" applyProtection="0"/>
    <xf numFmtId="0" fontId="48" fillId="12" borderId="254" applyNumberFormat="0" applyAlignment="0" applyProtection="0"/>
    <xf numFmtId="0" fontId="48" fillId="12" borderId="254" applyNumberFormat="0" applyAlignment="0" applyProtection="0"/>
    <xf numFmtId="0" fontId="48" fillId="12" borderId="254" applyNumberFormat="0" applyAlignment="0" applyProtection="0"/>
    <xf numFmtId="0" fontId="48" fillId="12" borderId="254" applyNumberFormat="0" applyAlignment="0" applyProtection="0"/>
    <xf numFmtId="0" fontId="48" fillId="12" borderId="254" applyNumberFormat="0" applyAlignment="0" applyProtection="0"/>
    <xf numFmtId="0" fontId="48" fillId="12" borderId="254" applyNumberFormat="0" applyAlignment="0" applyProtection="0"/>
    <xf numFmtId="0" fontId="48" fillId="12" borderId="254" applyNumberFormat="0" applyAlignment="0" applyProtection="0"/>
    <xf numFmtId="0" fontId="48" fillId="12" borderId="254" applyNumberFormat="0" applyAlignment="0" applyProtection="0"/>
    <xf numFmtId="0" fontId="48" fillId="12" borderId="254" applyNumberFormat="0" applyAlignment="0" applyProtection="0"/>
    <xf numFmtId="0" fontId="48" fillId="12" borderId="254" applyNumberFormat="0" applyAlignment="0" applyProtection="0"/>
    <xf numFmtId="0" fontId="48" fillId="12" borderId="254" applyNumberFormat="0" applyAlignment="0" applyProtection="0"/>
    <xf numFmtId="0" fontId="48" fillId="12" borderId="254" applyNumberFormat="0" applyAlignment="0" applyProtection="0"/>
    <xf numFmtId="0" fontId="48" fillId="12" borderId="254" applyNumberFormat="0" applyAlignment="0" applyProtection="0"/>
    <xf numFmtId="0" fontId="48" fillId="12" borderId="254" applyNumberFormat="0" applyAlignment="0" applyProtection="0"/>
    <xf numFmtId="0" fontId="48" fillId="12" borderId="254" applyNumberFormat="0" applyAlignment="0" applyProtection="0"/>
    <xf numFmtId="0" fontId="48" fillId="12" borderId="254" applyNumberFormat="0" applyAlignment="0" applyProtection="0"/>
    <xf numFmtId="0" fontId="48" fillId="12" borderId="254" applyNumberFormat="0" applyAlignment="0" applyProtection="0"/>
    <xf numFmtId="0" fontId="48" fillId="12" borderId="254" applyNumberFormat="0" applyAlignment="0" applyProtection="0"/>
    <xf numFmtId="0" fontId="48" fillId="12" borderId="254" applyNumberFormat="0" applyAlignment="0" applyProtection="0"/>
    <xf numFmtId="0" fontId="48" fillId="12" borderId="254" applyNumberFormat="0" applyAlignment="0" applyProtection="0"/>
    <xf numFmtId="0" fontId="16" fillId="24" borderId="254" applyNumberFormat="0" applyAlignment="0" applyProtection="0"/>
    <xf numFmtId="0" fontId="16" fillId="24" borderId="254" applyNumberFormat="0" applyAlignment="0" applyProtection="0"/>
    <xf numFmtId="0" fontId="16" fillId="24" borderId="254" applyNumberFormat="0" applyAlignment="0" applyProtection="0"/>
    <xf numFmtId="0" fontId="16" fillId="24" borderId="254" applyNumberFormat="0" applyAlignment="0" applyProtection="0"/>
    <xf numFmtId="0" fontId="16" fillId="24" borderId="254" applyNumberFormat="0" applyAlignment="0" applyProtection="0"/>
    <xf numFmtId="0" fontId="16" fillId="24" borderId="254" applyNumberFormat="0" applyAlignment="0" applyProtection="0"/>
    <xf numFmtId="0" fontId="16" fillId="24" borderId="254" applyNumberFormat="0" applyAlignment="0" applyProtection="0"/>
    <xf numFmtId="0" fontId="16" fillId="24" borderId="254" applyNumberFormat="0" applyAlignment="0" applyProtection="0"/>
    <xf numFmtId="0" fontId="16" fillId="24" borderId="254" applyNumberFormat="0" applyAlignment="0" applyProtection="0"/>
    <xf numFmtId="0" fontId="16" fillId="24" borderId="254" applyNumberFormat="0" applyAlignment="0" applyProtection="0"/>
    <xf numFmtId="0" fontId="16" fillId="24" borderId="254" applyNumberFormat="0" applyAlignment="0" applyProtection="0"/>
    <xf numFmtId="0" fontId="16" fillId="24" borderId="254" applyNumberFormat="0" applyAlignment="0" applyProtection="0"/>
    <xf numFmtId="0" fontId="16" fillId="24" borderId="254" applyNumberFormat="0" applyAlignment="0" applyProtection="0"/>
    <xf numFmtId="0" fontId="16" fillId="24" borderId="254" applyNumberFormat="0" applyAlignment="0" applyProtection="0"/>
    <xf numFmtId="0" fontId="16" fillId="24" borderId="254" applyNumberFormat="0" applyAlignment="0" applyProtection="0"/>
    <xf numFmtId="0" fontId="16" fillId="24" borderId="254" applyNumberFormat="0" applyAlignment="0" applyProtection="0"/>
    <xf numFmtId="0" fontId="16" fillId="24" borderId="254" applyNumberFormat="0" applyAlignment="0" applyProtection="0"/>
    <xf numFmtId="0" fontId="16" fillId="24" borderId="254" applyNumberFormat="0" applyAlignment="0" applyProtection="0"/>
    <xf numFmtId="0" fontId="16" fillId="24" borderId="254" applyNumberFormat="0" applyAlignment="0" applyProtection="0"/>
    <xf numFmtId="0" fontId="16" fillId="24" borderId="254" applyNumberFormat="0" applyAlignment="0" applyProtection="0"/>
    <xf numFmtId="0" fontId="16" fillId="24" borderId="254" applyNumberFormat="0" applyAlignment="0" applyProtection="0"/>
    <xf numFmtId="0" fontId="16" fillId="24" borderId="254" applyNumberFormat="0" applyAlignment="0" applyProtection="0"/>
    <xf numFmtId="0" fontId="16" fillId="24" borderId="254" applyNumberFormat="0" applyAlignment="0" applyProtection="0"/>
    <xf numFmtId="0" fontId="16" fillId="24" borderId="254" applyNumberFormat="0" applyAlignment="0" applyProtection="0"/>
    <xf numFmtId="0" fontId="16" fillId="24" borderId="254" applyNumberFormat="0" applyAlignment="0" applyProtection="0"/>
    <xf numFmtId="0" fontId="16" fillId="24" borderId="254" applyNumberFormat="0" applyAlignment="0" applyProtection="0"/>
    <xf numFmtId="0" fontId="16" fillId="24" borderId="254" applyNumberFormat="0" applyAlignment="0" applyProtection="0"/>
    <xf numFmtId="0" fontId="16" fillId="24" borderId="254" applyNumberFormat="0" applyAlignment="0" applyProtection="0"/>
    <xf numFmtId="0" fontId="16" fillId="24" borderId="254" applyNumberFormat="0" applyAlignment="0" applyProtection="0"/>
    <xf numFmtId="0" fontId="16" fillId="24" borderId="254" applyNumberFormat="0" applyAlignment="0" applyProtection="0"/>
    <xf numFmtId="0" fontId="16" fillId="24" borderId="254" applyNumberFormat="0" applyAlignment="0" applyProtection="0"/>
    <xf numFmtId="0" fontId="16" fillId="24" borderId="254" applyNumberFormat="0" applyAlignment="0" applyProtection="0"/>
    <xf numFmtId="0" fontId="16" fillId="24" borderId="254" applyNumberFormat="0" applyAlignment="0" applyProtection="0"/>
    <xf numFmtId="0" fontId="16" fillId="24" borderId="254" applyNumberFormat="0" applyAlignment="0" applyProtection="0"/>
    <xf numFmtId="0" fontId="16" fillId="24" borderId="254" applyNumberFormat="0" applyAlignment="0" applyProtection="0"/>
    <xf numFmtId="0" fontId="16" fillId="24" borderId="254" applyNumberFormat="0" applyAlignment="0" applyProtection="0"/>
    <xf numFmtId="0" fontId="16" fillId="24" borderId="254" applyNumberFormat="0" applyAlignment="0" applyProtection="0"/>
    <xf numFmtId="0" fontId="16" fillId="24" borderId="254" applyNumberFormat="0" applyAlignment="0" applyProtection="0"/>
    <xf numFmtId="0" fontId="16" fillId="24" borderId="254" applyNumberFormat="0" applyAlignment="0" applyProtection="0"/>
    <xf numFmtId="0" fontId="16" fillId="24" borderId="254" applyNumberFormat="0" applyAlignment="0" applyProtection="0"/>
    <xf numFmtId="0" fontId="16" fillId="24" borderId="254" applyNumberFormat="0" applyAlignment="0" applyProtection="0"/>
    <xf numFmtId="0" fontId="16" fillId="24" borderId="254" applyNumberFormat="0" applyAlignment="0" applyProtection="0"/>
    <xf numFmtId="0" fontId="16" fillId="24" borderId="254" applyNumberFormat="0" applyAlignment="0" applyProtection="0"/>
    <xf numFmtId="0" fontId="16" fillId="24" borderId="254" applyNumberFormat="0" applyAlignment="0" applyProtection="0"/>
    <xf numFmtId="0" fontId="16" fillId="24" borderId="254" applyNumberFormat="0" applyAlignment="0" applyProtection="0"/>
    <xf numFmtId="0" fontId="16" fillId="24" borderId="254" applyNumberFormat="0" applyAlignment="0" applyProtection="0"/>
    <xf numFmtId="0" fontId="16" fillId="24" borderId="254" applyNumberFormat="0" applyAlignment="0" applyProtection="0"/>
    <xf numFmtId="0" fontId="16" fillId="24" borderId="254" applyNumberFormat="0" applyAlignment="0" applyProtection="0"/>
    <xf numFmtId="0" fontId="16" fillId="24" borderId="254" applyNumberFormat="0" applyAlignment="0" applyProtection="0"/>
    <xf numFmtId="0" fontId="84" fillId="0" borderId="298"/>
    <xf numFmtId="0" fontId="28" fillId="0" borderId="258"/>
    <xf numFmtId="0" fontId="28" fillId="0" borderId="258"/>
    <xf numFmtId="0" fontId="28" fillId="0" borderId="258"/>
    <xf numFmtId="0" fontId="28" fillId="0" borderId="258"/>
    <xf numFmtId="0" fontId="28" fillId="0" borderId="258"/>
    <xf numFmtId="0" fontId="28" fillId="0" borderId="258"/>
    <xf numFmtId="0" fontId="28" fillId="0" borderId="258"/>
    <xf numFmtId="0" fontId="28" fillId="0" borderId="258"/>
    <xf numFmtId="0" fontId="28" fillId="0" borderId="258"/>
    <xf numFmtId="0" fontId="28" fillId="0" borderId="258"/>
    <xf numFmtId="0" fontId="28" fillId="0" borderId="258"/>
    <xf numFmtId="0" fontId="28" fillId="0" borderId="258"/>
    <xf numFmtId="0" fontId="28" fillId="0" borderId="258"/>
    <xf numFmtId="0" fontId="28" fillId="0" borderId="258"/>
    <xf numFmtId="0" fontId="28" fillId="0" borderId="258"/>
    <xf numFmtId="0" fontId="28" fillId="0" borderId="258"/>
    <xf numFmtId="0" fontId="28" fillId="0" borderId="258"/>
    <xf numFmtId="0" fontId="28" fillId="0" borderId="258"/>
    <xf numFmtId="0" fontId="28" fillId="0" borderId="258"/>
    <xf numFmtId="0" fontId="28" fillId="0" borderId="258"/>
    <xf numFmtId="0" fontId="28" fillId="0" borderId="258"/>
    <xf numFmtId="0" fontId="28" fillId="0" borderId="258"/>
    <xf numFmtId="0" fontId="28" fillId="0" borderId="258"/>
    <xf numFmtId="0" fontId="28" fillId="0" borderId="258"/>
    <xf numFmtId="0" fontId="28" fillId="0" borderId="258"/>
    <xf numFmtId="0" fontId="28" fillId="0" borderId="258"/>
    <xf numFmtId="0" fontId="28" fillId="0" borderId="258"/>
    <xf numFmtId="0" fontId="28" fillId="0" borderId="258"/>
    <xf numFmtId="0" fontId="28" fillId="0" borderId="258"/>
    <xf numFmtId="0" fontId="28" fillId="0" borderId="258"/>
    <xf numFmtId="0" fontId="28" fillId="0" borderId="258"/>
    <xf numFmtId="0" fontId="28" fillId="0" borderId="258"/>
    <xf numFmtId="0" fontId="28" fillId="0" borderId="258"/>
    <xf numFmtId="0" fontId="28" fillId="0" borderId="258"/>
    <xf numFmtId="0" fontId="28" fillId="0" borderId="258"/>
    <xf numFmtId="0" fontId="28" fillId="0" borderId="258"/>
    <xf numFmtId="0" fontId="28" fillId="0" borderId="258"/>
    <xf numFmtId="0" fontId="28" fillId="0" borderId="258"/>
    <xf numFmtId="0" fontId="28" fillId="0" borderId="258"/>
    <xf numFmtId="0" fontId="28" fillId="0" borderId="258"/>
    <xf numFmtId="0" fontId="28" fillId="0" borderId="258"/>
    <xf numFmtId="0" fontId="28" fillId="0" borderId="258"/>
    <xf numFmtId="0" fontId="28" fillId="0" borderId="258"/>
    <xf numFmtId="0" fontId="28" fillId="0" borderId="258"/>
    <xf numFmtId="0" fontId="28" fillId="0" borderId="258"/>
    <xf numFmtId="0" fontId="25" fillId="13" borderId="254" applyNumberFormat="0" applyAlignment="0" applyProtection="0"/>
    <xf numFmtId="0" fontId="25" fillId="13" borderId="254" applyNumberFormat="0" applyAlignment="0" applyProtection="0"/>
    <xf numFmtId="0" fontId="25" fillId="13" borderId="254" applyNumberFormat="0" applyAlignment="0" applyProtection="0"/>
    <xf numFmtId="0" fontId="25" fillId="13" borderId="254" applyNumberFormat="0" applyAlignment="0" applyProtection="0"/>
    <xf numFmtId="0" fontId="25" fillId="13" borderId="254" applyNumberFormat="0" applyAlignment="0" applyProtection="0"/>
    <xf numFmtId="0" fontId="25" fillId="13" borderId="254" applyNumberFormat="0" applyAlignment="0" applyProtection="0"/>
    <xf numFmtId="0" fontId="25" fillId="13" borderId="254" applyNumberFormat="0" applyAlignment="0" applyProtection="0"/>
    <xf numFmtId="0" fontId="25" fillId="13" borderId="254" applyNumberFormat="0" applyAlignment="0" applyProtection="0"/>
    <xf numFmtId="0" fontId="25" fillId="13" borderId="254" applyNumberFormat="0" applyAlignment="0" applyProtection="0"/>
    <xf numFmtId="0" fontId="25" fillId="13" borderId="254" applyNumberFormat="0" applyAlignment="0" applyProtection="0"/>
    <xf numFmtId="0" fontId="25" fillId="13" borderId="254" applyNumberFormat="0" applyAlignment="0" applyProtection="0"/>
    <xf numFmtId="0" fontId="25" fillId="13" borderId="254" applyNumberFormat="0" applyAlignment="0" applyProtection="0"/>
    <xf numFmtId="0" fontId="25" fillId="13" borderId="254" applyNumberFormat="0" applyAlignment="0" applyProtection="0"/>
    <xf numFmtId="0" fontId="25" fillId="13" borderId="254" applyNumberFormat="0" applyAlignment="0" applyProtection="0"/>
    <xf numFmtId="0" fontId="25" fillId="13" borderId="254" applyNumberFormat="0" applyAlignment="0" applyProtection="0"/>
    <xf numFmtId="0" fontId="25" fillId="13" borderId="254" applyNumberFormat="0" applyAlignment="0" applyProtection="0"/>
    <xf numFmtId="0" fontId="25" fillId="13" borderId="254" applyNumberFormat="0" applyAlignment="0" applyProtection="0"/>
    <xf numFmtId="0" fontId="25" fillId="13" borderId="254" applyNumberFormat="0" applyAlignment="0" applyProtection="0"/>
    <xf numFmtId="0" fontId="25" fillId="13" borderId="254" applyNumberFormat="0" applyAlignment="0" applyProtection="0"/>
    <xf numFmtId="0" fontId="25" fillId="13" borderId="254" applyNumberFormat="0" applyAlignment="0" applyProtection="0"/>
    <xf numFmtId="0" fontId="25" fillId="13" borderId="254" applyNumberFormat="0" applyAlignment="0" applyProtection="0"/>
    <xf numFmtId="0" fontId="25" fillId="13" borderId="254" applyNumberFormat="0" applyAlignment="0" applyProtection="0"/>
    <xf numFmtId="0" fontId="25" fillId="13" borderId="254" applyNumberFormat="0" applyAlignment="0" applyProtection="0"/>
    <xf numFmtId="0" fontId="25" fillId="13" borderId="254" applyNumberFormat="0" applyAlignment="0" applyProtection="0"/>
    <xf numFmtId="0" fontId="25" fillId="13" borderId="254" applyNumberFormat="0" applyAlignment="0" applyProtection="0"/>
    <xf numFmtId="0" fontId="25" fillId="13" borderId="254" applyNumberFormat="0" applyAlignment="0" applyProtection="0"/>
    <xf numFmtId="0" fontId="25" fillId="13" borderId="254" applyNumberFormat="0" applyAlignment="0" applyProtection="0"/>
    <xf numFmtId="0" fontId="25" fillId="13" borderId="254" applyNumberFormat="0" applyAlignment="0" applyProtection="0"/>
    <xf numFmtId="0" fontId="25" fillId="13" borderId="254" applyNumberFormat="0" applyAlignment="0" applyProtection="0"/>
    <xf numFmtId="0" fontId="25" fillId="13" borderId="254" applyNumberFormat="0" applyAlignment="0" applyProtection="0"/>
    <xf numFmtId="0" fontId="25" fillId="13" borderId="254" applyNumberFormat="0" applyAlignment="0" applyProtection="0"/>
    <xf numFmtId="0" fontId="25" fillId="13" borderId="254" applyNumberFormat="0" applyAlignment="0" applyProtection="0"/>
    <xf numFmtId="0" fontId="25" fillId="13" borderId="254" applyNumberFormat="0" applyAlignment="0" applyProtection="0"/>
    <xf numFmtId="0" fontId="25" fillId="13" borderId="254" applyNumberFormat="0" applyAlignment="0" applyProtection="0"/>
    <xf numFmtId="0" fontId="25" fillId="13" borderId="254" applyNumberFormat="0" applyAlignment="0" applyProtection="0"/>
    <xf numFmtId="0" fontId="25" fillId="13" borderId="254" applyNumberFormat="0" applyAlignment="0" applyProtection="0"/>
    <xf numFmtId="0" fontId="25" fillId="13" borderId="254" applyNumberFormat="0" applyAlignment="0" applyProtection="0"/>
    <xf numFmtId="0" fontId="25" fillId="13" borderId="254" applyNumberFormat="0" applyAlignment="0" applyProtection="0"/>
    <xf numFmtId="0" fontId="25" fillId="13" borderId="254" applyNumberFormat="0" applyAlignment="0" applyProtection="0"/>
    <xf numFmtId="0" fontId="25" fillId="13" borderId="254" applyNumberFormat="0" applyAlignment="0" applyProtection="0"/>
    <xf numFmtId="0" fontId="25" fillId="13" borderId="254" applyNumberFormat="0" applyAlignment="0" applyProtection="0"/>
    <xf numFmtId="0" fontId="25" fillId="13" borderId="254" applyNumberFormat="0" applyAlignment="0" applyProtection="0"/>
    <xf numFmtId="0" fontId="25" fillId="13" borderId="254" applyNumberFormat="0" applyAlignment="0" applyProtection="0"/>
    <xf numFmtId="0" fontId="25" fillId="13" borderId="254" applyNumberFormat="0" applyAlignment="0" applyProtection="0"/>
    <xf numFmtId="0" fontId="25" fillId="13" borderId="254" applyNumberFormat="0" applyAlignment="0" applyProtection="0"/>
    <xf numFmtId="0" fontId="25" fillId="13" borderId="254" applyNumberFormat="0" applyAlignment="0" applyProtection="0"/>
    <xf numFmtId="0" fontId="25" fillId="13" borderId="254" applyNumberFormat="0" applyAlignment="0" applyProtection="0"/>
    <xf numFmtId="0" fontId="25" fillId="13" borderId="254" applyNumberFormat="0" applyAlignment="0" applyProtection="0"/>
    <xf numFmtId="0" fontId="25" fillId="13" borderId="254" applyNumberFormat="0" applyAlignment="0" applyProtection="0"/>
    <xf numFmtId="0" fontId="41" fillId="13" borderId="254" applyNumberFormat="0" applyAlignment="0" applyProtection="0"/>
    <xf numFmtId="0" fontId="41" fillId="13" borderId="254" applyNumberFormat="0" applyAlignment="0" applyProtection="0"/>
    <xf numFmtId="0" fontId="41" fillId="13" borderId="254" applyNumberFormat="0" applyAlignment="0" applyProtection="0"/>
    <xf numFmtId="0" fontId="41" fillId="13" borderId="254" applyNumberFormat="0" applyAlignment="0" applyProtection="0"/>
    <xf numFmtId="0" fontId="41" fillId="13" borderId="254" applyNumberFormat="0" applyAlignment="0" applyProtection="0"/>
    <xf numFmtId="0" fontId="41" fillId="13" borderId="254" applyNumberFormat="0" applyAlignment="0" applyProtection="0"/>
    <xf numFmtId="0" fontId="41" fillId="13" borderId="254" applyNumberFormat="0" applyAlignment="0" applyProtection="0"/>
    <xf numFmtId="0" fontId="41" fillId="13" borderId="254" applyNumberFormat="0" applyAlignment="0" applyProtection="0"/>
    <xf numFmtId="0" fontId="41" fillId="13" borderId="254" applyNumberFormat="0" applyAlignment="0" applyProtection="0"/>
    <xf numFmtId="0" fontId="41" fillId="13" borderId="254" applyNumberFormat="0" applyAlignment="0" applyProtection="0"/>
    <xf numFmtId="0" fontId="41" fillId="13" borderId="254" applyNumberFormat="0" applyAlignment="0" applyProtection="0"/>
    <xf numFmtId="0" fontId="41" fillId="13" borderId="254" applyNumberFormat="0" applyAlignment="0" applyProtection="0"/>
    <xf numFmtId="0" fontId="41" fillId="13" borderId="254" applyNumberFormat="0" applyAlignment="0" applyProtection="0"/>
    <xf numFmtId="0" fontId="41" fillId="13" borderId="254" applyNumberFormat="0" applyAlignment="0" applyProtection="0"/>
    <xf numFmtId="0" fontId="41" fillId="13" borderId="254" applyNumberFormat="0" applyAlignment="0" applyProtection="0"/>
    <xf numFmtId="0" fontId="41" fillId="13" borderId="254" applyNumberFormat="0" applyAlignment="0" applyProtection="0"/>
    <xf numFmtId="0" fontId="41" fillId="13" borderId="254" applyNumberFormat="0" applyAlignment="0" applyProtection="0"/>
    <xf numFmtId="0" fontId="41" fillId="13" borderId="254" applyNumberFormat="0" applyAlignment="0" applyProtection="0"/>
    <xf numFmtId="0" fontId="41" fillId="13" borderId="254" applyNumberFormat="0" applyAlignment="0" applyProtection="0"/>
    <xf numFmtId="0" fontId="41" fillId="13" borderId="254" applyNumberFormat="0" applyAlignment="0" applyProtection="0"/>
    <xf numFmtId="0" fontId="41" fillId="13" borderId="254" applyNumberFormat="0" applyAlignment="0" applyProtection="0"/>
    <xf numFmtId="0" fontId="41" fillId="13" borderId="254" applyNumberFormat="0" applyAlignment="0" applyProtection="0"/>
    <xf numFmtId="0" fontId="41" fillId="13" borderId="254" applyNumberFormat="0" applyAlignment="0" applyProtection="0"/>
    <xf numFmtId="0" fontId="41" fillId="13" borderId="254" applyNumberFormat="0" applyAlignment="0" applyProtection="0"/>
    <xf numFmtId="0" fontId="41" fillId="13" borderId="254" applyNumberFormat="0" applyAlignment="0" applyProtection="0"/>
    <xf numFmtId="0" fontId="41" fillId="13" borderId="254" applyNumberFormat="0" applyAlignment="0" applyProtection="0"/>
    <xf numFmtId="0" fontId="41" fillId="13" borderId="254" applyNumberFormat="0" applyAlignment="0" applyProtection="0"/>
    <xf numFmtId="0" fontId="41" fillId="13" borderId="254" applyNumberFormat="0" applyAlignment="0" applyProtection="0"/>
    <xf numFmtId="0" fontId="41" fillId="13" borderId="254" applyNumberFormat="0" applyAlignment="0" applyProtection="0"/>
    <xf numFmtId="0" fontId="41" fillId="13" borderId="254" applyNumberFormat="0" applyAlignment="0" applyProtection="0"/>
    <xf numFmtId="0" fontId="41" fillId="13" borderId="254" applyNumberFormat="0" applyAlignment="0" applyProtection="0"/>
    <xf numFmtId="0" fontId="41" fillId="13" borderId="254" applyNumberFormat="0" applyAlignment="0" applyProtection="0"/>
    <xf numFmtId="0" fontId="41" fillId="13" borderId="254" applyNumberFormat="0" applyAlignment="0" applyProtection="0"/>
    <xf numFmtId="0" fontId="41" fillId="13" borderId="254" applyNumberFormat="0" applyAlignment="0" applyProtection="0"/>
    <xf numFmtId="0" fontId="41" fillId="13" borderId="254" applyNumberFormat="0" applyAlignment="0" applyProtection="0"/>
    <xf numFmtId="0" fontId="41" fillId="13" borderId="254" applyNumberFormat="0" applyAlignment="0" applyProtection="0"/>
    <xf numFmtId="0" fontId="41" fillId="13" borderId="254" applyNumberFormat="0" applyAlignment="0" applyProtection="0"/>
    <xf numFmtId="0" fontId="41" fillId="13" borderId="254" applyNumberFormat="0" applyAlignment="0" applyProtection="0"/>
    <xf numFmtId="0" fontId="41" fillId="13" borderId="254" applyNumberFormat="0" applyAlignment="0" applyProtection="0"/>
    <xf numFmtId="0" fontId="41" fillId="13" borderId="254" applyNumberFormat="0" applyAlignment="0" applyProtection="0"/>
    <xf numFmtId="0" fontId="41" fillId="13" borderId="254" applyNumberFormat="0" applyAlignment="0" applyProtection="0"/>
    <xf numFmtId="0" fontId="41" fillId="13" borderId="254" applyNumberFormat="0" applyAlignment="0" applyProtection="0"/>
    <xf numFmtId="0" fontId="41" fillId="13" borderId="254" applyNumberFormat="0" applyAlignment="0" applyProtection="0"/>
    <xf numFmtId="0" fontId="41" fillId="13" borderId="254" applyNumberFormat="0" applyAlignment="0" applyProtection="0"/>
    <xf numFmtId="0" fontId="41" fillId="13" borderId="254" applyNumberFormat="0" applyAlignment="0" applyProtection="0"/>
    <xf numFmtId="0" fontId="41" fillId="13" borderId="254" applyNumberFormat="0" applyAlignment="0" applyProtection="0"/>
    <xf numFmtId="0" fontId="41" fillId="13" borderId="254" applyNumberFormat="0" applyAlignment="0" applyProtection="0"/>
    <xf numFmtId="0" fontId="41" fillId="13" borderId="254" applyNumberFormat="0" applyAlignment="0" applyProtection="0"/>
    <xf numFmtId="0" fontId="41" fillId="13" borderId="254" applyNumberFormat="0" applyAlignment="0" applyProtection="0"/>
    <xf numFmtId="0" fontId="25" fillId="13" borderId="254" applyNumberFormat="0" applyAlignment="0" applyProtection="0"/>
    <xf numFmtId="0" fontId="25" fillId="13" borderId="254" applyNumberFormat="0" applyAlignment="0" applyProtection="0"/>
    <xf numFmtId="0" fontId="25" fillId="13" borderId="254" applyNumberFormat="0" applyAlignment="0" applyProtection="0"/>
    <xf numFmtId="0" fontId="25" fillId="13" borderId="254" applyNumberFormat="0" applyAlignment="0" applyProtection="0"/>
    <xf numFmtId="0" fontId="25" fillId="13" borderId="254" applyNumberFormat="0" applyAlignment="0" applyProtection="0"/>
    <xf numFmtId="0" fontId="25" fillId="13" borderId="254" applyNumberFormat="0" applyAlignment="0" applyProtection="0"/>
    <xf numFmtId="0" fontId="25" fillId="13" borderId="254" applyNumberFormat="0" applyAlignment="0" applyProtection="0"/>
    <xf numFmtId="0" fontId="25" fillId="13" borderId="254" applyNumberFormat="0" applyAlignment="0" applyProtection="0"/>
    <xf numFmtId="0" fontId="25" fillId="13" borderId="254" applyNumberFormat="0" applyAlignment="0" applyProtection="0"/>
    <xf numFmtId="0" fontId="25" fillId="13" borderId="254" applyNumberFormat="0" applyAlignment="0" applyProtection="0"/>
    <xf numFmtId="0" fontId="25" fillId="13" borderId="254" applyNumberFormat="0" applyAlignment="0" applyProtection="0"/>
    <xf numFmtId="0" fontId="25" fillId="13" borderId="254" applyNumberFormat="0" applyAlignment="0" applyProtection="0"/>
    <xf numFmtId="0" fontId="25" fillId="13" borderId="254" applyNumberFormat="0" applyAlignment="0" applyProtection="0"/>
    <xf numFmtId="0" fontId="25" fillId="13" borderId="254" applyNumberFormat="0" applyAlignment="0" applyProtection="0"/>
    <xf numFmtId="0" fontId="25" fillId="13" borderId="254" applyNumberFormat="0" applyAlignment="0" applyProtection="0"/>
    <xf numFmtId="0" fontId="25" fillId="13" borderId="254" applyNumberFormat="0" applyAlignment="0" applyProtection="0"/>
    <xf numFmtId="0" fontId="25" fillId="13" borderId="254" applyNumberFormat="0" applyAlignment="0" applyProtection="0"/>
    <xf numFmtId="0" fontId="25" fillId="13" borderId="254" applyNumberFormat="0" applyAlignment="0" applyProtection="0"/>
    <xf numFmtId="0" fontId="25" fillId="13" borderId="254" applyNumberFormat="0" applyAlignment="0" applyProtection="0"/>
    <xf numFmtId="0" fontId="25" fillId="13" borderId="254" applyNumberFormat="0" applyAlignment="0" applyProtection="0"/>
    <xf numFmtId="0" fontId="25" fillId="13" borderId="254" applyNumberFormat="0" applyAlignment="0" applyProtection="0"/>
    <xf numFmtId="0" fontId="25" fillId="13" borderId="254" applyNumberFormat="0" applyAlignment="0" applyProtection="0"/>
    <xf numFmtId="0" fontId="25" fillId="13" borderId="254" applyNumberFormat="0" applyAlignment="0" applyProtection="0"/>
    <xf numFmtId="0" fontId="25" fillId="13" borderId="254" applyNumberFormat="0" applyAlignment="0" applyProtection="0"/>
    <xf numFmtId="0" fontId="25" fillId="13" borderId="254" applyNumberFormat="0" applyAlignment="0" applyProtection="0"/>
    <xf numFmtId="0" fontId="25" fillId="13" borderId="254" applyNumberFormat="0" applyAlignment="0" applyProtection="0"/>
    <xf numFmtId="0" fontId="25" fillId="13" borderId="254" applyNumberFormat="0" applyAlignment="0" applyProtection="0"/>
    <xf numFmtId="0" fontId="25" fillId="13" borderId="254" applyNumberFormat="0" applyAlignment="0" applyProtection="0"/>
    <xf numFmtId="0" fontId="25" fillId="13" borderId="254" applyNumberFormat="0" applyAlignment="0" applyProtection="0"/>
    <xf numFmtId="0" fontId="25" fillId="13" borderId="254" applyNumberFormat="0" applyAlignment="0" applyProtection="0"/>
    <xf numFmtId="0" fontId="25" fillId="13" borderId="254" applyNumberFormat="0" applyAlignment="0" applyProtection="0"/>
    <xf numFmtId="0" fontId="25" fillId="13" borderId="254" applyNumberFormat="0" applyAlignment="0" applyProtection="0"/>
    <xf numFmtId="0" fontId="25" fillId="13" borderId="254" applyNumberFormat="0" applyAlignment="0" applyProtection="0"/>
    <xf numFmtId="0" fontId="25" fillId="13" borderId="254" applyNumberFormat="0" applyAlignment="0" applyProtection="0"/>
    <xf numFmtId="0" fontId="25" fillId="13" borderId="254" applyNumberFormat="0" applyAlignment="0" applyProtection="0"/>
    <xf numFmtId="0" fontId="25" fillId="13" borderId="254" applyNumberFormat="0" applyAlignment="0" applyProtection="0"/>
    <xf numFmtId="0" fontId="25" fillId="13" borderId="254" applyNumberFormat="0" applyAlignment="0" applyProtection="0"/>
    <xf numFmtId="0" fontId="25" fillId="13" borderId="254" applyNumberFormat="0" applyAlignment="0" applyProtection="0"/>
    <xf numFmtId="0" fontId="25" fillId="13" borderId="254" applyNumberFormat="0" applyAlignment="0" applyProtection="0"/>
    <xf numFmtId="0" fontId="25" fillId="13" borderId="254" applyNumberFormat="0" applyAlignment="0" applyProtection="0"/>
    <xf numFmtId="0" fontId="25" fillId="13" borderId="254" applyNumberFormat="0" applyAlignment="0" applyProtection="0"/>
    <xf numFmtId="0" fontId="25" fillId="13" borderId="254" applyNumberFormat="0" applyAlignment="0" applyProtection="0"/>
    <xf numFmtId="0" fontId="25" fillId="13" borderId="254" applyNumberFormat="0" applyAlignment="0" applyProtection="0"/>
    <xf numFmtId="0" fontId="25" fillId="13" borderId="254" applyNumberFormat="0" applyAlignment="0" applyProtection="0"/>
    <xf numFmtId="0" fontId="25" fillId="13" borderId="254" applyNumberFormat="0" applyAlignment="0" applyProtection="0"/>
    <xf numFmtId="0" fontId="25" fillId="13" borderId="254" applyNumberFormat="0" applyAlignment="0" applyProtection="0"/>
    <xf numFmtId="0" fontId="25" fillId="13" borderId="254" applyNumberFormat="0" applyAlignment="0" applyProtection="0"/>
    <xf numFmtId="0" fontId="25" fillId="13" borderId="254" applyNumberFormat="0" applyAlignment="0" applyProtection="0"/>
    <xf numFmtId="0" fontId="25" fillId="13" borderId="254" applyNumberFormat="0" applyAlignment="0" applyProtection="0"/>
    <xf numFmtId="0" fontId="41" fillId="13" borderId="254" applyNumberFormat="0" applyAlignment="0" applyProtection="0"/>
    <xf numFmtId="0" fontId="41" fillId="13" borderId="254" applyNumberFormat="0" applyAlignment="0" applyProtection="0"/>
    <xf numFmtId="0" fontId="41" fillId="13" borderId="254" applyNumberFormat="0" applyAlignment="0" applyProtection="0"/>
    <xf numFmtId="0" fontId="41" fillId="13" borderId="254" applyNumberFormat="0" applyAlignment="0" applyProtection="0"/>
    <xf numFmtId="0" fontId="41" fillId="13" borderId="254" applyNumberFormat="0" applyAlignment="0" applyProtection="0"/>
    <xf numFmtId="0" fontId="41" fillId="13" borderId="254" applyNumberFormat="0" applyAlignment="0" applyProtection="0"/>
    <xf numFmtId="0" fontId="41" fillId="13" borderId="254" applyNumberFormat="0" applyAlignment="0" applyProtection="0"/>
    <xf numFmtId="0" fontId="41" fillId="13" borderId="254" applyNumberFormat="0" applyAlignment="0" applyProtection="0"/>
    <xf numFmtId="0" fontId="41" fillId="13" borderId="254" applyNumberFormat="0" applyAlignment="0" applyProtection="0"/>
    <xf numFmtId="0" fontId="41" fillId="13" borderId="254" applyNumberFormat="0" applyAlignment="0" applyProtection="0"/>
    <xf numFmtId="0" fontId="41" fillId="13" borderId="254" applyNumberFormat="0" applyAlignment="0" applyProtection="0"/>
    <xf numFmtId="0" fontId="41" fillId="13" borderId="254" applyNumberFormat="0" applyAlignment="0" applyProtection="0"/>
    <xf numFmtId="0" fontId="41" fillId="13" borderId="254" applyNumberFormat="0" applyAlignment="0" applyProtection="0"/>
    <xf numFmtId="0" fontId="41" fillId="13" borderId="254" applyNumberFormat="0" applyAlignment="0" applyProtection="0"/>
    <xf numFmtId="0" fontId="41" fillId="13" borderId="254" applyNumberFormat="0" applyAlignment="0" applyProtection="0"/>
    <xf numFmtId="0" fontId="41" fillId="13" borderId="254" applyNumberFormat="0" applyAlignment="0" applyProtection="0"/>
    <xf numFmtId="0" fontId="41" fillId="13" borderId="254" applyNumberFormat="0" applyAlignment="0" applyProtection="0"/>
    <xf numFmtId="0" fontId="41" fillId="13" borderId="254" applyNumberFormat="0" applyAlignment="0" applyProtection="0"/>
    <xf numFmtId="0" fontId="41" fillId="13" borderId="254" applyNumberFormat="0" applyAlignment="0" applyProtection="0"/>
    <xf numFmtId="0" fontId="41" fillId="13" borderId="254" applyNumberFormat="0" applyAlignment="0" applyProtection="0"/>
    <xf numFmtId="0" fontId="41" fillId="13" borderId="254" applyNumberFormat="0" applyAlignment="0" applyProtection="0"/>
    <xf numFmtId="0" fontId="41" fillId="13" borderId="254" applyNumberFormat="0" applyAlignment="0" applyProtection="0"/>
    <xf numFmtId="0" fontId="41" fillId="13" borderId="254" applyNumberFormat="0" applyAlignment="0" applyProtection="0"/>
    <xf numFmtId="0" fontId="41" fillId="13" borderId="254" applyNumberFormat="0" applyAlignment="0" applyProtection="0"/>
    <xf numFmtId="0" fontId="41" fillId="13" borderId="254" applyNumberFormat="0" applyAlignment="0" applyProtection="0"/>
    <xf numFmtId="0" fontId="41" fillId="13" borderId="254" applyNumberFormat="0" applyAlignment="0" applyProtection="0"/>
    <xf numFmtId="0" fontId="41" fillId="13" borderId="254" applyNumberFormat="0" applyAlignment="0" applyProtection="0"/>
    <xf numFmtId="0" fontId="41" fillId="13" borderId="254" applyNumberFormat="0" applyAlignment="0" applyProtection="0"/>
    <xf numFmtId="0" fontId="41" fillId="13" borderId="254" applyNumberFormat="0" applyAlignment="0" applyProtection="0"/>
    <xf numFmtId="0" fontId="41" fillId="13" borderId="254" applyNumberFormat="0" applyAlignment="0" applyProtection="0"/>
    <xf numFmtId="0" fontId="41" fillId="13" borderId="254" applyNumberFormat="0" applyAlignment="0" applyProtection="0"/>
    <xf numFmtId="0" fontId="41" fillId="13" borderId="254" applyNumberFormat="0" applyAlignment="0" applyProtection="0"/>
    <xf numFmtId="0" fontId="41" fillId="13" borderId="254" applyNumberFormat="0" applyAlignment="0" applyProtection="0"/>
    <xf numFmtId="0" fontId="41" fillId="13" borderId="254" applyNumberFormat="0" applyAlignment="0" applyProtection="0"/>
    <xf numFmtId="0" fontId="41" fillId="13" borderId="254" applyNumberFormat="0" applyAlignment="0" applyProtection="0"/>
    <xf numFmtId="0" fontId="41" fillId="13" borderId="254" applyNumberFormat="0" applyAlignment="0" applyProtection="0"/>
    <xf numFmtId="0" fontId="41" fillId="13" borderId="254" applyNumberFormat="0" applyAlignment="0" applyProtection="0"/>
    <xf numFmtId="0" fontId="41" fillId="13" borderId="254" applyNumberFormat="0" applyAlignment="0" applyProtection="0"/>
    <xf numFmtId="0" fontId="41" fillId="13" borderId="254" applyNumberFormat="0" applyAlignment="0" applyProtection="0"/>
    <xf numFmtId="0" fontId="41" fillId="13" borderId="254" applyNumberFormat="0" applyAlignment="0" applyProtection="0"/>
    <xf numFmtId="0" fontId="41" fillId="13" borderId="254" applyNumberFormat="0" applyAlignment="0" applyProtection="0"/>
    <xf numFmtId="0" fontId="41" fillId="13" borderId="254" applyNumberFormat="0" applyAlignment="0" applyProtection="0"/>
    <xf numFmtId="0" fontId="41" fillId="13" borderId="254" applyNumberFormat="0" applyAlignment="0" applyProtection="0"/>
    <xf numFmtId="0" fontId="41" fillId="13" borderId="254" applyNumberFormat="0" applyAlignment="0" applyProtection="0"/>
    <xf numFmtId="0" fontId="41" fillId="13" borderId="254" applyNumberFormat="0" applyAlignment="0" applyProtection="0"/>
    <xf numFmtId="0" fontId="41" fillId="13" borderId="254" applyNumberFormat="0" applyAlignment="0" applyProtection="0"/>
    <xf numFmtId="0" fontId="41" fillId="13" borderId="254" applyNumberFormat="0" applyAlignment="0" applyProtection="0"/>
    <xf numFmtId="0" fontId="41" fillId="13" borderId="254" applyNumberFormat="0" applyAlignment="0" applyProtection="0"/>
    <xf numFmtId="0" fontId="41" fillId="13" borderId="254" applyNumberFormat="0" applyAlignment="0" applyProtection="0"/>
    <xf numFmtId="0" fontId="25" fillId="13" borderId="254" applyNumberFormat="0" applyAlignment="0" applyProtection="0"/>
    <xf numFmtId="0" fontId="25" fillId="13" borderId="254" applyNumberFormat="0" applyAlignment="0" applyProtection="0"/>
    <xf numFmtId="0" fontId="25" fillId="13" borderId="254" applyNumberFormat="0" applyAlignment="0" applyProtection="0"/>
    <xf numFmtId="0" fontId="25" fillId="13" borderId="254" applyNumberFormat="0" applyAlignment="0" applyProtection="0"/>
    <xf numFmtId="0" fontId="25" fillId="13" borderId="254" applyNumberFormat="0" applyAlignment="0" applyProtection="0"/>
    <xf numFmtId="0" fontId="25" fillId="13" borderId="254" applyNumberFormat="0" applyAlignment="0" applyProtection="0"/>
    <xf numFmtId="0" fontId="25" fillId="13" borderId="254" applyNumberFormat="0" applyAlignment="0" applyProtection="0"/>
    <xf numFmtId="0" fontId="25" fillId="13" borderId="254" applyNumberFormat="0" applyAlignment="0" applyProtection="0"/>
    <xf numFmtId="0" fontId="25" fillId="13" borderId="254" applyNumberFormat="0" applyAlignment="0" applyProtection="0"/>
    <xf numFmtId="0" fontId="25" fillId="13" borderId="254" applyNumberFormat="0" applyAlignment="0" applyProtection="0"/>
    <xf numFmtId="0" fontId="25" fillId="13" borderId="254" applyNumberFormat="0" applyAlignment="0" applyProtection="0"/>
    <xf numFmtId="0" fontId="25" fillId="13" borderId="254" applyNumberFormat="0" applyAlignment="0" applyProtection="0"/>
    <xf numFmtId="0" fontId="25" fillId="13" borderId="254" applyNumberFormat="0" applyAlignment="0" applyProtection="0"/>
    <xf numFmtId="0" fontId="25" fillId="13" borderId="254" applyNumberFormat="0" applyAlignment="0" applyProtection="0"/>
    <xf numFmtId="0" fontId="25" fillId="13" borderId="254" applyNumberFormat="0" applyAlignment="0" applyProtection="0"/>
    <xf numFmtId="0" fontId="25" fillId="13" borderId="254" applyNumberFormat="0" applyAlignment="0" applyProtection="0"/>
    <xf numFmtId="0" fontId="25" fillId="13" borderId="254" applyNumberFormat="0" applyAlignment="0" applyProtection="0"/>
    <xf numFmtId="0" fontId="25" fillId="13" borderId="254" applyNumberFormat="0" applyAlignment="0" applyProtection="0"/>
    <xf numFmtId="0" fontId="25" fillId="13" borderId="254" applyNumberFormat="0" applyAlignment="0" applyProtection="0"/>
    <xf numFmtId="0" fontId="25" fillId="13" borderId="254" applyNumberFormat="0" applyAlignment="0" applyProtection="0"/>
    <xf numFmtId="0" fontId="25" fillId="13" borderId="254" applyNumberFormat="0" applyAlignment="0" applyProtection="0"/>
    <xf numFmtId="0" fontId="25" fillId="13" borderId="254" applyNumberFormat="0" applyAlignment="0" applyProtection="0"/>
    <xf numFmtId="0" fontId="25" fillId="13" borderId="254" applyNumberFormat="0" applyAlignment="0" applyProtection="0"/>
    <xf numFmtId="0" fontId="25" fillId="13" borderId="254" applyNumberFormat="0" applyAlignment="0" applyProtection="0"/>
    <xf numFmtId="0" fontId="25" fillId="13" borderId="254" applyNumberFormat="0" applyAlignment="0" applyProtection="0"/>
    <xf numFmtId="0" fontId="25" fillId="13" borderId="254" applyNumberFormat="0" applyAlignment="0" applyProtection="0"/>
    <xf numFmtId="0" fontId="25" fillId="13" borderId="254" applyNumberFormat="0" applyAlignment="0" applyProtection="0"/>
    <xf numFmtId="0" fontId="25" fillId="13" borderId="254" applyNumberFormat="0" applyAlignment="0" applyProtection="0"/>
    <xf numFmtId="0" fontId="25" fillId="13" borderId="254" applyNumberFormat="0" applyAlignment="0" applyProtection="0"/>
    <xf numFmtId="0" fontId="25" fillId="13" borderId="254" applyNumberFormat="0" applyAlignment="0" applyProtection="0"/>
    <xf numFmtId="0" fontId="25" fillId="13" borderId="254" applyNumberFormat="0" applyAlignment="0" applyProtection="0"/>
    <xf numFmtId="0" fontId="25" fillId="13" borderId="254" applyNumberFormat="0" applyAlignment="0" applyProtection="0"/>
    <xf numFmtId="0" fontId="25" fillId="13" borderId="254" applyNumberFormat="0" applyAlignment="0" applyProtection="0"/>
    <xf numFmtId="0" fontId="25" fillId="13" borderId="254" applyNumberFormat="0" applyAlignment="0" applyProtection="0"/>
    <xf numFmtId="0" fontId="25" fillId="13" borderId="254" applyNumberFormat="0" applyAlignment="0" applyProtection="0"/>
    <xf numFmtId="0" fontId="25" fillId="13" borderId="254" applyNumberFormat="0" applyAlignment="0" applyProtection="0"/>
    <xf numFmtId="0" fontId="25" fillId="13" borderId="254" applyNumberFormat="0" applyAlignment="0" applyProtection="0"/>
    <xf numFmtId="0" fontId="25" fillId="13" borderId="254" applyNumberFormat="0" applyAlignment="0" applyProtection="0"/>
    <xf numFmtId="0" fontId="25" fillId="13" borderId="254" applyNumberFormat="0" applyAlignment="0" applyProtection="0"/>
    <xf numFmtId="0" fontId="25" fillId="13" borderId="254" applyNumberFormat="0" applyAlignment="0" applyProtection="0"/>
    <xf numFmtId="0" fontId="25" fillId="13" borderId="254" applyNumberFormat="0" applyAlignment="0" applyProtection="0"/>
    <xf numFmtId="0" fontId="25" fillId="13" borderId="254" applyNumberFormat="0" applyAlignment="0" applyProtection="0"/>
    <xf numFmtId="0" fontId="25" fillId="13" borderId="254" applyNumberFormat="0" applyAlignment="0" applyProtection="0"/>
    <xf numFmtId="0" fontId="25" fillId="13" borderId="254" applyNumberFormat="0" applyAlignment="0" applyProtection="0"/>
    <xf numFmtId="0" fontId="25" fillId="13" borderId="254" applyNumberFormat="0" applyAlignment="0" applyProtection="0"/>
    <xf numFmtId="0" fontId="25" fillId="13" borderId="254" applyNumberFormat="0" applyAlignment="0" applyProtection="0"/>
    <xf numFmtId="0" fontId="25" fillId="13" borderId="254" applyNumberFormat="0" applyAlignment="0" applyProtection="0"/>
    <xf numFmtId="0" fontId="25" fillId="13" borderId="254" applyNumberFormat="0" applyAlignment="0" applyProtection="0"/>
    <xf numFmtId="0" fontId="25" fillId="13" borderId="254" applyNumberFormat="0" applyAlignment="0" applyProtection="0"/>
    <xf numFmtId="0" fontId="25" fillId="8" borderId="254" applyNumberFormat="0" applyAlignment="0" applyProtection="0"/>
    <xf numFmtId="0" fontId="25" fillId="8" borderId="254" applyNumberFormat="0" applyAlignment="0" applyProtection="0"/>
    <xf numFmtId="0" fontId="25" fillId="8" borderId="254" applyNumberFormat="0" applyAlignment="0" applyProtection="0"/>
    <xf numFmtId="0" fontId="25" fillId="8" borderId="254" applyNumberFormat="0" applyAlignment="0" applyProtection="0"/>
    <xf numFmtId="0" fontId="25" fillId="8" borderId="254" applyNumberFormat="0" applyAlignment="0" applyProtection="0"/>
    <xf numFmtId="0" fontId="25" fillId="8" borderId="254" applyNumberFormat="0" applyAlignment="0" applyProtection="0"/>
    <xf numFmtId="0" fontId="25" fillId="8" borderId="254" applyNumberFormat="0" applyAlignment="0" applyProtection="0"/>
    <xf numFmtId="0" fontId="25" fillId="8" borderId="254" applyNumberFormat="0" applyAlignment="0" applyProtection="0"/>
    <xf numFmtId="0" fontId="25" fillId="8" borderId="254" applyNumberFormat="0" applyAlignment="0" applyProtection="0"/>
    <xf numFmtId="0" fontId="25" fillId="8" borderId="254" applyNumberFormat="0" applyAlignment="0" applyProtection="0"/>
    <xf numFmtId="0" fontId="25" fillId="8" borderId="254" applyNumberFormat="0" applyAlignment="0" applyProtection="0"/>
    <xf numFmtId="0" fontId="25" fillId="8" borderId="254" applyNumberFormat="0" applyAlignment="0" applyProtection="0"/>
    <xf numFmtId="0" fontId="25" fillId="8" borderId="254" applyNumberFormat="0" applyAlignment="0" applyProtection="0"/>
    <xf numFmtId="0" fontId="25" fillId="8" borderId="254" applyNumberFormat="0" applyAlignment="0" applyProtection="0"/>
    <xf numFmtId="0" fontId="25" fillId="8" borderId="254" applyNumberFormat="0" applyAlignment="0" applyProtection="0"/>
    <xf numFmtId="0" fontId="25" fillId="8" borderId="254" applyNumberFormat="0" applyAlignment="0" applyProtection="0"/>
    <xf numFmtId="0" fontId="25" fillId="8" borderId="254" applyNumberFormat="0" applyAlignment="0" applyProtection="0"/>
    <xf numFmtId="0" fontId="25" fillId="8" borderId="254" applyNumberFormat="0" applyAlignment="0" applyProtection="0"/>
    <xf numFmtId="0" fontId="25" fillId="8" borderId="254" applyNumberFormat="0" applyAlignment="0" applyProtection="0"/>
    <xf numFmtId="0" fontId="25" fillId="8" borderId="254" applyNumberFormat="0" applyAlignment="0" applyProtection="0"/>
    <xf numFmtId="0" fontId="25" fillId="8" borderId="254" applyNumberFormat="0" applyAlignment="0" applyProtection="0"/>
    <xf numFmtId="0" fontId="25" fillId="8" borderId="254" applyNumberFormat="0" applyAlignment="0" applyProtection="0"/>
    <xf numFmtId="0" fontId="25" fillId="8" borderId="254" applyNumberFormat="0" applyAlignment="0" applyProtection="0"/>
    <xf numFmtId="0" fontId="25" fillId="8" borderId="254" applyNumberFormat="0" applyAlignment="0" applyProtection="0"/>
    <xf numFmtId="0" fontId="25" fillId="8" borderId="254" applyNumberFormat="0" applyAlignment="0" applyProtection="0"/>
    <xf numFmtId="0" fontId="25" fillId="8" borderId="254" applyNumberFormat="0" applyAlignment="0" applyProtection="0"/>
    <xf numFmtId="0" fontId="25" fillId="8" borderId="254" applyNumberFormat="0" applyAlignment="0" applyProtection="0"/>
    <xf numFmtId="0" fontId="25" fillId="8" borderId="254" applyNumberFormat="0" applyAlignment="0" applyProtection="0"/>
    <xf numFmtId="0" fontId="25" fillId="8" borderId="254" applyNumberFormat="0" applyAlignment="0" applyProtection="0"/>
    <xf numFmtId="0" fontId="25" fillId="8" borderId="254" applyNumberFormat="0" applyAlignment="0" applyProtection="0"/>
    <xf numFmtId="0" fontId="25" fillId="8" borderId="254" applyNumberFormat="0" applyAlignment="0" applyProtection="0"/>
    <xf numFmtId="0" fontId="25" fillId="8" borderId="254" applyNumberFormat="0" applyAlignment="0" applyProtection="0"/>
    <xf numFmtId="0" fontId="25" fillId="8" borderId="254" applyNumberFormat="0" applyAlignment="0" applyProtection="0"/>
    <xf numFmtId="0" fontId="25" fillId="8" borderId="254" applyNumberFormat="0" applyAlignment="0" applyProtection="0"/>
    <xf numFmtId="0" fontId="25" fillId="8" borderId="254" applyNumberFormat="0" applyAlignment="0" applyProtection="0"/>
    <xf numFmtId="0" fontId="25" fillId="8" borderId="254" applyNumberFormat="0" applyAlignment="0" applyProtection="0"/>
    <xf numFmtId="0" fontId="25" fillId="8" borderId="254" applyNumberFormat="0" applyAlignment="0" applyProtection="0"/>
    <xf numFmtId="0" fontId="25" fillId="8" borderId="254" applyNumberFormat="0" applyAlignment="0" applyProtection="0"/>
    <xf numFmtId="0" fontId="25" fillId="8" borderId="254" applyNumberFormat="0" applyAlignment="0" applyProtection="0"/>
    <xf numFmtId="0" fontId="25" fillId="8" borderId="254" applyNumberFormat="0" applyAlignment="0" applyProtection="0"/>
    <xf numFmtId="0" fontId="25" fillId="8" borderId="254" applyNumberFormat="0" applyAlignment="0" applyProtection="0"/>
    <xf numFmtId="0" fontId="25" fillId="8" borderId="254" applyNumberFormat="0" applyAlignment="0" applyProtection="0"/>
    <xf numFmtId="0" fontId="25" fillId="8" borderId="254" applyNumberFormat="0" applyAlignment="0" applyProtection="0"/>
    <xf numFmtId="0" fontId="25" fillId="8" borderId="254" applyNumberFormat="0" applyAlignment="0" applyProtection="0"/>
    <xf numFmtId="0" fontId="25" fillId="8" borderId="254" applyNumberFormat="0" applyAlignment="0" applyProtection="0"/>
    <xf numFmtId="0" fontId="25" fillId="8" borderId="254" applyNumberFormat="0" applyAlignment="0" applyProtection="0"/>
    <xf numFmtId="0" fontId="25" fillId="8" borderId="254" applyNumberFormat="0" applyAlignment="0" applyProtection="0"/>
    <xf numFmtId="0" fontId="25" fillId="8" borderId="254" applyNumberFormat="0" applyAlignment="0" applyProtection="0"/>
    <xf numFmtId="0" fontId="25" fillId="8" borderId="254" applyNumberFormat="0" applyAlignment="0" applyProtection="0"/>
    <xf numFmtId="0" fontId="25" fillId="8" borderId="254" applyNumberFormat="0" applyAlignment="0" applyProtection="0"/>
    <xf numFmtId="0" fontId="25" fillId="8" borderId="254" applyNumberFormat="0" applyAlignment="0" applyProtection="0"/>
    <xf numFmtId="0" fontId="25" fillId="8" borderId="254" applyNumberFormat="0" applyAlignment="0" applyProtection="0"/>
    <xf numFmtId="0" fontId="25" fillId="8" borderId="254" applyNumberFormat="0" applyAlignment="0" applyProtection="0"/>
    <xf numFmtId="0" fontId="25" fillId="8" borderId="254" applyNumberFormat="0" applyAlignment="0" applyProtection="0"/>
    <xf numFmtId="0" fontId="25" fillId="8" borderId="254" applyNumberFormat="0" applyAlignment="0" applyProtection="0"/>
    <xf numFmtId="0" fontId="25" fillId="8" borderId="254" applyNumberFormat="0" applyAlignment="0" applyProtection="0"/>
    <xf numFmtId="0" fontId="25" fillId="8" borderId="254" applyNumberFormat="0" applyAlignment="0" applyProtection="0"/>
    <xf numFmtId="0" fontId="25" fillId="8" borderId="254" applyNumberFormat="0" applyAlignment="0" applyProtection="0"/>
    <xf numFmtId="0" fontId="25" fillId="8" borderId="254" applyNumberFormat="0" applyAlignment="0" applyProtection="0"/>
    <xf numFmtId="0" fontId="25" fillId="8" borderId="254" applyNumberFormat="0" applyAlignment="0" applyProtection="0"/>
    <xf numFmtId="0" fontId="25" fillId="8" borderId="254" applyNumberFormat="0" applyAlignment="0" applyProtection="0"/>
    <xf numFmtId="0" fontId="25" fillId="8" borderId="254" applyNumberFormat="0" applyAlignment="0" applyProtection="0"/>
    <xf numFmtId="0" fontId="25" fillId="8" borderId="254" applyNumberFormat="0" applyAlignment="0" applyProtection="0"/>
    <xf numFmtId="0" fontId="25" fillId="8" borderId="254" applyNumberFormat="0" applyAlignment="0" applyProtection="0"/>
    <xf numFmtId="0" fontId="25" fillId="8" borderId="254" applyNumberFormat="0" applyAlignment="0" applyProtection="0"/>
    <xf numFmtId="0" fontId="25" fillId="8" borderId="254" applyNumberFormat="0" applyAlignment="0" applyProtection="0"/>
    <xf numFmtId="0" fontId="25" fillId="8" borderId="254" applyNumberFormat="0" applyAlignment="0" applyProtection="0"/>
    <xf numFmtId="0" fontId="25" fillId="8" borderId="254" applyNumberFormat="0" applyAlignment="0" applyProtection="0"/>
    <xf numFmtId="0" fontId="25" fillId="8" borderId="254" applyNumberFormat="0" applyAlignment="0" applyProtection="0"/>
    <xf numFmtId="0" fontId="25" fillId="8" borderId="254" applyNumberFormat="0" applyAlignment="0" applyProtection="0"/>
    <xf numFmtId="0" fontId="25" fillId="8" borderId="254" applyNumberFormat="0" applyAlignment="0" applyProtection="0"/>
    <xf numFmtId="0" fontId="25" fillId="8" borderId="254" applyNumberFormat="0" applyAlignment="0" applyProtection="0"/>
    <xf numFmtId="0" fontId="25" fillId="8" borderId="254" applyNumberFormat="0" applyAlignment="0" applyProtection="0"/>
    <xf numFmtId="0" fontId="25" fillId="8" borderId="254" applyNumberFormat="0" applyAlignment="0" applyProtection="0"/>
    <xf numFmtId="0" fontId="25" fillId="8" borderId="254" applyNumberFormat="0" applyAlignment="0" applyProtection="0"/>
    <xf numFmtId="0" fontId="25" fillId="8" borderId="254" applyNumberFormat="0" applyAlignment="0" applyProtection="0"/>
    <xf numFmtId="0" fontId="25" fillId="8" borderId="254" applyNumberFormat="0" applyAlignment="0" applyProtection="0"/>
    <xf numFmtId="0" fontId="84" fillId="73" borderId="258"/>
    <xf numFmtId="0" fontId="84" fillId="73" borderId="258"/>
    <xf numFmtId="0" fontId="84" fillId="73" borderId="258"/>
    <xf numFmtId="0" fontId="84" fillId="73" borderId="258"/>
    <xf numFmtId="0" fontId="84" fillId="73" borderId="258"/>
    <xf numFmtId="0" fontId="84" fillId="73" borderId="258"/>
    <xf numFmtId="0" fontId="84" fillId="73" borderId="258"/>
    <xf numFmtId="0" fontId="84" fillId="73" borderId="258"/>
    <xf numFmtId="0" fontId="84" fillId="73" borderId="258"/>
    <xf numFmtId="0" fontId="84" fillId="73" borderId="258"/>
    <xf numFmtId="0" fontId="84" fillId="73" borderId="258"/>
    <xf numFmtId="0" fontId="84" fillId="73" borderId="258"/>
    <xf numFmtId="0" fontId="84" fillId="73" borderId="258"/>
    <xf numFmtId="0" fontId="84" fillId="73" borderId="258"/>
    <xf numFmtId="0" fontId="84" fillId="73" borderId="258"/>
    <xf numFmtId="0" fontId="84" fillId="73" borderId="258"/>
    <xf numFmtId="0" fontId="84" fillId="73" borderId="258"/>
    <xf numFmtId="0" fontId="84" fillId="73" borderId="258"/>
    <xf numFmtId="0" fontId="84" fillId="73" borderId="258"/>
    <xf numFmtId="0" fontId="84" fillId="73" borderId="258"/>
    <xf numFmtId="0" fontId="84" fillId="73" borderId="258"/>
    <xf numFmtId="0" fontId="84" fillId="73" borderId="258"/>
    <xf numFmtId="0" fontId="84" fillId="73" borderId="258"/>
    <xf numFmtId="0" fontId="84" fillId="73" borderId="258"/>
    <xf numFmtId="0" fontId="84" fillId="73" borderId="258"/>
    <xf numFmtId="0" fontId="84" fillId="73" borderId="258"/>
    <xf numFmtId="0" fontId="84" fillId="73" borderId="258"/>
    <xf numFmtId="0" fontId="84" fillId="73" borderId="258"/>
    <xf numFmtId="0" fontId="84" fillId="73" borderId="258"/>
    <xf numFmtId="0" fontId="84" fillId="73" borderId="258"/>
    <xf numFmtId="0" fontId="84" fillId="73" borderId="258"/>
    <xf numFmtId="0" fontId="84" fillId="73" borderId="258"/>
    <xf numFmtId="0" fontId="84" fillId="73" borderId="258"/>
    <xf numFmtId="0" fontId="84" fillId="73" borderId="258"/>
    <xf numFmtId="0" fontId="84" fillId="73" borderId="258"/>
    <xf numFmtId="0" fontId="84" fillId="73" borderId="258"/>
    <xf numFmtId="0" fontId="84" fillId="73" borderId="258"/>
    <xf numFmtId="0" fontId="84" fillId="73" borderId="258"/>
    <xf numFmtId="0" fontId="84" fillId="73" borderId="258"/>
    <xf numFmtId="0" fontId="84" fillId="73" borderId="258"/>
    <xf numFmtId="0" fontId="84" fillId="73" borderId="258"/>
    <xf numFmtId="0" fontId="84" fillId="73" borderId="258"/>
    <xf numFmtId="0" fontId="84" fillId="73" borderId="258"/>
    <xf numFmtId="0" fontId="84" fillId="73" borderId="258"/>
    <xf numFmtId="0" fontId="84" fillId="73" borderId="258"/>
    <xf numFmtId="0" fontId="72" fillId="0" borderId="242" applyBorder="0">
      <alignment horizontal="center" vertical="center" wrapText="1"/>
    </xf>
    <xf numFmtId="0" fontId="72" fillId="0" borderId="242" applyBorder="0">
      <alignment horizontal="center" vertical="center" wrapText="1"/>
    </xf>
    <xf numFmtId="0" fontId="72" fillId="0" borderId="242" applyBorder="0">
      <alignment horizontal="center" vertical="center" wrapText="1"/>
    </xf>
    <xf numFmtId="0" fontId="72" fillId="0" borderId="242" applyBorder="0">
      <alignment horizontal="center" vertical="center" wrapText="1"/>
    </xf>
    <xf numFmtId="0" fontId="72" fillId="0" borderId="242" applyBorder="0">
      <alignment horizontal="center" vertical="center" wrapText="1"/>
    </xf>
    <xf numFmtId="0" fontId="72" fillId="0" borderId="242" applyBorder="0">
      <alignment horizontal="center" vertical="center" wrapText="1"/>
    </xf>
    <xf numFmtId="0" fontId="72" fillId="0" borderId="242" applyBorder="0">
      <alignment horizontal="center" vertical="center" wrapText="1"/>
    </xf>
    <xf numFmtId="0" fontId="72" fillId="0" borderId="242" applyBorder="0">
      <alignment horizontal="center" vertical="center" wrapText="1"/>
    </xf>
    <xf numFmtId="0" fontId="72" fillId="0" borderId="242" applyBorder="0">
      <alignment horizontal="center" vertical="center" wrapText="1"/>
    </xf>
    <xf numFmtId="0" fontId="72" fillId="0" borderId="242" applyBorder="0">
      <alignment horizontal="center" vertical="center" wrapText="1"/>
    </xf>
    <xf numFmtId="0" fontId="72" fillId="0" borderId="242" applyBorder="0">
      <alignment horizontal="center" vertical="center" wrapText="1"/>
    </xf>
    <xf numFmtId="0" fontId="72" fillId="0" borderId="242" applyBorder="0">
      <alignment horizontal="center" vertical="center" wrapText="1"/>
    </xf>
    <xf numFmtId="0" fontId="72" fillId="0" borderId="242" applyBorder="0">
      <alignment horizontal="center" vertical="center" wrapText="1"/>
    </xf>
    <xf numFmtId="0" fontId="72" fillId="0" borderId="242" applyBorder="0">
      <alignment horizontal="center" vertical="center" wrapText="1"/>
    </xf>
    <xf numFmtId="0" fontId="72" fillId="0" borderId="242" applyBorder="0">
      <alignment horizontal="center" vertical="center" wrapText="1"/>
    </xf>
    <xf numFmtId="0" fontId="72" fillId="0" borderId="242" applyBorder="0">
      <alignment horizontal="center" vertical="center" wrapText="1"/>
    </xf>
    <xf numFmtId="0" fontId="72" fillId="0" borderId="242" applyBorder="0">
      <alignment horizontal="center" vertical="center" wrapText="1"/>
    </xf>
    <xf numFmtId="0" fontId="72" fillId="0" borderId="242" applyBorder="0">
      <alignment horizontal="center" vertical="center" wrapText="1"/>
    </xf>
    <xf numFmtId="0" fontId="72" fillId="0" borderId="242" applyBorder="0">
      <alignment horizontal="center" vertical="center" wrapText="1"/>
    </xf>
    <xf numFmtId="0" fontId="72" fillId="0" borderId="242" applyBorder="0">
      <alignment horizontal="center" vertical="center" wrapText="1"/>
    </xf>
    <xf numFmtId="0" fontId="72" fillId="0" borderId="242" applyBorder="0">
      <alignment horizontal="center" vertical="center" wrapText="1"/>
    </xf>
    <xf numFmtId="0" fontId="72" fillId="0" borderId="242" applyBorder="0">
      <alignment horizontal="center" vertical="center" wrapText="1"/>
    </xf>
    <xf numFmtId="0" fontId="72" fillId="0" borderId="242" applyBorder="0">
      <alignment horizontal="center" vertical="center" wrapText="1"/>
    </xf>
    <xf numFmtId="0" fontId="72" fillId="0" borderId="242" applyBorder="0">
      <alignment horizontal="center" vertical="center" wrapText="1"/>
    </xf>
    <xf numFmtId="0" fontId="72" fillId="0" borderId="242" applyBorder="0">
      <alignment horizontal="center" vertical="center" wrapText="1"/>
    </xf>
    <xf numFmtId="0" fontId="72" fillId="0" borderId="242" applyBorder="0">
      <alignment horizontal="center" vertical="center" wrapText="1"/>
    </xf>
    <xf numFmtId="0" fontId="72" fillId="0" borderId="242" applyBorder="0">
      <alignment horizontal="center" vertical="center" wrapText="1"/>
    </xf>
    <xf numFmtId="0" fontId="72" fillId="0" borderId="242" applyBorder="0">
      <alignment horizontal="center" vertical="center" wrapText="1"/>
    </xf>
    <xf numFmtId="0" fontId="72" fillId="0" borderId="242" applyBorder="0">
      <alignment horizontal="center" vertical="center" wrapText="1"/>
    </xf>
    <xf numFmtId="0" fontId="72" fillId="0" borderId="242" applyBorder="0">
      <alignment horizontal="center" vertical="center" wrapText="1"/>
    </xf>
    <xf numFmtId="0" fontId="72" fillId="0" borderId="242" applyBorder="0">
      <alignment horizontal="center" vertical="center" wrapText="1"/>
    </xf>
    <xf numFmtId="0" fontId="72" fillId="0" borderId="242" applyBorder="0">
      <alignment horizontal="center" vertical="center" wrapText="1"/>
    </xf>
    <xf numFmtId="0" fontId="72" fillId="0" borderId="242" applyBorder="0">
      <alignment horizontal="center" vertical="center" wrapText="1"/>
    </xf>
    <xf numFmtId="0" fontId="72" fillId="0" borderId="242" applyBorder="0">
      <alignment horizontal="center" vertical="center" wrapText="1"/>
    </xf>
    <xf numFmtId="0" fontId="72" fillId="0" borderId="242" applyBorder="0">
      <alignment horizontal="center" vertical="center" wrapText="1"/>
    </xf>
    <xf numFmtId="0" fontId="72" fillId="0" borderId="242" applyBorder="0">
      <alignment horizontal="center" vertical="center" wrapText="1"/>
    </xf>
    <xf numFmtId="0" fontId="72" fillId="0" borderId="242" applyBorder="0">
      <alignment horizontal="center" vertical="center" wrapText="1"/>
    </xf>
    <xf numFmtId="0" fontId="72" fillId="0" borderId="242" applyBorder="0">
      <alignment horizontal="center" vertical="center" wrapText="1"/>
    </xf>
    <xf numFmtId="0" fontId="72" fillId="0" borderId="242" applyBorder="0">
      <alignment horizontal="center" vertical="center" wrapText="1"/>
    </xf>
    <xf numFmtId="0" fontId="72" fillId="0" borderId="242" applyBorder="0">
      <alignment horizontal="center" vertical="center" wrapText="1"/>
    </xf>
    <xf numFmtId="0" fontId="72" fillId="0" borderId="242" applyBorder="0">
      <alignment horizontal="center" vertical="center" wrapText="1"/>
    </xf>
    <xf numFmtId="0" fontId="72" fillId="0" borderId="242" applyBorder="0">
      <alignment horizontal="center" vertical="center" wrapText="1"/>
    </xf>
    <xf numFmtId="0" fontId="72" fillId="0" borderId="242" applyBorder="0">
      <alignment horizontal="center" vertical="center" wrapText="1"/>
    </xf>
    <xf numFmtId="0" fontId="72" fillId="0" borderId="242" applyBorder="0">
      <alignment horizontal="center" vertical="center" wrapText="1"/>
    </xf>
    <xf numFmtId="0" fontId="72" fillId="0" borderId="242" applyBorder="0">
      <alignment horizontal="center" vertical="center" wrapText="1"/>
    </xf>
    <xf numFmtId="0" fontId="72" fillId="0" borderId="242" applyBorder="0">
      <alignment horizontal="center" vertical="center" wrapText="1"/>
    </xf>
    <xf numFmtId="0" fontId="72" fillId="0" borderId="242" applyBorder="0">
      <alignment horizontal="center" vertical="center" wrapText="1"/>
    </xf>
    <xf numFmtId="0" fontId="72" fillId="0" borderId="242" applyBorder="0">
      <alignment horizontal="center" vertical="center" wrapText="1"/>
    </xf>
    <xf numFmtId="0" fontId="72" fillId="0" borderId="242" applyBorder="0">
      <alignment horizontal="center" vertical="center" wrapText="1"/>
    </xf>
    <xf numFmtId="0" fontId="72" fillId="0" borderId="242" applyBorder="0">
      <alignment horizontal="center" vertical="center" wrapText="1"/>
    </xf>
    <xf numFmtId="0" fontId="72" fillId="0" borderId="242" applyBorder="0">
      <alignment horizontal="center" vertical="center" wrapText="1"/>
    </xf>
    <xf numFmtId="0" fontId="72" fillId="0" borderId="242" applyBorder="0">
      <alignment horizontal="center" vertical="center" wrapText="1"/>
    </xf>
    <xf numFmtId="0" fontId="72" fillId="0" borderId="242" applyBorder="0">
      <alignment horizontal="center" vertical="center" wrapText="1"/>
    </xf>
    <xf numFmtId="0" fontId="72" fillId="0" borderId="242" applyBorder="0">
      <alignment horizontal="center" vertical="center" wrapText="1"/>
    </xf>
    <xf numFmtId="0" fontId="72" fillId="0" borderId="242" applyBorder="0">
      <alignment horizontal="center" vertical="center" wrapText="1"/>
    </xf>
    <xf numFmtId="0" fontId="72" fillId="0" borderId="242" applyBorder="0">
      <alignment horizontal="center" vertical="center" wrapText="1"/>
    </xf>
    <xf numFmtId="0" fontId="72" fillId="0" borderId="242" applyBorder="0">
      <alignment horizontal="center" vertical="center" wrapText="1"/>
    </xf>
    <xf numFmtId="0" fontId="72" fillId="0" borderId="242" applyBorder="0">
      <alignment horizontal="center" vertical="center" wrapText="1"/>
    </xf>
    <xf numFmtId="0" fontId="72" fillId="0" borderId="242" applyBorder="0">
      <alignment horizontal="center" vertical="center" wrapText="1"/>
    </xf>
    <xf numFmtId="0" fontId="72" fillId="0" borderId="242" applyBorder="0">
      <alignment horizontal="center" vertical="center" wrapText="1"/>
    </xf>
    <xf numFmtId="0" fontId="31" fillId="0" borderId="319" applyNumberFormat="0" applyFill="0" applyAlignment="0" applyProtection="0"/>
    <xf numFmtId="0" fontId="31" fillId="0" borderId="319" applyNumberFormat="0" applyFill="0" applyAlignment="0" applyProtection="0"/>
    <xf numFmtId="0" fontId="84" fillId="73" borderId="321"/>
    <xf numFmtId="0" fontId="28" fillId="10" borderId="308" applyNumberFormat="0" applyFont="0" applyAlignment="0" applyProtection="0"/>
    <xf numFmtId="0" fontId="49" fillId="10" borderId="262" applyNumberFormat="0" applyFont="0" applyAlignment="0" applyProtection="0"/>
    <xf numFmtId="0" fontId="48" fillId="12" borderId="261" applyNumberFormat="0" applyAlignment="0" applyProtection="0"/>
    <xf numFmtId="0" fontId="25" fillId="8" borderId="261" applyNumberFormat="0" applyAlignment="0" applyProtection="0"/>
    <xf numFmtId="0" fontId="31" fillId="0" borderId="259" applyNumberFormat="0" applyFill="0" applyAlignment="0" applyProtection="0"/>
    <xf numFmtId="0" fontId="31" fillId="0" borderId="264" applyNumberFormat="0" applyFill="0" applyAlignment="0" applyProtection="0"/>
    <xf numFmtId="0" fontId="24" fillId="24" borderId="263" applyNumberFormat="0" applyAlignment="0" applyProtection="0"/>
    <xf numFmtId="0" fontId="8" fillId="10" borderId="262" applyNumberFormat="0" applyFont="0" applyAlignment="0" applyProtection="0"/>
    <xf numFmtId="0" fontId="41" fillId="13" borderId="261" applyNumberFormat="0" applyAlignment="0" applyProtection="0"/>
    <xf numFmtId="0" fontId="48" fillId="12" borderId="261" applyNumberFormat="0" applyAlignment="0" applyProtection="0"/>
    <xf numFmtId="0" fontId="48" fillId="24" borderId="261" applyNumberFormat="0" applyAlignment="0" applyProtection="0"/>
    <xf numFmtId="0" fontId="31" fillId="0" borderId="259" applyNumberFormat="0" applyFill="0" applyAlignment="0" applyProtection="0"/>
    <xf numFmtId="0" fontId="48" fillId="24" borderId="261" applyNumberFormat="0" applyAlignment="0" applyProtection="0"/>
    <xf numFmtId="0" fontId="49" fillId="10" borderId="262" applyNumberFormat="0" applyFont="0" applyAlignment="0" applyProtection="0"/>
    <xf numFmtId="0" fontId="29" fillId="12" borderId="260" applyNumberFormat="0" applyAlignment="0" applyProtection="0"/>
    <xf numFmtId="0" fontId="8" fillId="10" borderId="262" applyNumberFormat="0" applyFont="0" applyAlignment="0" applyProtection="0"/>
    <xf numFmtId="0" fontId="8" fillId="10" borderId="255" applyNumberFormat="0" applyFont="0" applyAlignment="0" applyProtection="0"/>
    <xf numFmtId="0" fontId="49" fillId="10" borderId="255" applyNumberFormat="0" applyFont="0" applyAlignment="0" applyProtection="0"/>
    <xf numFmtId="0" fontId="31" fillId="0" borderId="257" applyNumberFormat="0" applyFill="0" applyAlignment="0" applyProtection="0"/>
    <xf numFmtId="0" fontId="31" fillId="0" borderId="259" applyNumberFormat="0" applyFill="0" applyAlignment="0" applyProtection="0"/>
    <xf numFmtId="0" fontId="31" fillId="0" borderId="264" applyNumberFormat="0" applyFill="0" applyAlignment="0" applyProtection="0"/>
    <xf numFmtId="0" fontId="31" fillId="0" borderId="259" applyNumberFormat="0" applyFill="0" applyAlignment="0" applyProtection="0"/>
    <xf numFmtId="0" fontId="31" fillId="0" borderId="313" applyNumberFormat="0" applyFill="0" applyAlignment="0" applyProtection="0"/>
    <xf numFmtId="0" fontId="29" fillId="24" borderId="317" applyNumberFormat="0" applyAlignment="0" applyProtection="0"/>
    <xf numFmtId="0" fontId="72" fillId="0" borderId="288" applyBorder="0">
      <alignment horizontal="center" vertical="center" wrapText="1"/>
    </xf>
    <xf numFmtId="0" fontId="8" fillId="10" borderId="324" applyNumberFormat="0" applyFont="0" applyAlignment="0" applyProtection="0"/>
    <xf numFmtId="0" fontId="25" fillId="13" borderId="284" applyNumberFormat="0" applyAlignment="0" applyProtection="0"/>
    <xf numFmtId="0" fontId="72" fillId="0" borderId="274" applyBorder="0">
      <alignment horizontal="center" vertical="center" wrapText="1"/>
    </xf>
    <xf numFmtId="0" fontId="72" fillId="0" borderId="274" applyBorder="0">
      <alignment horizontal="center" vertical="center" wrapText="1"/>
    </xf>
    <xf numFmtId="0" fontId="72" fillId="0" borderId="274" applyBorder="0">
      <alignment horizontal="center" vertical="center" wrapText="1"/>
    </xf>
    <xf numFmtId="0" fontId="72" fillId="0" borderId="274" applyBorder="0">
      <alignment horizontal="center" vertical="center" wrapText="1"/>
    </xf>
    <xf numFmtId="0" fontId="72" fillId="0" borderId="274" applyBorder="0">
      <alignment horizontal="center" vertical="center" wrapText="1"/>
    </xf>
    <xf numFmtId="0" fontId="72" fillId="0" borderId="274" applyBorder="0">
      <alignment horizontal="center" vertical="center" wrapText="1"/>
    </xf>
    <xf numFmtId="0" fontId="72" fillId="0" borderId="274" applyBorder="0">
      <alignment horizontal="center" vertical="center" wrapText="1"/>
    </xf>
    <xf numFmtId="0" fontId="72" fillId="0" borderId="274" applyBorder="0">
      <alignment horizontal="center" vertical="center" wrapText="1"/>
    </xf>
    <xf numFmtId="0" fontId="72" fillId="0" borderId="274" applyBorder="0">
      <alignment horizontal="center" vertical="center" wrapText="1"/>
    </xf>
    <xf numFmtId="0" fontId="72" fillId="0" borderId="274" applyBorder="0">
      <alignment horizontal="center" vertical="center" wrapText="1"/>
    </xf>
    <xf numFmtId="0" fontId="72" fillId="0" borderId="274" applyBorder="0">
      <alignment horizontal="center" vertical="center" wrapText="1"/>
    </xf>
    <xf numFmtId="0" fontId="72" fillId="0" borderId="274" applyBorder="0">
      <alignment horizontal="center" vertical="center" wrapText="1"/>
    </xf>
    <xf numFmtId="0" fontId="72" fillId="0" borderId="274" applyBorder="0">
      <alignment horizontal="center" vertical="center" wrapText="1"/>
    </xf>
    <xf numFmtId="0" fontId="72" fillId="0" borderId="274" applyBorder="0">
      <alignment horizontal="center" vertical="center" wrapText="1"/>
    </xf>
    <xf numFmtId="0" fontId="72" fillId="0" borderId="274" applyBorder="0">
      <alignment horizontal="center" vertical="center" wrapText="1"/>
    </xf>
    <xf numFmtId="0" fontId="72" fillId="0" borderId="274" applyBorder="0">
      <alignment horizontal="center" vertical="center" wrapText="1"/>
    </xf>
    <xf numFmtId="0" fontId="72" fillId="0" borderId="274" applyBorder="0">
      <alignment horizontal="center" vertical="center" wrapText="1"/>
    </xf>
    <xf numFmtId="0" fontId="72" fillId="0" borderId="274" applyBorder="0">
      <alignment horizontal="center" vertical="center" wrapText="1"/>
    </xf>
    <xf numFmtId="0" fontId="72" fillId="0" borderId="274" applyBorder="0">
      <alignment horizontal="center" vertical="center" wrapText="1"/>
    </xf>
    <xf numFmtId="0" fontId="72" fillId="0" borderId="274" applyBorder="0">
      <alignment horizontal="center" vertical="center" wrapText="1"/>
    </xf>
    <xf numFmtId="0" fontId="72" fillId="0" borderId="274" applyBorder="0">
      <alignment horizontal="center" vertical="center" wrapText="1"/>
    </xf>
    <xf numFmtId="0" fontId="72" fillId="0" borderId="274" applyBorder="0">
      <alignment horizontal="center" vertical="center" wrapText="1"/>
    </xf>
    <xf numFmtId="0" fontId="72" fillId="0" borderId="274" applyBorder="0">
      <alignment horizontal="center" vertical="center" wrapText="1"/>
    </xf>
    <xf numFmtId="0" fontId="72" fillId="0" borderId="274" applyBorder="0">
      <alignment horizontal="center" vertical="center" wrapText="1"/>
    </xf>
    <xf numFmtId="0" fontId="72" fillId="0" borderId="274" applyBorder="0">
      <alignment horizontal="center" vertical="center" wrapText="1"/>
    </xf>
    <xf numFmtId="0" fontId="72" fillId="0" borderId="274" applyBorder="0">
      <alignment horizontal="center" vertical="center" wrapText="1"/>
    </xf>
    <xf numFmtId="0" fontId="72" fillId="0" borderId="274" applyBorder="0">
      <alignment horizontal="center" vertical="center" wrapText="1"/>
    </xf>
    <xf numFmtId="0" fontId="72" fillId="0" borderId="274" applyBorder="0">
      <alignment horizontal="center" vertical="center" wrapText="1"/>
    </xf>
    <xf numFmtId="0" fontId="72" fillId="0" borderId="274" applyBorder="0">
      <alignment horizontal="center" vertical="center" wrapText="1"/>
    </xf>
    <xf numFmtId="0" fontId="72" fillId="0" borderId="274" applyBorder="0">
      <alignment horizontal="center" vertical="center" wrapText="1"/>
    </xf>
    <xf numFmtId="0" fontId="48" fillId="24" borderId="277" applyNumberFormat="0" applyAlignment="0" applyProtection="0"/>
    <xf numFmtId="0" fontId="48" fillId="24" borderId="277" applyNumberFormat="0" applyAlignment="0" applyProtection="0"/>
    <xf numFmtId="0" fontId="48" fillId="24" borderId="277" applyNumberFormat="0" applyAlignment="0" applyProtection="0"/>
    <xf numFmtId="0" fontId="48" fillId="24" borderId="277" applyNumberFormat="0" applyAlignment="0" applyProtection="0"/>
    <xf numFmtId="0" fontId="48" fillId="24" borderId="277" applyNumberFormat="0" applyAlignment="0" applyProtection="0"/>
    <xf numFmtId="0" fontId="48" fillId="24" borderId="277" applyNumberFormat="0" applyAlignment="0" applyProtection="0"/>
    <xf numFmtId="0" fontId="48" fillId="24" borderId="277" applyNumberFormat="0" applyAlignment="0" applyProtection="0"/>
    <xf numFmtId="0" fontId="48" fillId="24" borderId="277" applyNumberFormat="0" applyAlignment="0" applyProtection="0"/>
    <xf numFmtId="0" fontId="48" fillId="24" borderId="277" applyNumberFormat="0" applyAlignment="0" applyProtection="0"/>
    <xf numFmtId="0" fontId="48" fillId="24" borderId="277" applyNumberFormat="0" applyAlignment="0" applyProtection="0"/>
    <xf numFmtId="0" fontId="48" fillId="24" borderId="277" applyNumberFormat="0" applyAlignment="0" applyProtection="0"/>
    <xf numFmtId="0" fontId="48" fillId="24" borderId="277" applyNumberFormat="0" applyAlignment="0" applyProtection="0"/>
    <xf numFmtId="0" fontId="48" fillId="24" borderId="277" applyNumberFormat="0" applyAlignment="0" applyProtection="0"/>
    <xf numFmtId="0" fontId="48" fillId="24" borderId="277" applyNumberFormat="0" applyAlignment="0" applyProtection="0"/>
    <xf numFmtId="0" fontId="48" fillId="24" borderId="277" applyNumberFormat="0" applyAlignment="0" applyProtection="0"/>
    <xf numFmtId="0" fontId="48" fillId="24" borderId="277" applyNumberFormat="0" applyAlignment="0" applyProtection="0"/>
    <xf numFmtId="0" fontId="48" fillId="24" borderId="277" applyNumberFormat="0" applyAlignment="0" applyProtection="0"/>
    <xf numFmtId="0" fontId="48" fillId="24" borderId="277" applyNumberFormat="0" applyAlignment="0" applyProtection="0"/>
    <xf numFmtId="0" fontId="48" fillId="24" borderId="277" applyNumberFormat="0" applyAlignment="0" applyProtection="0"/>
    <xf numFmtId="0" fontId="48" fillId="24" borderId="277" applyNumberFormat="0" applyAlignment="0" applyProtection="0"/>
    <xf numFmtId="0" fontId="48" fillId="24" borderId="277" applyNumberFormat="0" applyAlignment="0" applyProtection="0"/>
    <xf numFmtId="0" fontId="48" fillId="24" borderId="277" applyNumberFormat="0" applyAlignment="0" applyProtection="0"/>
    <xf numFmtId="0" fontId="48" fillId="24" borderId="277" applyNumberFormat="0" applyAlignment="0" applyProtection="0"/>
    <xf numFmtId="0" fontId="48" fillId="24" borderId="277" applyNumberFormat="0" applyAlignment="0" applyProtection="0"/>
    <xf numFmtId="0" fontId="48" fillId="24" borderId="277" applyNumberFormat="0" applyAlignment="0" applyProtection="0"/>
    <xf numFmtId="0" fontId="48" fillId="24" borderId="277" applyNumberFormat="0" applyAlignment="0" applyProtection="0"/>
    <xf numFmtId="0" fontId="48" fillId="24" borderId="277" applyNumberFormat="0" applyAlignment="0" applyProtection="0"/>
    <xf numFmtId="0" fontId="48" fillId="24" borderId="277" applyNumberFormat="0" applyAlignment="0" applyProtection="0"/>
    <xf numFmtId="0" fontId="48" fillId="24" borderId="277" applyNumberFormat="0" applyAlignment="0" applyProtection="0"/>
    <xf numFmtId="0" fontId="48" fillId="24" borderId="277" applyNumberFormat="0" applyAlignment="0" applyProtection="0"/>
    <xf numFmtId="0" fontId="48" fillId="24" borderId="277" applyNumberFormat="0" applyAlignment="0" applyProtection="0"/>
    <xf numFmtId="0" fontId="48" fillId="24" borderId="277" applyNumberFormat="0" applyAlignment="0" applyProtection="0"/>
    <xf numFmtId="0" fontId="48" fillId="24" borderId="277" applyNumberFormat="0" applyAlignment="0" applyProtection="0"/>
    <xf numFmtId="0" fontId="48" fillId="24" borderId="277" applyNumberFormat="0" applyAlignment="0" applyProtection="0"/>
    <xf numFmtId="0" fontId="48" fillId="24" borderId="277" applyNumberFormat="0" applyAlignment="0" applyProtection="0"/>
    <xf numFmtId="0" fontId="48" fillId="24" borderId="277" applyNumberFormat="0" applyAlignment="0" applyProtection="0"/>
    <xf numFmtId="0" fontId="48" fillId="24" borderId="277" applyNumberFormat="0" applyAlignment="0" applyProtection="0"/>
    <xf numFmtId="0" fontId="48" fillId="24" borderId="277" applyNumberFormat="0" applyAlignment="0" applyProtection="0"/>
    <xf numFmtId="0" fontId="48" fillId="24" borderId="277" applyNumberFormat="0" applyAlignment="0" applyProtection="0"/>
    <xf numFmtId="0" fontId="48" fillId="24" borderId="277" applyNumberFormat="0" applyAlignment="0" applyProtection="0"/>
    <xf numFmtId="0" fontId="48" fillId="24" borderId="277" applyNumberFormat="0" applyAlignment="0" applyProtection="0"/>
    <xf numFmtId="0" fontId="48" fillId="24" borderId="277" applyNumberFormat="0" applyAlignment="0" applyProtection="0"/>
    <xf numFmtId="0" fontId="48" fillId="24" borderId="277" applyNumberFormat="0" applyAlignment="0" applyProtection="0"/>
    <xf numFmtId="0" fontId="48" fillId="24" borderId="277" applyNumberFormat="0" applyAlignment="0" applyProtection="0"/>
    <xf numFmtId="0" fontId="48" fillId="24" borderId="277" applyNumberFormat="0" applyAlignment="0" applyProtection="0"/>
    <xf numFmtId="0" fontId="48" fillId="24" borderId="277" applyNumberFormat="0" applyAlignment="0" applyProtection="0"/>
    <xf numFmtId="0" fontId="48" fillId="24" borderId="277" applyNumberFormat="0" applyAlignment="0" applyProtection="0"/>
    <xf numFmtId="0" fontId="48" fillId="24" borderId="277" applyNumberFormat="0" applyAlignment="0" applyProtection="0"/>
    <xf numFmtId="0" fontId="48" fillId="24" borderId="277" applyNumberFormat="0" applyAlignment="0" applyProtection="0"/>
    <xf numFmtId="0" fontId="48" fillId="24" borderId="277" applyNumberFormat="0" applyAlignment="0" applyProtection="0"/>
    <xf numFmtId="0" fontId="48" fillId="24" borderId="277" applyNumberFormat="0" applyAlignment="0" applyProtection="0"/>
    <xf numFmtId="0" fontId="48" fillId="24" borderId="277" applyNumberFormat="0" applyAlignment="0" applyProtection="0"/>
    <xf numFmtId="0" fontId="48" fillId="24" borderId="277" applyNumberFormat="0" applyAlignment="0" applyProtection="0"/>
    <xf numFmtId="0" fontId="48" fillId="24" borderId="277" applyNumberFormat="0" applyAlignment="0" applyProtection="0"/>
    <xf numFmtId="0" fontId="48" fillId="24" borderId="277" applyNumberFormat="0" applyAlignment="0" applyProtection="0"/>
    <xf numFmtId="0" fontId="48" fillId="24" borderId="277" applyNumberFormat="0" applyAlignment="0" applyProtection="0"/>
    <xf numFmtId="0" fontId="48" fillId="24" borderId="277" applyNumberFormat="0" applyAlignment="0" applyProtection="0"/>
    <xf numFmtId="0" fontId="48" fillId="24" borderId="277" applyNumberFormat="0" applyAlignment="0" applyProtection="0"/>
    <xf numFmtId="0" fontId="48" fillId="24" borderId="277" applyNumberFormat="0" applyAlignment="0" applyProtection="0"/>
    <xf numFmtId="0" fontId="48" fillId="24" borderId="277" applyNumberFormat="0" applyAlignment="0" applyProtection="0"/>
    <xf numFmtId="0" fontId="48" fillId="24" borderId="277" applyNumberFormat="0" applyAlignment="0" applyProtection="0"/>
    <xf numFmtId="0" fontId="48" fillId="24" borderId="277" applyNumberFormat="0" applyAlignment="0" applyProtection="0"/>
    <xf numFmtId="0" fontId="48" fillId="24" borderId="277" applyNumberFormat="0" applyAlignment="0" applyProtection="0"/>
    <xf numFmtId="0" fontId="48" fillId="24" borderId="277" applyNumberFormat="0" applyAlignment="0" applyProtection="0"/>
    <xf numFmtId="0" fontId="48" fillId="24" borderId="277" applyNumberFormat="0" applyAlignment="0" applyProtection="0"/>
    <xf numFmtId="0" fontId="48" fillId="24" borderId="277" applyNumberFormat="0" applyAlignment="0" applyProtection="0"/>
    <xf numFmtId="0" fontId="48" fillId="24" borderId="277" applyNumberFormat="0" applyAlignment="0" applyProtection="0"/>
    <xf numFmtId="0" fontId="48" fillId="24" borderId="277" applyNumberFormat="0" applyAlignment="0" applyProtection="0"/>
    <xf numFmtId="0" fontId="48" fillId="24" borderId="277" applyNumberFormat="0" applyAlignment="0" applyProtection="0"/>
    <xf numFmtId="0" fontId="48" fillId="24" borderId="277" applyNumberFormat="0" applyAlignment="0" applyProtection="0"/>
    <xf numFmtId="0" fontId="48" fillId="24" borderId="277" applyNumberFormat="0" applyAlignment="0" applyProtection="0"/>
    <xf numFmtId="0" fontId="48" fillId="24" borderId="277" applyNumberFormat="0" applyAlignment="0" applyProtection="0"/>
    <xf numFmtId="0" fontId="48" fillId="24" borderId="277" applyNumberFormat="0" applyAlignment="0" applyProtection="0"/>
    <xf numFmtId="0" fontId="48" fillId="24" borderId="277" applyNumberFormat="0" applyAlignment="0" applyProtection="0"/>
    <xf numFmtId="0" fontId="48" fillId="24" borderId="277" applyNumberFormat="0" applyAlignment="0" applyProtection="0"/>
    <xf numFmtId="0" fontId="48" fillId="24" borderId="277" applyNumberFormat="0" applyAlignment="0" applyProtection="0"/>
    <xf numFmtId="0" fontId="48" fillId="24" borderId="277" applyNumberFormat="0" applyAlignment="0" applyProtection="0"/>
    <xf numFmtId="0" fontId="48" fillId="24" borderId="277" applyNumberFormat="0" applyAlignment="0" applyProtection="0"/>
    <xf numFmtId="0" fontId="32" fillId="24" borderId="277" applyNumberFormat="0" applyAlignment="0" applyProtection="0"/>
    <xf numFmtId="0" fontId="32" fillId="24" borderId="277" applyNumberFormat="0" applyAlignment="0" applyProtection="0"/>
    <xf numFmtId="0" fontId="32" fillId="24" borderId="277" applyNumberFormat="0" applyAlignment="0" applyProtection="0"/>
    <xf numFmtId="0" fontId="32" fillId="24" borderId="277" applyNumberFormat="0" applyAlignment="0" applyProtection="0"/>
    <xf numFmtId="0" fontId="32" fillId="24" borderId="277" applyNumberFormat="0" applyAlignment="0" applyProtection="0"/>
    <xf numFmtId="0" fontId="32" fillId="24" borderId="277" applyNumberFormat="0" applyAlignment="0" applyProtection="0"/>
    <xf numFmtId="0" fontId="32" fillId="24" borderId="277" applyNumberFormat="0" applyAlignment="0" applyProtection="0"/>
    <xf numFmtId="0" fontId="32" fillId="24" borderId="277" applyNumberFormat="0" applyAlignment="0" applyProtection="0"/>
    <xf numFmtId="0" fontId="32" fillId="24" borderId="277" applyNumberFormat="0" applyAlignment="0" applyProtection="0"/>
    <xf numFmtId="0" fontId="32" fillId="24" borderId="277" applyNumberFormat="0" applyAlignment="0" applyProtection="0"/>
    <xf numFmtId="0" fontId="32" fillId="24" borderId="277" applyNumberFormat="0" applyAlignment="0" applyProtection="0"/>
    <xf numFmtId="0" fontId="32" fillId="24" borderId="277" applyNumberFormat="0" applyAlignment="0" applyProtection="0"/>
    <xf numFmtId="0" fontId="32" fillId="24" borderId="277" applyNumberFormat="0" applyAlignment="0" applyProtection="0"/>
    <xf numFmtId="0" fontId="32" fillId="24" borderId="277" applyNumberFormat="0" applyAlignment="0" applyProtection="0"/>
    <xf numFmtId="0" fontId="32" fillId="24" borderId="277" applyNumberFormat="0" applyAlignment="0" applyProtection="0"/>
    <xf numFmtId="0" fontId="32" fillId="24" borderId="277" applyNumberFormat="0" applyAlignment="0" applyProtection="0"/>
    <xf numFmtId="0" fontId="32" fillId="24" borderId="277" applyNumberFormat="0" applyAlignment="0" applyProtection="0"/>
    <xf numFmtId="0" fontId="32" fillId="24" borderId="277" applyNumberFormat="0" applyAlignment="0" applyProtection="0"/>
    <xf numFmtId="0" fontId="32" fillId="24" borderId="277" applyNumberFormat="0" applyAlignment="0" applyProtection="0"/>
    <xf numFmtId="0" fontId="32" fillId="24" borderId="277" applyNumberFormat="0" applyAlignment="0" applyProtection="0"/>
    <xf numFmtId="0" fontId="32" fillId="24" borderId="277" applyNumberFormat="0" applyAlignment="0" applyProtection="0"/>
    <xf numFmtId="0" fontId="32" fillId="24" borderId="277" applyNumberFormat="0" applyAlignment="0" applyProtection="0"/>
    <xf numFmtId="0" fontId="32" fillId="24" borderId="277" applyNumberFormat="0" applyAlignment="0" applyProtection="0"/>
    <xf numFmtId="0" fontId="32" fillId="24" borderId="277" applyNumberFormat="0" applyAlignment="0" applyProtection="0"/>
    <xf numFmtId="0" fontId="32" fillId="24" borderId="277" applyNumberFormat="0" applyAlignment="0" applyProtection="0"/>
    <xf numFmtId="0" fontId="32" fillId="24" borderId="277" applyNumberFormat="0" applyAlignment="0" applyProtection="0"/>
    <xf numFmtId="0" fontId="32" fillId="24" borderId="277" applyNumberFormat="0" applyAlignment="0" applyProtection="0"/>
    <xf numFmtId="0" fontId="32" fillId="24" borderId="277" applyNumberFormat="0" applyAlignment="0" applyProtection="0"/>
    <xf numFmtId="0" fontId="32" fillId="24" borderId="277" applyNumberFormat="0" applyAlignment="0" applyProtection="0"/>
    <xf numFmtId="0" fontId="32" fillId="24" borderId="277" applyNumberFormat="0" applyAlignment="0" applyProtection="0"/>
    <xf numFmtId="0" fontId="32" fillId="24" borderId="277" applyNumberFormat="0" applyAlignment="0" applyProtection="0"/>
    <xf numFmtId="0" fontId="32" fillId="24" borderId="277" applyNumberFormat="0" applyAlignment="0" applyProtection="0"/>
    <xf numFmtId="0" fontId="32" fillId="24" borderId="277" applyNumberFormat="0" applyAlignment="0" applyProtection="0"/>
    <xf numFmtId="0" fontId="32" fillId="24" borderId="277" applyNumberFormat="0" applyAlignment="0" applyProtection="0"/>
    <xf numFmtId="0" fontId="32" fillId="24" borderId="277" applyNumberFormat="0" applyAlignment="0" applyProtection="0"/>
    <xf numFmtId="0" fontId="32" fillId="24" borderId="277" applyNumberFormat="0" applyAlignment="0" applyProtection="0"/>
    <xf numFmtId="0" fontId="32" fillId="24" borderId="277" applyNumberFormat="0" applyAlignment="0" applyProtection="0"/>
    <xf numFmtId="0" fontId="32" fillId="24" borderId="277" applyNumberFormat="0" applyAlignment="0" applyProtection="0"/>
    <xf numFmtId="0" fontId="32" fillId="24" borderId="277" applyNumberFormat="0" applyAlignment="0" applyProtection="0"/>
    <xf numFmtId="0" fontId="32" fillId="24" borderId="277" applyNumberFormat="0" applyAlignment="0" applyProtection="0"/>
    <xf numFmtId="0" fontId="32" fillId="24" borderId="277" applyNumberFormat="0" applyAlignment="0" applyProtection="0"/>
    <xf numFmtId="0" fontId="32" fillId="24" borderId="277" applyNumberFormat="0" applyAlignment="0" applyProtection="0"/>
    <xf numFmtId="0" fontId="32" fillId="24" borderId="277" applyNumberFormat="0" applyAlignment="0" applyProtection="0"/>
    <xf numFmtId="0" fontId="32" fillId="24" borderId="277" applyNumberFormat="0" applyAlignment="0" applyProtection="0"/>
    <xf numFmtId="0" fontId="32" fillId="24" borderId="277" applyNumberFormat="0" applyAlignment="0" applyProtection="0"/>
    <xf numFmtId="0" fontId="32" fillId="24" borderId="277" applyNumberFormat="0" applyAlignment="0" applyProtection="0"/>
    <xf numFmtId="0" fontId="32" fillId="24" borderId="277" applyNumberFormat="0" applyAlignment="0" applyProtection="0"/>
    <xf numFmtId="0" fontId="32" fillId="24" borderId="277" applyNumberFormat="0" applyAlignment="0" applyProtection="0"/>
    <xf numFmtId="0" fontId="32" fillId="24" borderId="277" applyNumberFormat="0" applyAlignment="0" applyProtection="0"/>
    <xf numFmtId="0" fontId="16" fillId="24" borderId="277" applyNumberFormat="0" applyAlignment="0" applyProtection="0"/>
    <xf numFmtId="0" fontId="16" fillId="24" borderId="277" applyNumberFormat="0" applyAlignment="0" applyProtection="0"/>
    <xf numFmtId="0" fontId="16" fillId="24" borderId="277" applyNumberFormat="0" applyAlignment="0" applyProtection="0"/>
    <xf numFmtId="0" fontId="16" fillId="24" borderId="277" applyNumberFormat="0" applyAlignment="0" applyProtection="0"/>
    <xf numFmtId="0" fontId="16" fillId="24" borderId="277" applyNumberFormat="0" applyAlignment="0" applyProtection="0"/>
    <xf numFmtId="0" fontId="16" fillId="24" borderId="277" applyNumberFormat="0" applyAlignment="0" applyProtection="0"/>
    <xf numFmtId="0" fontId="16" fillId="24" borderId="277" applyNumberFormat="0" applyAlignment="0" applyProtection="0"/>
    <xf numFmtId="0" fontId="16" fillId="24" borderId="277" applyNumberFormat="0" applyAlignment="0" applyProtection="0"/>
    <xf numFmtId="0" fontId="16" fillId="24" borderId="277" applyNumberFormat="0" applyAlignment="0" applyProtection="0"/>
    <xf numFmtId="0" fontId="16" fillId="24" borderId="277" applyNumberFormat="0" applyAlignment="0" applyProtection="0"/>
    <xf numFmtId="0" fontId="16" fillId="24" borderId="277" applyNumberFormat="0" applyAlignment="0" applyProtection="0"/>
    <xf numFmtId="0" fontId="16" fillId="24" borderId="277" applyNumberFormat="0" applyAlignment="0" applyProtection="0"/>
    <xf numFmtId="0" fontId="16" fillId="24" borderId="277" applyNumberFormat="0" applyAlignment="0" applyProtection="0"/>
    <xf numFmtId="0" fontId="16" fillId="24" borderId="277" applyNumberFormat="0" applyAlignment="0" applyProtection="0"/>
    <xf numFmtId="0" fontId="16" fillId="24" borderId="277" applyNumberFormat="0" applyAlignment="0" applyProtection="0"/>
    <xf numFmtId="0" fontId="16" fillId="24" borderId="277" applyNumberFormat="0" applyAlignment="0" applyProtection="0"/>
    <xf numFmtId="0" fontId="16" fillId="24" borderId="277" applyNumberFormat="0" applyAlignment="0" applyProtection="0"/>
    <xf numFmtId="0" fontId="16" fillId="24" borderId="277" applyNumberFormat="0" applyAlignment="0" applyProtection="0"/>
    <xf numFmtId="0" fontId="16" fillId="24" borderId="277" applyNumberFormat="0" applyAlignment="0" applyProtection="0"/>
    <xf numFmtId="0" fontId="16" fillId="24" borderId="277" applyNumberFormat="0" applyAlignment="0" applyProtection="0"/>
    <xf numFmtId="0" fontId="16" fillId="24" borderId="277" applyNumberFormat="0" applyAlignment="0" applyProtection="0"/>
    <xf numFmtId="0" fontId="16" fillId="24" borderId="277" applyNumberFormat="0" applyAlignment="0" applyProtection="0"/>
    <xf numFmtId="0" fontId="16" fillId="24" borderId="277" applyNumberFormat="0" applyAlignment="0" applyProtection="0"/>
    <xf numFmtId="0" fontId="16" fillId="24" borderId="277" applyNumberFormat="0" applyAlignment="0" applyProtection="0"/>
    <xf numFmtId="0" fontId="16" fillId="24" borderId="277" applyNumberFormat="0" applyAlignment="0" applyProtection="0"/>
    <xf numFmtId="0" fontId="16" fillId="24" borderId="277" applyNumberFormat="0" applyAlignment="0" applyProtection="0"/>
    <xf numFmtId="0" fontId="16" fillId="24" borderId="277" applyNumberFormat="0" applyAlignment="0" applyProtection="0"/>
    <xf numFmtId="0" fontId="16" fillId="24" borderId="277" applyNumberFormat="0" applyAlignment="0" applyProtection="0"/>
    <xf numFmtId="0" fontId="16" fillId="24" borderId="277" applyNumberFormat="0" applyAlignment="0" applyProtection="0"/>
    <xf numFmtId="0" fontId="16" fillId="24" borderId="277" applyNumberFormat="0" applyAlignment="0" applyProtection="0"/>
    <xf numFmtId="0" fontId="16" fillId="24" borderId="277" applyNumberFormat="0" applyAlignment="0" applyProtection="0"/>
    <xf numFmtId="0" fontId="16" fillId="24" borderId="277" applyNumberFormat="0" applyAlignment="0" applyProtection="0"/>
    <xf numFmtId="0" fontId="16" fillId="24" borderId="277" applyNumberFormat="0" applyAlignment="0" applyProtection="0"/>
    <xf numFmtId="0" fontId="16" fillId="24" borderId="277" applyNumberFormat="0" applyAlignment="0" applyProtection="0"/>
    <xf numFmtId="0" fontId="16" fillId="24" borderId="277" applyNumberFormat="0" applyAlignment="0" applyProtection="0"/>
    <xf numFmtId="0" fontId="16" fillId="24" borderId="277" applyNumberFormat="0" applyAlignment="0" applyProtection="0"/>
    <xf numFmtId="0" fontId="16" fillId="24" borderId="277" applyNumberFormat="0" applyAlignment="0" applyProtection="0"/>
    <xf numFmtId="0" fontId="16" fillId="24" borderId="277" applyNumberFormat="0" applyAlignment="0" applyProtection="0"/>
    <xf numFmtId="0" fontId="16" fillId="24" borderId="277" applyNumberFormat="0" applyAlignment="0" applyProtection="0"/>
    <xf numFmtId="0" fontId="16" fillId="24" borderId="277" applyNumberFormat="0" applyAlignment="0" applyProtection="0"/>
    <xf numFmtId="0" fontId="16" fillId="24" borderId="277" applyNumberFormat="0" applyAlignment="0" applyProtection="0"/>
    <xf numFmtId="0" fontId="16" fillId="24" borderId="277" applyNumberFormat="0" applyAlignment="0" applyProtection="0"/>
    <xf numFmtId="0" fontId="16" fillId="24" borderId="277" applyNumberFormat="0" applyAlignment="0" applyProtection="0"/>
    <xf numFmtId="0" fontId="16" fillId="24" borderId="277" applyNumberFormat="0" applyAlignment="0" applyProtection="0"/>
    <xf numFmtId="0" fontId="16" fillId="24" borderId="277" applyNumberFormat="0" applyAlignment="0" applyProtection="0"/>
    <xf numFmtId="0" fontId="16" fillId="24" borderId="277" applyNumberFormat="0" applyAlignment="0" applyProtection="0"/>
    <xf numFmtId="0" fontId="16" fillId="24" borderId="277" applyNumberFormat="0" applyAlignment="0" applyProtection="0"/>
    <xf numFmtId="0" fontId="16" fillId="24" borderId="277" applyNumberFormat="0" applyAlignment="0" applyProtection="0"/>
    <xf numFmtId="0" fontId="16" fillId="24" borderId="277" applyNumberFormat="0" applyAlignment="0" applyProtection="0"/>
    <xf numFmtId="0" fontId="48" fillId="24" borderId="277" applyNumberFormat="0" applyAlignment="0" applyProtection="0"/>
    <xf numFmtId="0" fontId="48" fillId="24" borderId="277" applyNumberFormat="0" applyAlignment="0" applyProtection="0"/>
    <xf numFmtId="0" fontId="48" fillId="24" borderId="277" applyNumberFormat="0" applyAlignment="0" applyProtection="0"/>
    <xf numFmtId="0" fontId="48" fillId="24" borderId="277" applyNumberFormat="0" applyAlignment="0" applyProtection="0"/>
    <xf numFmtId="0" fontId="48" fillId="24" borderId="277" applyNumberFormat="0" applyAlignment="0" applyProtection="0"/>
    <xf numFmtId="0" fontId="48" fillId="24" borderId="277" applyNumberFormat="0" applyAlignment="0" applyProtection="0"/>
    <xf numFmtId="0" fontId="48" fillId="24" borderId="277" applyNumberFormat="0" applyAlignment="0" applyProtection="0"/>
    <xf numFmtId="0" fontId="48" fillId="24" borderId="277" applyNumberFormat="0" applyAlignment="0" applyProtection="0"/>
    <xf numFmtId="0" fontId="48" fillId="24" borderId="277" applyNumberFormat="0" applyAlignment="0" applyProtection="0"/>
    <xf numFmtId="0" fontId="48" fillId="24" borderId="277" applyNumberFormat="0" applyAlignment="0" applyProtection="0"/>
    <xf numFmtId="0" fontId="48" fillId="24" borderId="277" applyNumberFormat="0" applyAlignment="0" applyProtection="0"/>
    <xf numFmtId="0" fontId="48" fillId="24" borderId="277" applyNumberFormat="0" applyAlignment="0" applyProtection="0"/>
    <xf numFmtId="0" fontId="48" fillId="24" borderId="277" applyNumberFormat="0" applyAlignment="0" applyProtection="0"/>
    <xf numFmtId="0" fontId="48" fillId="24" borderId="277" applyNumberFormat="0" applyAlignment="0" applyProtection="0"/>
    <xf numFmtId="0" fontId="48" fillId="24" borderId="277" applyNumberFormat="0" applyAlignment="0" applyProtection="0"/>
    <xf numFmtId="0" fontId="48" fillId="24" borderId="277" applyNumberFormat="0" applyAlignment="0" applyProtection="0"/>
    <xf numFmtId="0" fontId="48" fillId="24" borderId="277" applyNumberFormat="0" applyAlignment="0" applyProtection="0"/>
    <xf numFmtId="0" fontId="48" fillId="24" borderId="277" applyNumberFormat="0" applyAlignment="0" applyProtection="0"/>
    <xf numFmtId="0" fontId="48" fillId="24" borderId="277" applyNumberFormat="0" applyAlignment="0" applyProtection="0"/>
    <xf numFmtId="0" fontId="48" fillId="24" borderId="277" applyNumberFormat="0" applyAlignment="0" applyProtection="0"/>
    <xf numFmtId="0" fontId="48" fillId="24" borderId="277" applyNumberFormat="0" applyAlignment="0" applyProtection="0"/>
    <xf numFmtId="0" fontId="48" fillId="24" borderId="277" applyNumberFormat="0" applyAlignment="0" applyProtection="0"/>
    <xf numFmtId="0" fontId="48" fillId="24" borderId="277" applyNumberFormat="0" applyAlignment="0" applyProtection="0"/>
    <xf numFmtId="0" fontId="48" fillId="24" borderId="277" applyNumberFormat="0" applyAlignment="0" applyProtection="0"/>
    <xf numFmtId="0" fontId="48" fillId="24" borderId="277" applyNumberFormat="0" applyAlignment="0" applyProtection="0"/>
    <xf numFmtId="0" fontId="48" fillId="24" borderId="277" applyNumberFormat="0" applyAlignment="0" applyProtection="0"/>
    <xf numFmtId="0" fontId="48" fillId="24" borderId="277" applyNumberFormat="0" applyAlignment="0" applyProtection="0"/>
    <xf numFmtId="0" fontId="48" fillId="24" borderId="277" applyNumberFormat="0" applyAlignment="0" applyProtection="0"/>
    <xf numFmtId="0" fontId="48" fillId="24" borderId="277" applyNumberFormat="0" applyAlignment="0" applyProtection="0"/>
    <xf numFmtId="0" fontId="48" fillId="24" borderId="277" applyNumberFormat="0" applyAlignment="0" applyProtection="0"/>
    <xf numFmtId="0" fontId="48" fillId="24" borderId="277" applyNumberFormat="0" applyAlignment="0" applyProtection="0"/>
    <xf numFmtId="0" fontId="48" fillId="24" borderId="277" applyNumberFormat="0" applyAlignment="0" applyProtection="0"/>
    <xf numFmtId="0" fontId="48" fillId="24" borderId="277" applyNumberFormat="0" applyAlignment="0" applyProtection="0"/>
    <xf numFmtId="0" fontId="48" fillId="24" borderId="277" applyNumberFormat="0" applyAlignment="0" applyProtection="0"/>
    <xf numFmtId="0" fontId="48" fillId="24" borderId="277" applyNumberFormat="0" applyAlignment="0" applyProtection="0"/>
    <xf numFmtId="0" fontId="48" fillId="24" borderId="277" applyNumberFormat="0" applyAlignment="0" applyProtection="0"/>
    <xf numFmtId="0" fontId="48" fillId="24" borderId="277" applyNumberFormat="0" applyAlignment="0" applyProtection="0"/>
    <xf numFmtId="0" fontId="48" fillId="24" borderId="277" applyNumberFormat="0" applyAlignment="0" applyProtection="0"/>
    <xf numFmtId="0" fontId="48" fillId="24" borderId="277" applyNumberFormat="0" applyAlignment="0" applyProtection="0"/>
    <xf numFmtId="0" fontId="48" fillId="24" borderId="277" applyNumberFormat="0" applyAlignment="0" applyProtection="0"/>
    <xf numFmtId="0" fontId="48" fillId="24" borderId="277" applyNumberFormat="0" applyAlignment="0" applyProtection="0"/>
    <xf numFmtId="0" fontId="48" fillId="24" borderId="277" applyNumberFormat="0" applyAlignment="0" applyProtection="0"/>
    <xf numFmtId="0" fontId="48" fillId="24" borderId="277" applyNumberFormat="0" applyAlignment="0" applyProtection="0"/>
    <xf numFmtId="0" fontId="48" fillId="24" borderId="277" applyNumberFormat="0" applyAlignment="0" applyProtection="0"/>
    <xf numFmtId="0" fontId="48" fillId="24" borderId="277" applyNumberFormat="0" applyAlignment="0" applyProtection="0"/>
    <xf numFmtId="0" fontId="48" fillId="24" borderId="277" applyNumberFormat="0" applyAlignment="0" applyProtection="0"/>
    <xf numFmtId="0" fontId="48" fillId="24" borderId="277" applyNumberFormat="0" applyAlignment="0" applyProtection="0"/>
    <xf numFmtId="0" fontId="48" fillId="24" borderId="277" applyNumberFormat="0" applyAlignment="0" applyProtection="0"/>
    <xf numFmtId="0" fontId="48" fillId="12" borderId="277" applyNumberFormat="0" applyAlignment="0" applyProtection="0"/>
    <xf numFmtId="0" fontId="48" fillId="12" borderId="277" applyNumberFormat="0" applyAlignment="0" applyProtection="0"/>
    <xf numFmtId="0" fontId="48" fillId="12" borderId="277" applyNumberFormat="0" applyAlignment="0" applyProtection="0"/>
    <xf numFmtId="0" fontId="48" fillId="12" borderId="277" applyNumberFormat="0" applyAlignment="0" applyProtection="0"/>
    <xf numFmtId="0" fontId="48" fillId="12" borderId="277" applyNumberFormat="0" applyAlignment="0" applyProtection="0"/>
    <xf numFmtId="0" fontId="48" fillId="12" borderId="277" applyNumberFormat="0" applyAlignment="0" applyProtection="0"/>
    <xf numFmtId="0" fontId="48" fillId="12" borderId="277" applyNumberFormat="0" applyAlignment="0" applyProtection="0"/>
    <xf numFmtId="0" fontId="48" fillId="12" borderId="277" applyNumberFormat="0" applyAlignment="0" applyProtection="0"/>
    <xf numFmtId="0" fontId="48" fillId="12" borderId="277" applyNumberFormat="0" applyAlignment="0" applyProtection="0"/>
    <xf numFmtId="0" fontId="48" fillId="12" borderId="277" applyNumberFormat="0" applyAlignment="0" applyProtection="0"/>
    <xf numFmtId="0" fontId="48" fillId="12" borderId="277" applyNumberFormat="0" applyAlignment="0" applyProtection="0"/>
    <xf numFmtId="0" fontId="48" fillId="12" borderId="277" applyNumberFormat="0" applyAlignment="0" applyProtection="0"/>
    <xf numFmtId="0" fontId="48" fillId="12" borderId="277" applyNumberFormat="0" applyAlignment="0" applyProtection="0"/>
    <xf numFmtId="0" fontId="48" fillId="12" borderId="277" applyNumberFormat="0" applyAlignment="0" applyProtection="0"/>
    <xf numFmtId="0" fontId="48" fillId="12" borderId="277" applyNumberFormat="0" applyAlignment="0" applyProtection="0"/>
    <xf numFmtId="0" fontId="48" fillId="12" borderId="277" applyNumberFormat="0" applyAlignment="0" applyProtection="0"/>
    <xf numFmtId="0" fontId="48" fillId="12" borderId="277" applyNumberFormat="0" applyAlignment="0" applyProtection="0"/>
    <xf numFmtId="0" fontId="48" fillId="12" borderId="277" applyNumberFormat="0" applyAlignment="0" applyProtection="0"/>
    <xf numFmtId="0" fontId="48" fillId="12" borderId="277" applyNumberFormat="0" applyAlignment="0" applyProtection="0"/>
    <xf numFmtId="0" fontId="48" fillId="12" borderId="277" applyNumberFormat="0" applyAlignment="0" applyProtection="0"/>
    <xf numFmtId="0" fontId="48" fillId="12" borderId="277" applyNumberFormat="0" applyAlignment="0" applyProtection="0"/>
    <xf numFmtId="0" fontId="48" fillId="12" borderId="277" applyNumberFormat="0" applyAlignment="0" applyProtection="0"/>
    <xf numFmtId="0" fontId="48" fillId="12" borderId="277" applyNumberFormat="0" applyAlignment="0" applyProtection="0"/>
    <xf numFmtId="0" fontId="48" fillId="12" borderId="277" applyNumberFormat="0" applyAlignment="0" applyProtection="0"/>
    <xf numFmtId="0" fontId="48" fillId="12" borderId="277" applyNumberFormat="0" applyAlignment="0" applyProtection="0"/>
    <xf numFmtId="0" fontId="48" fillId="12" borderId="277" applyNumberFormat="0" applyAlignment="0" applyProtection="0"/>
    <xf numFmtId="0" fontId="48" fillId="12" borderId="277" applyNumberFormat="0" applyAlignment="0" applyProtection="0"/>
    <xf numFmtId="0" fontId="48" fillId="12" borderId="277" applyNumberFormat="0" applyAlignment="0" applyProtection="0"/>
    <xf numFmtId="0" fontId="48" fillId="12" borderId="277" applyNumberFormat="0" applyAlignment="0" applyProtection="0"/>
    <xf numFmtId="0" fontId="48" fillId="12" borderId="277" applyNumberFormat="0" applyAlignment="0" applyProtection="0"/>
    <xf numFmtId="0" fontId="48" fillId="12" borderId="277" applyNumberFormat="0" applyAlignment="0" applyProtection="0"/>
    <xf numFmtId="0" fontId="48" fillId="12" borderId="277" applyNumberFormat="0" applyAlignment="0" applyProtection="0"/>
    <xf numFmtId="0" fontId="48" fillId="12" borderId="277" applyNumberFormat="0" applyAlignment="0" applyProtection="0"/>
    <xf numFmtId="0" fontId="48" fillId="12" borderId="277" applyNumberFormat="0" applyAlignment="0" applyProtection="0"/>
    <xf numFmtId="0" fontId="48" fillId="12" borderId="277" applyNumberFormat="0" applyAlignment="0" applyProtection="0"/>
    <xf numFmtId="0" fontId="48" fillId="12" borderId="277" applyNumberFormat="0" applyAlignment="0" applyProtection="0"/>
    <xf numFmtId="0" fontId="48" fillId="12" borderId="277" applyNumberFormat="0" applyAlignment="0" applyProtection="0"/>
    <xf numFmtId="0" fontId="48" fillId="12" borderId="277" applyNumberFormat="0" applyAlignment="0" applyProtection="0"/>
    <xf numFmtId="0" fontId="48" fillId="12" borderId="277" applyNumberFormat="0" applyAlignment="0" applyProtection="0"/>
    <xf numFmtId="0" fontId="48" fillId="12" borderId="277" applyNumberFormat="0" applyAlignment="0" applyProtection="0"/>
    <xf numFmtId="0" fontId="48" fillId="12" borderId="277" applyNumberFormat="0" applyAlignment="0" applyProtection="0"/>
    <xf numFmtId="0" fontId="48" fillId="12" borderId="277" applyNumberFormat="0" applyAlignment="0" applyProtection="0"/>
    <xf numFmtId="0" fontId="48" fillId="12" borderId="277" applyNumberFormat="0" applyAlignment="0" applyProtection="0"/>
    <xf numFmtId="0" fontId="48" fillId="12" borderId="277" applyNumberFormat="0" applyAlignment="0" applyProtection="0"/>
    <xf numFmtId="0" fontId="48" fillId="12" borderId="277" applyNumberFormat="0" applyAlignment="0" applyProtection="0"/>
    <xf numFmtId="0" fontId="48" fillId="12" borderId="277" applyNumberFormat="0" applyAlignment="0" applyProtection="0"/>
    <xf numFmtId="0" fontId="48" fillId="12" borderId="277" applyNumberFormat="0" applyAlignment="0" applyProtection="0"/>
    <xf numFmtId="0" fontId="48" fillId="12" borderId="277" applyNumberFormat="0" applyAlignment="0" applyProtection="0"/>
    <xf numFmtId="0" fontId="48" fillId="12" borderId="277" applyNumberFormat="0" applyAlignment="0" applyProtection="0"/>
    <xf numFmtId="0" fontId="48" fillId="12" borderId="277" applyNumberFormat="0" applyAlignment="0" applyProtection="0"/>
    <xf numFmtId="0" fontId="48" fillId="12" borderId="277" applyNumberFormat="0" applyAlignment="0" applyProtection="0"/>
    <xf numFmtId="0" fontId="48" fillId="12" borderId="277" applyNumberFormat="0" applyAlignment="0" applyProtection="0"/>
    <xf numFmtId="0" fontId="48" fillId="12" borderId="277" applyNumberFormat="0" applyAlignment="0" applyProtection="0"/>
    <xf numFmtId="0" fontId="48" fillId="12" borderId="277" applyNumberFormat="0" applyAlignment="0" applyProtection="0"/>
    <xf numFmtId="0" fontId="48" fillId="12" borderId="277" applyNumberFormat="0" applyAlignment="0" applyProtection="0"/>
    <xf numFmtId="0" fontId="48" fillId="12" borderId="277" applyNumberFormat="0" applyAlignment="0" applyProtection="0"/>
    <xf numFmtId="0" fontId="48" fillId="12" borderId="277" applyNumberFormat="0" applyAlignment="0" applyProtection="0"/>
    <xf numFmtId="0" fontId="48" fillId="12" borderId="277" applyNumberFormat="0" applyAlignment="0" applyProtection="0"/>
    <xf numFmtId="0" fontId="48" fillId="12" borderId="277" applyNumberFormat="0" applyAlignment="0" applyProtection="0"/>
    <xf numFmtId="0" fontId="48" fillId="12" borderId="277" applyNumberFormat="0" applyAlignment="0" applyProtection="0"/>
    <xf numFmtId="0" fontId="48" fillId="12" borderId="277" applyNumberFormat="0" applyAlignment="0" applyProtection="0"/>
    <xf numFmtId="0" fontId="48" fillId="12" borderId="277" applyNumberFormat="0" applyAlignment="0" applyProtection="0"/>
    <xf numFmtId="0" fontId="48" fillId="12" borderId="277" applyNumberFormat="0" applyAlignment="0" applyProtection="0"/>
    <xf numFmtId="0" fontId="48" fillId="12" borderId="277" applyNumberFormat="0" applyAlignment="0" applyProtection="0"/>
    <xf numFmtId="0" fontId="48" fillId="12" borderId="277" applyNumberFormat="0" applyAlignment="0" applyProtection="0"/>
    <xf numFmtId="0" fontId="48" fillId="12" borderId="277" applyNumberFormat="0" applyAlignment="0" applyProtection="0"/>
    <xf numFmtId="0" fontId="48" fillId="12" borderId="277" applyNumberFormat="0" applyAlignment="0" applyProtection="0"/>
    <xf numFmtId="0" fontId="48" fillId="12" borderId="277" applyNumberFormat="0" applyAlignment="0" applyProtection="0"/>
    <xf numFmtId="0" fontId="48" fillId="12" borderId="277" applyNumberFormat="0" applyAlignment="0" applyProtection="0"/>
    <xf numFmtId="0" fontId="48" fillId="12" borderId="277" applyNumberFormat="0" applyAlignment="0" applyProtection="0"/>
    <xf numFmtId="0" fontId="48" fillId="12" borderId="277" applyNumberFormat="0" applyAlignment="0" applyProtection="0"/>
    <xf numFmtId="0" fontId="48" fillId="12" borderId="277" applyNumberFormat="0" applyAlignment="0" applyProtection="0"/>
    <xf numFmtId="0" fontId="48" fillId="12" borderId="277" applyNumberFormat="0" applyAlignment="0" applyProtection="0"/>
    <xf numFmtId="0" fontId="48" fillId="12" borderId="277" applyNumberFormat="0" applyAlignment="0" applyProtection="0"/>
    <xf numFmtId="0" fontId="48" fillId="12" borderId="277" applyNumberFormat="0" applyAlignment="0" applyProtection="0"/>
    <xf numFmtId="0" fontId="48" fillId="12" borderId="277" applyNumberFormat="0" applyAlignment="0" applyProtection="0"/>
    <xf numFmtId="0" fontId="48" fillId="12" borderId="277" applyNumberFormat="0" applyAlignment="0" applyProtection="0"/>
    <xf numFmtId="0" fontId="16" fillId="24" borderId="277" applyNumberFormat="0" applyAlignment="0" applyProtection="0"/>
    <xf numFmtId="0" fontId="16" fillId="24" borderId="277" applyNumberFormat="0" applyAlignment="0" applyProtection="0"/>
    <xf numFmtId="0" fontId="16" fillId="24" borderId="277" applyNumberFormat="0" applyAlignment="0" applyProtection="0"/>
    <xf numFmtId="0" fontId="16" fillId="24" borderId="277" applyNumberFormat="0" applyAlignment="0" applyProtection="0"/>
    <xf numFmtId="0" fontId="16" fillId="24" borderId="277" applyNumberFormat="0" applyAlignment="0" applyProtection="0"/>
    <xf numFmtId="0" fontId="16" fillId="24" borderId="277" applyNumberFormat="0" applyAlignment="0" applyProtection="0"/>
    <xf numFmtId="0" fontId="16" fillId="24" borderId="277" applyNumberFormat="0" applyAlignment="0" applyProtection="0"/>
    <xf numFmtId="0" fontId="16" fillId="24" borderId="277" applyNumberFormat="0" applyAlignment="0" applyProtection="0"/>
    <xf numFmtId="0" fontId="16" fillId="24" borderId="277" applyNumberFormat="0" applyAlignment="0" applyProtection="0"/>
    <xf numFmtId="0" fontId="16" fillId="24" borderId="277" applyNumberFormat="0" applyAlignment="0" applyProtection="0"/>
    <xf numFmtId="0" fontId="16" fillId="24" borderId="277" applyNumberFormat="0" applyAlignment="0" applyProtection="0"/>
    <xf numFmtId="0" fontId="16" fillId="24" borderId="277" applyNumberFormat="0" applyAlignment="0" applyProtection="0"/>
    <xf numFmtId="0" fontId="16" fillId="24" borderId="277" applyNumberFormat="0" applyAlignment="0" applyProtection="0"/>
    <xf numFmtId="0" fontId="16" fillId="24" borderId="277" applyNumberFormat="0" applyAlignment="0" applyProtection="0"/>
    <xf numFmtId="0" fontId="16" fillId="24" borderId="277" applyNumberFormat="0" applyAlignment="0" applyProtection="0"/>
    <xf numFmtId="0" fontId="16" fillId="24" borderId="277" applyNumberFormat="0" applyAlignment="0" applyProtection="0"/>
    <xf numFmtId="0" fontId="16" fillId="24" borderId="277" applyNumberFormat="0" applyAlignment="0" applyProtection="0"/>
    <xf numFmtId="0" fontId="16" fillId="24" borderId="277" applyNumberFormat="0" applyAlignment="0" applyProtection="0"/>
    <xf numFmtId="0" fontId="16" fillId="24" borderId="277" applyNumberFormat="0" applyAlignment="0" applyProtection="0"/>
    <xf numFmtId="0" fontId="16" fillId="24" borderId="277" applyNumberFormat="0" applyAlignment="0" applyProtection="0"/>
    <xf numFmtId="0" fontId="16" fillId="24" borderId="277" applyNumberFormat="0" applyAlignment="0" applyProtection="0"/>
    <xf numFmtId="0" fontId="16" fillId="24" borderId="277" applyNumberFormat="0" applyAlignment="0" applyProtection="0"/>
    <xf numFmtId="0" fontId="16" fillId="24" borderId="277" applyNumberFormat="0" applyAlignment="0" applyProtection="0"/>
    <xf numFmtId="0" fontId="16" fillId="24" borderId="277" applyNumberFormat="0" applyAlignment="0" applyProtection="0"/>
    <xf numFmtId="0" fontId="16" fillId="24" borderId="277" applyNumberFormat="0" applyAlignment="0" applyProtection="0"/>
    <xf numFmtId="0" fontId="16" fillId="24" borderId="277" applyNumberFormat="0" applyAlignment="0" applyProtection="0"/>
    <xf numFmtId="0" fontId="16" fillId="24" borderId="277" applyNumberFormat="0" applyAlignment="0" applyProtection="0"/>
    <xf numFmtId="0" fontId="16" fillId="24" borderId="277" applyNumberFormat="0" applyAlignment="0" applyProtection="0"/>
    <xf numFmtId="0" fontId="16" fillId="24" borderId="277" applyNumberFormat="0" applyAlignment="0" applyProtection="0"/>
    <xf numFmtId="0" fontId="16" fillId="24" borderId="277" applyNumberFormat="0" applyAlignment="0" applyProtection="0"/>
    <xf numFmtId="0" fontId="16" fillId="24" borderId="277" applyNumberFormat="0" applyAlignment="0" applyProtection="0"/>
    <xf numFmtId="0" fontId="16" fillId="24" borderId="277" applyNumberFormat="0" applyAlignment="0" applyProtection="0"/>
    <xf numFmtId="0" fontId="16" fillId="24" borderId="277" applyNumberFormat="0" applyAlignment="0" applyProtection="0"/>
    <xf numFmtId="0" fontId="16" fillId="24" borderId="277" applyNumberFormat="0" applyAlignment="0" applyProtection="0"/>
    <xf numFmtId="0" fontId="16" fillId="24" borderId="277" applyNumberFormat="0" applyAlignment="0" applyProtection="0"/>
    <xf numFmtId="0" fontId="16" fillId="24" borderId="277" applyNumberFormat="0" applyAlignment="0" applyProtection="0"/>
    <xf numFmtId="0" fontId="16" fillId="24" borderId="277" applyNumberFormat="0" applyAlignment="0" applyProtection="0"/>
    <xf numFmtId="0" fontId="16" fillId="24" borderId="277" applyNumberFormat="0" applyAlignment="0" applyProtection="0"/>
    <xf numFmtId="0" fontId="16" fillId="24" borderId="277" applyNumberFormat="0" applyAlignment="0" applyProtection="0"/>
    <xf numFmtId="0" fontId="16" fillId="24" borderId="277" applyNumberFormat="0" applyAlignment="0" applyProtection="0"/>
    <xf numFmtId="0" fontId="16" fillId="24" borderId="277" applyNumberFormat="0" applyAlignment="0" applyProtection="0"/>
    <xf numFmtId="0" fontId="16" fillId="24" borderId="277" applyNumberFormat="0" applyAlignment="0" applyProtection="0"/>
    <xf numFmtId="0" fontId="16" fillId="24" borderId="277" applyNumberFormat="0" applyAlignment="0" applyProtection="0"/>
    <xf numFmtId="0" fontId="16" fillId="24" borderId="277" applyNumberFormat="0" applyAlignment="0" applyProtection="0"/>
    <xf numFmtId="0" fontId="16" fillId="24" borderId="277" applyNumberFormat="0" applyAlignment="0" applyProtection="0"/>
    <xf numFmtId="0" fontId="16" fillId="24" borderId="277" applyNumberFormat="0" applyAlignment="0" applyProtection="0"/>
    <xf numFmtId="0" fontId="16" fillId="24" borderId="277" applyNumberFormat="0" applyAlignment="0" applyProtection="0"/>
    <xf numFmtId="0" fontId="16" fillId="24" borderId="277" applyNumberFormat="0" applyAlignment="0" applyProtection="0"/>
    <xf numFmtId="0" fontId="16" fillId="24" borderId="277" applyNumberFormat="0" applyAlignment="0" applyProtection="0"/>
    <xf numFmtId="0" fontId="48" fillId="12" borderId="277" applyNumberFormat="0" applyAlignment="0" applyProtection="0"/>
    <xf numFmtId="0" fontId="48" fillId="12" borderId="277" applyNumberFormat="0" applyAlignment="0" applyProtection="0"/>
    <xf numFmtId="0" fontId="48" fillId="12" borderId="277" applyNumberFormat="0" applyAlignment="0" applyProtection="0"/>
    <xf numFmtId="0" fontId="48" fillId="12" borderId="277" applyNumberFormat="0" applyAlignment="0" applyProtection="0"/>
    <xf numFmtId="0" fontId="48" fillId="12" borderId="277" applyNumberFormat="0" applyAlignment="0" applyProtection="0"/>
    <xf numFmtId="0" fontId="48" fillId="12" borderId="277" applyNumberFormat="0" applyAlignment="0" applyProtection="0"/>
    <xf numFmtId="0" fontId="48" fillId="12" borderId="277" applyNumberFormat="0" applyAlignment="0" applyProtection="0"/>
    <xf numFmtId="0" fontId="48" fillId="12" borderId="277" applyNumberFormat="0" applyAlignment="0" applyProtection="0"/>
    <xf numFmtId="0" fontId="48" fillId="12" borderId="277" applyNumberFormat="0" applyAlignment="0" applyProtection="0"/>
    <xf numFmtId="0" fontId="48" fillId="12" borderId="277" applyNumberFormat="0" applyAlignment="0" applyProtection="0"/>
    <xf numFmtId="0" fontId="48" fillId="12" borderId="277" applyNumberFormat="0" applyAlignment="0" applyProtection="0"/>
    <xf numFmtId="0" fontId="48" fillId="12" borderId="277" applyNumberFormat="0" applyAlignment="0" applyProtection="0"/>
    <xf numFmtId="0" fontId="48" fillId="12" borderId="277" applyNumberFormat="0" applyAlignment="0" applyProtection="0"/>
    <xf numFmtId="0" fontId="48" fillId="12" borderId="277" applyNumberFormat="0" applyAlignment="0" applyProtection="0"/>
    <xf numFmtId="0" fontId="48" fillId="12" borderId="277" applyNumberFormat="0" applyAlignment="0" applyProtection="0"/>
    <xf numFmtId="0" fontId="48" fillId="12" borderId="277" applyNumberFormat="0" applyAlignment="0" applyProtection="0"/>
    <xf numFmtId="0" fontId="48" fillId="12" borderId="277" applyNumberFormat="0" applyAlignment="0" applyProtection="0"/>
    <xf numFmtId="0" fontId="48" fillId="12" borderId="277" applyNumberFormat="0" applyAlignment="0" applyProtection="0"/>
    <xf numFmtId="0" fontId="48" fillId="12" borderId="277" applyNumberFormat="0" applyAlignment="0" applyProtection="0"/>
    <xf numFmtId="0" fontId="48" fillId="12" borderId="277" applyNumberFormat="0" applyAlignment="0" applyProtection="0"/>
    <xf numFmtId="0" fontId="48" fillId="12" borderId="277" applyNumberFormat="0" applyAlignment="0" applyProtection="0"/>
    <xf numFmtId="0" fontId="48" fillId="12" borderId="277" applyNumberFormat="0" applyAlignment="0" applyProtection="0"/>
    <xf numFmtId="0" fontId="48" fillId="12" borderId="277" applyNumberFormat="0" applyAlignment="0" applyProtection="0"/>
    <xf numFmtId="0" fontId="48" fillId="12" borderId="277" applyNumberFormat="0" applyAlignment="0" applyProtection="0"/>
    <xf numFmtId="0" fontId="48" fillId="12" borderId="277" applyNumberFormat="0" applyAlignment="0" applyProtection="0"/>
    <xf numFmtId="0" fontId="48" fillId="12" borderId="277" applyNumberFormat="0" applyAlignment="0" applyProtection="0"/>
    <xf numFmtId="0" fontId="48" fillId="12" borderId="277" applyNumberFormat="0" applyAlignment="0" applyProtection="0"/>
    <xf numFmtId="0" fontId="48" fillId="12" borderId="277" applyNumberFormat="0" applyAlignment="0" applyProtection="0"/>
    <xf numFmtId="0" fontId="48" fillId="12" borderId="277" applyNumberFormat="0" applyAlignment="0" applyProtection="0"/>
    <xf numFmtId="0" fontId="48" fillId="12" borderId="277" applyNumberFormat="0" applyAlignment="0" applyProtection="0"/>
    <xf numFmtId="0" fontId="48" fillId="12" borderId="277" applyNumberFormat="0" applyAlignment="0" applyProtection="0"/>
    <xf numFmtId="0" fontId="48" fillId="12" borderId="277" applyNumberFormat="0" applyAlignment="0" applyProtection="0"/>
    <xf numFmtId="0" fontId="48" fillId="12" borderId="277" applyNumberFormat="0" applyAlignment="0" applyProtection="0"/>
    <xf numFmtId="0" fontId="48" fillId="12" borderId="277" applyNumberFormat="0" applyAlignment="0" applyProtection="0"/>
    <xf numFmtId="0" fontId="48" fillId="12" borderId="277" applyNumberFormat="0" applyAlignment="0" applyProtection="0"/>
    <xf numFmtId="0" fontId="48" fillId="12" borderId="277" applyNumberFormat="0" applyAlignment="0" applyProtection="0"/>
    <xf numFmtId="0" fontId="48" fillId="12" borderId="277" applyNumberFormat="0" applyAlignment="0" applyProtection="0"/>
    <xf numFmtId="0" fontId="48" fillId="12" borderId="277" applyNumberFormat="0" applyAlignment="0" applyProtection="0"/>
    <xf numFmtId="0" fontId="48" fillId="12" borderId="277" applyNumberFormat="0" applyAlignment="0" applyProtection="0"/>
    <xf numFmtId="0" fontId="48" fillId="12" borderId="277" applyNumberFormat="0" applyAlignment="0" applyProtection="0"/>
    <xf numFmtId="0" fontId="48" fillId="12" borderId="277" applyNumberFormat="0" applyAlignment="0" applyProtection="0"/>
    <xf numFmtId="0" fontId="48" fillId="12" borderId="277" applyNumberFormat="0" applyAlignment="0" applyProtection="0"/>
    <xf numFmtId="0" fontId="48" fillId="12" borderId="277" applyNumberFormat="0" applyAlignment="0" applyProtection="0"/>
    <xf numFmtId="0" fontId="48" fillId="12" borderId="277" applyNumberFormat="0" applyAlignment="0" applyProtection="0"/>
    <xf numFmtId="0" fontId="48" fillId="12" borderId="277" applyNumberFormat="0" applyAlignment="0" applyProtection="0"/>
    <xf numFmtId="0" fontId="48" fillId="12" borderId="277" applyNumberFormat="0" applyAlignment="0" applyProtection="0"/>
    <xf numFmtId="0" fontId="48" fillId="12" borderId="277" applyNumberFormat="0" applyAlignment="0" applyProtection="0"/>
    <xf numFmtId="0" fontId="48" fillId="12" borderId="277" applyNumberFormat="0" applyAlignment="0" applyProtection="0"/>
    <xf numFmtId="0" fontId="48" fillId="12" borderId="277" applyNumberFormat="0" applyAlignment="0" applyProtection="0"/>
    <xf numFmtId="0" fontId="48" fillId="12" borderId="277" applyNumberFormat="0" applyAlignment="0" applyProtection="0"/>
    <xf numFmtId="0" fontId="48" fillId="12" borderId="277" applyNumberFormat="0" applyAlignment="0" applyProtection="0"/>
    <xf numFmtId="0" fontId="48" fillId="12" borderId="277" applyNumberFormat="0" applyAlignment="0" applyProtection="0"/>
    <xf numFmtId="0" fontId="48" fillId="12" borderId="277" applyNumberFormat="0" applyAlignment="0" applyProtection="0"/>
    <xf numFmtId="0" fontId="48" fillId="12" borderId="277" applyNumberFormat="0" applyAlignment="0" applyProtection="0"/>
    <xf numFmtId="0" fontId="48" fillId="12" borderId="277" applyNumberFormat="0" applyAlignment="0" applyProtection="0"/>
    <xf numFmtId="0" fontId="48" fillId="12" borderId="277" applyNumberFormat="0" applyAlignment="0" applyProtection="0"/>
    <xf numFmtId="0" fontId="48" fillId="12" borderId="277" applyNumberFormat="0" applyAlignment="0" applyProtection="0"/>
    <xf numFmtId="0" fontId="48" fillId="12" borderId="277" applyNumberFormat="0" applyAlignment="0" applyProtection="0"/>
    <xf numFmtId="0" fontId="48" fillId="12" borderId="277" applyNumberFormat="0" applyAlignment="0" applyProtection="0"/>
    <xf numFmtId="0" fontId="48" fillId="12" borderId="277" applyNumberFormat="0" applyAlignment="0" applyProtection="0"/>
    <xf numFmtId="0" fontId="48" fillId="12" borderId="277" applyNumberFormat="0" applyAlignment="0" applyProtection="0"/>
    <xf numFmtId="0" fontId="48" fillId="12" borderId="277" applyNumberFormat="0" applyAlignment="0" applyProtection="0"/>
    <xf numFmtId="0" fontId="48" fillId="12" borderId="277" applyNumberFormat="0" applyAlignment="0" applyProtection="0"/>
    <xf numFmtId="0" fontId="48" fillId="12" borderId="277" applyNumberFormat="0" applyAlignment="0" applyProtection="0"/>
    <xf numFmtId="0" fontId="48" fillId="12" borderId="277" applyNumberFormat="0" applyAlignment="0" applyProtection="0"/>
    <xf numFmtId="0" fontId="48" fillId="12" borderId="277" applyNumberFormat="0" applyAlignment="0" applyProtection="0"/>
    <xf numFmtId="0" fontId="48" fillId="12" borderId="277" applyNumberFormat="0" applyAlignment="0" applyProtection="0"/>
    <xf numFmtId="0" fontId="48" fillId="12" borderId="277" applyNumberFormat="0" applyAlignment="0" applyProtection="0"/>
    <xf numFmtId="0" fontId="48" fillId="12" borderId="277" applyNumberFormat="0" applyAlignment="0" applyProtection="0"/>
    <xf numFmtId="0" fontId="48" fillId="12" borderId="277" applyNumberFormat="0" applyAlignment="0" applyProtection="0"/>
    <xf numFmtId="0" fontId="48" fillId="12" borderId="277" applyNumberFormat="0" applyAlignment="0" applyProtection="0"/>
    <xf numFmtId="0" fontId="48" fillId="12" borderId="277" applyNumberFormat="0" applyAlignment="0" applyProtection="0"/>
    <xf numFmtId="0" fontId="48" fillId="12" borderId="277" applyNumberFormat="0" applyAlignment="0" applyProtection="0"/>
    <xf numFmtId="0" fontId="48" fillId="12" borderId="277" applyNumberFormat="0" applyAlignment="0" applyProtection="0"/>
    <xf numFmtId="0" fontId="48" fillId="12" borderId="277" applyNumberFormat="0" applyAlignment="0" applyProtection="0"/>
    <xf numFmtId="0" fontId="48" fillId="12" borderId="277" applyNumberFormat="0" applyAlignment="0" applyProtection="0"/>
    <xf numFmtId="0" fontId="48" fillId="12" borderId="277" applyNumberFormat="0" applyAlignment="0" applyProtection="0"/>
    <xf numFmtId="0" fontId="16" fillId="24" borderId="277" applyNumberFormat="0" applyAlignment="0" applyProtection="0"/>
    <xf numFmtId="0" fontId="16" fillId="24" borderId="277" applyNumberFormat="0" applyAlignment="0" applyProtection="0"/>
    <xf numFmtId="0" fontId="16" fillId="24" borderId="277" applyNumberFormat="0" applyAlignment="0" applyProtection="0"/>
    <xf numFmtId="0" fontId="16" fillId="24" borderId="277" applyNumberFormat="0" applyAlignment="0" applyProtection="0"/>
    <xf numFmtId="0" fontId="16" fillId="24" borderId="277" applyNumberFormat="0" applyAlignment="0" applyProtection="0"/>
    <xf numFmtId="0" fontId="16" fillId="24" borderId="277" applyNumberFormat="0" applyAlignment="0" applyProtection="0"/>
    <xf numFmtId="0" fontId="16" fillId="24" borderId="277" applyNumberFormat="0" applyAlignment="0" applyProtection="0"/>
    <xf numFmtId="0" fontId="16" fillId="24" borderId="277" applyNumberFormat="0" applyAlignment="0" applyProtection="0"/>
    <xf numFmtId="0" fontId="16" fillId="24" borderId="277" applyNumberFormat="0" applyAlignment="0" applyProtection="0"/>
    <xf numFmtId="0" fontId="16" fillId="24" borderId="277" applyNumberFormat="0" applyAlignment="0" applyProtection="0"/>
    <xf numFmtId="0" fontId="16" fillId="24" borderId="277" applyNumberFormat="0" applyAlignment="0" applyProtection="0"/>
    <xf numFmtId="0" fontId="16" fillId="24" borderId="277" applyNumberFormat="0" applyAlignment="0" applyProtection="0"/>
    <xf numFmtId="0" fontId="16" fillId="24" borderId="277" applyNumberFormat="0" applyAlignment="0" applyProtection="0"/>
    <xf numFmtId="0" fontId="16" fillId="24" borderId="277" applyNumberFormat="0" applyAlignment="0" applyProtection="0"/>
    <xf numFmtId="0" fontId="16" fillId="24" borderId="277" applyNumberFormat="0" applyAlignment="0" applyProtection="0"/>
    <xf numFmtId="0" fontId="16" fillId="24" borderId="277" applyNumberFormat="0" applyAlignment="0" applyProtection="0"/>
    <xf numFmtId="0" fontId="16" fillId="24" borderId="277" applyNumberFormat="0" applyAlignment="0" applyProtection="0"/>
    <xf numFmtId="0" fontId="16" fillId="24" borderId="277" applyNumberFormat="0" applyAlignment="0" applyProtection="0"/>
    <xf numFmtId="0" fontId="16" fillId="24" borderId="277" applyNumberFormat="0" applyAlignment="0" applyProtection="0"/>
    <xf numFmtId="0" fontId="16" fillId="24" borderId="277" applyNumberFormat="0" applyAlignment="0" applyProtection="0"/>
    <xf numFmtId="0" fontId="16" fillId="24" borderId="277" applyNumberFormat="0" applyAlignment="0" applyProtection="0"/>
    <xf numFmtId="0" fontId="16" fillId="24" borderId="277" applyNumberFormat="0" applyAlignment="0" applyProtection="0"/>
    <xf numFmtId="0" fontId="16" fillId="24" borderId="277" applyNumberFormat="0" applyAlignment="0" applyProtection="0"/>
    <xf numFmtId="0" fontId="16" fillId="24" borderId="277" applyNumberFormat="0" applyAlignment="0" applyProtection="0"/>
    <xf numFmtId="0" fontId="16" fillId="24" borderId="277" applyNumberFormat="0" applyAlignment="0" applyProtection="0"/>
    <xf numFmtId="0" fontId="16" fillId="24" borderId="277" applyNumberFormat="0" applyAlignment="0" applyProtection="0"/>
    <xf numFmtId="0" fontId="16" fillId="24" borderId="277" applyNumberFormat="0" applyAlignment="0" applyProtection="0"/>
    <xf numFmtId="0" fontId="16" fillId="24" borderId="277" applyNumberFormat="0" applyAlignment="0" applyProtection="0"/>
    <xf numFmtId="0" fontId="16" fillId="24" borderId="277" applyNumberFormat="0" applyAlignment="0" applyProtection="0"/>
    <xf numFmtId="0" fontId="16" fillId="24" borderId="277" applyNumberFormat="0" applyAlignment="0" applyProtection="0"/>
    <xf numFmtId="0" fontId="16" fillId="24" borderId="277" applyNumberFormat="0" applyAlignment="0" applyProtection="0"/>
    <xf numFmtId="0" fontId="16" fillId="24" borderId="277" applyNumberFormat="0" applyAlignment="0" applyProtection="0"/>
    <xf numFmtId="0" fontId="16" fillId="24" borderId="277" applyNumberFormat="0" applyAlignment="0" applyProtection="0"/>
    <xf numFmtId="0" fontId="16" fillId="24" borderId="277" applyNumberFormat="0" applyAlignment="0" applyProtection="0"/>
    <xf numFmtId="0" fontId="16" fillId="24" borderId="277" applyNumberFormat="0" applyAlignment="0" applyProtection="0"/>
    <xf numFmtId="0" fontId="16" fillId="24" borderId="277" applyNumberFormat="0" applyAlignment="0" applyProtection="0"/>
    <xf numFmtId="0" fontId="16" fillId="24" borderId="277" applyNumberFormat="0" applyAlignment="0" applyProtection="0"/>
    <xf numFmtId="0" fontId="16" fillId="24" borderId="277" applyNumberFormat="0" applyAlignment="0" applyProtection="0"/>
    <xf numFmtId="0" fontId="16" fillId="24" borderId="277" applyNumberFormat="0" applyAlignment="0" applyProtection="0"/>
    <xf numFmtId="0" fontId="16" fillId="24" borderId="277" applyNumberFormat="0" applyAlignment="0" applyProtection="0"/>
    <xf numFmtId="0" fontId="16" fillId="24" borderId="277" applyNumberFormat="0" applyAlignment="0" applyProtection="0"/>
    <xf numFmtId="0" fontId="16" fillId="24" borderId="277" applyNumberFormat="0" applyAlignment="0" applyProtection="0"/>
    <xf numFmtId="0" fontId="16" fillId="24" borderId="277" applyNumberFormat="0" applyAlignment="0" applyProtection="0"/>
    <xf numFmtId="0" fontId="16" fillId="24" borderId="277" applyNumberFormat="0" applyAlignment="0" applyProtection="0"/>
    <xf numFmtId="0" fontId="16" fillId="24" borderId="277" applyNumberFormat="0" applyAlignment="0" applyProtection="0"/>
    <xf numFmtId="0" fontId="16" fillId="24" borderId="277" applyNumberFormat="0" applyAlignment="0" applyProtection="0"/>
    <xf numFmtId="0" fontId="16" fillId="24" borderId="277" applyNumberFormat="0" applyAlignment="0" applyProtection="0"/>
    <xf numFmtId="0" fontId="16" fillId="24" borderId="277" applyNumberFormat="0" applyAlignment="0" applyProtection="0"/>
    <xf numFmtId="0" fontId="16" fillId="24" borderId="277" applyNumberFormat="0" applyAlignment="0" applyProtection="0"/>
    <xf numFmtId="0" fontId="28" fillId="0" borderId="281"/>
    <xf numFmtId="0" fontId="28" fillId="0" borderId="281"/>
    <xf numFmtId="0" fontId="28" fillId="0" borderId="281"/>
    <xf numFmtId="0" fontId="28" fillId="0" borderId="281"/>
    <xf numFmtId="0" fontId="28" fillId="0" borderId="281"/>
    <xf numFmtId="0" fontId="28" fillId="0" borderId="281"/>
    <xf numFmtId="0" fontId="28" fillId="0" borderId="281"/>
    <xf numFmtId="0" fontId="28" fillId="0" borderId="281"/>
    <xf numFmtId="0" fontId="28" fillId="0" borderId="281"/>
    <xf numFmtId="0" fontId="28" fillId="0" borderId="281"/>
    <xf numFmtId="0" fontId="28" fillId="0" borderId="281"/>
    <xf numFmtId="0" fontId="28" fillId="0" borderId="281"/>
    <xf numFmtId="0" fontId="28" fillId="0" borderId="281"/>
    <xf numFmtId="0" fontId="28" fillId="0" borderId="281"/>
    <xf numFmtId="0" fontId="28" fillId="0" borderId="281"/>
    <xf numFmtId="0" fontId="28" fillId="0" borderId="281"/>
    <xf numFmtId="0" fontId="28" fillId="0" borderId="281"/>
    <xf numFmtId="0" fontId="28" fillId="0" borderId="281"/>
    <xf numFmtId="0" fontId="28" fillId="0" borderId="281"/>
    <xf numFmtId="0" fontId="28" fillId="0" borderId="281"/>
    <xf numFmtId="0" fontId="28" fillId="0" borderId="281"/>
    <xf numFmtId="0" fontId="28" fillId="0" borderId="281"/>
    <xf numFmtId="0" fontId="28" fillId="0" borderId="281"/>
    <xf numFmtId="0" fontId="28" fillId="0" borderId="281"/>
    <xf numFmtId="0" fontId="28" fillId="0" borderId="281"/>
    <xf numFmtId="0" fontId="28" fillId="0" borderId="281"/>
    <xf numFmtId="0" fontId="28" fillId="0" borderId="281"/>
    <xf numFmtId="0" fontId="28" fillId="0" borderId="281"/>
    <xf numFmtId="0" fontId="28" fillId="0" borderId="281"/>
    <xf numFmtId="0" fontId="28" fillId="0" borderId="281"/>
    <xf numFmtId="0" fontId="28" fillId="0" borderId="281"/>
    <xf numFmtId="0" fontId="28" fillId="0" borderId="281"/>
    <xf numFmtId="0" fontId="28" fillId="0" borderId="281"/>
    <xf numFmtId="0" fontId="28" fillId="0" borderId="281"/>
    <xf numFmtId="0" fontId="28" fillId="0" borderId="281"/>
    <xf numFmtId="0" fontId="28" fillId="0" borderId="281"/>
    <xf numFmtId="0" fontId="28" fillId="0" borderId="281"/>
    <xf numFmtId="0" fontId="28" fillId="0" borderId="281"/>
    <xf numFmtId="0" fontId="28" fillId="0" borderId="281"/>
    <xf numFmtId="0" fontId="28" fillId="0" borderId="281"/>
    <xf numFmtId="0" fontId="28" fillId="0" borderId="281"/>
    <xf numFmtId="0" fontId="28" fillId="0" borderId="281"/>
    <xf numFmtId="0" fontId="28" fillId="0" borderId="281"/>
    <xf numFmtId="0" fontId="28" fillId="0" borderId="281"/>
    <xf numFmtId="0" fontId="28" fillId="0" borderId="281"/>
    <xf numFmtId="0" fontId="25" fillId="13" borderId="277" applyNumberFormat="0" applyAlignment="0" applyProtection="0"/>
    <xf numFmtId="0" fontId="25" fillId="13" borderId="277" applyNumberFormat="0" applyAlignment="0" applyProtection="0"/>
    <xf numFmtId="0" fontId="25" fillId="13" borderId="277" applyNumberFormat="0" applyAlignment="0" applyProtection="0"/>
    <xf numFmtId="0" fontId="25" fillId="13" borderId="277" applyNumberFormat="0" applyAlignment="0" applyProtection="0"/>
    <xf numFmtId="0" fontId="25" fillId="13" borderId="277" applyNumberFormat="0" applyAlignment="0" applyProtection="0"/>
    <xf numFmtId="0" fontId="25" fillId="13" borderId="277" applyNumberFormat="0" applyAlignment="0" applyProtection="0"/>
    <xf numFmtId="0" fontId="25" fillId="13" borderId="277" applyNumberFormat="0" applyAlignment="0" applyProtection="0"/>
    <xf numFmtId="0" fontId="25" fillId="13" borderId="277" applyNumberFormat="0" applyAlignment="0" applyProtection="0"/>
    <xf numFmtId="0" fontId="25" fillId="13" borderId="277" applyNumberFormat="0" applyAlignment="0" applyProtection="0"/>
    <xf numFmtId="0" fontId="25" fillId="13" borderId="277" applyNumberFormat="0" applyAlignment="0" applyProtection="0"/>
    <xf numFmtId="0" fontId="25" fillId="13" borderId="277" applyNumberFormat="0" applyAlignment="0" applyProtection="0"/>
    <xf numFmtId="0" fontId="25" fillId="13" borderId="277" applyNumberFormat="0" applyAlignment="0" applyProtection="0"/>
    <xf numFmtId="0" fontId="25" fillId="13" borderId="277" applyNumberFormat="0" applyAlignment="0" applyProtection="0"/>
    <xf numFmtId="0" fontId="25" fillId="13" borderId="277" applyNumberFormat="0" applyAlignment="0" applyProtection="0"/>
    <xf numFmtId="0" fontId="25" fillId="13" borderId="277" applyNumberFormat="0" applyAlignment="0" applyProtection="0"/>
    <xf numFmtId="0" fontId="25" fillId="13" borderId="277" applyNumberFormat="0" applyAlignment="0" applyProtection="0"/>
    <xf numFmtId="0" fontId="25" fillId="13" borderId="277" applyNumberFormat="0" applyAlignment="0" applyProtection="0"/>
    <xf numFmtId="0" fontId="25" fillId="13" borderId="277" applyNumberFormat="0" applyAlignment="0" applyProtection="0"/>
    <xf numFmtId="0" fontId="25" fillId="13" borderId="277" applyNumberFormat="0" applyAlignment="0" applyProtection="0"/>
    <xf numFmtId="0" fontId="25" fillId="13" borderId="277" applyNumberFormat="0" applyAlignment="0" applyProtection="0"/>
    <xf numFmtId="0" fontId="25" fillId="13" borderId="277" applyNumberFormat="0" applyAlignment="0" applyProtection="0"/>
    <xf numFmtId="0" fontId="25" fillId="13" borderId="277" applyNumberFormat="0" applyAlignment="0" applyProtection="0"/>
    <xf numFmtId="0" fontId="25" fillId="13" borderId="277" applyNumberFormat="0" applyAlignment="0" applyProtection="0"/>
    <xf numFmtId="0" fontId="25" fillId="13" borderId="277" applyNumberFormat="0" applyAlignment="0" applyProtection="0"/>
    <xf numFmtId="0" fontId="25" fillId="13" borderId="277" applyNumberFormat="0" applyAlignment="0" applyProtection="0"/>
    <xf numFmtId="0" fontId="25" fillId="13" borderId="277" applyNumberFormat="0" applyAlignment="0" applyProtection="0"/>
    <xf numFmtId="0" fontId="25" fillId="13" borderId="277" applyNumberFormat="0" applyAlignment="0" applyProtection="0"/>
    <xf numFmtId="0" fontId="25" fillId="13" borderId="277" applyNumberFormat="0" applyAlignment="0" applyProtection="0"/>
    <xf numFmtId="0" fontId="25" fillId="13" borderId="277" applyNumberFormat="0" applyAlignment="0" applyProtection="0"/>
    <xf numFmtId="0" fontId="25" fillId="13" borderId="277" applyNumberFormat="0" applyAlignment="0" applyProtection="0"/>
    <xf numFmtId="0" fontId="25" fillId="13" borderId="277" applyNumberFormat="0" applyAlignment="0" applyProtection="0"/>
    <xf numFmtId="0" fontId="25" fillId="13" borderId="277" applyNumberFormat="0" applyAlignment="0" applyProtection="0"/>
    <xf numFmtId="0" fontId="25" fillId="13" borderId="277" applyNumberFormat="0" applyAlignment="0" applyProtection="0"/>
    <xf numFmtId="0" fontId="25" fillId="13" borderId="277" applyNumberFormat="0" applyAlignment="0" applyProtection="0"/>
    <xf numFmtId="0" fontId="25" fillId="13" borderId="277" applyNumberFormat="0" applyAlignment="0" applyProtection="0"/>
    <xf numFmtId="0" fontId="25" fillId="13" borderId="277" applyNumberFormat="0" applyAlignment="0" applyProtection="0"/>
    <xf numFmtId="0" fontId="25" fillId="13" borderId="277" applyNumberFormat="0" applyAlignment="0" applyProtection="0"/>
    <xf numFmtId="0" fontId="25" fillId="13" borderId="277" applyNumberFormat="0" applyAlignment="0" applyProtection="0"/>
    <xf numFmtId="0" fontId="25" fillId="13" borderId="277" applyNumberFormat="0" applyAlignment="0" applyProtection="0"/>
    <xf numFmtId="0" fontId="25" fillId="13" borderId="277" applyNumberFormat="0" applyAlignment="0" applyProtection="0"/>
    <xf numFmtId="0" fontId="25" fillId="13" borderId="277" applyNumberFormat="0" applyAlignment="0" applyProtection="0"/>
    <xf numFmtId="0" fontId="25" fillId="13" borderId="277" applyNumberFormat="0" applyAlignment="0" applyProtection="0"/>
    <xf numFmtId="0" fontId="25" fillId="13" borderId="277" applyNumberFormat="0" applyAlignment="0" applyProtection="0"/>
    <xf numFmtId="0" fontId="25" fillId="13" borderId="277" applyNumberFormat="0" applyAlignment="0" applyProtection="0"/>
    <xf numFmtId="0" fontId="25" fillId="13" borderId="277" applyNumberFormat="0" applyAlignment="0" applyProtection="0"/>
    <xf numFmtId="0" fontId="25" fillId="13" borderId="277" applyNumberFormat="0" applyAlignment="0" applyProtection="0"/>
    <xf numFmtId="0" fontId="25" fillId="13" borderId="277" applyNumberFormat="0" applyAlignment="0" applyProtection="0"/>
    <xf numFmtId="0" fontId="25" fillId="13" borderId="277" applyNumberFormat="0" applyAlignment="0" applyProtection="0"/>
    <xf numFmtId="0" fontId="25" fillId="13" borderId="277" applyNumberFormat="0" applyAlignment="0" applyProtection="0"/>
    <xf numFmtId="0" fontId="41" fillId="13" borderId="277" applyNumberFormat="0" applyAlignment="0" applyProtection="0"/>
    <xf numFmtId="0" fontId="41" fillId="13" borderId="277" applyNumberFormat="0" applyAlignment="0" applyProtection="0"/>
    <xf numFmtId="0" fontId="41" fillId="13" borderId="277" applyNumberFormat="0" applyAlignment="0" applyProtection="0"/>
    <xf numFmtId="0" fontId="41" fillId="13" borderId="277" applyNumberFormat="0" applyAlignment="0" applyProtection="0"/>
    <xf numFmtId="0" fontId="41" fillId="13" borderId="277" applyNumberFormat="0" applyAlignment="0" applyProtection="0"/>
    <xf numFmtId="0" fontId="41" fillId="13" borderId="277" applyNumberFormat="0" applyAlignment="0" applyProtection="0"/>
    <xf numFmtId="0" fontId="41" fillId="13" borderId="277" applyNumberFormat="0" applyAlignment="0" applyProtection="0"/>
    <xf numFmtId="0" fontId="41" fillId="13" borderId="277" applyNumberFormat="0" applyAlignment="0" applyProtection="0"/>
    <xf numFmtId="0" fontId="41" fillId="13" borderId="277" applyNumberFormat="0" applyAlignment="0" applyProtection="0"/>
    <xf numFmtId="0" fontId="41" fillId="13" borderId="277" applyNumberFormat="0" applyAlignment="0" applyProtection="0"/>
    <xf numFmtId="0" fontId="41" fillId="13" borderId="277" applyNumberFormat="0" applyAlignment="0" applyProtection="0"/>
    <xf numFmtId="0" fontId="41" fillId="13" borderId="277" applyNumberFormat="0" applyAlignment="0" applyProtection="0"/>
    <xf numFmtId="0" fontId="41" fillId="13" borderId="277" applyNumberFormat="0" applyAlignment="0" applyProtection="0"/>
    <xf numFmtId="0" fontId="41" fillId="13" borderId="277" applyNumberFormat="0" applyAlignment="0" applyProtection="0"/>
    <xf numFmtId="0" fontId="41" fillId="13" borderId="277" applyNumberFormat="0" applyAlignment="0" applyProtection="0"/>
    <xf numFmtId="0" fontId="41" fillId="13" borderId="277" applyNumberFormat="0" applyAlignment="0" applyProtection="0"/>
    <xf numFmtId="0" fontId="41" fillId="13" borderId="277" applyNumberFormat="0" applyAlignment="0" applyProtection="0"/>
    <xf numFmtId="0" fontId="41" fillId="13" borderId="277" applyNumberFormat="0" applyAlignment="0" applyProtection="0"/>
    <xf numFmtId="0" fontId="41" fillId="13" borderId="277" applyNumberFormat="0" applyAlignment="0" applyProtection="0"/>
    <xf numFmtId="0" fontId="41" fillId="13" borderId="277" applyNumberFormat="0" applyAlignment="0" applyProtection="0"/>
    <xf numFmtId="0" fontId="41" fillId="13" borderId="277" applyNumberFormat="0" applyAlignment="0" applyProtection="0"/>
    <xf numFmtId="0" fontId="41" fillId="13" borderId="277" applyNumberFormat="0" applyAlignment="0" applyProtection="0"/>
    <xf numFmtId="0" fontId="41" fillId="13" borderId="277" applyNumberFormat="0" applyAlignment="0" applyProtection="0"/>
    <xf numFmtId="0" fontId="41" fillId="13" borderId="277" applyNumberFormat="0" applyAlignment="0" applyProtection="0"/>
    <xf numFmtId="0" fontId="41" fillId="13" borderId="277" applyNumberFormat="0" applyAlignment="0" applyProtection="0"/>
    <xf numFmtId="0" fontId="41" fillId="13" borderId="277" applyNumberFormat="0" applyAlignment="0" applyProtection="0"/>
    <xf numFmtId="0" fontId="41" fillId="13" borderId="277" applyNumberFormat="0" applyAlignment="0" applyProtection="0"/>
    <xf numFmtId="0" fontId="41" fillId="13" borderId="277" applyNumberFormat="0" applyAlignment="0" applyProtection="0"/>
    <xf numFmtId="0" fontId="41" fillId="13" borderId="277" applyNumberFormat="0" applyAlignment="0" applyProtection="0"/>
    <xf numFmtId="0" fontId="41" fillId="13" borderId="277" applyNumberFormat="0" applyAlignment="0" applyProtection="0"/>
    <xf numFmtId="0" fontId="41" fillId="13" borderId="277" applyNumberFormat="0" applyAlignment="0" applyProtection="0"/>
    <xf numFmtId="0" fontId="41" fillId="13" borderId="277" applyNumberFormat="0" applyAlignment="0" applyProtection="0"/>
    <xf numFmtId="0" fontId="41" fillId="13" borderId="277" applyNumberFormat="0" applyAlignment="0" applyProtection="0"/>
    <xf numFmtId="0" fontId="41" fillId="13" borderId="277" applyNumberFormat="0" applyAlignment="0" applyProtection="0"/>
    <xf numFmtId="0" fontId="41" fillId="13" borderId="277" applyNumberFormat="0" applyAlignment="0" applyProtection="0"/>
    <xf numFmtId="0" fontId="41" fillId="13" borderId="277" applyNumberFormat="0" applyAlignment="0" applyProtection="0"/>
    <xf numFmtId="0" fontId="41" fillId="13" borderId="277" applyNumberFormat="0" applyAlignment="0" applyProtection="0"/>
    <xf numFmtId="0" fontId="41" fillId="13" borderId="277" applyNumberFormat="0" applyAlignment="0" applyProtection="0"/>
    <xf numFmtId="0" fontId="41" fillId="13" borderId="277" applyNumberFormat="0" applyAlignment="0" applyProtection="0"/>
    <xf numFmtId="0" fontId="41" fillId="13" borderId="277" applyNumberFormat="0" applyAlignment="0" applyProtection="0"/>
    <xf numFmtId="0" fontId="41" fillId="13" borderId="277" applyNumberFormat="0" applyAlignment="0" applyProtection="0"/>
    <xf numFmtId="0" fontId="41" fillId="13" borderId="277" applyNumberFormat="0" applyAlignment="0" applyProtection="0"/>
    <xf numFmtId="0" fontId="41" fillId="13" borderId="277" applyNumberFormat="0" applyAlignment="0" applyProtection="0"/>
    <xf numFmtId="0" fontId="41" fillId="13" borderId="277" applyNumberFormat="0" applyAlignment="0" applyProtection="0"/>
    <xf numFmtId="0" fontId="41" fillId="13" borderId="277" applyNumberFormat="0" applyAlignment="0" applyProtection="0"/>
    <xf numFmtId="0" fontId="41" fillId="13" borderId="277" applyNumberFormat="0" applyAlignment="0" applyProtection="0"/>
    <xf numFmtId="0" fontId="41" fillId="13" borderId="277" applyNumberFormat="0" applyAlignment="0" applyProtection="0"/>
    <xf numFmtId="0" fontId="41" fillId="13" borderId="277" applyNumberFormat="0" applyAlignment="0" applyProtection="0"/>
    <xf numFmtId="0" fontId="41" fillId="13" borderId="277" applyNumberFormat="0" applyAlignment="0" applyProtection="0"/>
    <xf numFmtId="0" fontId="25" fillId="13" borderId="277" applyNumberFormat="0" applyAlignment="0" applyProtection="0"/>
    <xf numFmtId="0" fontId="25" fillId="13" borderId="277" applyNumberFormat="0" applyAlignment="0" applyProtection="0"/>
    <xf numFmtId="0" fontId="25" fillId="13" borderId="277" applyNumberFormat="0" applyAlignment="0" applyProtection="0"/>
    <xf numFmtId="0" fontId="25" fillId="13" borderId="277" applyNumberFormat="0" applyAlignment="0" applyProtection="0"/>
    <xf numFmtId="0" fontId="25" fillId="13" borderId="277" applyNumberFormat="0" applyAlignment="0" applyProtection="0"/>
    <xf numFmtId="0" fontId="25" fillId="13" borderId="277" applyNumberFormat="0" applyAlignment="0" applyProtection="0"/>
    <xf numFmtId="0" fontId="25" fillId="13" borderId="277" applyNumberFormat="0" applyAlignment="0" applyProtection="0"/>
    <xf numFmtId="0" fontId="25" fillId="13" borderId="277" applyNumberFormat="0" applyAlignment="0" applyProtection="0"/>
    <xf numFmtId="0" fontId="25" fillId="13" borderId="277" applyNumberFormat="0" applyAlignment="0" applyProtection="0"/>
    <xf numFmtId="0" fontId="25" fillId="13" borderId="277" applyNumberFormat="0" applyAlignment="0" applyProtection="0"/>
    <xf numFmtId="0" fontId="25" fillId="13" borderId="277" applyNumberFormat="0" applyAlignment="0" applyProtection="0"/>
    <xf numFmtId="0" fontId="25" fillId="13" borderId="277" applyNumberFormat="0" applyAlignment="0" applyProtection="0"/>
    <xf numFmtId="0" fontId="25" fillId="13" borderId="277" applyNumberFormat="0" applyAlignment="0" applyProtection="0"/>
    <xf numFmtId="0" fontId="25" fillId="13" borderId="277" applyNumberFormat="0" applyAlignment="0" applyProtection="0"/>
    <xf numFmtId="0" fontId="25" fillId="13" borderId="277" applyNumberFormat="0" applyAlignment="0" applyProtection="0"/>
    <xf numFmtId="0" fontId="25" fillId="13" borderId="277" applyNumberFormat="0" applyAlignment="0" applyProtection="0"/>
    <xf numFmtId="0" fontId="25" fillId="13" borderId="277" applyNumberFormat="0" applyAlignment="0" applyProtection="0"/>
    <xf numFmtId="0" fontId="25" fillId="13" borderId="277" applyNumberFormat="0" applyAlignment="0" applyProtection="0"/>
    <xf numFmtId="0" fontId="25" fillId="13" borderId="277" applyNumberFormat="0" applyAlignment="0" applyProtection="0"/>
    <xf numFmtId="0" fontId="25" fillId="13" borderId="277" applyNumberFormat="0" applyAlignment="0" applyProtection="0"/>
    <xf numFmtId="0" fontId="25" fillId="13" borderId="277" applyNumberFormat="0" applyAlignment="0" applyProtection="0"/>
    <xf numFmtId="0" fontId="25" fillId="13" borderId="277" applyNumberFormat="0" applyAlignment="0" applyProtection="0"/>
    <xf numFmtId="0" fontId="25" fillId="13" borderId="277" applyNumberFormat="0" applyAlignment="0" applyProtection="0"/>
    <xf numFmtId="0" fontId="25" fillId="13" borderId="277" applyNumberFormat="0" applyAlignment="0" applyProtection="0"/>
    <xf numFmtId="0" fontId="25" fillId="13" borderId="277" applyNumberFormat="0" applyAlignment="0" applyProtection="0"/>
    <xf numFmtId="0" fontId="25" fillId="13" borderId="277" applyNumberFormat="0" applyAlignment="0" applyProtection="0"/>
    <xf numFmtId="0" fontId="25" fillId="13" borderId="277" applyNumberFormat="0" applyAlignment="0" applyProtection="0"/>
    <xf numFmtId="0" fontId="25" fillId="13" borderId="277" applyNumberFormat="0" applyAlignment="0" applyProtection="0"/>
    <xf numFmtId="0" fontId="25" fillId="13" borderId="277" applyNumberFormat="0" applyAlignment="0" applyProtection="0"/>
    <xf numFmtId="0" fontId="25" fillId="13" borderId="277" applyNumberFormat="0" applyAlignment="0" applyProtection="0"/>
    <xf numFmtId="0" fontId="25" fillId="13" borderId="277" applyNumberFormat="0" applyAlignment="0" applyProtection="0"/>
    <xf numFmtId="0" fontId="25" fillId="13" borderId="277" applyNumberFormat="0" applyAlignment="0" applyProtection="0"/>
    <xf numFmtId="0" fontId="25" fillId="13" borderId="277" applyNumberFormat="0" applyAlignment="0" applyProtection="0"/>
    <xf numFmtId="0" fontId="25" fillId="13" borderId="277" applyNumberFormat="0" applyAlignment="0" applyProtection="0"/>
    <xf numFmtId="0" fontId="25" fillId="13" borderId="277" applyNumberFormat="0" applyAlignment="0" applyProtection="0"/>
    <xf numFmtId="0" fontId="25" fillId="13" borderId="277" applyNumberFormat="0" applyAlignment="0" applyProtection="0"/>
    <xf numFmtId="0" fontId="25" fillId="13" borderId="277" applyNumberFormat="0" applyAlignment="0" applyProtection="0"/>
    <xf numFmtId="0" fontId="25" fillId="13" borderId="277" applyNumberFormat="0" applyAlignment="0" applyProtection="0"/>
    <xf numFmtId="0" fontId="25" fillId="13" borderId="277" applyNumberFormat="0" applyAlignment="0" applyProtection="0"/>
    <xf numFmtId="0" fontId="25" fillId="13" borderId="277" applyNumberFormat="0" applyAlignment="0" applyProtection="0"/>
    <xf numFmtId="0" fontId="25" fillId="13" borderId="277" applyNumberFormat="0" applyAlignment="0" applyProtection="0"/>
    <xf numFmtId="0" fontId="25" fillId="13" borderId="277" applyNumberFormat="0" applyAlignment="0" applyProtection="0"/>
    <xf numFmtId="0" fontId="25" fillId="13" borderId="277" applyNumberFormat="0" applyAlignment="0" applyProtection="0"/>
    <xf numFmtId="0" fontId="25" fillId="13" borderId="277" applyNumberFormat="0" applyAlignment="0" applyProtection="0"/>
    <xf numFmtId="0" fontId="25" fillId="13" borderId="277" applyNumberFormat="0" applyAlignment="0" applyProtection="0"/>
    <xf numFmtId="0" fontId="25" fillId="13" borderId="277" applyNumberFormat="0" applyAlignment="0" applyProtection="0"/>
    <xf numFmtId="0" fontId="25" fillId="13" borderId="277" applyNumberFormat="0" applyAlignment="0" applyProtection="0"/>
    <xf numFmtId="0" fontId="25" fillId="13" borderId="277" applyNumberFormat="0" applyAlignment="0" applyProtection="0"/>
    <xf numFmtId="0" fontId="25" fillId="13" borderId="277" applyNumberFormat="0" applyAlignment="0" applyProtection="0"/>
    <xf numFmtId="0" fontId="41" fillId="13" borderId="277" applyNumberFormat="0" applyAlignment="0" applyProtection="0"/>
    <xf numFmtId="0" fontId="41" fillId="13" borderId="277" applyNumberFormat="0" applyAlignment="0" applyProtection="0"/>
    <xf numFmtId="0" fontId="41" fillId="13" borderId="277" applyNumberFormat="0" applyAlignment="0" applyProtection="0"/>
    <xf numFmtId="0" fontId="41" fillId="13" borderId="277" applyNumberFormat="0" applyAlignment="0" applyProtection="0"/>
    <xf numFmtId="0" fontId="41" fillId="13" borderId="277" applyNumberFormat="0" applyAlignment="0" applyProtection="0"/>
    <xf numFmtId="0" fontId="41" fillId="13" borderId="277" applyNumberFormat="0" applyAlignment="0" applyProtection="0"/>
    <xf numFmtId="0" fontId="41" fillId="13" borderId="277" applyNumberFormat="0" applyAlignment="0" applyProtection="0"/>
    <xf numFmtId="0" fontId="41" fillId="13" borderId="277" applyNumberFormat="0" applyAlignment="0" applyProtection="0"/>
    <xf numFmtId="0" fontId="41" fillId="13" borderId="277" applyNumberFormat="0" applyAlignment="0" applyProtection="0"/>
    <xf numFmtId="0" fontId="41" fillId="13" borderId="277" applyNumberFormat="0" applyAlignment="0" applyProtection="0"/>
    <xf numFmtId="0" fontId="41" fillId="13" borderId="277" applyNumberFormat="0" applyAlignment="0" applyProtection="0"/>
    <xf numFmtId="0" fontId="41" fillId="13" borderId="277" applyNumberFormat="0" applyAlignment="0" applyProtection="0"/>
    <xf numFmtId="0" fontId="41" fillId="13" borderId="277" applyNumberFormat="0" applyAlignment="0" applyProtection="0"/>
    <xf numFmtId="0" fontId="41" fillId="13" borderId="277" applyNumberFormat="0" applyAlignment="0" applyProtection="0"/>
    <xf numFmtId="0" fontId="41" fillId="13" borderId="277" applyNumberFormat="0" applyAlignment="0" applyProtection="0"/>
    <xf numFmtId="0" fontId="41" fillId="13" borderId="277" applyNumberFormat="0" applyAlignment="0" applyProtection="0"/>
    <xf numFmtId="0" fontId="41" fillId="13" borderId="277" applyNumberFormat="0" applyAlignment="0" applyProtection="0"/>
    <xf numFmtId="0" fontId="41" fillId="13" borderId="277" applyNumberFormat="0" applyAlignment="0" applyProtection="0"/>
    <xf numFmtId="0" fontId="41" fillId="13" borderId="277" applyNumberFormat="0" applyAlignment="0" applyProtection="0"/>
    <xf numFmtId="0" fontId="41" fillId="13" borderId="277" applyNumberFormat="0" applyAlignment="0" applyProtection="0"/>
    <xf numFmtId="0" fontId="41" fillId="13" borderId="277" applyNumberFormat="0" applyAlignment="0" applyProtection="0"/>
    <xf numFmtId="0" fontId="41" fillId="13" borderId="277" applyNumberFormat="0" applyAlignment="0" applyProtection="0"/>
    <xf numFmtId="0" fontId="41" fillId="13" borderId="277" applyNumberFormat="0" applyAlignment="0" applyProtection="0"/>
    <xf numFmtId="0" fontId="41" fillId="13" borderId="277" applyNumberFormat="0" applyAlignment="0" applyProtection="0"/>
    <xf numFmtId="0" fontId="41" fillId="13" borderId="277" applyNumberFormat="0" applyAlignment="0" applyProtection="0"/>
    <xf numFmtId="0" fontId="41" fillId="13" borderId="277" applyNumberFormat="0" applyAlignment="0" applyProtection="0"/>
    <xf numFmtId="0" fontId="41" fillId="13" borderId="277" applyNumberFormat="0" applyAlignment="0" applyProtection="0"/>
    <xf numFmtId="0" fontId="41" fillId="13" borderId="277" applyNumberFormat="0" applyAlignment="0" applyProtection="0"/>
    <xf numFmtId="0" fontId="41" fillId="13" borderId="277" applyNumberFormat="0" applyAlignment="0" applyProtection="0"/>
    <xf numFmtId="0" fontId="41" fillId="13" borderId="277" applyNumberFormat="0" applyAlignment="0" applyProtection="0"/>
    <xf numFmtId="0" fontId="41" fillId="13" borderId="277" applyNumberFormat="0" applyAlignment="0" applyProtection="0"/>
    <xf numFmtId="0" fontId="41" fillId="13" borderId="277" applyNumberFormat="0" applyAlignment="0" applyProtection="0"/>
    <xf numFmtId="0" fontId="41" fillId="13" borderId="277" applyNumberFormat="0" applyAlignment="0" applyProtection="0"/>
    <xf numFmtId="0" fontId="41" fillId="13" borderId="277" applyNumberFormat="0" applyAlignment="0" applyProtection="0"/>
    <xf numFmtId="0" fontId="41" fillId="13" borderId="277" applyNumberFormat="0" applyAlignment="0" applyProtection="0"/>
    <xf numFmtId="0" fontId="41" fillId="13" borderId="277" applyNumberFormat="0" applyAlignment="0" applyProtection="0"/>
    <xf numFmtId="0" fontId="41" fillId="13" borderId="277" applyNumberFormat="0" applyAlignment="0" applyProtection="0"/>
    <xf numFmtId="0" fontId="41" fillId="13" borderId="277" applyNumberFormat="0" applyAlignment="0" applyProtection="0"/>
    <xf numFmtId="0" fontId="41" fillId="13" borderId="277" applyNumberFormat="0" applyAlignment="0" applyProtection="0"/>
    <xf numFmtId="0" fontId="41" fillId="13" borderId="277" applyNumberFormat="0" applyAlignment="0" applyProtection="0"/>
    <xf numFmtId="0" fontId="41" fillId="13" borderId="277" applyNumberFormat="0" applyAlignment="0" applyProtection="0"/>
    <xf numFmtId="0" fontId="41" fillId="13" borderId="277" applyNumberFormat="0" applyAlignment="0" applyProtection="0"/>
    <xf numFmtId="0" fontId="41" fillId="13" borderId="277" applyNumberFormat="0" applyAlignment="0" applyProtection="0"/>
    <xf numFmtId="0" fontId="41" fillId="13" borderId="277" applyNumberFormat="0" applyAlignment="0" applyProtection="0"/>
    <xf numFmtId="0" fontId="41" fillId="13" borderId="277" applyNumberFormat="0" applyAlignment="0" applyProtection="0"/>
    <xf numFmtId="0" fontId="41" fillId="13" borderId="277" applyNumberFormat="0" applyAlignment="0" applyProtection="0"/>
    <xf numFmtId="0" fontId="41" fillId="13" borderId="277" applyNumberFormat="0" applyAlignment="0" applyProtection="0"/>
    <xf numFmtId="0" fontId="41" fillId="13" borderId="277" applyNumberFormat="0" applyAlignment="0" applyProtection="0"/>
    <xf numFmtId="0" fontId="41" fillId="13" borderId="277" applyNumberFormat="0" applyAlignment="0" applyProtection="0"/>
    <xf numFmtId="0" fontId="25" fillId="13" borderId="277" applyNumberFormat="0" applyAlignment="0" applyProtection="0"/>
    <xf numFmtId="0" fontId="25" fillId="13" borderId="277" applyNumberFormat="0" applyAlignment="0" applyProtection="0"/>
    <xf numFmtId="0" fontId="25" fillId="13" borderId="277" applyNumberFormat="0" applyAlignment="0" applyProtection="0"/>
    <xf numFmtId="0" fontId="25" fillId="13" borderId="277" applyNumberFormat="0" applyAlignment="0" applyProtection="0"/>
    <xf numFmtId="0" fontId="25" fillId="13" borderId="277" applyNumberFormat="0" applyAlignment="0" applyProtection="0"/>
    <xf numFmtId="0" fontId="25" fillId="13" borderId="277" applyNumberFormat="0" applyAlignment="0" applyProtection="0"/>
    <xf numFmtId="0" fontId="25" fillId="13" borderId="277" applyNumberFormat="0" applyAlignment="0" applyProtection="0"/>
    <xf numFmtId="0" fontId="25" fillId="13" borderId="277" applyNumberFormat="0" applyAlignment="0" applyProtection="0"/>
    <xf numFmtId="0" fontId="25" fillId="13" borderId="277" applyNumberFormat="0" applyAlignment="0" applyProtection="0"/>
    <xf numFmtId="0" fontId="25" fillId="13" borderId="277" applyNumberFormat="0" applyAlignment="0" applyProtection="0"/>
    <xf numFmtId="0" fontId="25" fillId="13" borderId="277" applyNumberFormat="0" applyAlignment="0" applyProtection="0"/>
    <xf numFmtId="0" fontId="25" fillId="13" borderId="277" applyNumberFormat="0" applyAlignment="0" applyProtection="0"/>
    <xf numFmtId="0" fontId="25" fillId="13" borderId="277" applyNumberFormat="0" applyAlignment="0" applyProtection="0"/>
    <xf numFmtId="0" fontId="25" fillId="13" borderId="277" applyNumberFormat="0" applyAlignment="0" applyProtection="0"/>
    <xf numFmtId="0" fontId="25" fillId="13" borderId="277" applyNumberFormat="0" applyAlignment="0" applyProtection="0"/>
    <xf numFmtId="0" fontId="25" fillId="13" borderId="277" applyNumberFormat="0" applyAlignment="0" applyProtection="0"/>
    <xf numFmtId="0" fontId="25" fillId="13" borderId="277" applyNumberFormat="0" applyAlignment="0" applyProtection="0"/>
    <xf numFmtId="0" fontId="25" fillId="13" borderId="277" applyNumberFormat="0" applyAlignment="0" applyProtection="0"/>
    <xf numFmtId="0" fontId="25" fillId="13" borderId="277" applyNumberFormat="0" applyAlignment="0" applyProtection="0"/>
    <xf numFmtId="0" fontId="25" fillId="13" borderId="277" applyNumberFormat="0" applyAlignment="0" applyProtection="0"/>
    <xf numFmtId="0" fontId="25" fillId="13" borderId="277" applyNumberFormat="0" applyAlignment="0" applyProtection="0"/>
    <xf numFmtId="0" fontId="25" fillId="13" borderId="277" applyNumberFormat="0" applyAlignment="0" applyProtection="0"/>
    <xf numFmtId="0" fontId="25" fillId="13" borderId="277" applyNumberFormat="0" applyAlignment="0" applyProtection="0"/>
    <xf numFmtId="0" fontId="25" fillId="13" borderId="277" applyNumberFormat="0" applyAlignment="0" applyProtection="0"/>
    <xf numFmtId="0" fontId="25" fillId="13" borderId="277" applyNumberFormat="0" applyAlignment="0" applyProtection="0"/>
    <xf numFmtId="0" fontId="25" fillId="13" borderId="277" applyNumberFormat="0" applyAlignment="0" applyProtection="0"/>
    <xf numFmtId="0" fontId="25" fillId="13" borderId="277" applyNumberFormat="0" applyAlignment="0" applyProtection="0"/>
    <xf numFmtId="0" fontId="25" fillId="13" borderId="277" applyNumberFormat="0" applyAlignment="0" applyProtection="0"/>
    <xf numFmtId="0" fontId="25" fillId="13" borderId="277" applyNumberFormat="0" applyAlignment="0" applyProtection="0"/>
    <xf numFmtId="0" fontId="25" fillId="13" borderId="277" applyNumberFormat="0" applyAlignment="0" applyProtection="0"/>
    <xf numFmtId="0" fontId="25" fillId="13" borderId="277" applyNumberFormat="0" applyAlignment="0" applyProtection="0"/>
    <xf numFmtId="0" fontId="25" fillId="13" borderId="277" applyNumberFormat="0" applyAlignment="0" applyProtection="0"/>
    <xf numFmtId="0" fontId="25" fillId="13" borderId="277" applyNumberFormat="0" applyAlignment="0" applyProtection="0"/>
    <xf numFmtId="0" fontId="25" fillId="13" borderId="277" applyNumberFormat="0" applyAlignment="0" applyProtection="0"/>
    <xf numFmtId="0" fontId="25" fillId="13" borderId="277" applyNumberFormat="0" applyAlignment="0" applyProtection="0"/>
    <xf numFmtId="0" fontId="25" fillId="13" borderId="277" applyNumberFormat="0" applyAlignment="0" applyProtection="0"/>
    <xf numFmtId="0" fontId="25" fillId="13" borderId="277" applyNumberFormat="0" applyAlignment="0" applyProtection="0"/>
    <xf numFmtId="0" fontId="25" fillId="13" borderId="277" applyNumberFormat="0" applyAlignment="0" applyProtection="0"/>
    <xf numFmtId="0" fontId="25" fillId="13" borderId="277" applyNumberFormat="0" applyAlignment="0" applyProtection="0"/>
    <xf numFmtId="0" fontId="25" fillId="13" borderId="277" applyNumberFormat="0" applyAlignment="0" applyProtection="0"/>
    <xf numFmtId="0" fontId="25" fillId="13" borderId="277" applyNumberFormat="0" applyAlignment="0" applyProtection="0"/>
    <xf numFmtId="0" fontId="25" fillId="13" borderId="277" applyNumberFormat="0" applyAlignment="0" applyProtection="0"/>
    <xf numFmtId="0" fontId="25" fillId="13" borderId="277" applyNumberFormat="0" applyAlignment="0" applyProtection="0"/>
    <xf numFmtId="0" fontId="25" fillId="13" borderId="277" applyNumberFormat="0" applyAlignment="0" applyProtection="0"/>
    <xf numFmtId="0" fontId="25" fillId="13" borderId="277" applyNumberFormat="0" applyAlignment="0" applyProtection="0"/>
    <xf numFmtId="0" fontId="25" fillId="13" borderId="277" applyNumberFormat="0" applyAlignment="0" applyProtection="0"/>
    <xf numFmtId="0" fontId="25" fillId="13" borderId="277" applyNumberFormat="0" applyAlignment="0" applyProtection="0"/>
    <xf numFmtId="0" fontId="25" fillId="13" borderId="277" applyNumberFormat="0" applyAlignment="0" applyProtection="0"/>
    <xf numFmtId="0" fontId="25" fillId="13" borderId="277" applyNumberFormat="0" applyAlignment="0" applyProtection="0"/>
    <xf numFmtId="0" fontId="25" fillId="8" borderId="277" applyNumberFormat="0" applyAlignment="0" applyProtection="0"/>
    <xf numFmtId="0" fontId="25" fillId="8" borderId="277" applyNumberFormat="0" applyAlignment="0" applyProtection="0"/>
    <xf numFmtId="0" fontId="25" fillId="8" borderId="277" applyNumberFormat="0" applyAlignment="0" applyProtection="0"/>
    <xf numFmtId="0" fontId="25" fillId="8" borderId="277" applyNumberFormat="0" applyAlignment="0" applyProtection="0"/>
    <xf numFmtId="0" fontId="25" fillId="8" borderId="277" applyNumberFormat="0" applyAlignment="0" applyProtection="0"/>
    <xf numFmtId="0" fontId="25" fillId="8" borderId="277" applyNumberFormat="0" applyAlignment="0" applyProtection="0"/>
    <xf numFmtId="0" fontId="25" fillId="8" borderId="277" applyNumberFormat="0" applyAlignment="0" applyProtection="0"/>
    <xf numFmtId="0" fontId="25" fillId="8" borderId="277" applyNumberFormat="0" applyAlignment="0" applyProtection="0"/>
    <xf numFmtId="0" fontId="25" fillId="8" borderId="277" applyNumberFormat="0" applyAlignment="0" applyProtection="0"/>
    <xf numFmtId="0" fontId="25" fillId="8" borderId="277" applyNumberFormat="0" applyAlignment="0" applyProtection="0"/>
    <xf numFmtId="0" fontId="25" fillId="8" borderId="277" applyNumberFormat="0" applyAlignment="0" applyProtection="0"/>
    <xf numFmtId="0" fontId="25" fillId="8" borderId="277" applyNumberFormat="0" applyAlignment="0" applyProtection="0"/>
    <xf numFmtId="0" fontId="25" fillId="8" borderId="277" applyNumberFormat="0" applyAlignment="0" applyProtection="0"/>
    <xf numFmtId="0" fontId="25" fillId="8" borderId="277" applyNumberFormat="0" applyAlignment="0" applyProtection="0"/>
    <xf numFmtId="0" fontId="25" fillId="8" borderId="277" applyNumberFormat="0" applyAlignment="0" applyProtection="0"/>
    <xf numFmtId="0" fontId="25" fillId="8" borderId="277" applyNumberFormat="0" applyAlignment="0" applyProtection="0"/>
    <xf numFmtId="0" fontId="25" fillId="8" borderId="277" applyNumberFormat="0" applyAlignment="0" applyProtection="0"/>
    <xf numFmtId="0" fontId="25" fillId="8" borderId="277" applyNumberFormat="0" applyAlignment="0" applyProtection="0"/>
    <xf numFmtId="0" fontId="25" fillId="8" borderId="277" applyNumberFormat="0" applyAlignment="0" applyProtection="0"/>
    <xf numFmtId="0" fontId="25" fillId="8" borderId="277" applyNumberFormat="0" applyAlignment="0" applyProtection="0"/>
    <xf numFmtId="0" fontId="25" fillId="8" borderId="277" applyNumberFormat="0" applyAlignment="0" applyProtection="0"/>
    <xf numFmtId="0" fontId="25" fillId="8" borderId="277" applyNumberFormat="0" applyAlignment="0" applyProtection="0"/>
    <xf numFmtId="0" fontId="25" fillId="8" borderId="277" applyNumberFormat="0" applyAlignment="0" applyProtection="0"/>
    <xf numFmtId="0" fontId="25" fillId="8" borderId="277" applyNumberFormat="0" applyAlignment="0" applyProtection="0"/>
    <xf numFmtId="0" fontId="25" fillId="8" borderId="277" applyNumberFormat="0" applyAlignment="0" applyProtection="0"/>
    <xf numFmtId="0" fontId="25" fillId="8" borderId="277" applyNumberFormat="0" applyAlignment="0" applyProtection="0"/>
    <xf numFmtId="0" fontId="25" fillId="8" borderId="277" applyNumberFormat="0" applyAlignment="0" applyProtection="0"/>
    <xf numFmtId="0" fontId="25" fillId="8" borderId="277" applyNumberFormat="0" applyAlignment="0" applyProtection="0"/>
    <xf numFmtId="0" fontId="25" fillId="8" borderId="277" applyNumberFormat="0" applyAlignment="0" applyProtection="0"/>
    <xf numFmtId="0" fontId="25" fillId="8" borderId="277" applyNumberFormat="0" applyAlignment="0" applyProtection="0"/>
    <xf numFmtId="0" fontId="25" fillId="8" borderId="277" applyNumberFormat="0" applyAlignment="0" applyProtection="0"/>
    <xf numFmtId="0" fontId="25" fillId="8" borderId="277" applyNumberFormat="0" applyAlignment="0" applyProtection="0"/>
    <xf numFmtId="0" fontId="25" fillId="8" borderId="277" applyNumberFormat="0" applyAlignment="0" applyProtection="0"/>
    <xf numFmtId="0" fontId="25" fillId="8" borderId="277" applyNumberFormat="0" applyAlignment="0" applyProtection="0"/>
    <xf numFmtId="0" fontId="25" fillId="8" borderId="277" applyNumberFormat="0" applyAlignment="0" applyProtection="0"/>
    <xf numFmtId="0" fontId="25" fillId="8" borderId="277" applyNumberFormat="0" applyAlignment="0" applyProtection="0"/>
    <xf numFmtId="0" fontId="25" fillId="8" borderId="277" applyNumberFormat="0" applyAlignment="0" applyProtection="0"/>
    <xf numFmtId="0" fontId="25" fillId="8" borderId="277" applyNumberFormat="0" applyAlignment="0" applyProtection="0"/>
    <xf numFmtId="0" fontId="25" fillId="8" borderId="277" applyNumberFormat="0" applyAlignment="0" applyProtection="0"/>
    <xf numFmtId="0" fontId="25" fillId="8" borderId="277" applyNumberFormat="0" applyAlignment="0" applyProtection="0"/>
    <xf numFmtId="0" fontId="25" fillId="8" borderId="277" applyNumberFormat="0" applyAlignment="0" applyProtection="0"/>
    <xf numFmtId="0" fontId="25" fillId="8" borderId="277" applyNumberFormat="0" applyAlignment="0" applyProtection="0"/>
    <xf numFmtId="0" fontId="25" fillId="8" borderId="277" applyNumberFormat="0" applyAlignment="0" applyProtection="0"/>
    <xf numFmtId="0" fontId="25" fillId="8" borderId="277" applyNumberFormat="0" applyAlignment="0" applyProtection="0"/>
    <xf numFmtId="0" fontId="25" fillId="8" borderId="277" applyNumberFormat="0" applyAlignment="0" applyProtection="0"/>
    <xf numFmtId="0" fontId="25" fillId="8" borderId="277" applyNumberFormat="0" applyAlignment="0" applyProtection="0"/>
    <xf numFmtId="0" fontId="25" fillId="8" borderId="277" applyNumberFormat="0" applyAlignment="0" applyProtection="0"/>
    <xf numFmtId="0" fontId="25" fillId="8" borderId="277" applyNumberFormat="0" applyAlignment="0" applyProtection="0"/>
    <xf numFmtId="0" fontId="25" fillId="8" borderId="277" applyNumberFormat="0" applyAlignment="0" applyProtection="0"/>
    <xf numFmtId="0" fontId="25" fillId="8" borderId="277" applyNumberFormat="0" applyAlignment="0" applyProtection="0"/>
    <xf numFmtId="0" fontId="25" fillId="8" borderId="277" applyNumberFormat="0" applyAlignment="0" applyProtection="0"/>
    <xf numFmtId="0" fontId="25" fillId="8" borderId="277" applyNumberFormat="0" applyAlignment="0" applyProtection="0"/>
    <xf numFmtId="0" fontId="25" fillId="8" borderId="277" applyNumberFormat="0" applyAlignment="0" applyProtection="0"/>
    <xf numFmtId="0" fontId="25" fillId="8" borderId="277" applyNumberFormat="0" applyAlignment="0" applyProtection="0"/>
    <xf numFmtId="0" fontId="25" fillId="8" borderId="277" applyNumberFormat="0" applyAlignment="0" applyProtection="0"/>
    <xf numFmtId="0" fontId="25" fillId="8" borderId="277" applyNumberFormat="0" applyAlignment="0" applyProtection="0"/>
    <xf numFmtId="0" fontId="25" fillId="8" borderId="277" applyNumberFormat="0" applyAlignment="0" applyProtection="0"/>
    <xf numFmtId="0" fontId="25" fillId="8" borderId="277" applyNumberFormat="0" applyAlignment="0" applyProtection="0"/>
    <xf numFmtId="0" fontId="25" fillId="8" borderId="277" applyNumberFormat="0" applyAlignment="0" applyProtection="0"/>
    <xf numFmtId="0" fontId="25" fillId="8" borderId="277" applyNumberFormat="0" applyAlignment="0" applyProtection="0"/>
    <xf numFmtId="0" fontId="25" fillId="8" borderId="277" applyNumberFormat="0" applyAlignment="0" applyProtection="0"/>
    <xf numFmtId="0" fontId="25" fillId="8" borderId="277" applyNumberFormat="0" applyAlignment="0" applyProtection="0"/>
    <xf numFmtId="0" fontId="25" fillId="8" borderId="277" applyNumberFormat="0" applyAlignment="0" applyProtection="0"/>
    <xf numFmtId="0" fontId="25" fillId="8" borderId="277" applyNumberFormat="0" applyAlignment="0" applyProtection="0"/>
    <xf numFmtId="0" fontId="25" fillId="8" borderId="277" applyNumberFormat="0" applyAlignment="0" applyProtection="0"/>
    <xf numFmtId="0" fontId="25" fillId="8" borderId="277" applyNumberFormat="0" applyAlignment="0" applyProtection="0"/>
    <xf numFmtId="0" fontId="25" fillId="8" borderId="277" applyNumberFormat="0" applyAlignment="0" applyProtection="0"/>
    <xf numFmtId="0" fontId="25" fillId="8" borderId="277" applyNumberFormat="0" applyAlignment="0" applyProtection="0"/>
    <xf numFmtId="0" fontId="25" fillId="8" borderId="277" applyNumberFormat="0" applyAlignment="0" applyProtection="0"/>
    <xf numFmtId="0" fontId="25" fillId="8" borderId="277" applyNumberFormat="0" applyAlignment="0" applyProtection="0"/>
    <xf numFmtId="0" fontId="25" fillId="8" borderId="277" applyNumberFormat="0" applyAlignment="0" applyProtection="0"/>
    <xf numFmtId="0" fontId="25" fillId="8" borderId="277" applyNumberFormat="0" applyAlignment="0" applyProtection="0"/>
    <xf numFmtId="0" fontId="25" fillId="8" borderId="277" applyNumberFormat="0" applyAlignment="0" applyProtection="0"/>
    <xf numFmtId="0" fontId="25" fillId="8" borderId="277" applyNumberFormat="0" applyAlignment="0" applyProtection="0"/>
    <xf numFmtId="0" fontId="25" fillId="8" borderId="277" applyNumberFormat="0" applyAlignment="0" applyProtection="0"/>
    <xf numFmtId="0" fontId="25" fillId="8" borderId="277" applyNumberFormat="0" applyAlignment="0" applyProtection="0"/>
    <xf numFmtId="0" fontId="25" fillId="8" borderId="277" applyNumberFormat="0" applyAlignment="0" applyProtection="0"/>
    <xf numFmtId="0" fontId="84" fillId="73" borderId="281"/>
    <xf numFmtId="0" fontId="84" fillId="73" borderId="281"/>
    <xf numFmtId="0" fontId="84" fillId="73" borderId="281"/>
    <xf numFmtId="0" fontId="84" fillId="73" borderId="281"/>
    <xf numFmtId="0" fontId="84" fillId="73" borderId="281"/>
    <xf numFmtId="0" fontId="84" fillId="73" borderId="281"/>
    <xf numFmtId="0" fontId="84" fillId="73" borderId="281"/>
    <xf numFmtId="0" fontId="84" fillId="73" borderId="281"/>
    <xf numFmtId="0" fontId="84" fillId="73" borderId="281"/>
    <xf numFmtId="0" fontId="84" fillId="73" borderId="281"/>
    <xf numFmtId="0" fontId="84" fillId="73" borderId="281"/>
    <xf numFmtId="0" fontId="84" fillId="73" borderId="281"/>
    <xf numFmtId="0" fontId="84" fillId="73" borderId="281"/>
    <xf numFmtId="0" fontId="84" fillId="73" borderId="281"/>
    <xf numFmtId="0" fontId="84" fillId="73" borderId="281"/>
    <xf numFmtId="0" fontId="84" fillId="73" borderId="281"/>
    <xf numFmtId="0" fontId="84" fillId="73" borderId="281"/>
    <xf numFmtId="0" fontId="84" fillId="73" borderId="281"/>
    <xf numFmtId="0" fontId="84" fillId="73" borderId="281"/>
    <xf numFmtId="0" fontId="84" fillId="73" borderId="281"/>
    <xf numFmtId="0" fontId="84" fillId="73" borderId="281"/>
    <xf numFmtId="0" fontId="84" fillId="73" borderId="281"/>
    <xf numFmtId="0" fontId="84" fillId="73" borderId="281"/>
    <xf numFmtId="0" fontId="84" fillId="73" borderId="281"/>
    <xf numFmtId="0" fontId="84" fillId="73" borderId="281"/>
    <xf numFmtId="0" fontId="84" fillId="73" borderId="281"/>
    <xf numFmtId="0" fontId="84" fillId="73" borderId="281"/>
    <xf numFmtId="0" fontId="84" fillId="73" borderId="281"/>
    <xf numFmtId="0" fontId="84" fillId="73" borderId="281"/>
    <xf numFmtId="0" fontId="84" fillId="73" borderId="281"/>
    <xf numFmtId="0" fontId="84" fillId="73" borderId="281"/>
    <xf numFmtId="0" fontId="84" fillId="73" borderId="281"/>
    <xf numFmtId="0" fontId="84" fillId="73" borderId="281"/>
    <xf numFmtId="0" fontId="84" fillId="73" borderId="281"/>
    <xf numFmtId="0" fontId="84" fillId="73" borderId="281"/>
    <xf numFmtId="0" fontId="84" fillId="73" borderId="281"/>
    <xf numFmtId="0" fontId="84" fillId="73" borderId="281"/>
    <xf numFmtId="0" fontId="84" fillId="73" borderId="281"/>
    <xf numFmtId="0" fontId="84" fillId="73" borderId="281"/>
    <xf numFmtId="0" fontId="84" fillId="73" borderId="281"/>
    <xf numFmtId="0" fontId="84" fillId="73" borderId="281"/>
    <xf numFmtId="0" fontId="84" fillId="73" borderId="281"/>
    <xf numFmtId="0" fontId="84" fillId="73" borderId="281"/>
    <xf numFmtId="0" fontId="84" fillId="73" borderId="281"/>
    <xf numFmtId="0" fontId="84" fillId="73" borderId="281"/>
    <xf numFmtId="0" fontId="72" fillId="0" borderId="274" applyBorder="0">
      <alignment horizontal="center" vertical="center" wrapText="1"/>
    </xf>
    <xf numFmtId="0" fontId="72" fillId="0" borderId="274" applyBorder="0">
      <alignment horizontal="center" vertical="center" wrapText="1"/>
    </xf>
    <xf numFmtId="0" fontId="72" fillId="0" borderId="274" applyBorder="0">
      <alignment horizontal="center" vertical="center" wrapText="1"/>
    </xf>
    <xf numFmtId="0" fontId="72" fillId="0" borderId="274" applyBorder="0">
      <alignment horizontal="center" vertical="center" wrapText="1"/>
    </xf>
    <xf numFmtId="0" fontId="72" fillId="0" borderId="274" applyBorder="0">
      <alignment horizontal="center" vertical="center" wrapText="1"/>
    </xf>
    <xf numFmtId="0" fontId="72" fillId="0" borderId="274" applyBorder="0">
      <alignment horizontal="center" vertical="center" wrapText="1"/>
    </xf>
    <xf numFmtId="0" fontId="72" fillId="0" borderId="274" applyBorder="0">
      <alignment horizontal="center" vertical="center" wrapText="1"/>
    </xf>
    <xf numFmtId="0" fontId="72" fillId="0" borderId="274" applyBorder="0">
      <alignment horizontal="center" vertical="center" wrapText="1"/>
    </xf>
    <xf numFmtId="0" fontId="72" fillId="0" borderId="274" applyBorder="0">
      <alignment horizontal="center" vertical="center" wrapText="1"/>
    </xf>
    <xf numFmtId="0" fontId="72" fillId="0" borderId="274" applyBorder="0">
      <alignment horizontal="center" vertical="center" wrapText="1"/>
    </xf>
    <xf numFmtId="0" fontId="72" fillId="0" borderId="274" applyBorder="0">
      <alignment horizontal="center" vertical="center" wrapText="1"/>
    </xf>
    <xf numFmtId="0" fontId="72" fillId="0" borderId="274" applyBorder="0">
      <alignment horizontal="center" vertical="center" wrapText="1"/>
    </xf>
    <xf numFmtId="0" fontId="72" fillId="0" borderId="274" applyBorder="0">
      <alignment horizontal="center" vertical="center" wrapText="1"/>
    </xf>
    <xf numFmtId="0" fontId="72" fillId="0" borderId="274" applyBorder="0">
      <alignment horizontal="center" vertical="center" wrapText="1"/>
    </xf>
    <xf numFmtId="0" fontId="72" fillId="0" borderId="274" applyBorder="0">
      <alignment horizontal="center" vertical="center" wrapText="1"/>
    </xf>
    <xf numFmtId="0" fontId="72" fillId="0" borderId="274" applyBorder="0">
      <alignment horizontal="center" vertical="center" wrapText="1"/>
    </xf>
    <xf numFmtId="0" fontId="72" fillId="0" borderId="274" applyBorder="0">
      <alignment horizontal="center" vertical="center" wrapText="1"/>
    </xf>
    <xf numFmtId="0" fontId="72" fillId="0" borderId="274" applyBorder="0">
      <alignment horizontal="center" vertical="center" wrapText="1"/>
    </xf>
    <xf numFmtId="0" fontId="72" fillId="0" borderId="274" applyBorder="0">
      <alignment horizontal="center" vertical="center" wrapText="1"/>
    </xf>
    <xf numFmtId="0" fontId="72" fillId="0" borderId="274" applyBorder="0">
      <alignment horizontal="center" vertical="center" wrapText="1"/>
    </xf>
    <xf numFmtId="0" fontId="72" fillId="0" borderId="274" applyBorder="0">
      <alignment horizontal="center" vertical="center" wrapText="1"/>
    </xf>
    <xf numFmtId="0" fontId="72" fillId="0" borderId="274" applyBorder="0">
      <alignment horizontal="center" vertical="center" wrapText="1"/>
    </xf>
    <xf numFmtId="0" fontId="72" fillId="0" borderId="274" applyBorder="0">
      <alignment horizontal="center" vertical="center" wrapText="1"/>
    </xf>
    <xf numFmtId="0" fontId="72" fillId="0" borderId="274" applyBorder="0">
      <alignment horizontal="center" vertical="center" wrapText="1"/>
    </xf>
    <xf numFmtId="0" fontId="72" fillId="0" borderId="274" applyBorder="0">
      <alignment horizontal="center" vertical="center" wrapText="1"/>
    </xf>
    <xf numFmtId="0" fontId="72" fillId="0" borderId="274" applyBorder="0">
      <alignment horizontal="center" vertical="center" wrapText="1"/>
    </xf>
    <xf numFmtId="0" fontId="72" fillId="0" borderId="274" applyBorder="0">
      <alignment horizontal="center" vertical="center" wrapText="1"/>
    </xf>
    <xf numFmtId="0" fontId="72" fillId="0" borderId="274" applyBorder="0">
      <alignment horizontal="center" vertical="center" wrapText="1"/>
    </xf>
    <xf numFmtId="0" fontId="72" fillId="0" borderId="274" applyBorder="0">
      <alignment horizontal="center" vertical="center" wrapText="1"/>
    </xf>
    <xf numFmtId="0" fontId="72" fillId="0" borderId="274" applyBorder="0">
      <alignment horizontal="center" vertical="center" wrapText="1"/>
    </xf>
    <xf numFmtId="0" fontId="72" fillId="0" borderId="274" applyBorder="0">
      <alignment horizontal="center" vertical="center" wrapText="1"/>
    </xf>
    <xf numFmtId="0" fontId="72" fillId="0" borderId="274" applyBorder="0">
      <alignment horizontal="center" vertical="center" wrapText="1"/>
    </xf>
    <xf numFmtId="0" fontId="72" fillId="0" borderId="274" applyBorder="0">
      <alignment horizontal="center" vertical="center" wrapText="1"/>
    </xf>
    <xf numFmtId="0" fontId="72" fillId="0" borderId="274" applyBorder="0">
      <alignment horizontal="center" vertical="center" wrapText="1"/>
    </xf>
    <xf numFmtId="0" fontId="72" fillId="0" borderId="274" applyBorder="0">
      <alignment horizontal="center" vertical="center" wrapText="1"/>
    </xf>
    <xf numFmtId="0" fontId="72" fillId="0" borderId="274" applyBorder="0">
      <alignment horizontal="center" vertical="center" wrapText="1"/>
    </xf>
    <xf numFmtId="0" fontId="72" fillId="0" borderId="274" applyBorder="0">
      <alignment horizontal="center" vertical="center" wrapText="1"/>
    </xf>
    <xf numFmtId="0" fontId="72" fillId="0" borderId="274" applyBorder="0">
      <alignment horizontal="center" vertical="center" wrapText="1"/>
    </xf>
    <xf numFmtId="0" fontId="72" fillId="0" borderId="274" applyBorder="0">
      <alignment horizontal="center" vertical="center" wrapText="1"/>
    </xf>
    <xf numFmtId="0" fontId="72" fillId="0" borderId="274" applyBorder="0">
      <alignment horizontal="center" vertical="center" wrapText="1"/>
    </xf>
    <xf numFmtId="0" fontId="72" fillId="0" borderId="274" applyBorder="0">
      <alignment horizontal="center" vertical="center" wrapText="1"/>
    </xf>
    <xf numFmtId="0" fontId="72" fillId="0" borderId="274" applyBorder="0">
      <alignment horizontal="center" vertical="center" wrapText="1"/>
    </xf>
    <xf numFmtId="0" fontId="72" fillId="0" borderId="274" applyBorder="0">
      <alignment horizontal="center" vertical="center" wrapText="1"/>
    </xf>
    <xf numFmtId="0" fontId="72" fillId="0" borderId="274" applyBorder="0">
      <alignment horizontal="center" vertical="center" wrapText="1"/>
    </xf>
    <xf numFmtId="0" fontId="72" fillId="0" borderId="274" applyBorder="0">
      <alignment horizontal="center" vertical="center" wrapText="1"/>
    </xf>
    <xf numFmtId="0" fontId="72" fillId="0" borderId="274" applyBorder="0">
      <alignment horizontal="center" vertical="center" wrapText="1"/>
    </xf>
    <xf numFmtId="0" fontId="72" fillId="0" borderId="274" applyBorder="0">
      <alignment horizontal="center" vertical="center" wrapText="1"/>
    </xf>
    <xf numFmtId="0" fontId="72" fillId="0" borderId="274" applyBorder="0">
      <alignment horizontal="center" vertical="center" wrapText="1"/>
    </xf>
    <xf numFmtId="0" fontId="72" fillId="0" borderId="274" applyBorder="0">
      <alignment horizontal="center" vertical="center" wrapText="1"/>
    </xf>
    <xf numFmtId="0" fontId="72" fillId="0" borderId="274" applyBorder="0">
      <alignment horizontal="center" vertical="center" wrapText="1"/>
    </xf>
    <xf numFmtId="0" fontId="72" fillId="0" borderId="274" applyBorder="0">
      <alignment horizontal="center" vertical="center" wrapText="1"/>
    </xf>
    <xf numFmtId="0" fontId="72" fillId="0" borderId="274" applyBorder="0">
      <alignment horizontal="center" vertical="center" wrapText="1"/>
    </xf>
    <xf numFmtId="0" fontId="72" fillId="0" borderId="274" applyBorder="0">
      <alignment horizontal="center" vertical="center" wrapText="1"/>
    </xf>
    <xf numFmtId="0" fontId="72" fillId="0" borderId="274" applyBorder="0">
      <alignment horizontal="center" vertical="center" wrapText="1"/>
    </xf>
    <xf numFmtId="0" fontId="72" fillId="0" borderId="274" applyBorder="0">
      <alignment horizontal="center" vertical="center" wrapText="1"/>
    </xf>
    <xf numFmtId="0" fontId="72" fillId="0" borderId="274" applyBorder="0">
      <alignment horizontal="center" vertical="center" wrapText="1"/>
    </xf>
    <xf numFmtId="0" fontId="72" fillId="0" borderId="274" applyBorder="0">
      <alignment horizontal="center" vertical="center" wrapText="1"/>
    </xf>
    <xf numFmtId="0" fontId="72" fillId="0" borderId="274" applyBorder="0">
      <alignment horizontal="center" vertical="center" wrapText="1"/>
    </xf>
    <xf numFmtId="0" fontId="72" fillId="0" borderId="274" applyBorder="0">
      <alignment horizontal="center" vertical="center" wrapText="1"/>
    </xf>
    <xf numFmtId="0" fontId="72" fillId="0" borderId="274" applyBorder="0">
      <alignment horizontal="center" vertical="center" wrapText="1"/>
    </xf>
    <xf numFmtId="0" fontId="49" fillId="10" borderId="285" applyNumberFormat="0" applyFont="0" applyAlignment="0" applyProtection="0"/>
    <xf numFmtId="0" fontId="48" fillId="12" borderId="284" applyNumberFormat="0" applyAlignment="0" applyProtection="0"/>
    <xf numFmtId="0" fontId="25" fillId="8" borderId="284" applyNumberFormat="0" applyAlignment="0" applyProtection="0"/>
    <xf numFmtId="0" fontId="31" fillId="0" borderId="282" applyNumberFormat="0" applyFill="0" applyAlignment="0" applyProtection="0"/>
    <xf numFmtId="0" fontId="31" fillId="0" borderId="287" applyNumberFormat="0" applyFill="0" applyAlignment="0" applyProtection="0"/>
    <xf numFmtId="0" fontId="24" fillId="24" borderId="286" applyNumberFormat="0" applyAlignment="0" applyProtection="0"/>
    <xf numFmtId="0" fontId="8" fillId="10" borderId="285" applyNumberFormat="0" applyFont="0" applyAlignment="0" applyProtection="0"/>
    <xf numFmtId="0" fontId="41" fillId="13" borderId="284" applyNumberFormat="0" applyAlignment="0" applyProtection="0"/>
    <xf numFmtId="0" fontId="48" fillId="12" borderId="284" applyNumberFormat="0" applyAlignment="0" applyProtection="0"/>
    <xf numFmtId="0" fontId="48" fillId="24" borderId="284" applyNumberFormat="0" applyAlignment="0" applyProtection="0"/>
    <xf numFmtId="0" fontId="31" fillId="0" borderId="282" applyNumberFormat="0" applyFill="0" applyAlignment="0" applyProtection="0"/>
    <xf numFmtId="0" fontId="48" fillId="24" borderId="284" applyNumberFormat="0" applyAlignment="0" applyProtection="0"/>
    <xf numFmtId="0" fontId="49" fillId="10" borderId="285" applyNumberFormat="0" applyFont="0" applyAlignment="0" applyProtection="0"/>
    <xf numFmtId="0" fontId="29" fillId="12" borderId="283" applyNumberFormat="0" applyAlignment="0" applyProtection="0"/>
    <xf numFmtId="0" fontId="8" fillId="10" borderId="285" applyNumberFormat="0" applyFont="0" applyAlignment="0" applyProtection="0"/>
    <xf numFmtId="0" fontId="8" fillId="10" borderId="278" applyNumberFormat="0" applyFont="0" applyAlignment="0" applyProtection="0"/>
    <xf numFmtId="0" fontId="49" fillId="10" borderId="278" applyNumberFormat="0" applyFont="0" applyAlignment="0" applyProtection="0"/>
    <xf numFmtId="0" fontId="31" fillId="0" borderId="280" applyNumberFormat="0" applyFill="0" applyAlignment="0" applyProtection="0"/>
    <xf numFmtId="0" fontId="31" fillId="0" borderId="282" applyNumberFormat="0" applyFill="0" applyAlignment="0" applyProtection="0"/>
    <xf numFmtId="0" fontId="31" fillId="0" borderId="287" applyNumberFormat="0" applyFill="0" applyAlignment="0" applyProtection="0"/>
    <xf numFmtId="0" fontId="31" fillId="0" borderId="282" applyNumberFormat="0" applyFill="0" applyAlignment="0" applyProtection="0"/>
    <xf numFmtId="0" fontId="16" fillId="24" borderId="307" applyNumberFormat="0" applyAlignment="0" applyProtection="0"/>
    <xf numFmtId="0" fontId="32" fillId="24" borderId="307" applyNumberFormat="0" applyAlignment="0" applyProtection="0"/>
    <xf numFmtId="0" fontId="72" fillId="0" borderId="311" applyBorder="0">
      <alignment horizontal="center" vertical="center" wrapText="1"/>
    </xf>
    <xf numFmtId="0" fontId="25" fillId="13" borderId="307" applyNumberFormat="0" applyAlignment="0" applyProtection="0"/>
    <xf numFmtId="0" fontId="72" fillId="0" borderId="297" applyBorder="0">
      <alignment horizontal="center" vertical="center" wrapText="1"/>
    </xf>
    <xf numFmtId="0" fontId="72" fillId="0" borderId="297" applyBorder="0">
      <alignment horizontal="center" vertical="center" wrapText="1"/>
    </xf>
    <xf numFmtId="0" fontId="72" fillId="0" borderId="297" applyBorder="0">
      <alignment horizontal="center" vertical="center" wrapText="1"/>
    </xf>
    <xf numFmtId="0" fontId="72" fillId="0" borderId="297" applyBorder="0">
      <alignment horizontal="center" vertical="center" wrapText="1"/>
    </xf>
    <xf numFmtId="0" fontId="72" fillId="0" borderId="297" applyBorder="0">
      <alignment horizontal="center" vertical="center" wrapText="1"/>
    </xf>
    <xf numFmtId="0" fontId="72" fillId="0" borderId="297" applyBorder="0">
      <alignment horizontal="center" vertical="center" wrapText="1"/>
    </xf>
    <xf numFmtId="0" fontId="72" fillId="0" borderId="297" applyBorder="0">
      <alignment horizontal="center" vertical="center" wrapText="1"/>
    </xf>
    <xf numFmtId="0" fontId="72" fillId="0" borderId="297" applyBorder="0">
      <alignment horizontal="center" vertical="center" wrapText="1"/>
    </xf>
    <xf numFmtId="0" fontId="72" fillId="0" borderId="297" applyBorder="0">
      <alignment horizontal="center" vertical="center" wrapText="1"/>
    </xf>
    <xf numFmtId="0" fontId="72" fillId="0" borderId="297" applyBorder="0">
      <alignment horizontal="center" vertical="center" wrapText="1"/>
    </xf>
    <xf numFmtId="0" fontId="72" fillId="0" borderId="297" applyBorder="0">
      <alignment horizontal="center" vertical="center" wrapText="1"/>
    </xf>
    <xf numFmtId="0" fontId="72" fillId="0" borderId="297" applyBorder="0">
      <alignment horizontal="center" vertical="center" wrapText="1"/>
    </xf>
    <xf numFmtId="0" fontId="72" fillId="0" borderId="297" applyBorder="0">
      <alignment horizontal="center" vertical="center" wrapText="1"/>
    </xf>
    <xf numFmtId="0" fontId="72" fillId="0" borderId="297" applyBorder="0">
      <alignment horizontal="center" vertical="center" wrapText="1"/>
    </xf>
    <xf numFmtId="0" fontId="72" fillId="0" borderId="297" applyBorder="0">
      <alignment horizontal="center" vertical="center" wrapText="1"/>
    </xf>
    <xf numFmtId="0" fontId="72" fillId="0" borderId="297" applyBorder="0">
      <alignment horizontal="center" vertical="center" wrapText="1"/>
    </xf>
    <xf numFmtId="0" fontId="72" fillId="0" borderId="297" applyBorder="0">
      <alignment horizontal="center" vertical="center" wrapText="1"/>
    </xf>
    <xf numFmtId="0" fontId="72" fillId="0" borderId="297" applyBorder="0">
      <alignment horizontal="center" vertical="center" wrapText="1"/>
    </xf>
    <xf numFmtId="0" fontId="72" fillId="0" borderId="297" applyBorder="0">
      <alignment horizontal="center" vertical="center" wrapText="1"/>
    </xf>
    <xf numFmtId="0" fontId="72" fillId="0" borderId="297" applyBorder="0">
      <alignment horizontal="center" vertical="center" wrapText="1"/>
    </xf>
    <xf numFmtId="0" fontId="72" fillId="0" borderId="297" applyBorder="0">
      <alignment horizontal="center" vertical="center" wrapText="1"/>
    </xf>
    <xf numFmtId="0" fontId="72" fillId="0" borderId="297" applyBorder="0">
      <alignment horizontal="center" vertical="center" wrapText="1"/>
    </xf>
    <xf numFmtId="0" fontId="72" fillId="0" borderId="297" applyBorder="0">
      <alignment horizontal="center" vertical="center" wrapText="1"/>
    </xf>
    <xf numFmtId="0" fontId="72" fillId="0" borderId="297" applyBorder="0">
      <alignment horizontal="center" vertical="center" wrapText="1"/>
    </xf>
    <xf numFmtId="0" fontId="72" fillId="0" borderId="297" applyBorder="0">
      <alignment horizontal="center" vertical="center" wrapText="1"/>
    </xf>
    <xf numFmtId="0" fontId="72" fillId="0" borderId="297" applyBorder="0">
      <alignment horizontal="center" vertical="center" wrapText="1"/>
    </xf>
    <xf numFmtId="0" fontId="72" fillId="0" borderId="297" applyBorder="0">
      <alignment horizontal="center" vertical="center" wrapText="1"/>
    </xf>
    <xf numFmtId="0" fontId="72" fillId="0" borderId="297" applyBorder="0">
      <alignment horizontal="center" vertical="center" wrapText="1"/>
    </xf>
    <xf numFmtId="0" fontId="72" fillId="0" borderId="297" applyBorder="0">
      <alignment horizontal="center" vertical="center" wrapText="1"/>
    </xf>
    <xf numFmtId="0" fontId="72" fillId="0" borderId="297" applyBorder="0">
      <alignment horizontal="center" vertical="center" wrapText="1"/>
    </xf>
    <xf numFmtId="0" fontId="48" fillId="24" borderId="300" applyNumberFormat="0" applyAlignment="0" applyProtection="0"/>
    <xf numFmtId="0" fontId="48" fillId="24" borderId="300" applyNumberFormat="0" applyAlignment="0" applyProtection="0"/>
    <xf numFmtId="0" fontId="48" fillId="24" borderId="300" applyNumberFormat="0" applyAlignment="0" applyProtection="0"/>
    <xf numFmtId="0" fontId="48" fillId="24" borderId="300" applyNumberFormat="0" applyAlignment="0" applyProtection="0"/>
    <xf numFmtId="0" fontId="48" fillId="24" borderId="300" applyNumberFormat="0" applyAlignment="0" applyProtection="0"/>
    <xf numFmtId="0" fontId="48" fillId="24" borderId="300" applyNumberFormat="0" applyAlignment="0" applyProtection="0"/>
    <xf numFmtId="0" fontId="48" fillId="24" borderId="300" applyNumberFormat="0" applyAlignment="0" applyProtection="0"/>
    <xf numFmtId="0" fontId="48" fillId="24" borderId="300" applyNumberFormat="0" applyAlignment="0" applyProtection="0"/>
    <xf numFmtId="0" fontId="48" fillId="24" borderId="300" applyNumberFormat="0" applyAlignment="0" applyProtection="0"/>
    <xf numFmtId="0" fontId="48" fillId="24" borderId="300" applyNumberFormat="0" applyAlignment="0" applyProtection="0"/>
    <xf numFmtId="0" fontId="48" fillId="24" borderId="300" applyNumberFormat="0" applyAlignment="0" applyProtection="0"/>
    <xf numFmtId="0" fontId="48" fillId="24" borderId="300" applyNumberFormat="0" applyAlignment="0" applyProtection="0"/>
    <xf numFmtId="0" fontId="48" fillId="24" borderId="300" applyNumberFormat="0" applyAlignment="0" applyProtection="0"/>
    <xf numFmtId="0" fontId="48" fillId="24" borderId="300" applyNumberFormat="0" applyAlignment="0" applyProtection="0"/>
    <xf numFmtId="0" fontId="48" fillId="24" borderId="300" applyNumberFormat="0" applyAlignment="0" applyProtection="0"/>
    <xf numFmtId="0" fontId="48" fillId="24" borderId="300" applyNumberFormat="0" applyAlignment="0" applyProtection="0"/>
    <xf numFmtId="0" fontId="48" fillId="24" borderId="300" applyNumberFormat="0" applyAlignment="0" applyProtection="0"/>
    <xf numFmtId="0" fontId="48" fillId="24" borderId="300" applyNumberFormat="0" applyAlignment="0" applyProtection="0"/>
    <xf numFmtId="0" fontId="48" fillId="24" borderId="300" applyNumberFormat="0" applyAlignment="0" applyProtection="0"/>
    <xf numFmtId="0" fontId="48" fillId="24" borderId="300" applyNumberFormat="0" applyAlignment="0" applyProtection="0"/>
    <xf numFmtId="0" fontId="48" fillId="24" borderId="300" applyNumberFormat="0" applyAlignment="0" applyProtection="0"/>
    <xf numFmtId="0" fontId="48" fillId="24" borderId="300" applyNumberFormat="0" applyAlignment="0" applyProtection="0"/>
    <xf numFmtId="0" fontId="48" fillId="24" borderId="300" applyNumberFormat="0" applyAlignment="0" applyProtection="0"/>
    <xf numFmtId="0" fontId="48" fillId="24" borderId="300" applyNumberFormat="0" applyAlignment="0" applyProtection="0"/>
    <xf numFmtId="0" fontId="48" fillId="24" borderId="300" applyNumberFormat="0" applyAlignment="0" applyProtection="0"/>
    <xf numFmtId="0" fontId="48" fillId="24" borderId="300" applyNumberFormat="0" applyAlignment="0" applyProtection="0"/>
    <xf numFmtId="0" fontId="48" fillId="24" borderId="300" applyNumberFormat="0" applyAlignment="0" applyProtection="0"/>
    <xf numFmtId="0" fontId="48" fillId="24" borderId="300" applyNumberFormat="0" applyAlignment="0" applyProtection="0"/>
    <xf numFmtId="0" fontId="48" fillId="24" borderId="300" applyNumberFormat="0" applyAlignment="0" applyProtection="0"/>
    <xf numFmtId="0" fontId="48" fillId="24" borderId="300" applyNumberFormat="0" applyAlignment="0" applyProtection="0"/>
    <xf numFmtId="0" fontId="48" fillId="24" borderId="300" applyNumberFormat="0" applyAlignment="0" applyProtection="0"/>
    <xf numFmtId="0" fontId="48" fillId="24" borderId="300" applyNumberFormat="0" applyAlignment="0" applyProtection="0"/>
    <xf numFmtId="0" fontId="48" fillId="24" borderId="300" applyNumberFormat="0" applyAlignment="0" applyProtection="0"/>
    <xf numFmtId="0" fontId="48" fillId="24" borderId="300" applyNumberFormat="0" applyAlignment="0" applyProtection="0"/>
    <xf numFmtId="0" fontId="48" fillId="24" borderId="300" applyNumberFormat="0" applyAlignment="0" applyProtection="0"/>
    <xf numFmtId="0" fontId="48" fillId="24" borderId="300" applyNumberFormat="0" applyAlignment="0" applyProtection="0"/>
    <xf numFmtId="0" fontId="48" fillId="24" borderId="300" applyNumberFormat="0" applyAlignment="0" applyProtection="0"/>
    <xf numFmtId="0" fontId="48" fillId="24" borderId="300" applyNumberFormat="0" applyAlignment="0" applyProtection="0"/>
    <xf numFmtId="0" fontId="48" fillId="24" borderId="300" applyNumberFormat="0" applyAlignment="0" applyProtection="0"/>
    <xf numFmtId="0" fontId="48" fillId="24" borderId="300" applyNumberFormat="0" applyAlignment="0" applyProtection="0"/>
    <xf numFmtId="0" fontId="48" fillId="24" borderId="300" applyNumberFormat="0" applyAlignment="0" applyProtection="0"/>
    <xf numFmtId="0" fontId="48" fillId="24" borderId="300" applyNumberFormat="0" applyAlignment="0" applyProtection="0"/>
    <xf numFmtId="0" fontId="48" fillId="24" borderId="300" applyNumberFormat="0" applyAlignment="0" applyProtection="0"/>
    <xf numFmtId="0" fontId="48" fillId="24" borderId="300" applyNumberFormat="0" applyAlignment="0" applyProtection="0"/>
    <xf numFmtId="0" fontId="48" fillId="24" borderId="300" applyNumberFormat="0" applyAlignment="0" applyProtection="0"/>
    <xf numFmtId="0" fontId="48" fillId="24" borderId="300" applyNumberFormat="0" applyAlignment="0" applyProtection="0"/>
    <xf numFmtId="0" fontId="48" fillId="24" borderId="300" applyNumberFormat="0" applyAlignment="0" applyProtection="0"/>
    <xf numFmtId="0" fontId="48" fillId="24" borderId="300" applyNumberFormat="0" applyAlignment="0" applyProtection="0"/>
    <xf numFmtId="0" fontId="48" fillId="24" borderId="300" applyNumberFormat="0" applyAlignment="0" applyProtection="0"/>
    <xf numFmtId="0" fontId="48" fillId="24" borderId="300" applyNumberFormat="0" applyAlignment="0" applyProtection="0"/>
    <xf numFmtId="0" fontId="48" fillId="24" borderId="300" applyNumberFormat="0" applyAlignment="0" applyProtection="0"/>
    <xf numFmtId="0" fontId="48" fillId="24" borderId="300" applyNumberFormat="0" applyAlignment="0" applyProtection="0"/>
    <xf numFmtId="0" fontId="48" fillId="24" borderId="300" applyNumberFormat="0" applyAlignment="0" applyProtection="0"/>
    <xf numFmtId="0" fontId="48" fillId="24" borderId="300" applyNumberFormat="0" applyAlignment="0" applyProtection="0"/>
    <xf numFmtId="0" fontId="48" fillId="24" borderId="300" applyNumberFormat="0" applyAlignment="0" applyProtection="0"/>
    <xf numFmtId="0" fontId="48" fillId="24" borderId="300" applyNumberFormat="0" applyAlignment="0" applyProtection="0"/>
    <xf numFmtId="0" fontId="48" fillId="24" borderId="300" applyNumberFormat="0" applyAlignment="0" applyProtection="0"/>
    <xf numFmtId="0" fontId="48" fillId="24" borderId="300" applyNumberFormat="0" applyAlignment="0" applyProtection="0"/>
    <xf numFmtId="0" fontId="48" fillId="24" borderId="300" applyNumberFormat="0" applyAlignment="0" applyProtection="0"/>
    <xf numFmtId="0" fontId="48" fillId="24" borderId="300" applyNumberFormat="0" applyAlignment="0" applyProtection="0"/>
    <xf numFmtId="0" fontId="48" fillId="24" borderId="300" applyNumberFormat="0" applyAlignment="0" applyProtection="0"/>
    <xf numFmtId="0" fontId="48" fillId="24" borderId="300" applyNumberFormat="0" applyAlignment="0" applyProtection="0"/>
    <xf numFmtId="0" fontId="48" fillId="24" borderId="300" applyNumberFormat="0" applyAlignment="0" applyProtection="0"/>
    <xf numFmtId="0" fontId="48" fillId="24" borderId="300" applyNumberFormat="0" applyAlignment="0" applyProtection="0"/>
    <xf numFmtId="0" fontId="48" fillId="24" borderId="300" applyNumberFormat="0" applyAlignment="0" applyProtection="0"/>
    <xf numFmtId="0" fontId="48" fillId="24" borderId="300" applyNumberFormat="0" applyAlignment="0" applyProtection="0"/>
    <xf numFmtId="0" fontId="48" fillId="24" borderId="300" applyNumberFormat="0" applyAlignment="0" applyProtection="0"/>
    <xf numFmtId="0" fontId="48" fillId="24" borderId="300" applyNumberFormat="0" applyAlignment="0" applyProtection="0"/>
    <xf numFmtId="0" fontId="48" fillId="24" borderId="300" applyNumberFormat="0" applyAlignment="0" applyProtection="0"/>
    <xf numFmtId="0" fontId="48" fillId="24" borderId="300" applyNumberFormat="0" applyAlignment="0" applyProtection="0"/>
    <xf numFmtId="0" fontId="48" fillId="24" borderId="300" applyNumberFormat="0" applyAlignment="0" applyProtection="0"/>
    <xf numFmtId="0" fontId="48" fillId="24" borderId="300" applyNumberFormat="0" applyAlignment="0" applyProtection="0"/>
    <xf numFmtId="0" fontId="48" fillId="24" borderId="300" applyNumberFormat="0" applyAlignment="0" applyProtection="0"/>
    <xf numFmtId="0" fontId="48" fillId="24" borderId="300" applyNumberFormat="0" applyAlignment="0" applyProtection="0"/>
    <xf numFmtId="0" fontId="48" fillId="24" borderId="300" applyNumberFormat="0" applyAlignment="0" applyProtection="0"/>
    <xf numFmtId="0" fontId="48" fillId="24" borderId="300" applyNumberFormat="0" applyAlignment="0" applyProtection="0"/>
    <xf numFmtId="0" fontId="48" fillId="24" borderId="300" applyNumberFormat="0" applyAlignment="0" applyProtection="0"/>
    <xf numFmtId="0" fontId="48" fillId="24" borderId="300" applyNumberFormat="0" applyAlignment="0" applyProtection="0"/>
    <xf numFmtId="0" fontId="32" fillId="24" borderId="300" applyNumberFormat="0" applyAlignment="0" applyProtection="0"/>
    <xf numFmtId="0" fontId="32" fillId="24" borderId="300" applyNumberFormat="0" applyAlignment="0" applyProtection="0"/>
    <xf numFmtId="0" fontId="32" fillId="24" borderId="300" applyNumberFormat="0" applyAlignment="0" applyProtection="0"/>
    <xf numFmtId="0" fontId="32" fillId="24" borderId="300" applyNumberFormat="0" applyAlignment="0" applyProtection="0"/>
    <xf numFmtId="0" fontId="32" fillId="24" borderId="300" applyNumberFormat="0" applyAlignment="0" applyProtection="0"/>
    <xf numFmtId="0" fontId="32" fillId="24" borderId="300" applyNumberFormat="0" applyAlignment="0" applyProtection="0"/>
    <xf numFmtId="0" fontId="32" fillId="24" borderId="300" applyNumberFormat="0" applyAlignment="0" applyProtection="0"/>
    <xf numFmtId="0" fontId="32" fillId="24" borderId="300" applyNumberFormat="0" applyAlignment="0" applyProtection="0"/>
    <xf numFmtId="0" fontId="32" fillId="24" borderId="300" applyNumberFormat="0" applyAlignment="0" applyProtection="0"/>
    <xf numFmtId="0" fontId="32" fillId="24" borderId="300" applyNumberFormat="0" applyAlignment="0" applyProtection="0"/>
    <xf numFmtId="0" fontId="32" fillId="24" borderId="300" applyNumberFormat="0" applyAlignment="0" applyProtection="0"/>
    <xf numFmtId="0" fontId="32" fillId="24" borderId="300" applyNumberFormat="0" applyAlignment="0" applyProtection="0"/>
    <xf numFmtId="0" fontId="32" fillId="24" borderId="300" applyNumberFormat="0" applyAlignment="0" applyProtection="0"/>
    <xf numFmtId="0" fontId="32" fillId="24" borderId="300" applyNumberFormat="0" applyAlignment="0" applyProtection="0"/>
    <xf numFmtId="0" fontId="32" fillId="24" borderId="300" applyNumberFormat="0" applyAlignment="0" applyProtection="0"/>
    <xf numFmtId="0" fontId="32" fillId="24" borderId="300" applyNumberFormat="0" applyAlignment="0" applyProtection="0"/>
    <xf numFmtId="0" fontId="32" fillId="24" borderId="300" applyNumberFormat="0" applyAlignment="0" applyProtection="0"/>
    <xf numFmtId="0" fontId="32" fillId="24" borderId="300" applyNumberFormat="0" applyAlignment="0" applyProtection="0"/>
    <xf numFmtId="0" fontId="32" fillId="24" borderId="300" applyNumberFormat="0" applyAlignment="0" applyProtection="0"/>
    <xf numFmtId="0" fontId="32" fillId="24" borderId="300" applyNumberFormat="0" applyAlignment="0" applyProtection="0"/>
    <xf numFmtId="0" fontId="32" fillId="24" borderId="300" applyNumberFormat="0" applyAlignment="0" applyProtection="0"/>
    <xf numFmtId="0" fontId="32" fillId="24" borderId="300" applyNumberFormat="0" applyAlignment="0" applyProtection="0"/>
    <xf numFmtId="0" fontId="32" fillId="24" borderId="300" applyNumberFormat="0" applyAlignment="0" applyProtection="0"/>
    <xf numFmtId="0" fontId="32" fillId="24" borderId="300" applyNumberFormat="0" applyAlignment="0" applyProtection="0"/>
    <xf numFmtId="0" fontId="32" fillId="24" borderId="300" applyNumberFormat="0" applyAlignment="0" applyProtection="0"/>
    <xf numFmtId="0" fontId="32" fillId="24" borderId="300" applyNumberFormat="0" applyAlignment="0" applyProtection="0"/>
    <xf numFmtId="0" fontId="32" fillId="24" borderId="300" applyNumberFormat="0" applyAlignment="0" applyProtection="0"/>
    <xf numFmtId="0" fontId="32" fillId="24" borderId="300" applyNumberFormat="0" applyAlignment="0" applyProtection="0"/>
    <xf numFmtId="0" fontId="32" fillId="24" borderId="300" applyNumberFormat="0" applyAlignment="0" applyProtection="0"/>
    <xf numFmtId="0" fontId="32" fillId="24" borderId="300" applyNumberFormat="0" applyAlignment="0" applyProtection="0"/>
    <xf numFmtId="0" fontId="32" fillId="24" borderId="300" applyNumberFormat="0" applyAlignment="0" applyProtection="0"/>
    <xf numFmtId="0" fontId="32" fillId="24" borderId="300" applyNumberFormat="0" applyAlignment="0" applyProtection="0"/>
    <xf numFmtId="0" fontId="32" fillId="24" borderId="300" applyNumberFormat="0" applyAlignment="0" applyProtection="0"/>
    <xf numFmtId="0" fontId="32" fillId="24" borderId="300" applyNumberFormat="0" applyAlignment="0" applyProtection="0"/>
    <xf numFmtId="0" fontId="32" fillId="24" borderId="300" applyNumberFormat="0" applyAlignment="0" applyProtection="0"/>
    <xf numFmtId="0" fontId="32" fillId="24" borderId="300" applyNumberFormat="0" applyAlignment="0" applyProtection="0"/>
    <xf numFmtId="0" fontId="32" fillId="24" borderId="300" applyNumberFormat="0" applyAlignment="0" applyProtection="0"/>
    <xf numFmtId="0" fontId="32" fillId="24" borderId="300" applyNumberFormat="0" applyAlignment="0" applyProtection="0"/>
    <xf numFmtId="0" fontId="32" fillId="24" borderId="300" applyNumberFormat="0" applyAlignment="0" applyProtection="0"/>
    <xf numFmtId="0" fontId="32" fillId="24" borderId="300" applyNumberFormat="0" applyAlignment="0" applyProtection="0"/>
    <xf numFmtId="0" fontId="32" fillId="24" borderId="300" applyNumberFormat="0" applyAlignment="0" applyProtection="0"/>
    <xf numFmtId="0" fontId="32" fillId="24" borderId="300" applyNumberFormat="0" applyAlignment="0" applyProtection="0"/>
    <xf numFmtId="0" fontId="32" fillId="24" borderId="300" applyNumberFormat="0" applyAlignment="0" applyProtection="0"/>
    <xf numFmtId="0" fontId="32" fillId="24" borderId="300" applyNumberFormat="0" applyAlignment="0" applyProtection="0"/>
    <xf numFmtId="0" fontId="32" fillId="24" borderId="300" applyNumberFormat="0" applyAlignment="0" applyProtection="0"/>
    <xf numFmtId="0" fontId="32" fillId="24" borderId="300" applyNumberFormat="0" applyAlignment="0" applyProtection="0"/>
    <xf numFmtId="0" fontId="32" fillId="24" borderId="300" applyNumberFormat="0" applyAlignment="0" applyProtection="0"/>
    <xf numFmtId="0" fontId="32" fillId="24" borderId="300" applyNumberFormat="0" applyAlignment="0" applyProtection="0"/>
    <xf numFmtId="0" fontId="32" fillId="24" borderId="300" applyNumberFormat="0" applyAlignment="0" applyProtection="0"/>
    <xf numFmtId="0" fontId="16" fillId="24" borderId="300" applyNumberFormat="0" applyAlignment="0" applyProtection="0"/>
    <xf numFmtId="0" fontId="16" fillId="24" borderId="300" applyNumberFormat="0" applyAlignment="0" applyProtection="0"/>
    <xf numFmtId="0" fontId="16" fillId="24" borderId="300" applyNumberFormat="0" applyAlignment="0" applyProtection="0"/>
    <xf numFmtId="0" fontId="16" fillId="24" borderId="300" applyNumberFormat="0" applyAlignment="0" applyProtection="0"/>
    <xf numFmtId="0" fontId="16" fillId="24" borderId="300" applyNumberFormat="0" applyAlignment="0" applyProtection="0"/>
    <xf numFmtId="0" fontId="16" fillId="24" borderId="300" applyNumberFormat="0" applyAlignment="0" applyProtection="0"/>
    <xf numFmtId="0" fontId="16" fillId="24" borderId="300" applyNumberFormat="0" applyAlignment="0" applyProtection="0"/>
    <xf numFmtId="0" fontId="16" fillId="24" borderId="300" applyNumberFormat="0" applyAlignment="0" applyProtection="0"/>
    <xf numFmtId="0" fontId="16" fillId="24" borderId="300" applyNumberFormat="0" applyAlignment="0" applyProtection="0"/>
    <xf numFmtId="0" fontId="16" fillId="24" borderId="300" applyNumberFormat="0" applyAlignment="0" applyProtection="0"/>
    <xf numFmtId="0" fontId="16" fillId="24" borderId="300" applyNumberFormat="0" applyAlignment="0" applyProtection="0"/>
    <xf numFmtId="0" fontId="16" fillId="24" borderId="300" applyNumberFormat="0" applyAlignment="0" applyProtection="0"/>
    <xf numFmtId="0" fontId="16" fillId="24" borderId="300" applyNumberFormat="0" applyAlignment="0" applyProtection="0"/>
    <xf numFmtId="0" fontId="16" fillId="24" borderId="300" applyNumberFormat="0" applyAlignment="0" applyProtection="0"/>
    <xf numFmtId="0" fontId="16" fillId="24" borderId="300" applyNumberFormat="0" applyAlignment="0" applyProtection="0"/>
    <xf numFmtId="0" fontId="16" fillId="24" borderId="300" applyNumberFormat="0" applyAlignment="0" applyProtection="0"/>
    <xf numFmtId="0" fontId="16" fillId="24" borderId="300" applyNumberFormat="0" applyAlignment="0" applyProtection="0"/>
    <xf numFmtId="0" fontId="16" fillId="24" borderId="300" applyNumberFormat="0" applyAlignment="0" applyProtection="0"/>
    <xf numFmtId="0" fontId="16" fillId="24" borderId="300" applyNumberFormat="0" applyAlignment="0" applyProtection="0"/>
    <xf numFmtId="0" fontId="16" fillId="24" borderId="300" applyNumberFormat="0" applyAlignment="0" applyProtection="0"/>
    <xf numFmtId="0" fontId="16" fillId="24" borderId="300" applyNumberFormat="0" applyAlignment="0" applyProtection="0"/>
    <xf numFmtId="0" fontId="16" fillId="24" borderId="300" applyNumberFormat="0" applyAlignment="0" applyProtection="0"/>
    <xf numFmtId="0" fontId="16" fillId="24" borderId="300" applyNumberFormat="0" applyAlignment="0" applyProtection="0"/>
    <xf numFmtId="0" fontId="16" fillId="24" borderId="300" applyNumberFormat="0" applyAlignment="0" applyProtection="0"/>
    <xf numFmtId="0" fontId="16" fillId="24" borderId="300" applyNumberFormat="0" applyAlignment="0" applyProtection="0"/>
    <xf numFmtId="0" fontId="16" fillId="24" borderId="300" applyNumberFormat="0" applyAlignment="0" applyProtection="0"/>
    <xf numFmtId="0" fontId="16" fillId="24" borderId="300" applyNumberFormat="0" applyAlignment="0" applyProtection="0"/>
    <xf numFmtId="0" fontId="16" fillId="24" borderId="300" applyNumberFormat="0" applyAlignment="0" applyProtection="0"/>
    <xf numFmtId="0" fontId="16" fillId="24" borderId="300" applyNumberFormat="0" applyAlignment="0" applyProtection="0"/>
    <xf numFmtId="0" fontId="16" fillId="24" borderId="300" applyNumberFormat="0" applyAlignment="0" applyProtection="0"/>
    <xf numFmtId="0" fontId="16" fillId="24" borderId="300" applyNumberFormat="0" applyAlignment="0" applyProtection="0"/>
    <xf numFmtId="0" fontId="16" fillId="24" borderId="300" applyNumberFormat="0" applyAlignment="0" applyProtection="0"/>
    <xf numFmtId="0" fontId="16" fillId="24" borderId="300" applyNumberFormat="0" applyAlignment="0" applyProtection="0"/>
    <xf numFmtId="0" fontId="16" fillId="24" borderId="300" applyNumberFormat="0" applyAlignment="0" applyProtection="0"/>
    <xf numFmtId="0" fontId="16" fillId="24" borderId="300" applyNumberFormat="0" applyAlignment="0" applyProtection="0"/>
    <xf numFmtId="0" fontId="16" fillId="24" borderId="300" applyNumberFormat="0" applyAlignment="0" applyProtection="0"/>
    <xf numFmtId="0" fontId="16" fillId="24" borderId="300" applyNumberFormat="0" applyAlignment="0" applyProtection="0"/>
    <xf numFmtId="0" fontId="16" fillId="24" borderId="300" applyNumberFormat="0" applyAlignment="0" applyProtection="0"/>
    <xf numFmtId="0" fontId="16" fillId="24" borderId="300" applyNumberFormat="0" applyAlignment="0" applyProtection="0"/>
    <xf numFmtId="0" fontId="16" fillId="24" borderId="300" applyNumberFormat="0" applyAlignment="0" applyProtection="0"/>
    <xf numFmtId="0" fontId="16" fillId="24" borderId="300" applyNumberFormat="0" applyAlignment="0" applyProtection="0"/>
    <xf numFmtId="0" fontId="16" fillId="24" borderId="300" applyNumberFormat="0" applyAlignment="0" applyProtection="0"/>
    <xf numFmtId="0" fontId="16" fillId="24" borderId="300" applyNumberFormat="0" applyAlignment="0" applyProtection="0"/>
    <xf numFmtId="0" fontId="16" fillId="24" borderId="300" applyNumberFormat="0" applyAlignment="0" applyProtection="0"/>
    <xf numFmtId="0" fontId="16" fillId="24" borderId="300" applyNumberFormat="0" applyAlignment="0" applyProtection="0"/>
    <xf numFmtId="0" fontId="16" fillId="24" borderId="300" applyNumberFormat="0" applyAlignment="0" applyProtection="0"/>
    <xf numFmtId="0" fontId="16" fillId="24" borderId="300" applyNumberFormat="0" applyAlignment="0" applyProtection="0"/>
    <xf numFmtId="0" fontId="16" fillId="24" borderId="300" applyNumberFormat="0" applyAlignment="0" applyProtection="0"/>
    <xf numFmtId="0" fontId="16" fillId="24" borderId="300" applyNumberFormat="0" applyAlignment="0" applyProtection="0"/>
    <xf numFmtId="0" fontId="48" fillId="24" borderId="300" applyNumberFormat="0" applyAlignment="0" applyProtection="0"/>
    <xf numFmtId="0" fontId="48" fillId="24" borderId="300" applyNumberFormat="0" applyAlignment="0" applyProtection="0"/>
    <xf numFmtId="0" fontId="48" fillId="24" borderId="300" applyNumberFormat="0" applyAlignment="0" applyProtection="0"/>
    <xf numFmtId="0" fontId="48" fillId="24" borderId="300" applyNumberFormat="0" applyAlignment="0" applyProtection="0"/>
    <xf numFmtId="0" fontId="48" fillId="24" borderId="300" applyNumberFormat="0" applyAlignment="0" applyProtection="0"/>
    <xf numFmtId="0" fontId="48" fillId="24" borderId="300" applyNumberFormat="0" applyAlignment="0" applyProtection="0"/>
    <xf numFmtId="0" fontId="48" fillId="24" borderId="300" applyNumberFormat="0" applyAlignment="0" applyProtection="0"/>
    <xf numFmtId="0" fontId="48" fillId="24" borderId="300" applyNumberFormat="0" applyAlignment="0" applyProtection="0"/>
    <xf numFmtId="0" fontId="48" fillId="24" borderId="300" applyNumberFormat="0" applyAlignment="0" applyProtection="0"/>
    <xf numFmtId="0" fontId="48" fillId="24" borderId="300" applyNumberFormat="0" applyAlignment="0" applyProtection="0"/>
    <xf numFmtId="0" fontId="48" fillId="24" borderId="300" applyNumberFormat="0" applyAlignment="0" applyProtection="0"/>
    <xf numFmtId="0" fontId="48" fillId="24" borderId="300" applyNumberFormat="0" applyAlignment="0" applyProtection="0"/>
    <xf numFmtId="0" fontId="48" fillId="24" borderId="300" applyNumberFormat="0" applyAlignment="0" applyProtection="0"/>
    <xf numFmtId="0" fontId="48" fillId="24" borderId="300" applyNumberFormat="0" applyAlignment="0" applyProtection="0"/>
    <xf numFmtId="0" fontId="48" fillId="24" borderId="300" applyNumberFormat="0" applyAlignment="0" applyProtection="0"/>
    <xf numFmtId="0" fontId="48" fillId="24" borderId="300" applyNumberFormat="0" applyAlignment="0" applyProtection="0"/>
    <xf numFmtId="0" fontId="48" fillId="24" borderId="300" applyNumberFormat="0" applyAlignment="0" applyProtection="0"/>
    <xf numFmtId="0" fontId="48" fillId="24" borderId="300" applyNumberFormat="0" applyAlignment="0" applyProtection="0"/>
    <xf numFmtId="0" fontId="48" fillId="24" borderId="300" applyNumberFormat="0" applyAlignment="0" applyProtection="0"/>
    <xf numFmtId="0" fontId="48" fillId="24" borderId="300" applyNumberFormat="0" applyAlignment="0" applyProtection="0"/>
    <xf numFmtId="0" fontId="48" fillId="24" borderId="300" applyNumberFormat="0" applyAlignment="0" applyProtection="0"/>
    <xf numFmtId="0" fontId="48" fillId="24" borderId="300" applyNumberFormat="0" applyAlignment="0" applyProtection="0"/>
    <xf numFmtId="0" fontId="48" fillId="24" borderId="300" applyNumberFormat="0" applyAlignment="0" applyProtection="0"/>
    <xf numFmtId="0" fontId="48" fillId="24" borderId="300" applyNumberFormat="0" applyAlignment="0" applyProtection="0"/>
    <xf numFmtId="0" fontId="48" fillId="24" borderId="300" applyNumberFormat="0" applyAlignment="0" applyProtection="0"/>
    <xf numFmtId="0" fontId="48" fillId="24" borderId="300" applyNumberFormat="0" applyAlignment="0" applyProtection="0"/>
    <xf numFmtId="0" fontId="48" fillId="24" borderId="300" applyNumberFormat="0" applyAlignment="0" applyProtection="0"/>
    <xf numFmtId="0" fontId="48" fillId="24" borderId="300" applyNumberFormat="0" applyAlignment="0" applyProtection="0"/>
    <xf numFmtId="0" fontId="48" fillId="24" borderId="300" applyNumberFormat="0" applyAlignment="0" applyProtection="0"/>
    <xf numFmtId="0" fontId="48" fillId="24" borderId="300" applyNumberFormat="0" applyAlignment="0" applyProtection="0"/>
    <xf numFmtId="0" fontId="48" fillId="24" borderId="300" applyNumberFormat="0" applyAlignment="0" applyProtection="0"/>
    <xf numFmtId="0" fontId="48" fillId="24" borderId="300" applyNumberFormat="0" applyAlignment="0" applyProtection="0"/>
    <xf numFmtId="0" fontId="48" fillId="24" borderId="300" applyNumberFormat="0" applyAlignment="0" applyProtection="0"/>
    <xf numFmtId="0" fontId="48" fillId="24" borderId="300" applyNumberFormat="0" applyAlignment="0" applyProtection="0"/>
    <xf numFmtId="0" fontId="48" fillId="24" borderId="300" applyNumberFormat="0" applyAlignment="0" applyProtection="0"/>
    <xf numFmtId="0" fontId="48" fillId="24" borderId="300" applyNumberFormat="0" applyAlignment="0" applyProtection="0"/>
    <xf numFmtId="0" fontId="48" fillId="24" borderId="300" applyNumberFormat="0" applyAlignment="0" applyProtection="0"/>
    <xf numFmtId="0" fontId="48" fillId="24" borderId="300" applyNumberFormat="0" applyAlignment="0" applyProtection="0"/>
    <xf numFmtId="0" fontId="48" fillId="24" borderId="300" applyNumberFormat="0" applyAlignment="0" applyProtection="0"/>
    <xf numFmtId="0" fontId="48" fillId="24" borderId="300" applyNumberFormat="0" applyAlignment="0" applyProtection="0"/>
    <xf numFmtId="0" fontId="48" fillId="24" borderId="300" applyNumberFormat="0" applyAlignment="0" applyProtection="0"/>
    <xf numFmtId="0" fontId="48" fillId="24" borderId="300" applyNumberFormat="0" applyAlignment="0" applyProtection="0"/>
    <xf numFmtId="0" fontId="48" fillId="24" borderId="300" applyNumberFormat="0" applyAlignment="0" applyProtection="0"/>
    <xf numFmtId="0" fontId="48" fillId="24" borderId="300" applyNumberFormat="0" applyAlignment="0" applyProtection="0"/>
    <xf numFmtId="0" fontId="48" fillId="24" borderId="300" applyNumberFormat="0" applyAlignment="0" applyProtection="0"/>
    <xf numFmtId="0" fontId="48" fillId="24" borderId="300" applyNumberFormat="0" applyAlignment="0" applyProtection="0"/>
    <xf numFmtId="0" fontId="48" fillId="24" borderId="300" applyNumberFormat="0" applyAlignment="0" applyProtection="0"/>
    <xf numFmtId="0" fontId="48" fillId="24" borderId="300" applyNumberFormat="0" applyAlignment="0" applyProtection="0"/>
    <xf numFmtId="0" fontId="48" fillId="12" borderId="300" applyNumberFormat="0" applyAlignment="0" applyProtection="0"/>
    <xf numFmtId="0" fontId="48" fillId="12" borderId="300" applyNumberFormat="0" applyAlignment="0" applyProtection="0"/>
    <xf numFmtId="0" fontId="48" fillId="12" borderId="300" applyNumberFormat="0" applyAlignment="0" applyProtection="0"/>
    <xf numFmtId="0" fontId="48" fillId="12" borderId="300" applyNumberFormat="0" applyAlignment="0" applyProtection="0"/>
    <xf numFmtId="0" fontId="48" fillId="12" borderId="300" applyNumberFormat="0" applyAlignment="0" applyProtection="0"/>
    <xf numFmtId="0" fontId="48" fillId="12" borderId="300" applyNumberFormat="0" applyAlignment="0" applyProtection="0"/>
    <xf numFmtId="0" fontId="48" fillId="12" borderId="300" applyNumberFormat="0" applyAlignment="0" applyProtection="0"/>
    <xf numFmtId="0" fontId="48" fillId="12" borderId="300" applyNumberFormat="0" applyAlignment="0" applyProtection="0"/>
    <xf numFmtId="0" fontId="48" fillId="12" borderId="300" applyNumberFormat="0" applyAlignment="0" applyProtection="0"/>
    <xf numFmtId="0" fontId="48" fillId="12" borderId="300" applyNumberFormat="0" applyAlignment="0" applyProtection="0"/>
    <xf numFmtId="0" fontId="48" fillId="12" borderId="300" applyNumberFormat="0" applyAlignment="0" applyProtection="0"/>
    <xf numFmtId="0" fontId="48" fillId="12" borderId="300" applyNumberFormat="0" applyAlignment="0" applyProtection="0"/>
    <xf numFmtId="0" fontId="48" fillId="12" borderId="300" applyNumberFormat="0" applyAlignment="0" applyProtection="0"/>
    <xf numFmtId="0" fontId="48" fillId="12" borderId="300" applyNumberFormat="0" applyAlignment="0" applyProtection="0"/>
    <xf numFmtId="0" fontId="48" fillId="12" borderId="300" applyNumberFormat="0" applyAlignment="0" applyProtection="0"/>
    <xf numFmtId="0" fontId="48" fillId="12" borderId="300" applyNumberFormat="0" applyAlignment="0" applyProtection="0"/>
    <xf numFmtId="0" fontId="48" fillId="12" borderId="300" applyNumberFormat="0" applyAlignment="0" applyProtection="0"/>
    <xf numFmtId="0" fontId="48" fillId="12" borderId="300" applyNumberFormat="0" applyAlignment="0" applyProtection="0"/>
    <xf numFmtId="0" fontId="48" fillId="12" borderId="300" applyNumberFormat="0" applyAlignment="0" applyProtection="0"/>
    <xf numFmtId="0" fontId="48" fillId="12" borderId="300" applyNumberFormat="0" applyAlignment="0" applyProtection="0"/>
    <xf numFmtId="0" fontId="48" fillId="12" borderId="300" applyNumberFormat="0" applyAlignment="0" applyProtection="0"/>
    <xf numFmtId="0" fontId="48" fillId="12" borderId="300" applyNumberFormat="0" applyAlignment="0" applyProtection="0"/>
    <xf numFmtId="0" fontId="48" fillId="12" borderId="300" applyNumberFormat="0" applyAlignment="0" applyProtection="0"/>
    <xf numFmtId="0" fontId="48" fillId="12" borderId="300" applyNumberFormat="0" applyAlignment="0" applyProtection="0"/>
    <xf numFmtId="0" fontId="48" fillId="12" borderId="300" applyNumberFormat="0" applyAlignment="0" applyProtection="0"/>
    <xf numFmtId="0" fontId="48" fillId="12" borderId="300" applyNumberFormat="0" applyAlignment="0" applyProtection="0"/>
    <xf numFmtId="0" fontId="48" fillId="12" borderId="300" applyNumberFormat="0" applyAlignment="0" applyProtection="0"/>
    <xf numFmtId="0" fontId="48" fillId="12" borderId="300" applyNumberFormat="0" applyAlignment="0" applyProtection="0"/>
    <xf numFmtId="0" fontId="48" fillId="12" borderId="300" applyNumberFormat="0" applyAlignment="0" applyProtection="0"/>
    <xf numFmtId="0" fontId="48" fillId="12" borderId="300" applyNumberFormat="0" applyAlignment="0" applyProtection="0"/>
    <xf numFmtId="0" fontId="48" fillId="12" borderId="300" applyNumberFormat="0" applyAlignment="0" applyProtection="0"/>
    <xf numFmtId="0" fontId="48" fillId="12" borderId="300" applyNumberFormat="0" applyAlignment="0" applyProtection="0"/>
    <xf numFmtId="0" fontId="48" fillId="12" borderId="300" applyNumberFormat="0" applyAlignment="0" applyProtection="0"/>
    <xf numFmtId="0" fontId="48" fillId="12" borderId="300" applyNumberFormat="0" applyAlignment="0" applyProtection="0"/>
    <xf numFmtId="0" fontId="48" fillId="12" borderId="300" applyNumberFormat="0" applyAlignment="0" applyProtection="0"/>
    <xf numFmtId="0" fontId="48" fillId="12" borderId="300" applyNumberFormat="0" applyAlignment="0" applyProtection="0"/>
    <xf numFmtId="0" fontId="48" fillId="12" borderId="300" applyNumberFormat="0" applyAlignment="0" applyProtection="0"/>
    <xf numFmtId="0" fontId="48" fillId="12" borderId="300" applyNumberFormat="0" applyAlignment="0" applyProtection="0"/>
    <xf numFmtId="0" fontId="48" fillId="12" borderId="300" applyNumberFormat="0" applyAlignment="0" applyProtection="0"/>
    <xf numFmtId="0" fontId="48" fillId="12" borderId="300" applyNumberFormat="0" applyAlignment="0" applyProtection="0"/>
    <xf numFmtId="0" fontId="48" fillId="12" borderId="300" applyNumberFormat="0" applyAlignment="0" applyProtection="0"/>
    <xf numFmtId="0" fontId="48" fillId="12" borderId="300" applyNumberFormat="0" applyAlignment="0" applyProtection="0"/>
    <xf numFmtId="0" fontId="48" fillId="12" borderId="300" applyNumberFormat="0" applyAlignment="0" applyProtection="0"/>
    <xf numFmtId="0" fontId="48" fillId="12" borderId="300" applyNumberFormat="0" applyAlignment="0" applyProtection="0"/>
    <xf numFmtId="0" fontId="48" fillId="12" borderId="300" applyNumberFormat="0" applyAlignment="0" applyProtection="0"/>
    <xf numFmtId="0" fontId="48" fillId="12" borderId="300" applyNumberFormat="0" applyAlignment="0" applyProtection="0"/>
    <xf numFmtId="0" fontId="48" fillId="12" borderId="300" applyNumberFormat="0" applyAlignment="0" applyProtection="0"/>
    <xf numFmtId="0" fontId="48" fillId="12" borderId="300" applyNumberFormat="0" applyAlignment="0" applyProtection="0"/>
    <xf numFmtId="0" fontId="48" fillId="12" borderId="300" applyNumberFormat="0" applyAlignment="0" applyProtection="0"/>
    <xf numFmtId="0" fontId="48" fillId="12" borderId="300" applyNumberFormat="0" applyAlignment="0" applyProtection="0"/>
    <xf numFmtId="0" fontId="48" fillId="12" borderId="300" applyNumberFormat="0" applyAlignment="0" applyProtection="0"/>
    <xf numFmtId="0" fontId="48" fillId="12" borderId="300" applyNumberFormat="0" applyAlignment="0" applyProtection="0"/>
    <xf numFmtId="0" fontId="48" fillId="12" borderId="300" applyNumberFormat="0" applyAlignment="0" applyProtection="0"/>
    <xf numFmtId="0" fontId="48" fillId="12" borderId="300" applyNumberFormat="0" applyAlignment="0" applyProtection="0"/>
    <xf numFmtId="0" fontId="48" fillId="12" borderId="300" applyNumberFormat="0" applyAlignment="0" applyProtection="0"/>
    <xf numFmtId="0" fontId="48" fillId="12" borderId="300" applyNumberFormat="0" applyAlignment="0" applyProtection="0"/>
    <xf numFmtId="0" fontId="48" fillId="12" borderId="300" applyNumberFormat="0" applyAlignment="0" applyProtection="0"/>
    <xf numFmtId="0" fontId="48" fillId="12" borderId="300" applyNumberFormat="0" applyAlignment="0" applyProtection="0"/>
    <xf numFmtId="0" fontId="48" fillId="12" borderId="300" applyNumberFormat="0" applyAlignment="0" applyProtection="0"/>
    <xf numFmtId="0" fontId="48" fillId="12" borderId="300" applyNumberFormat="0" applyAlignment="0" applyProtection="0"/>
    <xf numFmtId="0" fontId="48" fillId="12" borderId="300" applyNumberFormat="0" applyAlignment="0" applyProtection="0"/>
    <xf numFmtId="0" fontId="48" fillId="12" borderId="300" applyNumberFormat="0" applyAlignment="0" applyProtection="0"/>
    <xf numFmtId="0" fontId="48" fillId="12" borderId="300" applyNumberFormat="0" applyAlignment="0" applyProtection="0"/>
    <xf numFmtId="0" fontId="48" fillId="12" borderId="300" applyNumberFormat="0" applyAlignment="0" applyProtection="0"/>
    <xf numFmtId="0" fontId="48" fillId="12" borderId="300" applyNumberFormat="0" applyAlignment="0" applyProtection="0"/>
    <xf numFmtId="0" fontId="48" fillId="12" borderId="300" applyNumberFormat="0" applyAlignment="0" applyProtection="0"/>
    <xf numFmtId="0" fontId="48" fillId="12" borderId="300" applyNumberFormat="0" applyAlignment="0" applyProtection="0"/>
    <xf numFmtId="0" fontId="48" fillId="12" borderId="300" applyNumberFormat="0" applyAlignment="0" applyProtection="0"/>
    <xf numFmtId="0" fontId="48" fillId="12" borderId="300" applyNumberFormat="0" applyAlignment="0" applyProtection="0"/>
    <xf numFmtId="0" fontId="48" fillId="12" borderId="300" applyNumberFormat="0" applyAlignment="0" applyProtection="0"/>
    <xf numFmtId="0" fontId="48" fillId="12" borderId="300" applyNumberFormat="0" applyAlignment="0" applyProtection="0"/>
    <xf numFmtId="0" fontId="48" fillId="12" borderId="300" applyNumberFormat="0" applyAlignment="0" applyProtection="0"/>
    <xf numFmtId="0" fontId="48" fillId="12" borderId="300" applyNumberFormat="0" applyAlignment="0" applyProtection="0"/>
    <xf numFmtId="0" fontId="48" fillId="12" borderId="300" applyNumberFormat="0" applyAlignment="0" applyProtection="0"/>
    <xf numFmtId="0" fontId="48" fillId="12" borderId="300" applyNumberFormat="0" applyAlignment="0" applyProtection="0"/>
    <xf numFmtId="0" fontId="48" fillId="12" borderId="300" applyNumberFormat="0" applyAlignment="0" applyProtection="0"/>
    <xf numFmtId="0" fontId="48" fillId="12" borderId="300" applyNumberFormat="0" applyAlignment="0" applyProtection="0"/>
    <xf numFmtId="0" fontId="16" fillId="24" borderId="300" applyNumberFormat="0" applyAlignment="0" applyProtection="0"/>
    <xf numFmtId="0" fontId="16" fillId="24" borderId="300" applyNumberFormat="0" applyAlignment="0" applyProtection="0"/>
    <xf numFmtId="0" fontId="16" fillId="24" borderId="300" applyNumberFormat="0" applyAlignment="0" applyProtection="0"/>
    <xf numFmtId="0" fontId="16" fillId="24" borderId="300" applyNumberFormat="0" applyAlignment="0" applyProtection="0"/>
    <xf numFmtId="0" fontId="16" fillId="24" borderId="300" applyNumberFormat="0" applyAlignment="0" applyProtection="0"/>
    <xf numFmtId="0" fontId="16" fillId="24" borderId="300" applyNumberFormat="0" applyAlignment="0" applyProtection="0"/>
    <xf numFmtId="0" fontId="16" fillId="24" borderId="300" applyNumberFormat="0" applyAlignment="0" applyProtection="0"/>
    <xf numFmtId="0" fontId="16" fillId="24" borderId="300" applyNumberFormat="0" applyAlignment="0" applyProtection="0"/>
    <xf numFmtId="0" fontId="16" fillId="24" borderId="300" applyNumberFormat="0" applyAlignment="0" applyProtection="0"/>
    <xf numFmtId="0" fontId="16" fillId="24" borderId="300" applyNumberFormat="0" applyAlignment="0" applyProtection="0"/>
    <xf numFmtId="0" fontId="16" fillId="24" borderId="300" applyNumberFormat="0" applyAlignment="0" applyProtection="0"/>
    <xf numFmtId="0" fontId="16" fillId="24" borderId="300" applyNumberFormat="0" applyAlignment="0" applyProtection="0"/>
    <xf numFmtId="0" fontId="16" fillId="24" borderId="300" applyNumberFormat="0" applyAlignment="0" applyProtection="0"/>
    <xf numFmtId="0" fontId="16" fillId="24" borderId="300" applyNumberFormat="0" applyAlignment="0" applyProtection="0"/>
    <xf numFmtId="0" fontId="16" fillId="24" borderId="300" applyNumberFormat="0" applyAlignment="0" applyProtection="0"/>
    <xf numFmtId="0" fontId="16" fillId="24" borderId="300" applyNumberFormat="0" applyAlignment="0" applyProtection="0"/>
    <xf numFmtId="0" fontId="16" fillId="24" borderId="300" applyNumberFormat="0" applyAlignment="0" applyProtection="0"/>
    <xf numFmtId="0" fontId="16" fillId="24" borderId="300" applyNumberFormat="0" applyAlignment="0" applyProtection="0"/>
    <xf numFmtId="0" fontId="16" fillId="24" borderId="300" applyNumberFormat="0" applyAlignment="0" applyProtection="0"/>
    <xf numFmtId="0" fontId="16" fillId="24" borderId="300" applyNumberFormat="0" applyAlignment="0" applyProtection="0"/>
    <xf numFmtId="0" fontId="16" fillId="24" borderId="300" applyNumberFormat="0" applyAlignment="0" applyProtection="0"/>
    <xf numFmtId="0" fontId="16" fillId="24" borderId="300" applyNumberFormat="0" applyAlignment="0" applyProtection="0"/>
    <xf numFmtId="0" fontId="16" fillId="24" borderId="300" applyNumberFormat="0" applyAlignment="0" applyProtection="0"/>
    <xf numFmtId="0" fontId="16" fillId="24" borderId="300" applyNumberFormat="0" applyAlignment="0" applyProtection="0"/>
    <xf numFmtId="0" fontId="16" fillId="24" borderId="300" applyNumberFormat="0" applyAlignment="0" applyProtection="0"/>
    <xf numFmtId="0" fontId="16" fillId="24" borderId="300" applyNumberFormat="0" applyAlignment="0" applyProtection="0"/>
    <xf numFmtId="0" fontId="16" fillId="24" borderId="300" applyNumberFormat="0" applyAlignment="0" applyProtection="0"/>
    <xf numFmtId="0" fontId="16" fillId="24" borderId="300" applyNumberFormat="0" applyAlignment="0" applyProtection="0"/>
    <xf numFmtId="0" fontId="16" fillId="24" borderId="300" applyNumberFormat="0" applyAlignment="0" applyProtection="0"/>
    <xf numFmtId="0" fontId="16" fillId="24" borderId="300" applyNumberFormat="0" applyAlignment="0" applyProtection="0"/>
    <xf numFmtId="0" fontId="16" fillId="24" borderId="300" applyNumberFormat="0" applyAlignment="0" applyProtection="0"/>
    <xf numFmtId="0" fontId="16" fillId="24" borderId="300" applyNumberFormat="0" applyAlignment="0" applyProtection="0"/>
    <xf numFmtId="0" fontId="16" fillId="24" borderId="300" applyNumberFormat="0" applyAlignment="0" applyProtection="0"/>
    <xf numFmtId="0" fontId="16" fillId="24" borderId="300" applyNumberFormat="0" applyAlignment="0" applyProtection="0"/>
    <xf numFmtId="0" fontId="16" fillId="24" borderId="300" applyNumberFormat="0" applyAlignment="0" applyProtection="0"/>
    <xf numFmtId="0" fontId="16" fillId="24" borderId="300" applyNumberFormat="0" applyAlignment="0" applyProtection="0"/>
    <xf numFmtId="0" fontId="16" fillId="24" borderId="300" applyNumberFormat="0" applyAlignment="0" applyProtection="0"/>
    <xf numFmtId="0" fontId="16" fillId="24" borderId="300" applyNumberFormat="0" applyAlignment="0" applyProtection="0"/>
    <xf numFmtId="0" fontId="16" fillId="24" borderId="300" applyNumberFormat="0" applyAlignment="0" applyProtection="0"/>
    <xf numFmtId="0" fontId="16" fillId="24" borderId="300" applyNumberFormat="0" applyAlignment="0" applyProtection="0"/>
    <xf numFmtId="0" fontId="16" fillId="24" borderId="300" applyNumberFormat="0" applyAlignment="0" applyProtection="0"/>
    <xf numFmtId="0" fontId="16" fillId="24" borderId="300" applyNumberFormat="0" applyAlignment="0" applyProtection="0"/>
    <xf numFmtId="0" fontId="16" fillId="24" borderId="300" applyNumberFormat="0" applyAlignment="0" applyProtection="0"/>
    <xf numFmtId="0" fontId="16" fillId="24" borderId="300" applyNumberFormat="0" applyAlignment="0" applyProtection="0"/>
    <xf numFmtId="0" fontId="16" fillId="24" borderId="300" applyNumberFormat="0" applyAlignment="0" applyProtection="0"/>
    <xf numFmtId="0" fontId="16" fillId="24" borderId="300" applyNumberFormat="0" applyAlignment="0" applyProtection="0"/>
    <xf numFmtId="0" fontId="16" fillId="24" borderId="300" applyNumberFormat="0" applyAlignment="0" applyProtection="0"/>
    <xf numFmtId="0" fontId="16" fillId="24" borderId="300" applyNumberFormat="0" applyAlignment="0" applyProtection="0"/>
    <xf numFmtId="0" fontId="16" fillId="24" borderId="300" applyNumberFormat="0" applyAlignment="0" applyProtection="0"/>
    <xf numFmtId="0" fontId="48" fillId="12" borderId="300" applyNumberFormat="0" applyAlignment="0" applyProtection="0"/>
    <xf numFmtId="0" fontId="48" fillId="12" borderId="300" applyNumberFormat="0" applyAlignment="0" applyProtection="0"/>
    <xf numFmtId="0" fontId="48" fillId="12" borderId="300" applyNumberFormat="0" applyAlignment="0" applyProtection="0"/>
    <xf numFmtId="0" fontId="48" fillId="12" borderId="300" applyNumberFormat="0" applyAlignment="0" applyProtection="0"/>
    <xf numFmtId="0" fontId="48" fillId="12" borderId="300" applyNumberFormat="0" applyAlignment="0" applyProtection="0"/>
    <xf numFmtId="0" fontId="48" fillId="12" borderId="300" applyNumberFormat="0" applyAlignment="0" applyProtection="0"/>
    <xf numFmtId="0" fontId="48" fillId="12" borderId="300" applyNumberFormat="0" applyAlignment="0" applyProtection="0"/>
    <xf numFmtId="0" fontId="48" fillId="12" borderId="300" applyNumberFormat="0" applyAlignment="0" applyProtection="0"/>
    <xf numFmtId="0" fontId="48" fillId="12" borderId="300" applyNumberFormat="0" applyAlignment="0" applyProtection="0"/>
    <xf numFmtId="0" fontId="48" fillId="12" borderId="300" applyNumberFormat="0" applyAlignment="0" applyProtection="0"/>
    <xf numFmtId="0" fontId="48" fillId="12" borderId="300" applyNumberFormat="0" applyAlignment="0" applyProtection="0"/>
    <xf numFmtId="0" fontId="48" fillId="12" borderId="300" applyNumberFormat="0" applyAlignment="0" applyProtection="0"/>
    <xf numFmtId="0" fontId="48" fillId="12" borderId="300" applyNumberFormat="0" applyAlignment="0" applyProtection="0"/>
    <xf numFmtId="0" fontId="48" fillId="12" borderId="300" applyNumberFormat="0" applyAlignment="0" applyProtection="0"/>
    <xf numFmtId="0" fontId="48" fillId="12" borderId="300" applyNumberFormat="0" applyAlignment="0" applyProtection="0"/>
    <xf numFmtId="0" fontId="48" fillId="12" borderId="300" applyNumberFormat="0" applyAlignment="0" applyProtection="0"/>
    <xf numFmtId="0" fontId="48" fillId="12" borderId="300" applyNumberFormat="0" applyAlignment="0" applyProtection="0"/>
    <xf numFmtId="0" fontId="48" fillId="12" borderId="300" applyNumberFormat="0" applyAlignment="0" applyProtection="0"/>
    <xf numFmtId="0" fontId="48" fillId="12" borderId="300" applyNumberFormat="0" applyAlignment="0" applyProtection="0"/>
    <xf numFmtId="0" fontId="48" fillId="12" borderId="300" applyNumberFormat="0" applyAlignment="0" applyProtection="0"/>
    <xf numFmtId="0" fontId="48" fillId="12" borderId="300" applyNumberFormat="0" applyAlignment="0" applyProtection="0"/>
    <xf numFmtId="0" fontId="48" fillId="12" borderId="300" applyNumberFormat="0" applyAlignment="0" applyProtection="0"/>
    <xf numFmtId="0" fontId="48" fillId="12" borderId="300" applyNumberFormat="0" applyAlignment="0" applyProtection="0"/>
    <xf numFmtId="0" fontId="48" fillId="12" borderId="300" applyNumberFormat="0" applyAlignment="0" applyProtection="0"/>
    <xf numFmtId="0" fontId="48" fillId="12" borderId="300" applyNumberFormat="0" applyAlignment="0" applyProtection="0"/>
    <xf numFmtId="0" fontId="48" fillId="12" borderId="300" applyNumberFormat="0" applyAlignment="0" applyProtection="0"/>
    <xf numFmtId="0" fontId="48" fillId="12" borderId="300" applyNumberFormat="0" applyAlignment="0" applyProtection="0"/>
    <xf numFmtId="0" fontId="48" fillId="12" borderId="300" applyNumberFormat="0" applyAlignment="0" applyProtection="0"/>
    <xf numFmtId="0" fontId="48" fillId="12" borderId="300" applyNumberFormat="0" applyAlignment="0" applyProtection="0"/>
    <xf numFmtId="0" fontId="48" fillId="12" borderId="300" applyNumberFormat="0" applyAlignment="0" applyProtection="0"/>
    <xf numFmtId="0" fontId="48" fillId="12" borderId="300" applyNumberFormat="0" applyAlignment="0" applyProtection="0"/>
    <xf numFmtId="0" fontId="48" fillId="12" borderId="300" applyNumberFormat="0" applyAlignment="0" applyProtection="0"/>
    <xf numFmtId="0" fontId="48" fillId="12" borderId="300" applyNumberFormat="0" applyAlignment="0" applyProtection="0"/>
    <xf numFmtId="0" fontId="48" fillId="12" borderId="300" applyNumberFormat="0" applyAlignment="0" applyProtection="0"/>
    <xf numFmtId="0" fontId="48" fillId="12" borderId="300" applyNumberFormat="0" applyAlignment="0" applyProtection="0"/>
    <xf numFmtId="0" fontId="48" fillId="12" borderId="300" applyNumberFormat="0" applyAlignment="0" applyProtection="0"/>
    <xf numFmtId="0" fontId="48" fillId="12" borderId="300" applyNumberFormat="0" applyAlignment="0" applyProtection="0"/>
    <xf numFmtId="0" fontId="48" fillId="12" borderId="300" applyNumberFormat="0" applyAlignment="0" applyProtection="0"/>
    <xf numFmtId="0" fontId="48" fillId="12" borderId="300" applyNumberFormat="0" applyAlignment="0" applyProtection="0"/>
    <xf numFmtId="0" fontId="48" fillId="12" borderId="300" applyNumberFormat="0" applyAlignment="0" applyProtection="0"/>
    <xf numFmtId="0" fontId="48" fillId="12" borderId="300" applyNumberFormat="0" applyAlignment="0" applyProtection="0"/>
    <xf numFmtId="0" fontId="48" fillId="12" borderId="300" applyNumberFormat="0" applyAlignment="0" applyProtection="0"/>
    <xf numFmtId="0" fontId="48" fillId="12" borderId="300" applyNumberFormat="0" applyAlignment="0" applyProtection="0"/>
    <xf numFmtId="0" fontId="48" fillId="12" borderId="300" applyNumberFormat="0" applyAlignment="0" applyProtection="0"/>
    <xf numFmtId="0" fontId="48" fillId="12" borderId="300" applyNumberFormat="0" applyAlignment="0" applyProtection="0"/>
    <xf numFmtId="0" fontId="48" fillId="12" borderId="300" applyNumberFormat="0" applyAlignment="0" applyProtection="0"/>
    <xf numFmtId="0" fontId="48" fillId="12" borderId="300" applyNumberFormat="0" applyAlignment="0" applyProtection="0"/>
    <xf numFmtId="0" fontId="48" fillId="12" borderId="300" applyNumberFormat="0" applyAlignment="0" applyProtection="0"/>
    <xf numFmtId="0" fontId="48" fillId="12" borderId="300" applyNumberFormat="0" applyAlignment="0" applyProtection="0"/>
    <xf numFmtId="0" fontId="48" fillId="12" borderId="300" applyNumberFormat="0" applyAlignment="0" applyProtection="0"/>
    <xf numFmtId="0" fontId="48" fillId="12" borderId="300" applyNumberFormat="0" applyAlignment="0" applyProtection="0"/>
    <xf numFmtId="0" fontId="48" fillId="12" borderId="300" applyNumberFormat="0" applyAlignment="0" applyProtection="0"/>
    <xf numFmtId="0" fontId="48" fillId="12" borderId="300" applyNumberFormat="0" applyAlignment="0" applyProtection="0"/>
    <xf numFmtId="0" fontId="48" fillId="12" borderId="300" applyNumberFormat="0" applyAlignment="0" applyProtection="0"/>
    <xf numFmtId="0" fontId="48" fillId="12" borderId="300" applyNumberFormat="0" applyAlignment="0" applyProtection="0"/>
    <xf numFmtId="0" fontId="48" fillId="12" borderId="300" applyNumberFormat="0" applyAlignment="0" applyProtection="0"/>
    <xf numFmtId="0" fontId="48" fillId="12" borderId="300" applyNumberFormat="0" applyAlignment="0" applyProtection="0"/>
    <xf numFmtId="0" fontId="48" fillId="12" borderId="300" applyNumberFormat="0" applyAlignment="0" applyProtection="0"/>
    <xf numFmtId="0" fontId="48" fillId="12" borderId="300" applyNumberFormat="0" applyAlignment="0" applyProtection="0"/>
    <xf numFmtId="0" fontId="48" fillId="12" borderId="300" applyNumberFormat="0" applyAlignment="0" applyProtection="0"/>
    <xf numFmtId="0" fontId="48" fillId="12" borderId="300" applyNumberFormat="0" applyAlignment="0" applyProtection="0"/>
    <xf numFmtId="0" fontId="48" fillId="12" borderId="300" applyNumberFormat="0" applyAlignment="0" applyProtection="0"/>
    <xf numFmtId="0" fontId="48" fillId="12" borderId="300" applyNumberFormat="0" applyAlignment="0" applyProtection="0"/>
    <xf numFmtId="0" fontId="48" fillId="12" borderId="300" applyNumberFormat="0" applyAlignment="0" applyProtection="0"/>
    <xf numFmtId="0" fontId="48" fillId="12" borderId="300" applyNumberFormat="0" applyAlignment="0" applyProtection="0"/>
    <xf numFmtId="0" fontId="48" fillId="12" borderId="300" applyNumberFormat="0" applyAlignment="0" applyProtection="0"/>
    <xf numFmtId="0" fontId="48" fillId="12" borderId="300" applyNumberFormat="0" applyAlignment="0" applyProtection="0"/>
    <xf numFmtId="0" fontId="48" fillId="12" borderId="300" applyNumberFormat="0" applyAlignment="0" applyProtection="0"/>
    <xf numFmtId="0" fontId="48" fillId="12" borderId="300" applyNumberFormat="0" applyAlignment="0" applyProtection="0"/>
    <xf numFmtId="0" fontId="48" fillId="12" borderId="300" applyNumberFormat="0" applyAlignment="0" applyProtection="0"/>
    <xf numFmtId="0" fontId="48" fillId="12" borderId="300" applyNumberFormat="0" applyAlignment="0" applyProtection="0"/>
    <xf numFmtId="0" fontId="48" fillId="12" borderId="300" applyNumberFormat="0" applyAlignment="0" applyProtection="0"/>
    <xf numFmtId="0" fontId="48" fillId="12" borderId="300" applyNumberFormat="0" applyAlignment="0" applyProtection="0"/>
    <xf numFmtId="0" fontId="48" fillId="12" borderId="300" applyNumberFormat="0" applyAlignment="0" applyProtection="0"/>
    <xf numFmtId="0" fontId="48" fillId="12" borderId="300" applyNumberFormat="0" applyAlignment="0" applyProtection="0"/>
    <xf numFmtId="0" fontId="48" fillId="12" borderId="300" applyNumberFormat="0" applyAlignment="0" applyProtection="0"/>
    <xf numFmtId="0" fontId="48" fillId="12" borderId="300" applyNumberFormat="0" applyAlignment="0" applyProtection="0"/>
    <xf numFmtId="0" fontId="16" fillId="24" borderId="300" applyNumberFormat="0" applyAlignment="0" applyProtection="0"/>
    <xf numFmtId="0" fontId="16" fillId="24" borderId="300" applyNumberFormat="0" applyAlignment="0" applyProtection="0"/>
    <xf numFmtId="0" fontId="16" fillId="24" borderId="300" applyNumberFormat="0" applyAlignment="0" applyProtection="0"/>
    <xf numFmtId="0" fontId="16" fillId="24" borderId="300" applyNumberFormat="0" applyAlignment="0" applyProtection="0"/>
    <xf numFmtId="0" fontId="16" fillId="24" borderId="300" applyNumberFormat="0" applyAlignment="0" applyProtection="0"/>
    <xf numFmtId="0" fontId="16" fillId="24" borderId="300" applyNumberFormat="0" applyAlignment="0" applyProtection="0"/>
    <xf numFmtId="0" fontId="16" fillId="24" borderId="300" applyNumberFormat="0" applyAlignment="0" applyProtection="0"/>
    <xf numFmtId="0" fontId="16" fillId="24" borderId="300" applyNumberFormat="0" applyAlignment="0" applyProtection="0"/>
    <xf numFmtId="0" fontId="16" fillId="24" borderId="300" applyNumberFormat="0" applyAlignment="0" applyProtection="0"/>
    <xf numFmtId="0" fontId="16" fillId="24" borderId="300" applyNumberFormat="0" applyAlignment="0" applyProtection="0"/>
    <xf numFmtId="0" fontId="16" fillId="24" borderId="300" applyNumberFormat="0" applyAlignment="0" applyProtection="0"/>
    <xf numFmtId="0" fontId="16" fillId="24" borderId="300" applyNumberFormat="0" applyAlignment="0" applyProtection="0"/>
    <xf numFmtId="0" fontId="16" fillId="24" borderId="300" applyNumberFormat="0" applyAlignment="0" applyProtection="0"/>
    <xf numFmtId="0" fontId="16" fillId="24" borderId="300" applyNumberFormat="0" applyAlignment="0" applyProtection="0"/>
    <xf numFmtId="0" fontId="16" fillId="24" borderId="300" applyNumberFormat="0" applyAlignment="0" applyProtection="0"/>
    <xf numFmtId="0" fontId="16" fillId="24" borderId="300" applyNumberFormat="0" applyAlignment="0" applyProtection="0"/>
    <xf numFmtId="0" fontId="16" fillId="24" borderId="300" applyNumberFormat="0" applyAlignment="0" applyProtection="0"/>
    <xf numFmtId="0" fontId="16" fillId="24" borderId="300" applyNumberFormat="0" applyAlignment="0" applyProtection="0"/>
    <xf numFmtId="0" fontId="16" fillId="24" borderId="300" applyNumberFormat="0" applyAlignment="0" applyProtection="0"/>
    <xf numFmtId="0" fontId="16" fillId="24" borderId="300" applyNumberFormat="0" applyAlignment="0" applyProtection="0"/>
    <xf numFmtId="0" fontId="16" fillId="24" borderId="300" applyNumberFormat="0" applyAlignment="0" applyProtection="0"/>
    <xf numFmtId="0" fontId="16" fillId="24" borderId="300" applyNumberFormat="0" applyAlignment="0" applyProtection="0"/>
    <xf numFmtId="0" fontId="16" fillId="24" borderId="300" applyNumberFormat="0" applyAlignment="0" applyProtection="0"/>
    <xf numFmtId="0" fontId="16" fillId="24" borderId="300" applyNumberFormat="0" applyAlignment="0" applyProtection="0"/>
    <xf numFmtId="0" fontId="16" fillId="24" borderId="300" applyNumberFormat="0" applyAlignment="0" applyProtection="0"/>
    <xf numFmtId="0" fontId="16" fillId="24" borderId="300" applyNumberFormat="0" applyAlignment="0" applyProtection="0"/>
    <xf numFmtId="0" fontId="16" fillId="24" borderId="300" applyNumberFormat="0" applyAlignment="0" applyProtection="0"/>
    <xf numFmtId="0" fontId="16" fillId="24" borderId="300" applyNumberFormat="0" applyAlignment="0" applyProtection="0"/>
    <xf numFmtId="0" fontId="16" fillId="24" borderId="300" applyNumberFormat="0" applyAlignment="0" applyProtection="0"/>
    <xf numFmtId="0" fontId="16" fillId="24" borderId="300" applyNumberFormat="0" applyAlignment="0" applyProtection="0"/>
    <xf numFmtId="0" fontId="16" fillId="24" borderId="300" applyNumberFormat="0" applyAlignment="0" applyProtection="0"/>
    <xf numFmtId="0" fontId="16" fillId="24" borderId="300" applyNumberFormat="0" applyAlignment="0" applyProtection="0"/>
    <xf numFmtId="0" fontId="16" fillId="24" borderId="300" applyNumberFormat="0" applyAlignment="0" applyProtection="0"/>
    <xf numFmtId="0" fontId="16" fillId="24" borderId="300" applyNumberFormat="0" applyAlignment="0" applyProtection="0"/>
    <xf numFmtId="0" fontId="16" fillId="24" borderId="300" applyNumberFormat="0" applyAlignment="0" applyProtection="0"/>
    <xf numFmtId="0" fontId="16" fillId="24" borderId="300" applyNumberFormat="0" applyAlignment="0" applyProtection="0"/>
    <xf numFmtId="0" fontId="16" fillId="24" borderId="300" applyNumberFormat="0" applyAlignment="0" applyProtection="0"/>
    <xf numFmtId="0" fontId="16" fillId="24" borderId="300" applyNumberFormat="0" applyAlignment="0" applyProtection="0"/>
    <xf numFmtId="0" fontId="16" fillId="24" borderId="300" applyNumberFormat="0" applyAlignment="0" applyProtection="0"/>
    <xf numFmtId="0" fontId="16" fillId="24" borderId="300" applyNumberFormat="0" applyAlignment="0" applyProtection="0"/>
    <xf numFmtId="0" fontId="16" fillId="24" borderId="300" applyNumberFormat="0" applyAlignment="0" applyProtection="0"/>
    <xf numFmtId="0" fontId="16" fillId="24" borderId="300" applyNumberFormat="0" applyAlignment="0" applyProtection="0"/>
    <xf numFmtId="0" fontId="16" fillId="24" borderId="300" applyNumberFormat="0" applyAlignment="0" applyProtection="0"/>
    <xf numFmtId="0" fontId="16" fillId="24" borderId="300" applyNumberFormat="0" applyAlignment="0" applyProtection="0"/>
    <xf numFmtId="0" fontId="16" fillId="24" borderId="300" applyNumberFormat="0" applyAlignment="0" applyProtection="0"/>
    <xf numFmtId="0" fontId="16" fillId="24" borderId="300" applyNumberFormat="0" applyAlignment="0" applyProtection="0"/>
    <xf numFmtId="0" fontId="16" fillId="24" borderId="300" applyNumberFormat="0" applyAlignment="0" applyProtection="0"/>
    <xf numFmtId="0" fontId="16" fillId="24" borderId="300" applyNumberFormat="0" applyAlignment="0" applyProtection="0"/>
    <xf numFmtId="0" fontId="16" fillId="24" borderId="300" applyNumberFormat="0" applyAlignment="0" applyProtection="0"/>
    <xf numFmtId="0" fontId="28" fillId="0" borderId="304"/>
    <xf numFmtId="0" fontId="28" fillId="0" borderId="304"/>
    <xf numFmtId="0" fontId="28" fillId="0" borderId="304"/>
    <xf numFmtId="0" fontId="28" fillId="0" borderId="304"/>
    <xf numFmtId="0" fontId="28" fillId="0" borderId="304"/>
    <xf numFmtId="0" fontId="28" fillId="0" borderId="304"/>
    <xf numFmtId="0" fontId="28" fillId="0" borderId="304"/>
    <xf numFmtId="0" fontId="28" fillId="0" borderId="304"/>
    <xf numFmtId="0" fontId="28" fillId="0" borderId="304"/>
    <xf numFmtId="0" fontId="28" fillId="0" borderId="304"/>
    <xf numFmtId="0" fontId="28" fillId="0" borderId="304"/>
    <xf numFmtId="0" fontId="28" fillId="0" borderId="304"/>
    <xf numFmtId="0" fontId="28" fillId="0" borderId="304"/>
    <xf numFmtId="0" fontId="28" fillId="0" borderId="304"/>
    <xf numFmtId="0" fontId="28" fillId="0" borderId="304"/>
    <xf numFmtId="0" fontId="28" fillId="0" borderId="304"/>
    <xf numFmtId="0" fontId="28" fillId="0" borderId="304"/>
    <xf numFmtId="0" fontId="28" fillId="0" borderId="304"/>
    <xf numFmtId="0" fontId="28" fillId="0" borderId="304"/>
    <xf numFmtId="0" fontId="28" fillId="0" borderId="304"/>
    <xf numFmtId="0" fontId="28" fillId="0" borderId="304"/>
    <xf numFmtId="0" fontId="28" fillId="0" borderId="304"/>
    <xf numFmtId="0" fontId="28" fillId="0" borderId="304"/>
    <xf numFmtId="0" fontId="28" fillId="0" borderId="304"/>
    <xf numFmtId="0" fontId="28" fillId="0" borderId="304"/>
    <xf numFmtId="0" fontId="28" fillId="0" borderId="304"/>
    <xf numFmtId="0" fontId="28" fillId="0" borderId="304"/>
    <xf numFmtId="0" fontId="28" fillId="0" borderId="304"/>
    <xf numFmtId="0" fontId="28" fillId="0" borderId="304"/>
    <xf numFmtId="0" fontId="28" fillId="0" borderId="304"/>
    <xf numFmtId="0" fontId="28" fillId="0" borderId="304"/>
    <xf numFmtId="0" fontId="28" fillId="0" borderId="304"/>
    <xf numFmtId="0" fontId="28" fillId="0" borderId="304"/>
    <xf numFmtId="0" fontId="28" fillId="0" borderId="304"/>
    <xf numFmtId="0" fontId="28" fillId="0" borderId="304"/>
    <xf numFmtId="0" fontId="28" fillId="0" borderId="304"/>
    <xf numFmtId="0" fontId="28" fillId="0" borderId="304"/>
    <xf numFmtId="0" fontId="28" fillId="0" borderId="304"/>
    <xf numFmtId="0" fontId="28" fillId="0" borderId="304"/>
    <xf numFmtId="0" fontId="28" fillId="0" borderId="304"/>
    <xf numFmtId="0" fontId="28" fillId="0" borderId="304"/>
    <xf numFmtId="0" fontId="28" fillId="0" borderId="304"/>
    <xf numFmtId="0" fontId="28" fillId="0" borderId="304"/>
    <xf numFmtId="0" fontId="28" fillId="0" borderId="304"/>
    <xf numFmtId="0" fontId="28" fillId="0" borderId="304"/>
    <xf numFmtId="0" fontId="25" fillId="13" borderId="300" applyNumberFormat="0" applyAlignment="0" applyProtection="0"/>
    <xf numFmtId="0" fontId="25" fillId="13" borderId="300" applyNumberFormat="0" applyAlignment="0" applyProtection="0"/>
    <xf numFmtId="0" fontId="25" fillId="13" borderId="300" applyNumberFormat="0" applyAlignment="0" applyProtection="0"/>
    <xf numFmtId="0" fontId="25" fillId="13" borderId="300" applyNumberFormat="0" applyAlignment="0" applyProtection="0"/>
    <xf numFmtId="0" fontId="25" fillId="13" borderId="300" applyNumberFormat="0" applyAlignment="0" applyProtection="0"/>
    <xf numFmtId="0" fontId="25" fillId="13" borderId="300" applyNumberFormat="0" applyAlignment="0" applyProtection="0"/>
    <xf numFmtId="0" fontId="25" fillId="13" borderId="300" applyNumberFormat="0" applyAlignment="0" applyProtection="0"/>
    <xf numFmtId="0" fontId="25" fillId="13" borderId="300" applyNumberFormat="0" applyAlignment="0" applyProtection="0"/>
    <xf numFmtId="0" fontId="25" fillId="13" borderId="300" applyNumberFormat="0" applyAlignment="0" applyProtection="0"/>
    <xf numFmtId="0" fontId="25" fillId="13" borderId="300" applyNumberFormat="0" applyAlignment="0" applyProtection="0"/>
    <xf numFmtId="0" fontId="25" fillId="13" borderId="300" applyNumberFormat="0" applyAlignment="0" applyProtection="0"/>
    <xf numFmtId="0" fontId="25" fillId="13" borderId="300" applyNumberFormat="0" applyAlignment="0" applyProtection="0"/>
    <xf numFmtId="0" fontId="25" fillId="13" borderId="300" applyNumberFormat="0" applyAlignment="0" applyProtection="0"/>
    <xf numFmtId="0" fontId="25" fillId="13" borderId="300" applyNumberFormat="0" applyAlignment="0" applyProtection="0"/>
    <xf numFmtId="0" fontId="25" fillId="13" borderId="300" applyNumberFormat="0" applyAlignment="0" applyProtection="0"/>
    <xf numFmtId="0" fontId="25" fillId="13" borderId="300" applyNumberFormat="0" applyAlignment="0" applyProtection="0"/>
    <xf numFmtId="0" fontId="25" fillId="13" borderId="300" applyNumberFormat="0" applyAlignment="0" applyProtection="0"/>
    <xf numFmtId="0" fontId="25" fillId="13" borderId="300" applyNumberFormat="0" applyAlignment="0" applyProtection="0"/>
    <xf numFmtId="0" fontId="25" fillId="13" borderId="300" applyNumberFormat="0" applyAlignment="0" applyProtection="0"/>
    <xf numFmtId="0" fontId="25" fillId="13" borderId="300" applyNumberFormat="0" applyAlignment="0" applyProtection="0"/>
    <xf numFmtId="0" fontId="25" fillId="13" borderId="300" applyNumberFormat="0" applyAlignment="0" applyProtection="0"/>
    <xf numFmtId="0" fontId="25" fillId="13" borderId="300" applyNumberFormat="0" applyAlignment="0" applyProtection="0"/>
    <xf numFmtId="0" fontId="25" fillId="13" borderId="300" applyNumberFormat="0" applyAlignment="0" applyProtection="0"/>
    <xf numFmtId="0" fontId="25" fillId="13" borderId="300" applyNumberFormat="0" applyAlignment="0" applyProtection="0"/>
    <xf numFmtId="0" fontId="25" fillId="13" borderId="300" applyNumberFormat="0" applyAlignment="0" applyProtection="0"/>
    <xf numFmtId="0" fontId="25" fillId="13" borderId="300" applyNumberFormat="0" applyAlignment="0" applyProtection="0"/>
    <xf numFmtId="0" fontId="25" fillId="13" borderId="300" applyNumberFormat="0" applyAlignment="0" applyProtection="0"/>
    <xf numFmtId="0" fontId="25" fillId="13" borderId="300" applyNumberFormat="0" applyAlignment="0" applyProtection="0"/>
    <xf numFmtId="0" fontId="25" fillId="13" borderId="300" applyNumberFormat="0" applyAlignment="0" applyProtection="0"/>
    <xf numFmtId="0" fontId="25" fillId="13" borderId="300" applyNumberFormat="0" applyAlignment="0" applyProtection="0"/>
    <xf numFmtId="0" fontId="25" fillId="13" borderId="300" applyNumberFormat="0" applyAlignment="0" applyProtection="0"/>
    <xf numFmtId="0" fontId="25" fillId="13" borderId="300" applyNumberFormat="0" applyAlignment="0" applyProtection="0"/>
    <xf numFmtId="0" fontId="25" fillId="13" borderId="300" applyNumberFormat="0" applyAlignment="0" applyProtection="0"/>
    <xf numFmtId="0" fontId="25" fillId="13" borderId="300" applyNumberFormat="0" applyAlignment="0" applyProtection="0"/>
    <xf numFmtId="0" fontId="25" fillId="13" borderId="300" applyNumberFormat="0" applyAlignment="0" applyProtection="0"/>
    <xf numFmtId="0" fontId="25" fillId="13" borderId="300" applyNumberFormat="0" applyAlignment="0" applyProtection="0"/>
    <xf numFmtId="0" fontId="25" fillId="13" borderId="300" applyNumberFormat="0" applyAlignment="0" applyProtection="0"/>
    <xf numFmtId="0" fontId="25" fillId="13" borderId="300" applyNumberFormat="0" applyAlignment="0" applyProtection="0"/>
    <xf numFmtId="0" fontId="25" fillId="13" borderId="300" applyNumberFormat="0" applyAlignment="0" applyProtection="0"/>
    <xf numFmtId="0" fontId="25" fillId="13" borderId="300" applyNumberFormat="0" applyAlignment="0" applyProtection="0"/>
    <xf numFmtId="0" fontId="25" fillId="13" borderId="300" applyNumberFormat="0" applyAlignment="0" applyProtection="0"/>
    <xf numFmtId="0" fontId="25" fillId="13" borderId="300" applyNumberFormat="0" applyAlignment="0" applyProtection="0"/>
    <xf numFmtId="0" fontId="25" fillId="13" borderId="300" applyNumberFormat="0" applyAlignment="0" applyProtection="0"/>
    <xf numFmtId="0" fontId="25" fillId="13" borderId="300" applyNumberFormat="0" applyAlignment="0" applyProtection="0"/>
    <xf numFmtId="0" fontId="25" fillId="13" borderId="300" applyNumberFormat="0" applyAlignment="0" applyProtection="0"/>
    <xf numFmtId="0" fontId="25" fillId="13" borderId="300" applyNumberFormat="0" applyAlignment="0" applyProtection="0"/>
    <xf numFmtId="0" fontId="25" fillId="13" borderId="300" applyNumberFormat="0" applyAlignment="0" applyProtection="0"/>
    <xf numFmtId="0" fontId="25" fillId="13" borderId="300" applyNumberFormat="0" applyAlignment="0" applyProtection="0"/>
    <xf numFmtId="0" fontId="25" fillId="13" borderId="300" applyNumberFormat="0" applyAlignment="0" applyProtection="0"/>
    <xf numFmtId="0" fontId="41" fillId="13" borderId="300" applyNumberFormat="0" applyAlignment="0" applyProtection="0"/>
    <xf numFmtId="0" fontId="41" fillId="13" borderId="300" applyNumberFormat="0" applyAlignment="0" applyProtection="0"/>
    <xf numFmtId="0" fontId="41" fillId="13" borderId="300" applyNumberFormat="0" applyAlignment="0" applyProtection="0"/>
    <xf numFmtId="0" fontId="41" fillId="13" borderId="300" applyNumberFormat="0" applyAlignment="0" applyProtection="0"/>
    <xf numFmtId="0" fontId="41" fillId="13" borderId="300" applyNumberFormat="0" applyAlignment="0" applyProtection="0"/>
    <xf numFmtId="0" fontId="41" fillId="13" borderId="300" applyNumberFormat="0" applyAlignment="0" applyProtection="0"/>
    <xf numFmtId="0" fontId="41" fillId="13" borderId="300" applyNumberFormat="0" applyAlignment="0" applyProtection="0"/>
    <xf numFmtId="0" fontId="41" fillId="13" borderId="300" applyNumberFormat="0" applyAlignment="0" applyProtection="0"/>
    <xf numFmtId="0" fontId="41" fillId="13" borderId="300" applyNumberFormat="0" applyAlignment="0" applyProtection="0"/>
    <xf numFmtId="0" fontId="41" fillId="13" borderId="300" applyNumberFormat="0" applyAlignment="0" applyProtection="0"/>
    <xf numFmtId="0" fontId="41" fillId="13" borderId="300" applyNumberFormat="0" applyAlignment="0" applyProtection="0"/>
    <xf numFmtId="0" fontId="41" fillId="13" borderId="300" applyNumberFormat="0" applyAlignment="0" applyProtection="0"/>
    <xf numFmtId="0" fontId="41" fillId="13" borderId="300" applyNumberFormat="0" applyAlignment="0" applyProtection="0"/>
    <xf numFmtId="0" fontId="41" fillId="13" borderId="300" applyNumberFormat="0" applyAlignment="0" applyProtection="0"/>
    <xf numFmtId="0" fontId="41" fillId="13" borderId="300" applyNumberFormat="0" applyAlignment="0" applyProtection="0"/>
    <xf numFmtId="0" fontId="41" fillId="13" borderId="300" applyNumberFormat="0" applyAlignment="0" applyProtection="0"/>
    <xf numFmtId="0" fontId="41" fillId="13" borderId="300" applyNumberFormat="0" applyAlignment="0" applyProtection="0"/>
    <xf numFmtId="0" fontId="41" fillId="13" borderId="300" applyNumberFormat="0" applyAlignment="0" applyProtection="0"/>
    <xf numFmtId="0" fontId="41" fillId="13" borderId="300" applyNumberFormat="0" applyAlignment="0" applyProtection="0"/>
    <xf numFmtId="0" fontId="41" fillId="13" borderId="300" applyNumberFormat="0" applyAlignment="0" applyProtection="0"/>
    <xf numFmtId="0" fontId="41" fillId="13" borderId="300" applyNumberFormat="0" applyAlignment="0" applyProtection="0"/>
    <xf numFmtId="0" fontId="41" fillId="13" borderId="300" applyNumberFormat="0" applyAlignment="0" applyProtection="0"/>
    <xf numFmtId="0" fontId="41" fillId="13" borderId="300" applyNumberFormat="0" applyAlignment="0" applyProtection="0"/>
    <xf numFmtId="0" fontId="41" fillId="13" borderId="300" applyNumberFormat="0" applyAlignment="0" applyProtection="0"/>
    <xf numFmtId="0" fontId="41" fillId="13" borderId="300" applyNumberFormat="0" applyAlignment="0" applyProtection="0"/>
    <xf numFmtId="0" fontId="41" fillId="13" borderId="300" applyNumberFormat="0" applyAlignment="0" applyProtection="0"/>
    <xf numFmtId="0" fontId="41" fillId="13" borderId="300" applyNumberFormat="0" applyAlignment="0" applyProtection="0"/>
    <xf numFmtId="0" fontId="41" fillId="13" borderId="300" applyNumberFormat="0" applyAlignment="0" applyProtection="0"/>
    <xf numFmtId="0" fontId="41" fillId="13" borderId="300" applyNumberFormat="0" applyAlignment="0" applyProtection="0"/>
    <xf numFmtId="0" fontId="41" fillId="13" borderId="300" applyNumberFormat="0" applyAlignment="0" applyProtection="0"/>
    <xf numFmtId="0" fontId="41" fillId="13" borderId="300" applyNumberFormat="0" applyAlignment="0" applyProtection="0"/>
    <xf numFmtId="0" fontId="41" fillId="13" borderId="300" applyNumberFormat="0" applyAlignment="0" applyProtection="0"/>
    <xf numFmtId="0" fontId="41" fillId="13" borderId="300" applyNumberFormat="0" applyAlignment="0" applyProtection="0"/>
    <xf numFmtId="0" fontId="41" fillId="13" borderId="300" applyNumberFormat="0" applyAlignment="0" applyProtection="0"/>
    <xf numFmtId="0" fontId="41" fillId="13" borderId="300" applyNumberFormat="0" applyAlignment="0" applyProtection="0"/>
    <xf numFmtId="0" fontId="41" fillId="13" borderId="300" applyNumberFormat="0" applyAlignment="0" applyProtection="0"/>
    <xf numFmtId="0" fontId="41" fillId="13" borderId="300" applyNumberFormat="0" applyAlignment="0" applyProtection="0"/>
    <xf numFmtId="0" fontId="41" fillId="13" borderId="300" applyNumberFormat="0" applyAlignment="0" applyProtection="0"/>
    <xf numFmtId="0" fontId="41" fillId="13" borderId="300" applyNumberFormat="0" applyAlignment="0" applyProtection="0"/>
    <xf numFmtId="0" fontId="41" fillId="13" borderId="300" applyNumberFormat="0" applyAlignment="0" applyProtection="0"/>
    <xf numFmtId="0" fontId="41" fillId="13" borderId="300" applyNumberFormat="0" applyAlignment="0" applyProtection="0"/>
    <xf numFmtId="0" fontId="41" fillId="13" borderId="300" applyNumberFormat="0" applyAlignment="0" applyProtection="0"/>
    <xf numFmtId="0" fontId="41" fillId="13" borderId="300" applyNumberFormat="0" applyAlignment="0" applyProtection="0"/>
    <xf numFmtId="0" fontId="41" fillId="13" borderId="300" applyNumberFormat="0" applyAlignment="0" applyProtection="0"/>
    <xf numFmtId="0" fontId="41" fillId="13" borderId="300" applyNumberFormat="0" applyAlignment="0" applyProtection="0"/>
    <xf numFmtId="0" fontId="41" fillId="13" borderId="300" applyNumberFormat="0" applyAlignment="0" applyProtection="0"/>
    <xf numFmtId="0" fontId="41" fillId="13" borderId="300" applyNumberFormat="0" applyAlignment="0" applyProtection="0"/>
    <xf numFmtId="0" fontId="41" fillId="13" borderId="300" applyNumberFormat="0" applyAlignment="0" applyProtection="0"/>
    <xf numFmtId="0" fontId="41" fillId="13" borderId="300" applyNumberFormat="0" applyAlignment="0" applyProtection="0"/>
    <xf numFmtId="0" fontId="25" fillId="13" borderId="300" applyNumberFormat="0" applyAlignment="0" applyProtection="0"/>
    <xf numFmtId="0" fontId="25" fillId="13" borderId="300" applyNumberFormat="0" applyAlignment="0" applyProtection="0"/>
    <xf numFmtId="0" fontId="25" fillId="13" borderId="300" applyNumberFormat="0" applyAlignment="0" applyProtection="0"/>
    <xf numFmtId="0" fontId="25" fillId="13" borderId="300" applyNumberFormat="0" applyAlignment="0" applyProtection="0"/>
    <xf numFmtId="0" fontId="25" fillId="13" borderId="300" applyNumberFormat="0" applyAlignment="0" applyProtection="0"/>
    <xf numFmtId="0" fontId="25" fillId="13" borderId="300" applyNumberFormat="0" applyAlignment="0" applyProtection="0"/>
    <xf numFmtId="0" fontId="25" fillId="13" borderId="300" applyNumberFormat="0" applyAlignment="0" applyProtection="0"/>
    <xf numFmtId="0" fontId="25" fillId="13" borderId="300" applyNumberFormat="0" applyAlignment="0" applyProtection="0"/>
    <xf numFmtId="0" fontId="25" fillId="13" borderId="300" applyNumberFormat="0" applyAlignment="0" applyProtection="0"/>
    <xf numFmtId="0" fontId="25" fillId="13" borderId="300" applyNumberFormat="0" applyAlignment="0" applyProtection="0"/>
    <xf numFmtId="0" fontId="25" fillId="13" borderId="300" applyNumberFormat="0" applyAlignment="0" applyProtection="0"/>
    <xf numFmtId="0" fontId="25" fillId="13" borderId="300" applyNumberFormat="0" applyAlignment="0" applyProtection="0"/>
    <xf numFmtId="0" fontId="25" fillId="13" borderId="300" applyNumberFormat="0" applyAlignment="0" applyProtection="0"/>
    <xf numFmtId="0" fontId="25" fillId="13" borderId="300" applyNumberFormat="0" applyAlignment="0" applyProtection="0"/>
    <xf numFmtId="0" fontId="25" fillId="13" borderId="300" applyNumberFormat="0" applyAlignment="0" applyProtection="0"/>
    <xf numFmtId="0" fontId="25" fillId="13" borderId="300" applyNumberFormat="0" applyAlignment="0" applyProtection="0"/>
    <xf numFmtId="0" fontId="25" fillId="13" borderId="300" applyNumberFormat="0" applyAlignment="0" applyProtection="0"/>
    <xf numFmtId="0" fontId="25" fillId="13" borderId="300" applyNumberFormat="0" applyAlignment="0" applyProtection="0"/>
    <xf numFmtId="0" fontId="25" fillId="13" borderId="300" applyNumberFormat="0" applyAlignment="0" applyProtection="0"/>
    <xf numFmtId="0" fontId="25" fillId="13" borderId="300" applyNumberFormat="0" applyAlignment="0" applyProtection="0"/>
    <xf numFmtId="0" fontId="25" fillId="13" borderId="300" applyNumberFormat="0" applyAlignment="0" applyProtection="0"/>
    <xf numFmtId="0" fontId="25" fillId="13" borderId="300" applyNumberFormat="0" applyAlignment="0" applyProtection="0"/>
    <xf numFmtId="0" fontId="25" fillId="13" borderId="300" applyNumberFormat="0" applyAlignment="0" applyProtection="0"/>
    <xf numFmtId="0" fontId="25" fillId="13" borderId="300" applyNumberFormat="0" applyAlignment="0" applyProtection="0"/>
    <xf numFmtId="0" fontId="25" fillId="13" borderId="300" applyNumberFormat="0" applyAlignment="0" applyProtection="0"/>
    <xf numFmtId="0" fontId="25" fillId="13" borderId="300" applyNumberFormat="0" applyAlignment="0" applyProtection="0"/>
    <xf numFmtId="0" fontId="25" fillId="13" borderId="300" applyNumberFormat="0" applyAlignment="0" applyProtection="0"/>
    <xf numFmtId="0" fontId="25" fillId="13" borderId="300" applyNumberFormat="0" applyAlignment="0" applyProtection="0"/>
    <xf numFmtId="0" fontId="25" fillId="13" borderId="300" applyNumberFormat="0" applyAlignment="0" applyProtection="0"/>
    <xf numFmtId="0" fontId="25" fillId="13" borderId="300" applyNumberFormat="0" applyAlignment="0" applyProtection="0"/>
    <xf numFmtId="0" fontId="25" fillId="13" borderId="300" applyNumberFormat="0" applyAlignment="0" applyProtection="0"/>
    <xf numFmtId="0" fontId="25" fillId="13" borderId="300" applyNumberFormat="0" applyAlignment="0" applyProtection="0"/>
    <xf numFmtId="0" fontId="25" fillId="13" borderId="300" applyNumberFormat="0" applyAlignment="0" applyProtection="0"/>
    <xf numFmtId="0" fontId="25" fillId="13" borderId="300" applyNumberFormat="0" applyAlignment="0" applyProtection="0"/>
    <xf numFmtId="0" fontId="25" fillId="13" borderId="300" applyNumberFormat="0" applyAlignment="0" applyProtection="0"/>
    <xf numFmtId="0" fontId="25" fillId="13" borderId="300" applyNumberFormat="0" applyAlignment="0" applyProtection="0"/>
    <xf numFmtId="0" fontId="25" fillId="13" borderId="300" applyNumberFormat="0" applyAlignment="0" applyProtection="0"/>
    <xf numFmtId="0" fontId="25" fillId="13" borderId="300" applyNumberFormat="0" applyAlignment="0" applyProtection="0"/>
    <xf numFmtId="0" fontId="25" fillId="13" borderId="300" applyNumberFormat="0" applyAlignment="0" applyProtection="0"/>
    <xf numFmtId="0" fontId="25" fillId="13" borderId="300" applyNumberFormat="0" applyAlignment="0" applyProtection="0"/>
    <xf numFmtId="0" fontId="25" fillId="13" borderId="300" applyNumberFormat="0" applyAlignment="0" applyProtection="0"/>
    <xf numFmtId="0" fontId="25" fillId="13" borderId="300" applyNumberFormat="0" applyAlignment="0" applyProtection="0"/>
    <xf numFmtId="0" fontId="25" fillId="13" borderId="300" applyNumberFormat="0" applyAlignment="0" applyProtection="0"/>
    <xf numFmtId="0" fontId="25" fillId="13" borderId="300" applyNumberFormat="0" applyAlignment="0" applyProtection="0"/>
    <xf numFmtId="0" fontId="25" fillId="13" borderId="300" applyNumberFormat="0" applyAlignment="0" applyProtection="0"/>
    <xf numFmtId="0" fontId="25" fillId="13" borderId="300" applyNumberFormat="0" applyAlignment="0" applyProtection="0"/>
    <xf numFmtId="0" fontId="25" fillId="13" borderId="300" applyNumberFormat="0" applyAlignment="0" applyProtection="0"/>
    <xf numFmtId="0" fontId="25" fillId="13" borderId="300" applyNumberFormat="0" applyAlignment="0" applyProtection="0"/>
    <xf numFmtId="0" fontId="25" fillId="13" borderId="300" applyNumberFormat="0" applyAlignment="0" applyProtection="0"/>
    <xf numFmtId="0" fontId="41" fillId="13" borderId="300" applyNumberFormat="0" applyAlignment="0" applyProtection="0"/>
    <xf numFmtId="0" fontId="41" fillId="13" borderId="300" applyNumberFormat="0" applyAlignment="0" applyProtection="0"/>
    <xf numFmtId="0" fontId="41" fillId="13" borderId="300" applyNumberFormat="0" applyAlignment="0" applyProtection="0"/>
    <xf numFmtId="0" fontId="41" fillId="13" borderId="300" applyNumberFormat="0" applyAlignment="0" applyProtection="0"/>
    <xf numFmtId="0" fontId="41" fillId="13" borderId="300" applyNumberFormat="0" applyAlignment="0" applyProtection="0"/>
    <xf numFmtId="0" fontId="41" fillId="13" borderId="300" applyNumberFormat="0" applyAlignment="0" applyProtection="0"/>
    <xf numFmtId="0" fontId="41" fillId="13" borderId="300" applyNumberFormat="0" applyAlignment="0" applyProtection="0"/>
    <xf numFmtId="0" fontId="41" fillId="13" borderId="300" applyNumberFormat="0" applyAlignment="0" applyProtection="0"/>
    <xf numFmtId="0" fontId="41" fillId="13" borderId="300" applyNumberFormat="0" applyAlignment="0" applyProtection="0"/>
    <xf numFmtId="0" fontId="41" fillId="13" borderId="300" applyNumberFormat="0" applyAlignment="0" applyProtection="0"/>
    <xf numFmtId="0" fontId="41" fillId="13" borderId="300" applyNumberFormat="0" applyAlignment="0" applyProtection="0"/>
    <xf numFmtId="0" fontId="41" fillId="13" borderId="300" applyNumberFormat="0" applyAlignment="0" applyProtection="0"/>
    <xf numFmtId="0" fontId="41" fillId="13" borderId="300" applyNumberFormat="0" applyAlignment="0" applyProtection="0"/>
    <xf numFmtId="0" fontId="41" fillId="13" borderId="300" applyNumberFormat="0" applyAlignment="0" applyProtection="0"/>
    <xf numFmtId="0" fontId="41" fillId="13" borderId="300" applyNumberFormat="0" applyAlignment="0" applyProtection="0"/>
    <xf numFmtId="0" fontId="41" fillId="13" borderId="300" applyNumberFormat="0" applyAlignment="0" applyProtection="0"/>
    <xf numFmtId="0" fontId="41" fillId="13" borderId="300" applyNumberFormat="0" applyAlignment="0" applyProtection="0"/>
    <xf numFmtId="0" fontId="41" fillId="13" borderId="300" applyNumberFormat="0" applyAlignment="0" applyProtection="0"/>
    <xf numFmtId="0" fontId="41" fillId="13" borderId="300" applyNumberFormat="0" applyAlignment="0" applyProtection="0"/>
    <xf numFmtId="0" fontId="41" fillId="13" borderId="300" applyNumberFormat="0" applyAlignment="0" applyProtection="0"/>
    <xf numFmtId="0" fontId="41" fillId="13" borderId="300" applyNumberFormat="0" applyAlignment="0" applyProtection="0"/>
    <xf numFmtId="0" fontId="41" fillId="13" borderId="300" applyNumberFormat="0" applyAlignment="0" applyProtection="0"/>
    <xf numFmtId="0" fontId="41" fillId="13" borderId="300" applyNumberFormat="0" applyAlignment="0" applyProtection="0"/>
    <xf numFmtId="0" fontId="41" fillId="13" borderId="300" applyNumberFormat="0" applyAlignment="0" applyProtection="0"/>
    <xf numFmtId="0" fontId="41" fillId="13" borderId="300" applyNumberFormat="0" applyAlignment="0" applyProtection="0"/>
    <xf numFmtId="0" fontId="41" fillId="13" borderId="300" applyNumberFormat="0" applyAlignment="0" applyProtection="0"/>
    <xf numFmtId="0" fontId="41" fillId="13" borderId="300" applyNumberFormat="0" applyAlignment="0" applyProtection="0"/>
    <xf numFmtId="0" fontId="41" fillId="13" borderId="300" applyNumberFormat="0" applyAlignment="0" applyProtection="0"/>
    <xf numFmtId="0" fontId="41" fillId="13" borderId="300" applyNumberFormat="0" applyAlignment="0" applyProtection="0"/>
    <xf numFmtId="0" fontId="41" fillId="13" borderId="300" applyNumberFormat="0" applyAlignment="0" applyProtection="0"/>
    <xf numFmtId="0" fontId="41" fillId="13" borderId="300" applyNumberFormat="0" applyAlignment="0" applyProtection="0"/>
    <xf numFmtId="0" fontId="41" fillId="13" borderId="300" applyNumberFormat="0" applyAlignment="0" applyProtection="0"/>
    <xf numFmtId="0" fontId="41" fillId="13" borderId="300" applyNumberFormat="0" applyAlignment="0" applyProtection="0"/>
    <xf numFmtId="0" fontId="41" fillId="13" borderId="300" applyNumberFormat="0" applyAlignment="0" applyProtection="0"/>
    <xf numFmtId="0" fontId="41" fillId="13" borderId="300" applyNumberFormat="0" applyAlignment="0" applyProtection="0"/>
    <xf numFmtId="0" fontId="41" fillId="13" borderId="300" applyNumberFormat="0" applyAlignment="0" applyProtection="0"/>
    <xf numFmtId="0" fontId="41" fillId="13" borderId="300" applyNumberFormat="0" applyAlignment="0" applyProtection="0"/>
    <xf numFmtId="0" fontId="41" fillId="13" borderId="300" applyNumberFormat="0" applyAlignment="0" applyProtection="0"/>
    <xf numFmtId="0" fontId="41" fillId="13" borderId="300" applyNumberFormat="0" applyAlignment="0" applyProtection="0"/>
    <xf numFmtId="0" fontId="41" fillId="13" borderId="300" applyNumberFormat="0" applyAlignment="0" applyProtection="0"/>
    <xf numFmtId="0" fontId="41" fillId="13" borderId="300" applyNumberFormat="0" applyAlignment="0" applyProtection="0"/>
    <xf numFmtId="0" fontId="41" fillId="13" borderId="300" applyNumberFormat="0" applyAlignment="0" applyProtection="0"/>
    <xf numFmtId="0" fontId="41" fillId="13" borderId="300" applyNumberFormat="0" applyAlignment="0" applyProtection="0"/>
    <xf numFmtId="0" fontId="41" fillId="13" borderId="300" applyNumberFormat="0" applyAlignment="0" applyProtection="0"/>
    <xf numFmtId="0" fontId="41" fillId="13" borderId="300" applyNumberFormat="0" applyAlignment="0" applyProtection="0"/>
    <xf numFmtId="0" fontId="41" fillId="13" borderId="300" applyNumberFormat="0" applyAlignment="0" applyProtection="0"/>
    <xf numFmtId="0" fontId="41" fillId="13" borderId="300" applyNumberFormat="0" applyAlignment="0" applyProtection="0"/>
    <xf numFmtId="0" fontId="41" fillId="13" borderId="300" applyNumberFormat="0" applyAlignment="0" applyProtection="0"/>
    <xf numFmtId="0" fontId="41" fillId="13" borderId="300" applyNumberFormat="0" applyAlignment="0" applyProtection="0"/>
    <xf numFmtId="0" fontId="25" fillId="13" borderId="300" applyNumberFormat="0" applyAlignment="0" applyProtection="0"/>
    <xf numFmtId="0" fontId="25" fillId="13" borderId="300" applyNumberFormat="0" applyAlignment="0" applyProtection="0"/>
    <xf numFmtId="0" fontId="25" fillId="13" borderId="300" applyNumberFormat="0" applyAlignment="0" applyProtection="0"/>
    <xf numFmtId="0" fontId="25" fillId="13" borderId="300" applyNumberFormat="0" applyAlignment="0" applyProtection="0"/>
    <xf numFmtId="0" fontId="25" fillId="13" borderId="300" applyNumberFormat="0" applyAlignment="0" applyProtection="0"/>
    <xf numFmtId="0" fontId="25" fillId="13" borderId="300" applyNumberFormat="0" applyAlignment="0" applyProtection="0"/>
    <xf numFmtId="0" fontId="25" fillId="13" borderId="300" applyNumberFormat="0" applyAlignment="0" applyProtection="0"/>
    <xf numFmtId="0" fontId="25" fillId="13" borderId="300" applyNumberFormat="0" applyAlignment="0" applyProtection="0"/>
    <xf numFmtId="0" fontId="25" fillId="13" borderId="300" applyNumberFormat="0" applyAlignment="0" applyProtection="0"/>
    <xf numFmtId="0" fontId="25" fillId="13" borderId="300" applyNumberFormat="0" applyAlignment="0" applyProtection="0"/>
    <xf numFmtId="0" fontId="25" fillId="13" borderId="300" applyNumberFormat="0" applyAlignment="0" applyProtection="0"/>
    <xf numFmtId="0" fontId="25" fillId="13" borderId="300" applyNumberFormat="0" applyAlignment="0" applyProtection="0"/>
    <xf numFmtId="0" fontId="25" fillId="13" borderId="300" applyNumberFormat="0" applyAlignment="0" applyProtection="0"/>
    <xf numFmtId="0" fontId="25" fillId="13" borderId="300" applyNumberFormat="0" applyAlignment="0" applyProtection="0"/>
    <xf numFmtId="0" fontId="25" fillId="13" borderId="300" applyNumberFormat="0" applyAlignment="0" applyProtection="0"/>
    <xf numFmtId="0" fontId="25" fillId="13" borderId="300" applyNumberFormat="0" applyAlignment="0" applyProtection="0"/>
    <xf numFmtId="0" fontId="25" fillId="13" borderId="300" applyNumberFormat="0" applyAlignment="0" applyProtection="0"/>
    <xf numFmtId="0" fontId="25" fillId="13" borderId="300" applyNumberFormat="0" applyAlignment="0" applyProtection="0"/>
    <xf numFmtId="0" fontId="25" fillId="13" borderId="300" applyNumberFormat="0" applyAlignment="0" applyProtection="0"/>
    <xf numFmtId="0" fontId="25" fillId="13" borderId="300" applyNumberFormat="0" applyAlignment="0" applyProtection="0"/>
    <xf numFmtId="0" fontId="25" fillId="13" borderId="300" applyNumberFormat="0" applyAlignment="0" applyProtection="0"/>
    <xf numFmtId="0" fontId="25" fillId="13" borderId="300" applyNumberFormat="0" applyAlignment="0" applyProtection="0"/>
    <xf numFmtId="0" fontId="25" fillId="13" borderId="300" applyNumberFormat="0" applyAlignment="0" applyProtection="0"/>
    <xf numFmtId="0" fontId="25" fillId="13" borderId="300" applyNumberFormat="0" applyAlignment="0" applyProtection="0"/>
    <xf numFmtId="0" fontId="25" fillId="13" borderId="300" applyNumberFormat="0" applyAlignment="0" applyProtection="0"/>
    <xf numFmtId="0" fontId="25" fillId="13" borderId="300" applyNumberFormat="0" applyAlignment="0" applyProtection="0"/>
    <xf numFmtId="0" fontId="25" fillId="13" borderId="300" applyNumberFormat="0" applyAlignment="0" applyProtection="0"/>
    <xf numFmtId="0" fontId="25" fillId="13" borderId="300" applyNumberFormat="0" applyAlignment="0" applyProtection="0"/>
    <xf numFmtId="0" fontId="25" fillId="13" borderId="300" applyNumberFormat="0" applyAlignment="0" applyProtection="0"/>
    <xf numFmtId="0" fontId="25" fillId="13" borderId="300" applyNumberFormat="0" applyAlignment="0" applyProtection="0"/>
    <xf numFmtId="0" fontId="25" fillId="13" borderId="300" applyNumberFormat="0" applyAlignment="0" applyProtection="0"/>
    <xf numFmtId="0" fontId="25" fillId="13" borderId="300" applyNumberFormat="0" applyAlignment="0" applyProtection="0"/>
    <xf numFmtId="0" fontId="25" fillId="13" borderId="300" applyNumberFormat="0" applyAlignment="0" applyProtection="0"/>
    <xf numFmtId="0" fontId="25" fillId="13" borderId="300" applyNumberFormat="0" applyAlignment="0" applyProtection="0"/>
    <xf numFmtId="0" fontId="25" fillId="13" borderId="300" applyNumberFormat="0" applyAlignment="0" applyProtection="0"/>
    <xf numFmtId="0" fontId="25" fillId="13" borderId="300" applyNumberFormat="0" applyAlignment="0" applyProtection="0"/>
    <xf numFmtId="0" fontId="25" fillId="13" borderId="300" applyNumberFormat="0" applyAlignment="0" applyProtection="0"/>
    <xf numFmtId="0" fontId="25" fillId="13" borderId="300" applyNumberFormat="0" applyAlignment="0" applyProtection="0"/>
    <xf numFmtId="0" fontId="25" fillId="13" borderId="300" applyNumberFormat="0" applyAlignment="0" applyProtection="0"/>
    <xf numFmtId="0" fontId="25" fillId="13" borderId="300" applyNumberFormat="0" applyAlignment="0" applyProtection="0"/>
    <xf numFmtId="0" fontId="25" fillId="13" borderId="300" applyNumberFormat="0" applyAlignment="0" applyProtection="0"/>
    <xf numFmtId="0" fontId="25" fillId="13" borderId="300" applyNumberFormat="0" applyAlignment="0" applyProtection="0"/>
    <xf numFmtId="0" fontId="25" fillId="13" borderId="300" applyNumberFormat="0" applyAlignment="0" applyProtection="0"/>
    <xf numFmtId="0" fontId="25" fillId="13" borderId="300" applyNumberFormat="0" applyAlignment="0" applyProtection="0"/>
    <xf numFmtId="0" fontId="25" fillId="13" borderId="300" applyNumberFormat="0" applyAlignment="0" applyProtection="0"/>
    <xf numFmtId="0" fontId="25" fillId="13" borderId="300" applyNumberFormat="0" applyAlignment="0" applyProtection="0"/>
    <xf numFmtId="0" fontId="25" fillId="13" borderId="300" applyNumberFormat="0" applyAlignment="0" applyProtection="0"/>
    <xf numFmtId="0" fontId="25" fillId="13" borderId="300" applyNumberFormat="0" applyAlignment="0" applyProtection="0"/>
    <xf numFmtId="0" fontId="25" fillId="13" borderId="300" applyNumberFormat="0" applyAlignment="0" applyProtection="0"/>
    <xf numFmtId="0" fontId="25" fillId="8" borderId="300" applyNumberFormat="0" applyAlignment="0" applyProtection="0"/>
    <xf numFmtId="0" fontId="25" fillId="8" borderId="300" applyNumberFormat="0" applyAlignment="0" applyProtection="0"/>
    <xf numFmtId="0" fontId="25" fillId="8" borderId="300" applyNumberFormat="0" applyAlignment="0" applyProtection="0"/>
    <xf numFmtId="0" fontId="25" fillId="8" borderId="300" applyNumberFormat="0" applyAlignment="0" applyProtection="0"/>
    <xf numFmtId="0" fontId="25" fillId="8" borderId="300" applyNumberFormat="0" applyAlignment="0" applyProtection="0"/>
    <xf numFmtId="0" fontId="25" fillId="8" borderId="300" applyNumberFormat="0" applyAlignment="0" applyProtection="0"/>
    <xf numFmtId="0" fontId="25" fillId="8" borderId="300" applyNumberFormat="0" applyAlignment="0" applyProtection="0"/>
    <xf numFmtId="0" fontId="25" fillId="8" borderId="300" applyNumberFormat="0" applyAlignment="0" applyProtection="0"/>
    <xf numFmtId="0" fontId="25" fillId="8" borderId="300" applyNumberFormat="0" applyAlignment="0" applyProtection="0"/>
    <xf numFmtId="0" fontId="25" fillId="8" borderId="300" applyNumberFormat="0" applyAlignment="0" applyProtection="0"/>
    <xf numFmtId="0" fontId="25" fillId="8" borderId="300" applyNumberFormat="0" applyAlignment="0" applyProtection="0"/>
    <xf numFmtId="0" fontId="25" fillId="8" borderId="300" applyNumberFormat="0" applyAlignment="0" applyProtection="0"/>
    <xf numFmtId="0" fontId="25" fillId="8" borderId="300" applyNumberFormat="0" applyAlignment="0" applyProtection="0"/>
    <xf numFmtId="0" fontId="25" fillId="8" borderId="300" applyNumberFormat="0" applyAlignment="0" applyProtection="0"/>
    <xf numFmtId="0" fontId="25" fillId="8" borderId="300" applyNumberFormat="0" applyAlignment="0" applyProtection="0"/>
    <xf numFmtId="0" fontId="25" fillId="8" borderId="300" applyNumberFormat="0" applyAlignment="0" applyProtection="0"/>
    <xf numFmtId="0" fontId="25" fillId="8" borderId="300" applyNumberFormat="0" applyAlignment="0" applyProtection="0"/>
    <xf numFmtId="0" fontId="25" fillId="8" borderId="300" applyNumberFormat="0" applyAlignment="0" applyProtection="0"/>
    <xf numFmtId="0" fontId="25" fillId="8" borderId="300" applyNumberFormat="0" applyAlignment="0" applyProtection="0"/>
    <xf numFmtId="0" fontId="25" fillId="8" borderId="300" applyNumberFormat="0" applyAlignment="0" applyProtection="0"/>
    <xf numFmtId="0" fontId="25" fillId="8" borderId="300" applyNumberFormat="0" applyAlignment="0" applyProtection="0"/>
    <xf numFmtId="0" fontId="25" fillId="8" borderId="300" applyNumberFormat="0" applyAlignment="0" applyProtection="0"/>
    <xf numFmtId="0" fontId="25" fillId="8" borderId="300" applyNumberFormat="0" applyAlignment="0" applyProtection="0"/>
    <xf numFmtId="0" fontId="25" fillId="8" borderId="300" applyNumberFormat="0" applyAlignment="0" applyProtection="0"/>
    <xf numFmtId="0" fontId="25" fillId="8" borderId="300" applyNumberFormat="0" applyAlignment="0" applyProtection="0"/>
    <xf numFmtId="0" fontId="25" fillId="8" borderId="300" applyNumberFormat="0" applyAlignment="0" applyProtection="0"/>
    <xf numFmtId="0" fontId="25" fillId="8" borderId="300" applyNumberFormat="0" applyAlignment="0" applyProtection="0"/>
    <xf numFmtId="0" fontId="25" fillId="8" borderId="300" applyNumberFormat="0" applyAlignment="0" applyProtection="0"/>
    <xf numFmtId="0" fontId="25" fillId="8" borderId="300" applyNumberFormat="0" applyAlignment="0" applyProtection="0"/>
    <xf numFmtId="0" fontId="25" fillId="8" borderId="300" applyNumberFormat="0" applyAlignment="0" applyProtection="0"/>
    <xf numFmtId="0" fontId="25" fillId="8" borderId="300" applyNumberFormat="0" applyAlignment="0" applyProtection="0"/>
    <xf numFmtId="0" fontId="25" fillId="8" borderId="300" applyNumberFormat="0" applyAlignment="0" applyProtection="0"/>
    <xf numFmtId="0" fontId="25" fillId="8" borderId="300" applyNumberFormat="0" applyAlignment="0" applyProtection="0"/>
    <xf numFmtId="0" fontId="25" fillId="8" borderId="300" applyNumberFormat="0" applyAlignment="0" applyProtection="0"/>
    <xf numFmtId="0" fontId="25" fillId="8" borderId="300" applyNumberFormat="0" applyAlignment="0" applyProtection="0"/>
    <xf numFmtId="0" fontId="25" fillId="8" borderId="300" applyNumberFormat="0" applyAlignment="0" applyProtection="0"/>
    <xf numFmtId="0" fontId="25" fillId="8" borderId="300" applyNumberFormat="0" applyAlignment="0" applyProtection="0"/>
    <xf numFmtId="0" fontId="25" fillId="8" borderId="300" applyNumberFormat="0" applyAlignment="0" applyProtection="0"/>
    <xf numFmtId="0" fontId="25" fillId="8" borderId="300" applyNumberFormat="0" applyAlignment="0" applyProtection="0"/>
    <xf numFmtId="0" fontId="25" fillId="8" borderId="300" applyNumberFormat="0" applyAlignment="0" applyProtection="0"/>
    <xf numFmtId="0" fontId="25" fillId="8" borderId="300" applyNumberFormat="0" applyAlignment="0" applyProtection="0"/>
    <xf numFmtId="0" fontId="25" fillId="8" borderId="300" applyNumberFormat="0" applyAlignment="0" applyProtection="0"/>
    <xf numFmtId="0" fontId="25" fillId="8" borderId="300" applyNumberFormat="0" applyAlignment="0" applyProtection="0"/>
    <xf numFmtId="0" fontId="25" fillId="8" borderId="300" applyNumberFormat="0" applyAlignment="0" applyProtection="0"/>
    <xf numFmtId="0" fontId="25" fillId="8" borderId="300" applyNumberFormat="0" applyAlignment="0" applyProtection="0"/>
    <xf numFmtId="0" fontId="25" fillId="8" borderId="300" applyNumberFormat="0" applyAlignment="0" applyProtection="0"/>
    <xf numFmtId="0" fontId="25" fillId="8" borderId="300" applyNumberFormat="0" applyAlignment="0" applyProtection="0"/>
    <xf numFmtId="0" fontId="25" fillId="8" borderId="300" applyNumberFormat="0" applyAlignment="0" applyProtection="0"/>
    <xf numFmtId="0" fontId="25" fillId="8" borderId="300" applyNumberFormat="0" applyAlignment="0" applyProtection="0"/>
    <xf numFmtId="0" fontId="25" fillId="8" borderId="300" applyNumberFormat="0" applyAlignment="0" applyProtection="0"/>
    <xf numFmtId="0" fontId="25" fillId="8" borderId="300" applyNumberFormat="0" applyAlignment="0" applyProtection="0"/>
    <xf numFmtId="0" fontId="25" fillId="8" borderId="300" applyNumberFormat="0" applyAlignment="0" applyProtection="0"/>
    <xf numFmtId="0" fontId="25" fillId="8" borderId="300" applyNumberFormat="0" applyAlignment="0" applyProtection="0"/>
    <xf numFmtId="0" fontId="25" fillId="8" borderId="300" applyNumberFormat="0" applyAlignment="0" applyProtection="0"/>
    <xf numFmtId="0" fontId="25" fillId="8" borderId="300" applyNumberFormat="0" applyAlignment="0" applyProtection="0"/>
    <xf numFmtId="0" fontId="25" fillId="8" borderId="300" applyNumberFormat="0" applyAlignment="0" applyProtection="0"/>
    <xf numFmtId="0" fontId="25" fillId="8" borderId="300" applyNumberFormat="0" applyAlignment="0" applyProtection="0"/>
    <xf numFmtId="0" fontId="25" fillId="8" borderId="300" applyNumberFormat="0" applyAlignment="0" applyProtection="0"/>
    <xf numFmtId="0" fontId="25" fillId="8" borderId="300" applyNumberFormat="0" applyAlignment="0" applyProtection="0"/>
    <xf numFmtId="0" fontId="25" fillId="8" borderId="300" applyNumberFormat="0" applyAlignment="0" applyProtection="0"/>
    <xf numFmtId="0" fontId="25" fillId="8" borderId="300" applyNumberFormat="0" applyAlignment="0" applyProtection="0"/>
    <xf numFmtId="0" fontId="25" fillId="8" borderId="300" applyNumberFormat="0" applyAlignment="0" applyProtection="0"/>
    <xf numFmtId="0" fontId="25" fillId="8" borderId="300" applyNumberFormat="0" applyAlignment="0" applyProtection="0"/>
    <xf numFmtId="0" fontId="25" fillId="8" borderId="300" applyNumberFormat="0" applyAlignment="0" applyProtection="0"/>
    <xf numFmtId="0" fontId="25" fillId="8" borderId="300" applyNumberFormat="0" applyAlignment="0" applyProtection="0"/>
    <xf numFmtId="0" fontId="25" fillId="8" borderId="300" applyNumberFormat="0" applyAlignment="0" applyProtection="0"/>
    <xf numFmtId="0" fontId="25" fillId="8" borderId="300" applyNumberFormat="0" applyAlignment="0" applyProtection="0"/>
    <xf numFmtId="0" fontId="25" fillId="8" borderId="300" applyNumberFormat="0" applyAlignment="0" applyProtection="0"/>
    <xf numFmtId="0" fontId="25" fillId="8" borderId="300" applyNumberFormat="0" applyAlignment="0" applyProtection="0"/>
    <xf numFmtId="0" fontId="25" fillId="8" borderId="300" applyNumberFormat="0" applyAlignment="0" applyProtection="0"/>
    <xf numFmtId="0" fontId="25" fillId="8" borderId="300" applyNumberFormat="0" applyAlignment="0" applyProtection="0"/>
    <xf numFmtId="0" fontId="25" fillId="8" borderId="300" applyNumberFormat="0" applyAlignment="0" applyProtection="0"/>
    <xf numFmtId="0" fontId="25" fillId="8" borderId="300" applyNumberFormat="0" applyAlignment="0" applyProtection="0"/>
    <xf numFmtId="0" fontId="25" fillId="8" borderId="300" applyNumberFormat="0" applyAlignment="0" applyProtection="0"/>
    <xf numFmtId="0" fontId="25" fillId="8" borderId="300" applyNumberFormat="0" applyAlignment="0" applyProtection="0"/>
    <xf numFmtId="0" fontId="25" fillId="8" borderId="300" applyNumberFormat="0" applyAlignment="0" applyProtection="0"/>
    <xf numFmtId="0" fontId="25" fillId="8" borderId="300" applyNumberFormat="0" applyAlignment="0" applyProtection="0"/>
    <xf numFmtId="0" fontId="84" fillId="73" borderId="304"/>
    <xf numFmtId="0" fontId="84" fillId="73" borderId="304"/>
    <xf numFmtId="0" fontId="84" fillId="73" borderId="304"/>
    <xf numFmtId="0" fontId="84" fillId="73" borderId="304"/>
    <xf numFmtId="0" fontId="84" fillId="73" borderId="304"/>
    <xf numFmtId="0" fontId="84" fillId="73" borderId="304"/>
    <xf numFmtId="0" fontId="84" fillId="73" borderId="304"/>
    <xf numFmtId="0" fontId="84" fillId="73" borderId="304"/>
    <xf numFmtId="0" fontId="84" fillId="73" borderId="304"/>
    <xf numFmtId="0" fontId="84" fillId="73" borderId="304"/>
    <xf numFmtId="0" fontId="84" fillId="73" borderId="304"/>
    <xf numFmtId="0" fontId="84" fillId="73" borderId="304"/>
    <xf numFmtId="0" fontId="84" fillId="73" borderId="304"/>
    <xf numFmtId="0" fontId="84" fillId="73" borderId="304"/>
    <xf numFmtId="0" fontId="84" fillId="73" borderId="304"/>
    <xf numFmtId="0" fontId="84" fillId="73" borderId="304"/>
    <xf numFmtId="0" fontId="84" fillId="73" borderId="304"/>
    <xf numFmtId="0" fontId="84" fillId="73" borderId="304"/>
    <xf numFmtId="0" fontId="84" fillId="73" borderId="304"/>
    <xf numFmtId="0" fontId="84" fillId="73" borderId="304"/>
    <xf numFmtId="0" fontId="84" fillId="73" borderId="304"/>
    <xf numFmtId="0" fontId="84" fillId="73" borderId="304"/>
    <xf numFmtId="0" fontId="84" fillId="73" borderId="304"/>
    <xf numFmtId="0" fontId="84" fillId="73" borderId="304"/>
    <xf numFmtId="0" fontId="84" fillId="73" borderId="304"/>
    <xf numFmtId="0" fontId="84" fillId="73" borderId="304"/>
    <xf numFmtId="0" fontId="84" fillId="73" borderId="304"/>
    <xf numFmtId="0" fontId="84" fillId="73" borderId="304"/>
    <xf numFmtId="0" fontId="84" fillId="73" borderId="304"/>
    <xf numFmtId="0" fontId="84" fillId="73" borderId="304"/>
    <xf numFmtId="0" fontId="84" fillId="73" borderId="304"/>
    <xf numFmtId="0" fontId="84" fillId="73" borderId="304"/>
    <xf numFmtId="0" fontId="84" fillId="73" borderId="304"/>
    <xf numFmtId="0" fontId="84" fillId="73" borderId="304"/>
    <xf numFmtId="0" fontId="84" fillId="73" borderId="304"/>
    <xf numFmtId="0" fontId="84" fillId="73" borderId="304"/>
    <xf numFmtId="0" fontId="84" fillId="73" borderId="304"/>
    <xf numFmtId="0" fontId="84" fillId="73" borderId="304"/>
    <xf numFmtId="0" fontId="84" fillId="73" borderId="304"/>
    <xf numFmtId="0" fontId="84" fillId="73" borderId="304"/>
    <xf numFmtId="0" fontId="84" fillId="73" borderId="304"/>
    <xf numFmtId="0" fontId="84" fillId="73" borderId="304"/>
    <xf numFmtId="0" fontId="84" fillId="73" borderId="304"/>
    <xf numFmtId="0" fontId="84" fillId="73" borderId="304"/>
    <xf numFmtId="0" fontId="84" fillId="73" borderId="304"/>
    <xf numFmtId="0" fontId="72" fillId="0" borderId="297" applyBorder="0">
      <alignment horizontal="center" vertical="center" wrapText="1"/>
    </xf>
    <xf numFmtId="0" fontId="72" fillId="0" borderId="297" applyBorder="0">
      <alignment horizontal="center" vertical="center" wrapText="1"/>
    </xf>
    <xf numFmtId="0" fontId="72" fillId="0" borderId="297" applyBorder="0">
      <alignment horizontal="center" vertical="center" wrapText="1"/>
    </xf>
    <xf numFmtId="0" fontId="72" fillId="0" borderId="297" applyBorder="0">
      <alignment horizontal="center" vertical="center" wrapText="1"/>
    </xf>
    <xf numFmtId="0" fontId="72" fillId="0" borderId="297" applyBorder="0">
      <alignment horizontal="center" vertical="center" wrapText="1"/>
    </xf>
    <xf numFmtId="0" fontId="72" fillId="0" borderId="297" applyBorder="0">
      <alignment horizontal="center" vertical="center" wrapText="1"/>
    </xf>
    <xf numFmtId="0" fontId="72" fillId="0" borderId="297" applyBorder="0">
      <alignment horizontal="center" vertical="center" wrapText="1"/>
    </xf>
    <xf numFmtId="0" fontId="72" fillId="0" borderId="297" applyBorder="0">
      <alignment horizontal="center" vertical="center" wrapText="1"/>
    </xf>
    <xf numFmtId="0" fontId="72" fillId="0" borderId="297" applyBorder="0">
      <alignment horizontal="center" vertical="center" wrapText="1"/>
    </xf>
    <xf numFmtId="0" fontId="72" fillId="0" borderId="297" applyBorder="0">
      <alignment horizontal="center" vertical="center" wrapText="1"/>
    </xf>
    <xf numFmtId="0" fontId="72" fillId="0" borderId="297" applyBorder="0">
      <alignment horizontal="center" vertical="center" wrapText="1"/>
    </xf>
    <xf numFmtId="0" fontId="72" fillId="0" borderId="297" applyBorder="0">
      <alignment horizontal="center" vertical="center" wrapText="1"/>
    </xf>
    <xf numFmtId="0" fontId="72" fillId="0" borderId="297" applyBorder="0">
      <alignment horizontal="center" vertical="center" wrapText="1"/>
    </xf>
    <xf numFmtId="0" fontId="72" fillId="0" borderId="297" applyBorder="0">
      <alignment horizontal="center" vertical="center" wrapText="1"/>
    </xf>
    <xf numFmtId="0" fontId="72" fillId="0" borderId="297" applyBorder="0">
      <alignment horizontal="center" vertical="center" wrapText="1"/>
    </xf>
    <xf numFmtId="0" fontId="72" fillId="0" borderId="297" applyBorder="0">
      <alignment horizontal="center" vertical="center" wrapText="1"/>
    </xf>
    <xf numFmtId="0" fontId="72" fillId="0" borderId="297" applyBorder="0">
      <alignment horizontal="center" vertical="center" wrapText="1"/>
    </xf>
    <xf numFmtId="0" fontId="72" fillId="0" borderId="297" applyBorder="0">
      <alignment horizontal="center" vertical="center" wrapText="1"/>
    </xf>
    <xf numFmtId="0" fontId="72" fillId="0" borderId="297" applyBorder="0">
      <alignment horizontal="center" vertical="center" wrapText="1"/>
    </xf>
    <xf numFmtId="0" fontId="72" fillId="0" borderId="297" applyBorder="0">
      <alignment horizontal="center" vertical="center" wrapText="1"/>
    </xf>
    <xf numFmtId="0" fontId="72" fillId="0" borderId="297" applyBorder="0">
      <alignment horizontal="center" vertical="center" wrapText="1"/>
    </xf>
    <xf numFmtId="0" fontId="72" fillId="0" borderId="297" applyBorder="0">
      <alignment horizontal="center" vertical="center" wrapText="1"/>
    </xf>
    <xf numFmtId="0" fontId="72" fillId="0" borderId="297" applyBorder="0">
      <alignment horizontal="center" vertical="center" wrapText="1"/>
    </xf>
    <xf numFmtId="0" fontId="72" fillId="0" borderId="297" applyBorder="0">
      <alignment horizontal="center" vertical="center" wrapText="1"/>
    </xf>
    <xf numFmtId="0" fontId="72" fillId="0" borderId="297" applyBorder="0">
      <alignment horizontal="center" vertical="center" wrapText="1"/>
    </xf>
    <xf numFmtId="0" fontId="72" fillId="0" borderId="297" applyBorder="0">
      <alignment horizontal="center" vertical="center" wrapText="1"/>
    </xf>
    <xf numFmtId="0" fontId="72" fillId="0" borderId="297" applyBorder="0">
      <alignment horizontal="center" vertical="center" wrapText="1"/>
    </xf>
    <xf numFmtId="0" fontId="72" fillId="0" borderId="297" applyBorder="0">
      <alignment horizontal="center" vertical="center" wrapText="1"/>
    </xf>
    <xf numFmtId="0" fontId="72" fillId="0" borderId="297" applyBorder="0">
      <alignment horizontal="center" vertical="center" wrapText="1"/>
    </xf>
    <xf numFmtId="0" fontId="72" fillId="0" borderId="297" applyBorder="0">
      <alignment horizontal="center" vertical="center" wrapText="1"/>
    </xf>
    <xf numFmtId="0" fontId="72" fillId="0" borderId="297" applyBorder="0">
      <alignment horizontal="center" vertical="center" wrapText="1"/>
    </xf>
    <xf numFmtId="0" fontId="72" fillId="0" borderId="297" applyBorder="0">
      <alignment horizontal="center" vertical="center" wrapText="1"/>
    </xf>
    <xf numFmtId="0" fontId="72" fillId="0" borderId="297" applyBorder="0">
      <alignment horizontal="center" vertical="center" wrapText="1"/>
    </xf>
    <xf numFmtId="0" fontId="72" fillId="0" borderId="297" applyBorder="0">
      <alignment horizontal="center" vertical="center" wrapText="1"/>
    </xf>
    <xf numFmtId="0" fontId="72" fillId="0" borderId="297" applyBorder="0">
      <alignment horizontal="center" vertical="center" wrapText="1"/>
    </xf>
    <xf numFmtId="0" fontId="72" fillId="0" borderId="297" applyBorder="0">
      <alignment horizontal="center" vertical="center" wrapText="1"/>
    </xf>
    <xf numFmtId="0" fontId="72" fillId="0" borderId="297" applyBorder="0">
      <alignment horizontal="center" vertical="center" wrapText="1"/>
    </xf>
    <xf numFmtId="0" fontId="72" fillId="0" borderId="297" applyBorder="0">
      <alignment horizontal="center" vertical="center" wrapText="1"/>
    </xf>
    <xf numFmtId="0" fontId="72" fillId="0" borderId="297" applyBorder="0">
      <alignment horizontal="center" vertical="center" wrapText="1"/>
    </xf>
    <xf numFmtId="0" fontId="72" fillId="0" borderId="297" applyBorder="0">
      <alignment horizontal="center" vertical="center" wrapText="1"/>
    </xf>
    <xf numFmtId="0" fontId="72" fillId="0" borderId="297" applyBorder="0">
      <alignment horizontal="center" vertical="center" wrapText="1"/>
    </xf>
    <xf numFmtId="0" fontId="72" fillId="0" borderId="297" applyBorder="0">
      <alignment horizontal="center" vertical="center" wrapText="1"/>
    </xf>
    <xf numFmtId="0" fontId="72" fillId="0" borderId="297" applyBorder="0">
      <alignment horizontal="center" vertical="center" wrapText="1"/>
    </xf>
    <xf numFmtId="0" fontId="72" fillId="0" borderId="297" applyBorder="0">
      <alignment horizontal="center" vertical="center" wrapText="1"/>
    </xf>
    <xf numFmtId="0" fontId="72" fillId="0" borderId="297" applyBorder="0">
      <alignment horizontal="center" vertical="center" wrapText="1"/>
    </xf>
    <xf numFmtId="0" fontId="72" fillId="0" borderId="297" applyBorder="0">
      <alignment horizontal="center" vertical="center" wrapText="1"/>
    </xf>
    <xf numFmtId="0" fontId="72" fillId="0" borderId="297" applyBorder="0">
      <alignment horizontal="center" vertical="center" wrapText="1"/>
    </xf>
    <xf numFmtId="0" fontId="72" fillId="0" borderId="297" applyBorder="0">
      <alignment horizontal="center" vertical="center" wrapText="1"/>
    </xf>
    <xf numFmtId="0" fontId="72" fillId="0" borderId="297" applyBorder="0">
      <alignment horizontal="center" vertical="center" wrapText="1"/>
    </xf>
    <xf numFmtId="0" fontId="72" fillId="0" borderId="297" applyBorder="0">
      <alignment horizontal="center" vertical="center" wrapText="1"/>
    </xf>
    <xf numFmtId="0" fontId="72" fillId="0" borderId="297" applyBorder="0">
      <alignment horizontal="center" vertical="center" wrapText="1"/>
    </xf>
    <xf numFmtId="0" fontId="72" fillId="0" borderId="297" applyBorder="0">
      <alignment horizontal="center" vertical="center" wrapText="1"/>
    </xf>
    <xf numFmtId="0" fontId="72" fillId="0" borderId="297" applyBorder="0">
      <alignment horizontal="center" vertical="center" wrapText="1"/>
    </xf>
    <xf numFmtId="0" fontId="72" fillId="0" borderId="297" applyBorder="0">
      <alignment horizontal="center" vertical="center" wrapText="1"/>
    </xf>
    <xf numFmtId="0" fontId="72" fillId="0" borderId="297" applyBorder="0">
      <alignment horizontal="center" vertical="center" wrapText="1"/>
    </xf>
    <xf numFmtId="0" fontId="72" fillId="0" borderId="297" applyBorder="0">
      <alignment horizontal="center" vertical="center" wrapText="1"/>
    </xf>
    <xf numFmtId="0" fontId="72" fillId="0" borderId="297" applyBorder="0">
      <alignment horizontal="center" vertical="center" wrapText="1"/>
    </xf>
    <xf numFmtId="0" fontId="72" fillId="0" borderId="297" applyBorder="0">
      <alignment horizontal="center" vertical="center" wrapText="1"/>
    </xf>
    <xf numFmtId="0" fontId="72" fillId="0" borderId="297" applyBorder="0">
      <alignment horizontal="center" vertical="center" wrapText="1"/>
    </xf>
    <xf numFmtId="0" fontId="72" fillId="0" borderId="297" applyBorder="0">
      <alignment horizontal="center" vertical="center" wrapText="1"/>
    </xf>
    <xf numFmtId="0" fontId="49" fillId="10" borderId="308" applyNumberFormat="0" applyFont="0" applyAlignment="0" applyProtection="0"/>
    <xf numFmtId="0" fontId="48" fillId="12" borderId="307" applyNumberFormat="0" applyAlignment="0" applyProtection="0"/>
    <xf numFmtId="0" fontId="25" fillId="8" borderId="307" applyNumberFormat="0" applyAlignment="0" applyProtection="0"/>
    <xf numFmtId="0" fontId="31" fillId="0" borderId="305" applyNumberFormat="0" applyFill="0" applyAlignment="0" applyProtection="0"/>
    <xf numFmtId="0" fontId="31" fillId="0" borderId="310" applyNumberFormat="0" applyFill="0" applyAlignment="0" applyProtection="0"/>
    <xf numFmtId="0" fontId="24" fillId="24" borderId="309" applyNumberFormat="0" applyAlignment="0" applyProtection="0"/>
    <xf numFmtId="0" fontId="8" fillId="10" borderId="308" applyNumberFormat="0" applyFont="0" applyAlignment="0" applyProtection="0"/>
    <xf numFmtId="0" fontId="41" fillId="13" borderId="307" applyNumberFormat="0" applyAlignment="0" applyProtection="0"/>
    <xf numFmtId="0" fontId="48" fillId="12" borderId="307" applyNumberFormat="0" applyAlignment="0" applyProtection="0"/>
    <xf numFmtId="0" fontId="48" fillId="24" borderId="307" applyNumberFormat="0" applyAlignment="0" applyProtection="0"/>
    <xf numFmtId="0" fontId="31" fillId="0" borderId="305" applyNumberFormat="0" applyFill="0" applyAlignment="0" applyProtection="0"/>
    <xf numFmtId="0" fontId="48" fillId="24" borderId="307" applyNumberFormat="0" applyAlignment="0" applyProtection="0"/>
    <xf numFmtId="0" fontId="49" fillId="10" borderId="308" applyNumberFormat="0" applyFont="0" applyAlignment="0" applyProtection="0"/>
    <xf numFmtId="0" fontId="29" fillId="12" borderId="306" applyNumberFormat="0" applyAlignment="0" applyProtection="0"/>
    <xf numFmtId="0" fontId="8" fillId="10" borderId="308" applyNumberFormat="0" applyFont="0" applyAlignment="0" applyProtection="0"/>
    <xf numFmtId="0" fontId="8" fillId="10" borderId="301" applyNumberFormat="0" applyFont="0" applyAlignment="0" applyProtection="0"/>
    <xf numFmtId="0" fontId="49" fillId="10" borderId="301" applyNumberFormat="0" applyFont="0" applyAlignment="0" applyProtection="0"/>
    <xf numFmtId="0" fontId="31" fillId="0" borderId="303" applyNumberFormat="0" applyFill="0" applyAlignment="0" applyProtection="0"/>
    <xf numFmtId="0" fontId="31" fillId="0" borderId="305" applyNumberFormat="0" applyFill="0" applyAlignment="0" applyProtection="0"/>
    <xf numFmtId="0" fontId="31" fillId="0" borderId="310" applyNumberFormat="0" applyFill="0" applyAlignment="0" applyProtection="0"/>
    <xf numFmtId="0" fontId="31" fillId="0" borderId="305" applyNumberFormat="0" applyFill="0" applyAlignment="0" applyProtection="0"/>
    <xf numFmtId="0" fontId="72" fillId="0" borderId="320" applyBorder="0">
      <alignment horizontal="center" vertical="center" wrapText="1"/>
    </xf>
    <xf numFmtId="0" fontId="72" fillId="0" borderId="320" applyBorder="0">
      <alignment horizontal="center" vertical="center" wrapText="1"/>
    </xf>
    <xf numFmtId="0" fontId="72" fillId="0" borderId="320" applyBorder="0">
      <alignment horizontal="center" vertical="center" wrapText="1"/>
    </xf>
    <xf numFmtId="0" fontId="72" fillId="0" borderId="320" applyBorder="0">
      <alignment horizontal="center" vertical="center" wrapText="1"/>
    </xf>
    <xf numFmtId="0" fontId="72" fillId="0" borderId="320" applyBorder="0">
      <alignment horizontal="center" vertical="center" wrapText="1"/>
    </xf>
    <xf numFmtId="0" fontId="72" fillId="0" borderId="320" applyBorder="0">
      <alignment horizontal="center" vertical="center" wrapText="1"/>
    </xf>
    <xf numFmtId="0" fontId="72" fillId="0" borderId="320" applyBorder="0">
      <alignment horizontal="center" vertical="center" wrapText="1"/>
    </xf>
    <xf numFmtId="0" fontId="72" fillId="0" borderId="320" applyBorder="0">
      <alignment horizontal="center" vertical="center" wrapText="1"/>
    </xf>
    <xf numFmtId="0" fontId="72" fillId="0" borderId="320" applyBorder="0">
      <alignment horizontal="center" vertical="center" wrapText="1"/>
    </xf>
    <xf numFmtId="0" fontId="72" fillId="0" borderId="320" applyBorder="0">
      <alignment horizontal="center" vertical="center" wrapText="1"/>
    </xf>
    <xf numFmtId="0" fontId="72" fillId="0" borderId="320" applyBorder="0">
      <alignment horizontal="center" vertical="center" wrapText="1"/>
    </xf>
    <xf numFmtId="0" fontId="72" fillId="0" borderId="320" applyBorder="0">
      <alignment horizontal="center" vertical="center" wrapText="1"/>
    </xf>
    <xf numFmtId="0" fontId="72" fillId="0" borderId="320" applyBorder="0">
      <alignment horizontal="center" vertical="center" wrapText="1"/>
    </xf>
    <xf numFmtId="0" fontId="72" fillId="0" borderId="320" applyBorder="0">
      <alignment horizontal="center" vertical="center" wrapText="1"/>
    </xf>
    <xf numFmtId="0" fontId="72" fillId="0" borderId="320" applyBorder="0">
      <alignment horizontal="center" vertical="center" wrapText="1"/>
    </xf>
    <xf numFmtId="0" fontId="72" fillId="0" borderId="320" applyBorder="0">
      <alignment horizontal="center" vertical="center" wrapText="1"/>
    </xf>
    <xf numFmtId="0" fontId="72" fillId="0" borderId="320" applyBorder="0">
      <alignment horizontal="center" vertical="center" wrapText="1"/>
    </xf>
    <xf numFmtId="0" fontId="72" fillId="0" borderId="320" applyBorder="0">
      <alignment horizontal="center" vertical="center" wrapText="1"/>
    </xf>
    <xf numFmtId="0" fontId="72" fillId="0" borderId="320" applyBorder="0">
      <alignment horizontal="center" vertical="center" wrapText="1"/>
    </xf>
    <xf numFmtId="0" fontId="72" fillId="0" borderId="320" applyBorder="0">
      <alignment horizontal="center" vertical="center" wrapText="1"/>
    </xf>
    <xf numFmtId="0" fontId="72" fillId="0" borderId="320" applyBorder="0">
      <alignment horizontal="center" vertical="center" wrapText="1"/>
    </xf>
    <xf numFmtId="0" fontId="72" fillId="0" borderId="320" applyBorder="0">
      <alignment horizontal="center" vertical="center" wrapText="1"/>
    </xf>
    <xf numFmtId="0" fontId="72" fillId="0" borderId="320" applyBorder="0">
      <alignment horizontal="center" vertical="center" wrapText="1"/>
    </xf>
    <xf numFmtId="0" fontId="72" fillId="0" borderId="320" applyBorder="0">
      <alignment horizontal="center" vertical="center" wrapText="1"/>
    </xf>
    <xf numFmtId="0" fontId="72" fillId="0" borderId="320" applyBorder="0">
      <alignment horizontal="center" vertical="center" wrapText="1"/>
    </xf>
    <xf numFmtId="0" fontId="72" fillId="0" borderId="320" applyBorder="0">
      <alignment horizontal="center" vertical="center" wrapText="1"/>
    </xf>
    <xf numFmtId="0" fontId="72" fillId="0" borderId="320" applyBorder="0">
      <alignment horizontal="center" vertical="center" wrapText="1"/>
    </xf>
    <xf numFmtId="0" fontId="72" fillId="0" borderId="320" applyBorder="0">
      <alignment horizontal="center" vertical="center" wrapText="1"/>
    </xf>
    <xf numFmtId="0" fontId="72" fillId="0" borderId="320" applyBorder="0">
      <alignment horizontal="center" vertical="center" wrapText="1"/>
    </xf>
    <xf numFmtId="0" fontId="72" fillId="0" borderId="320" applyBorder="0">
      <alignment horizontal="center" vertical="center" wrapText="1"/>
    </xf>
    <xf numFmtId="0" fontId="48" fillId="24" borderId="323" applyNumberFormat="0" applyAlignment="0" applyProtection="0"/>
    <xf numFmtId="0" fontId="48" fillId="24" borderId="323" applyNumberFormat="0" applyAlignment="0" applyProtection="0"/>
    <xf numFmtId="0" fontId="48" fillId="24" borderId="323" applyNumberFormat="0" applyAlignment="0" applyProtection="0"/>
    <xf numFmtId="0" fontId="48" fillId="24" borderId="323" applyNumberFormat="0" applyAlignment="0" applyProtection="0"/>
    <xf numFmtId="0" fontId="48" fillId="24" borderId="323" applyNumberFormat="0" applyAlignment="0" applyProtection="0"/>
    <xf numFmtId="0" fontId="48" fillId="24" borderId="323" applyNumberFormat="0" applyAlignment="0" applyProtection="0"/>
    <xf numFmtId="0" fontId="48" fillId="24" borderId="323" applyNumberFormat="0" applyAlignment="0" applyProtection="0"/>
    <xf numFmtId="0" fontId="48" fillId="24" borderId="323" applyNumberFormat="0" applyAlignment="0" applyProtection="0"/>
    <xf numFmtId="0" fontId="48" fillId="24" borderId="323" applyNumberFormat="0" applyAlignment="0" applyProtection="0"/>
    <xf numFmtId="0" fontId="48" fillId="24" borderId="323" applyNumberFormat="0" applyAlignment="0" applyProtection="0"/>
    <xf numFmtId="0" fontId="48" fillId="24" borderId="323" applyNumberFormat="0" applyAlignment="0" applyProtection="0"/>
    <xf numFmtId="0" fontId="48" fillId="24" borderId="323" applyNumberFormat="0" applyAlignment="0" applyProtection="0"/>
    <xf numFmtId="0" fontId="48" fillId="24" borderId="323" applyNumberFormat="0" applyAlignment="0" applyProtection="0"/>
    <xf numFmtId="0" fontId="48" fillId="24" borderId="323" applyNumberFormat="0" applyAlignment="0" applyProtection="0"/>
    <xf numFmtId="0" fontId="48" fillId="24" borderId="323" applyNumberFormat="0" applyAlignment="0" applyProtection="0"/>
    <xf numFmtId="0" fontId="48" fillId="24" borderId="323" applyNumberFormat="0" applyAlignment="0" applyProtection="0"/>
    <xf numFmtId="0" fontId="48" fillId="24" borderId="323" applyNumberFormat="0" applyAlignment="0" applyProtection="0"/>
    <xf numFmtId="0" fontId="48" fillId="24" borderId="323" applyNumberFormat="0" applyAlignment="0" applyProtection="0"/>
    <xf numFmtId="0" fontId="48" fillId="24" borderId="323" applyNumberFormat="0" applyAlignment="0" applyProtection="0"/>
    <xf numFmtId="0" fontId="48" fillId="24" borderId="323" applyNumberFormat="0" applyAlignment="0" applyProtection="0"/>
    <xf numFmtId="0" fontId="48" fillId="24" borderId="323" applyNumberFormat="0" applyAlignment="0" applyProtection="0"/>
    <xf numFmtId="0" fontId="48" fillId="24" borderId="323" applyNumberFormat="0" applyAlignment="0" applyProtection="0"/>
    <xf numFmtId="0" fontId="48" fillId="24" borderId="323" applyNumberFormat="0" applyAlignment="0" applyProtection="0"/>
    <xf numFmtId="0" fontId="48" fillId="24" borderId="323" applyNumberFormat="0" applyAlignment="0" applyProtection="0"/>
    <xf numFmtId="0" fontId="48" fillId="24" borderId="323" applyNumberFormat="0" applyAlignment="0" applyProtection="0"/>
    <xf numFmtId="0" fontId="48" fillId="24" borderId="323" applyNumberFormat="0" applyAlignment="0" applyProtection="0"/>
    <xf numFmtId="0" fontId="48" fillId="24" borderId="323" applyNumberFormat="0" applyAlignment="0" applyProtection="0"/>
    <xf numFmtId="0" fontId="48" fillId="24" borderId="323" applyNumberFormat="0" applyAlignment="0" applyProtection="0"/>
    <xf numFmtId="0" fontId="48" fillId="24" borderId="323" applyNumberFormat="0" applyAlignment="0" applyProtection="0"/>
    <xf numFmtId="0" fontId="48" fillId="24" borderId="323" applyNumberFormat="0" applyAlignment="0" applyProtection="0"/>
    <xf numFmtId="0" fontId="48" fillId="24" borderId="323" applyNumberFormat="0" applyAlignment="0" applyProtection="0"/>
    <xf numFmtId="0" fontId="48" fillId="24" borderId="323" applyNumberFormat="0" applyAlignment="0" applyProtection="0"/>
    <xf numFmtId="0" fontId="48" fillId="24" borderId="323" applyNumberFormat="0" applyAlignment="0" applyProtection="0"/>
    <xf numFmtId="0" fontId="48" fillId="24" borderId="323" applyNumberFormat="0" applyAlignment="0" applyProtection="0"/>
    <xf numFmtId="0" fontId="48" fillId="24" borderId="323" applyNumberFormat="0" applyAlignment="0" applyProtection="0"/>
    <xf numFmtId="0" fontId="48" fillId="24" borderId="323" applyNumberFormat="0" applyAlignment="0" applyProtection="0"/>
    <xf numFmtId="0" fontId="48" fillId="24" borderId="323" applyNumberFormat="0" applyAlignment="0" applyProtection="0"/>
    <xf numFmtId="0" fontId="48" fillId="24" borderId="323" applyNumberFormat="0" applyAlignment="0" applyProtection="0"/>
    <xf numFmtId="0" fontId="48" fillId="24" borderId="323" applyNumberFormat="0" applyAlignment="0" applyProtection="0"/>
    <xf numFmtId="0" fontId="48" fillId="24" borderId="323" applyNumberFormat="0" applyAlignment="0" applyProtection="0"/>
    <xf numFmtId="0" fontId="48" fillId="24" borderId="323" applyNumberFormat="0" applyAlignment="0" applyProtection="0"/>
    <xf numFmtId="0" fontId="48" fillId="24" borderId="323" applyNumberFormat="0" applyAlignment="0" applyProtection="0"/>
    <xf numFmtId="0" fontId="48" fillId="24" borderId="323" applyNumberFormat="0" applyAlignment="0" applyProtection="0"/>
    <xf numFmtId="0" fontId="48" fillId="24" borderId="323" applyNumberFormat="0" applyAlignment="0" applyProtection="0"/>
    <xf numFmtId="0" fontId="48" fillId="24" borderId="323" applyNumberFormat="0" applyAlignment="0" applyProtection="0"/>
    <xf numFmtId="0" fontId="48" fillId="24" borderId="323" applyNumberFormat="0" applyAlignment="0" applyProtection="0"/>
    <xf numFmtId="0" fontId="48" fillId="24" borderId="323" applyNumberFormat="0" applyAlignment="0" applyProtection="0"/>
    <xf numFmtId="0" fontId="48" fillId="24" borderId="323" applyNumberFormat="0" applyAlignment="0" applyProtection="0"/>
    <xf numFmtId="0" fontId="48" fillId="24" borderId="323" applyNumberFormat="0" applyAlignment="0" applyProtection="0"/>
    <xf numFmtId="0" fontId="48" fillId="24" borderId="323" applyNumberFormat="0" applyAlignment="0" applyProtection="0"/>
    <xf numFmtId="0" fontId="48" fillId="24" borderId="323" applyNumberFormat="0" applyAlignment="0" applyProtection="0"/>
    <xf numFmtId="0" fontId="48" fillId="24" borderId="323" applyNumberFormat="0" applyAlignment="0" applyProtection="0"/>
    <xf numFmtId="0" fontId="48" fillId="24" borderId="323" applyNumberFormat="0" applyAlignment="0" applyProtection="0"/>
    <xf numFmtId="0" fontId="48" fillId="24" borderId="323" applyNumberFormat="0" applyAlignment="0" applyProtection="0"/>
    <xf numFmtId="0" fontId="48" fillId="24" borderId="323" applyNumberFormat="0" applyAlignment="0" applyProtection="0"/>
    <xf numFmtId="0" fontId="48" fillId="24" borderId="323" applyNumberFormat="0" applyAlignment="0" applyProtection="0"/>
    <xf numFmtId="0" fontId="48" fillId="24" borderId="323" applyNumberFormat="0" applyAlignment="0" applyProtection="0"/>
    <xf numFmtId="0" fontId="48" fillId="24" borderId="323" applyNumberFormat="0" applyAlignment="0" applyProtection="0"/>
    <xf numFmtId="0" fontId="48" fillId="24" borderId="323" applyNumberFormat="0" applyAlignment="0" applyProtection="0"/>
    <xf numFmtId="0" fontId="48" fillId="24" borderId="323" applyNumberFormat="0" applyAlignment="0" applyProtection="0"/>
    <xf numFmtId="0" fontId="48" fillId="24" borderId="323" applyNumberFormat="0" applyAlignment="0" applyProtection="0"/>
    <xf numFmtId="0" fontId="48" fillId="24" borderId="323" applyNumberFormat="0" applyAlignment="0" applyProtection="0"/>
    <xf numFmtId="0" fontId="48" fillId="24" borderId="323" applyNumberFormat="0" applyAlignment="0" applyProtection="0"/>
    <xf numFmtId="0" fontId="48" fillId="24" borderId="323" applyNumberFormat="0" applyAlignment="0" applyProtection="0"/>
    <xf numFmtId="0" fontId="48" fillId="24" borderId="323" applyNumberFormat="0" applyAlignment="0" applyProtection="0"/>
    <xf numFmtId="0" fontId="48" fillId="24" borderId="323" applyNumberFormat="0" applyAlignment="0" applyProtection="0"/>
    <xf numFmtId="0" fontId="48" fillId="24" borderId="323" applyNumberFormat="0" applyAlignment="0" applyProtection="0"/>
    <xf numFmtId="0" fontId="48" fillId="24" borderId="323" applyNumberFormat="0" applyAlignment="0" applyProtection="0"/>
    <xf numFmtId="0" fontId="48" fillId="24" borderId="323" applyNumberFormat="0" applyAlignment="0" applyProtection="0"/>
    <xf numFmtId="0" fontId="48" fillId="24" borderId="323" applyNumberFormat="0" applyAlignment="0" applyProtection="0"/>
    <xf numFmtId="0" fontId="48" fillId="24" borderId="323" applyNumberFormat="0" applyAlignment="0" applyProtection="0"/>
    <xf numFmtId="0" fontId="48" fillId="24" borderId="323" applyNumberFormat="0" applyAlignment="0" applyProtection="0"/>
    <xf numFmtId="0" fontId="48" fillId="24" borderId="323" applyNumberFormat="0" applyAlignment="0" applyProtection="0"/>
    <xf numFmtId="0" fontId="48" fillId="24" borderId="323" applyNumberFormat="0" applyAlignment="0" applyProtection="0"/>
    <xf numFmtId="0" fontId="48" fillId="24" borderId="323" applyNumberFormat="0" applyAlignment="0" applyProtection="0"/>
    <xf numFmtId="0" fontId="48" fillId="24" borderId="323" applyNumberFormat="0" applyAlignment="0" applyProtection="0"/>
    <xf numFmtId="0" fontId="48" fillId="24" borderId="323" applyNumberFormat="0" applyAlignment="0" applyProtection="0"/>
    <xf numFmtId="0" fontId="48" fillId="24" borderId="323" applyNumberFormat="0" applyAlignment="0" applyProtection="0"/>
    <xf numFmtId="0" fontId="32" fillId="24" borderId="323" applyNumberFormat="0" applyAlignment="0" applyProtection="0"/>
    <xf numFmtId="0" fontId="32" fillId="24" borderId="323" applyNumberFormat="0" applyAlignment="0" applyProtection="0"/>
    <xf numFmtId="0" fontId="32" fillId="24" borderId="323" applyNumberFormat="0" applyAlignment="0" applyProtection="0"/>
    <xf numFmtId="0" fontId="32" fillId="24" borderId="323" applyNumberFormat="0" applyAlignment="0" applyProtection="0"/>
    <xf numFmtId="0" fontId="32" fillId="24" borderId="323" applyNumberFormat="0" applyAlignment="0" applyProtection="0"/>
    <xf numFmtId="0" fontId="32" fillId="24" borderId="323" applyNumberFormat="0" applyAlignment="0" applyProtection="0"/>
    <xf numFmtId="0" fontId="32" fillId="24" borderId="323" applyNumberFormat="0" applyAlignment="0" applyProtection="0"/>
    <xf numFmtId="0" fontId="32" fillId="24" borderId="323" applyNumberFormat="0" applyAlignment="0" applyProtection="0"/>
    <xf numFmtId="0" fontId="32" fillId="24" borderId="323" applyNumberFormat="0" applyAlignment="0" applyProtection="0"/>
    <xf numFmtId="0" fontId="32" fillId="24" borderId="323" applyNumberFormat="0" applyAlignment="0" applyProtection="0"/>
    <xf numFmtId="0" fontId="32" fillId="24" borderId="323" applyNumberFormat="0" applyAlignment="0" applyProtection="0"/>
    <xf numFmtId="0" fontId="32" fillId="24" borderId="323" applyNumberFormat="0" applyAlignment="0" applyProtection="0"/>
    <xf numFmtId="0" fontId="32" fillId="24" borderId="323" applyNumberFormat="0" applyAlignment="0" applyProtection="0"/>
    <xf numFmtId="0" fontId="32" fillId="24" borderId="323" applyNumberFormat="0" applyAlignment="0" applyProtection="0"/>
    <xf numFmtId="0" fontId="32" fillId="24" borderId="323" applyNumberFormat="0" applyAlignment="0" applyProtection="0"/>
    <xf numFmtId="0" fontId="32" fillId="24" borderId="323" applyNumberFormat="0" applyAlignment="0" applyProtection="0"/>
    <xf numFmtId="0" fontId="32" fillId="24" borderId="323" applyNumberFormat="0" applyAlignment="0" applyProtection="0"/>
    <xf numFmtId="0" fontId="32" fillId="24" borderId="323" applyNumberFormat="0" applyAlignment="0" applyProtection="0"/>
    <xf numFmtId="0" fontId="32" fillId="24" borderId="323" applyNumberFormat="0" applyAlignment="0" applyProtection="0"/>
    <xf numFmtId="0" fontId="32" fillId="24" borderId="323" applyNumberFormat="0" applyAlignment="0" applyProtection="0"/>
    <xf numFmtId="0" fontId="32" fillId="24" borderId="323" applyNumberFormat="0" applyAlignment="0" applyProtection="0"/>
    <xf numFmtId="0" fontId="32" fillId="24" borderId="323" applyNumberFormat="0" applyAlignment="0" applyProtection="0"/>
    <xf numFmtId="0" fontId="32" fillId="24" borderId="323" applyNumberFormat="0" applyAlignment="0" applyProtection="0"/>
    <xf numFmtId="0" fontId="32" fillId="24" borderId="323" applyNumberFormat="0" applyAlignment="0" applyProtection="0"/>
    <xf numFmtId="0" fontId="32" fillId="24" borderId="323" applyNumberFormat="0" applyAlignment="0" applyProtection="0"/>
    <xf numFmtId="0" fontId="32" fillId="24" borderId="323" applyNumberFormat="0" applyAlignment="0" applyProtection="0"/>
    <xf numFmtId="0" fontId="32" fillId="24" borderId="323" applyNumberFormat="0" applyAlignment="0" applyProtection="0"/>
    <xf numFmtId="0" fontId="32" fillId="24" borderId="323" applyNumberFormat="0" applyAlignment="0" applyProtection="0"/>
    <xf numFmtId="0" fontId="32" fillId="24" borderId="323" applyNumberFormat="0" applyAlignment="0" applyProtection="0"/>
    <xf numFmtId="0" fontId="32" fillId="24" borderId="323" applyNumberFormat="0" applyAlignment="0" applyProtection="0"/>
    <xf numFmtId="0" fontId="32" fillId="24" borderId="323" applyNumberFormat="0" applyAlignment="0" applyProtection="0"/>
    <xf numFmtId="0" fontId="32" fillId="24" borderId="323" applyNumberFormat="0" applyAlignment="0" applyProtection="0"/>
    <xf numFmtId="0" fontId="32" fillId="24" borderId="323" applyNumberFormat="0" applyAlignment="0" applyProtection="0"/>
    <xf numFmtId="0" fontId="32" fillId="24" borderId="323" applyNumberFormat="0" applyAlignment="0" applyProtection="0"/>
    <xf numFmtId="0" fontId="32" fillId="24" borderId="323" applyNumberFormat="0" applyAlignment="0" applyProtection="0"/>
    <xf numFmtId="0" fontId="32" fillId="24" borderId="323" applyNumberFormat="0" applyAlignment="0" applyProtection="0"/>
    <xf numFmtId="0" fontId="32" fillId="24" borderId="323" applyNumberFormat="0" applyAlignment="0" applyProtection="0"/>
    <xf numFmtId="0" fontId="32" fillId="24" borderId="323" applyNumberFormat="0" applyAlignment="0" applyProtection="0"/>
    <xf numFmtId="0" fontId="32" fillId="24" borderId="323" applyNumberFormat="0" applyAlignment="0" applyProtection="0"/>
    <xf numFmtId="0" fontId="32" fillId="24" borderId="323" applyNumberFormat="0" applyAlignment="0" applyProtection="0"/>
    <xf numFmtId="0" fontId="32" fillId="24" borderId="323" applyNumberFormat="0" applyAlignment="0" applyProtection="0"/>
    <xf numFmtId="0" fontId="32" fillId="24" borderId="323" applyNumberFormat="0" applyAlignment="0" applyProtection="0"/>
    <xf numFmtId="0" fontId="32" fillId="24" borderId="323" applyNumberFormat="0" applyAlignment="0" applyProtection="0"/>
    <xf numFmtId="0" fontId="32" fillId="24" borderId="323" applyNumberFormat="0" applyAlignment="0" applyProtection="0"/>
    <xf numFmtId="0" fontId="32" fillId="24" borderId="323" applyNumberFormat="0" applyAlignment="0" applyProtection="0"/>
    <xf numFmtId="0" fontId="32" fillId="24" borderId="323" applyNumberFormat="0" applyAlignment="0" applyProtection="0"/>
    <xf numFmtId="0" fontId="32" fillId="24" borderId="323" applyNumberFormat="0" applyAlignment="0" applyProtection="0"/>
    <xf numFmtId="0" fontId="32" fillId="24" borderId="323" applyNumberFormat="0" applyAlignment="0" applyProtection="0"/>
    <xf numFmtId="0" fontId="32" fillId="24" borderId="323" applyNumberFormat="0" applyAlignment="0" applyProtection="0"/>
    <xf numFmtId="0" fontId="16" fillId="24" borderId="323" applyNumberFormat="0" applyAlignment="0" applyProtection="0"/>
    <xf numFmtId="0" fontId="16" fillId="24" borderId="323" applyNumberFormat="0" applyAlignment="0" applyProtection="0"/>
    <xf numFmtId="0" fontId="16" fillId="24" borderId="323" applyNumberFormat="0" applyAlignment="0" applyProtection="0"/>
    <xf numFmtId="0" fontId="16" fillId="24" borderId="323" applyNumberFormat="0" applyAlignment="0" applyProtection="0"/>
    <xf numFmtId="0" fontId="16" fillId="24" borderId="323" applyNumberFormat="0" applyAlignment="0" applyProtection="0"/>
    <xf numFmtId="0" fontId="16" fillId="24" borderId="323" applyNumberFormat="0" applyAlignment="0" applyProtection="0"/>
    <xf numFmtId="0" fontId="16" fillId="24" borderId="323" applyNumberFormat="0" applyAlignment="0" applyProtection="0"/>
    <xf numFmtId="0" fontId="16" fillId="24" borderId="323" applyNumberFormat="0" applyAlignment="0" applyProtection="0"/>
    <xf numFmtId="0" fontId="16" fillId="24" borderId="323" applyNumberFormat="0" applyAlignment="0" applyProtection="0"/>
    <xf numFmtId="0" fontId="16" fillId="24" borderId="323" applyNumberFormat="0" applyAlignment="0" applyProtection="0"/>
    <xf numFmtId="0" fontId="16" fillId="24" borderId="323" applyNumberFormat="0" applyAlignment="0" applyProtection="0"/>
    <xf numFmtId="0" fontId="16" fillId="24" borderId="323" applyNumberFormat="0" applyAlignment="0" applyProtection="0"/>
    <xf numFmtId="0" fontId="16" fillId="24" borderId="323" applyNumberFormat="0" applyAlignment="0" applyProtection="0"/>
    <xf numFmtId="0" fontId="16" fillId="24" borderId="323" applyNumberFormat="0" applyAlignment="0" applyProtection="0"/>
    <xf numFmtId="0" fontId="16" fillId="24" borderId="323" applyNumberFormat="0" applyAlignment="0" applyProtection="0"/>
    <xf numFmtId="0" fontId="16" fillId="24" borderId="323" applyNumberFormat="0" applyAlignment="0" applyProtection="0"/>
    <xf numFmtId="0" fontId="16" fillId="24" borderId="323" applyNumberFormat="0" applyAlignment="0" applyProtection="0"/>
    <xf numFmtId="0" fontId="16" fillId="24" borderId="323" applyNumberFormat="0" applyAlignment="0" applyProtection="0"/>
    <xf numFmtId="0" fontId="16" fillId="24" borderId="323" applyNumberFormat="0" applyAlignment="0" applyProtection="0"/>
    <xf numFmtId="0" fontId="16" fillId="24" borderId="323" applyNumberFormat="0" applyAlignment="0" applyProtection="0"/>
    <xf numFmtId="0" fontId="16" fillId="24" borderId="323" applyNumberFormat="0" applyAlignment="0" applyProtection="0"/>
    <xf numFmtId="0" fontId="16" fillId="24" borderId="323" applyNumberFormat="0" applyAlignment="0" applyProtection="0"/>
    <xf numFmtId="0" fontId="16" fillId="24" borderId="323" applyNumberFormat="0" applyAlignment="0" applyProtection="0"/>
    <xf numFmtId="0" fontId="16" fillId="24" borderId="323" applyNumberFormat="0" applyAlignment="0" applyProtection="0"/>
    <xf numFmtId="0" fontId="16" fillId="24" borderId="323" applyNumberFormat="0" applyAlignment="0" applyProtection="0"/>
    <xf numFmtId="0" fontId="16" fillId="24" borderId="323" applyNumberFormat="0" applyAlignment="0" applyProtection="0"/>
    <xf numFmtId="0" fontId="16" fillId="24" borderId="323" applyNumberFormat="0" applyAlignment="0" applyProtection="0"/>
    <xf numFmtId="0" fontId="16" fillId="24" borderId="323" applyNumberFormat="0" applyAlignment="0" applyProtection="0"/>
    <xf numFmtId="0" fontId="16" fillId="24" borderId="323" applyNumberFormat="0" applyAlignment="0" applyProtection="0"/>
    <xf numFmtId="0" fontId="16" fillId="24" borderId="323" applyNumberFormat="0" applyAlignment="0" applyProtection="0"/>
    <xf numFmtId="0" fontId="16" fillId="24" borderId="323" applyNumberFormat="0" applyAlignment="0" applyProtection="0"/>
    <xf numFmtId="0" fontId="16" fillId="24" borderId="323" applyNumberFormat="0" applyAlignment="0" applyProtection="0"/>
    <xf numFmtId="0" fontId="16" fillId="24" borderId="323" applyNumberFormat="0" applyAlignment="0" applyProtection="0"/>
    <xf numFmtId="0" fontId="16" fillId="24" borderId="323" applyNumberFormat="0" applyAlignment="0" applyProtection="0"/>
    <xf numFmtId="0" fontId="16" fillId="24" borderId="323" applyNumberFormat="0" applyAlignment="0" applyProtection="0"/>
    <xf numFmtId="0" fontId="16" fillId="24" borderId="323" applyNumberFormat="0" applyAlignment="0" applyProtection="0"/>
    <xf numFmtId="0" fontId="16" fillId="24" borderId="323" applyNumberFormat="0" applyAlignment="0" applyProtection="0"/>
    <xf numFmtId="0" fontId="16" fillId="24" borderId="323" applyNumberFormat="0" applyAlignment="0" applyProtection="0"/>
    <xf numFmtId="0" fontId="16" fillId="24" borderId="323" applyNumberFormat="0" applyAlignment="0" applyProtection="0"/>
    <xf numFmtId="0" fontId="16" fillId="24" borderId="323" applyNumberFormat="0" applyAlignment="0" applyProtection="0"/>
    <xf numFmtId="0" fontId="16" fillId="24" borderId="323" applyNumberFormat="0" applyAlignment="0" applyProtection="0"/>
    <xf numFmtId="0" fontId="16" fillId="24" borderId="323" applyNumberFormat="0" applyAlignment="0" applyProtection="0"/>
    <xf numFmtId="0" fontId="16" fillId="24" borderId="323" applyNumberFormat="0" applyAlignment="0" applyProtection="0"/>
    <xf numFmtId="0" fontId="16" fillId="24" borderId="323" applyNumberFormat="0" applyAlignment="0" applyProtection="0"/>
    <xf numFmtId="0" fontId="16" fillId="24" borderId="323" applyNumberFormat="0" applyAlignment="0" applyProtection="0"/>
    <xf numFmtId="0" fontId="16" fillId="24" borderId="323" applyNumberFormat="0" applyAlignment="0" applyProtection="0"/>
    <xf numFmtId="0" fontId="16" fillId="24" borderId="323" applyNumberFormat="0" applyAlignment="0" applyProtection="0"/>
    <xf numFmtId="0" fontId="16" fillId="24" borderId="323" applyNumberFormat="0" applyAlignment="0" applyProtection="0"/>
    <xf numFmtId="0" fontId="16" fillId="24" borderId="323" applyNumberFormat="0" applyAlignment="0" applyProtection="0"/>
    <xf numFmtId="0" fontId="48" fillId="24" borderId="323" applyNumberFormat="0" applyAlignment="0" applyProtection="0"/>
    <xf numFmtId="0" fontId="48" fillId="24" borderId="323" applyNumberFormat="0" applyAlignment="0" applyProtection="0"/>
    <xf numFmtId="0" fontId="48" fillId="24" borderId="323" applyNumberFormat="0" applyAlignment="0" applyProtection="0"/>
    <xf numFmtId="0" fontId="48" fillId="24" borderId="323" applyNumberFormat="0" applyAlignment="0" applyProtection="0"/>
    <xf numFmtId="0" fontId="48" fillId="24" borderId="323" applyNumberFormat="0" applyAlignment="0" applyProtection="0"/>
    <xf numFmtId="0" fontId="48" fillId="24" borderId="323" applyNumberFormat="0" applyAlignment="0" applyProtection="0"/>
    <xf numFmtId="0" fontId="48" fillId="24" borderId="323" applyNumberFormat="0" applyAlignment="0" applyProtection="0"/>
    <xf numFmtId="0" fontId="48" fillId="24" borderId="323" applyNumberFormat="0" applyAlignment="0" applyProtection="0"/>
    <xf numFmtId="0" fontId="48" fillId="24" borderId="323" applyNumberFormat="0" applyAlignment="0" applyProtection="0"/>
    <xf numFmtId="0" fontId="48" fillId="24" borderId="323" applyNumberFormat="0" applyAlignment="0" applyProtection="0"/>
    <xf numFmtId="0" fontId="48" fillId="24" borderId="323" applyNumberFormat="0" applyAlignment="0" applyProtection="0"/>
    <xf numFmtId="0" fontId="48" fillId="24" borderId="323" applyNumberFormat="0" applyAlignment="0" applyProtection="0"/>
    <xf numFmtId="0" fontId="48" fillId="24" borderId="323" applyNumberFormat="0" applyAlignment="0" applyProtection="0"/>
    <xf numFmtId="0" fontId="48" fillId="24" borderId="323" applyNumberFormat="0" applyAlignment="0" applyProtection="0"/>
    <xf numFmtId="0" fontId="48" fillId="24" borderId="323" applyNumberFormat="0" applyAlignment="0" applyProtection="0"/>
    <xf numFmtId="0" fontId="48" fillId="24" borderId="323" applyNumberFormat="0" applyAlignment="0" applyProtection="0"/>
    <xf numFmtId="0" fontId="48" fillId="24" borderId="323" applyNumberFormat="0" applyAlignment="0" applyProtection="0"/>
    <xf numFmtId="0" fontId="48" fillId="24" borderId="323" applyNumberFormat="0" applyAlignment="0" applyProtection="0"/>
    <xf numFmtId="0" fontId="48" fillId="24" borderId="323" applyNumberFormat="0" applyAlignment="0" applyProtection="0"/>
    <xf numFmtId="0" fontId="48" fillId="24" borderId="323" applyNumberFormat="0" applyAlignment="0" applyProtection="0"/>
    <xf numFmtId="0" fontId="48" fillId="24" borderId="323" applyNumberFormat="0" applyAlignment="0" applyProtection="0"/>
    <xf numFmtId="0" fontId="48" fillId="24" borderId="323" applyNumberFormat="0" applyAlignment="0" applyProtection="0"/>
    <xf numFmtId="0" fontId="48" fillId="24" borderId="323" applyNumberFormat="0" applyAlignment="0" applyProtection="0"/>
    <xf numFmtId="0" fontId="48" fillId="24" borderId="323" applyNumberFormat="0" applyAlignment="0" applyProtection="0"/>
    <xf numFmtId="0" fontId="48" fillId="24" borderId="323" applyNumberFormat="0" applyAlignment="0" applyProtection="0"/>
    <xf numFmtId="0" fontId="48" fillId="24" borderId="323" applyNumberFormat="0" applyAlignment="0" applyProtection="0"/>
    <xf numFmtId="0" fontId="48" fillId="24" borderId="323" applyNumberFormat="0" applyAlignment="0" applyProtection="0"/>
    <xf numFmtId="0" fontId="48" fillId="24" borderId="323" applyNumberFormat="0" applyAlignment="0" applyProtection="0"/>
    <xf numFmtId="0" fontId="48" fillId="24" borderId="323" applyNumberFormat="0" applyAlignment="0" applyProtection="0"/>
    <xf numFmtId="0" fontId="48" fillId="24" borderId="323" applyNumberFormat="0" applyAlignment="0" applyProtection="0"/>
    <xf numFmtId="0" fontId="48" fillId="24" borderId="323" applyNumberFormat="0" applyAlignment="0" applyProtection="0"/>
    <xf numFmtId="0" fontId="48" fillId="24" borderId="323" applyNumberFormat="0" applyAlignment="0" applyProtection="0"/>
    <xf numFmtId="0" fontId="48" fillId="24" borderId="323" applyNumberFormat="0" applyAlignment="0" applyProtection="0"/>
    <xf numFmtId="0" fontId="48" fillId="24" borderId="323" applyNumberFormat="0" applyAlignment="0" applyProtection="0"/>
    <xf numFmtId="0" fontId="48" fillId="24" borderId="323" applyNumberFormat="0" applyAlignment="0" applyProtection="0"/>
    <xf numFmtId="0" fontId="48" fillId="24" borderId="323" applyNumberFormat="0" applyAlignment="0" applyProtection="0"/>
    <xf numFmtId="0" fontId="48" fillId="24" borderId="323" applyNumberFormat="0" applyAlignment="0" applyProtection="0"/>
    <xf numFmtId="0" fontId="48" fillId="24" borderId="323" applyNumberFormat="0" applyAlignment="0" applyProtection="0"/>
    <xf numFmtId="0" fontId="48" fillId="24" borderId="323" applyNumberFormat="0" applyAlignment="0" applyProtection="0"/>
    <xf numFmtId="0" fontId="48" fillId="24" borderId="323" applyNumberFormat="0" applyAlignment="0" applyProtection="0"/>
    <xf numFmtId="0" fontId="48" fillId="24" borderId="323" applyNumberFormat="0" applyAlignment="0" applyProtection="0"/>
    <xf numFmtId="0" fontId="48" fillId="24" borderId="323" applyNumberFormat="0" applyAlignment="0" applyProtection="0"/>
    <xf numFmtId="0" fontId="48" fillId="24" borderId="323" applyNumberFormat="0" applyAlignment="0" applyProtection="0"/>
    <xf numFmtId="0" fontId="48" fillId="24" borderId="323" applyNumberFormat="0" applyAlignment="0" applyProtection="0"/>
    <xf numFmtId="0" fontId="48" fillId="24" borderId="323" applyNumberFormat="0" applyAlignment="0" applyProtection="0"/>
    <xf numFmtId="0" fontId="48" fillId="24" borderId="323" applyNumberFormat="0" applyAlignment="0" applyProtection="0"/>
    <xf numFmtId="0" fontId="48" fillId="24" borderId="323" applyNumberFormat="0" applyAlignment="0" applyProtection="0"/>
    <xf numFmtId="0" fontId="48" fillId="24" borderId="323" applyNumberFormat="0" applyAlignment="0" applyProtection="0"/>
    <xf numFmtId="0" fontId="48" fillId="12" borderId="323" applyNumberFormat="0" applyAlignment="0" applyProtection="0"/>
    <xf numFmtId="0" fontId="48" fillId="12" borderId="323" applyNumberFormat="0" applyAlignment="0" applyProtection="0"/>
    <xf numFmtId="0" fontId="48" fillId="12" borderId="323" applyNumberFormat="0" applyAlignment="0" applyProtection="0"/>
    <xf numFmtId="0" fontId="48" fillId="12" borderId="323" applyNumberFormat="0" applyAlignment="0" applyProtection="0"/>
    <xf numFmtId="0" fontId="48" fillId="12" borderId="323" applyNumberFormat="0" applyAlignment="0" applyProtection="0"/>
    <xf numFmtId="0" fontId="48" fillId="12" borderId="323" applyNumberFormat="0" applyAlignment="0" applyProtection="0"/>
    <xf numFmtId="0" fontId="48" fillId="12" borderId="323" applyNumberFormat="0" applyAlignment="0" applyProtection="0"/>
    <xf numFmtId="0" fontId="48" fillId="12" borderId="323" applyNumberFormat="0" applyAlignment="0" applyProtection="0"/>
    <xf numFmtId="0" fontId="48" fillId="12" borderId="323" applyNumberFormat="0" applyAlignment="0" applyProtection="0"/>
    <xf numFmtId="0" fontId="48" fillId="12" borderId="323" applyNumberFormat="0" applyAlignment="0" applyProtection="0"/>
    <xf numFmtId="0" fontId="48" fillId="12" borderId="323" applyNumberFormat="0" applyAlignment="0" applyProtection="0"/>
    <xf numFmtId="0" fontId="48" fillId="12" borderId="323" applyNumberFormat="0" applyAlignment="0" applyProtection="0"/>
    <xf numFmtId="0" fontId="48" fillId="12" borderId="323" applyNumberFormat="0" applyAlignment="0" applyProtection="0"/>
    <xf numFmtId="0" fontId="48" fillId="12" borderId="323" applyNumberFormat="0" applyAlignment="0" applyProtection="0"/>
    <xf numFmtId="0" fontId="48" fillId="12" borderId="323" applyNumberFormat="0" applyAlignment="0" applyProtection="0"/>
    <xf numFmtId="0" fontId="48" fillId="12" borderId="323" applyNumberFormat="0" applyAlignment="0" applyProtection="0"/>
    <xf numFmtId="0" fontId="48" fillId="12" borderId="323" applyNumberFormat="0" applyAlignment="0" applyProtection="0"/>
    <xf numFmtId="0" fontId="48" fillId="12" borderId="323" applyNumberFormat="0" applyAlignment="0" applyProtection="0"/>
    <xf numFmtId="0" fontId="48" fillId="12" borderId="323" applyNumberFormat="0" applyAlignment="0" applyProtection="0"/>
    <xf numFmtId="0" fontId="48" fillId="12" borderId="323" applyNumberFormat="0" applyAlignment="0" applyProtection="0"/>
    <xf numFmtId="0" fontId="48" fillId="12" borderId="323" applyNumberFormat="0" applyAlignment="0" applyProtection="0"/>
    <xf numFmtId="0" fontId="48" fillId="12" borderId="323" applyNumberFormat="0" applyAlignment="0" applyProtection="0"/>
    <xf numFmtId="0" fontId="48" fillId="12" borderId="323" applyNumberFormat="0" applyAlignment="0" applyProtection="0"/>
    <xf numFmtId="0" fontId="48" fillId="12" borderId="323" applyNumberFormat="0" applyAlignment="0" applyProtection="0"/>
    <xf numFmtId="0" fontId="48" fillId="12" borderId="323" applyNumberFormat="0" applyAlignment="0" applyProtection="0"/>
    <xf numFmtId="0" fontId="48" fillId="12" borderId="323" applyNumberFormat="0" applyAlignment="0" applyProtection="0"/>
    <xf numFmtId="0" fontId="48" fillId="12" borderId="323" applyNumberFormat="0" applyAlignment="0" applyProtection="0"/>
    <xf numFmtId="0" fontId="48" fillId="12" borderId="323" applyNumberFormat="0" applyAlignment="0" applyProtection="0"/>
    <xf numFmtId="0" fontId="48" fillId="12" borderId="323" applyNumberFormat="0" applyAlignment="0" applyProtection="0"/>
    <xf numFmtId="0" fontId="48" fillId="12" borderId="323" applyNumberFormat="0" applyAlignment="0" applyProtection="0"/>
    <xf numFmtId="0" fontId="48" fillId="12" borderId="323" applyNumberFormat="0" applyAlignment="0" applyProtection="0"/>
    <xf numFmtId="0" fontId="48" fillId="12" borderId="323" applyNumberFormat="0" applyAlignment="0" applyProtection="0"/>
    <xf numFmtId="0" fontId="48" fillId="12" borderId="323" applyNumberFormat="0" applyAlignment="0" applyProtection="0"/>
    <xf numFmtId="0" fontId="48" fillId="12" borderId="323" applyNumberFormat="0" applyAlignment="0" applyProtection="0"/>
    <xf numFmtId="0" fontId="48" fillId="12" borderId="323" applyNumberFormat="0" applyAlignment="0" applyProtection="0"/>
    <xf numFmtId="0" fontId="48" fillId="12" borderId="323" applyNumberFormat="0" applyAlignment="0" applyProtection="0"/>
    <xf numFmtId="0" fontId="48" fillId="12" borderId="323" applyNumberFormat="0" applyAlignment="0" applyProtection="0"/>
    <xf numFmtId="0" fontId="48" fillId="12" borderId="323" applyNumberFormat="0" applyAlignment="0" applyProtection="0"/>
    <xf numFmtId="0" fontId="48" fillId="12" borderId="323" applyNumberFormat="0" applyAlignment="0" applyProtection="0"/>
    <xf numFmtId="0" fontId="48" fillId="12" borderId="323" applyNumberFormat="0" applyAlignment="0" applyProtection="0"/>
    <xf numFmtId="0" fontId="48" fillId="12" borderId="323" applyNumberFormat="0" applyAlignment="0" applyProtection="0"/>
    <xf numFmtId="0" fontId="48" fillId="12" borderId="323" applyNumberFormat="0" applyAlignment="0" applyProtection="0"/>
    <xf numFmtId="0" fontId="48" fillId="12" borderId="323" applyNumberFormat="0" applyAlignment="0" applyProtection="0"/>
    <xf numFmtId="0" fontId="48" fillId="12" borderId="323" applyNumberFormat="0" applyAlignment="0" applyProtection="0"/>
    <xf numFmtId="0" fontId="48" fillId="12" borderId="323" applyNumberFormat="0" applyAlignment="0" applyProtection="0"/>
    <xf numFmtId="0" fontId="48" fillId="12" borderId="323" applyNumberFormat="0" applyAlignment="0" applyProtection="0"/>
    <xf numFmtId="0" fontId="48" fillId="12" borderId="323" applyNumberFormat="0" applyAlignment="0" applyProtection="0"/>
    <xf numFmtId="0" fontId="48" fillId="12" borderId="323" applyNumberFormat="0" applyAlignment="0" applyProtection="0"/>
    <xf numFmtId="0" fontId="48" fillId="12" borderId="323" applyNumberFormat="0" applyAlignment="0" applyProtection="0"/>
    <xf numFmtId="0" fontId="48" fillId="12" borderId="323" applyNumberFormat="0" applyAlignment="0" applyProtection="0"/>
    <xf numFmtId="0" fontId="48" fillId="12" borderId="323" applyNumberFormat="0" applyAlignment="0" applyProtection="0"/>
    <xf numFmtId="0" fontId="48" fillId="12" borderId="323" applyNumberFormat="0" applyAlignment="0" applyProtection="0"/>
    <xf numFmtId="0" fontId="48" fillId="12" borderId="323" applyNumberFormat="0" applyAlignment="0" applyProtection="0"/>
    <xf numFmtId="0" fontId="48" fillId="12" borderId="323" applyNumberFormat="0" applyAlignment="0" applyProtection="0"/>
    <xf numFmtId="0" fontId="48" fillId="12" borderId="323" applyNumberFormat="0" applyAlignment="0" applyProtection="0"/>
    <xf numFmtId="0" fontId="48" fillId="12" borderId="323" applyNumberFormat="0" applyAlignment="0" applyProtection="0"/>
    <xf numFmtId="0" fontId="48" fillId="12" borderId="323" applyNumberFormat="0" applyAlignment="0" applyProtection="0"/>
    <xf numFmtId="0" fontId="48" fillId="12" borderId="323" applyNumberFormat="0" applyAlignment="0" applyProtection="0"/>
    <xf numFmtId="0" fontId="48" fillId="12" borderId="323" applyNumberFormat="0" applyAlignment="0" applyProtection="0"/>
    <xf numFmtId="0" fontId="48" fillId="12" borderId="323" applyNumberFormat="0" applyAlignment="0" applyProtection="0"/>
    <xf numFmtId="0" fontId="48" fillId="12" borderId="323" applyNumberFormat="0" applyAlignment="0" applyProtection="0"/>
    <xf numFmtId="0" fontId="48" fillId="12" borderId="323" applyNumberFormat="0" applyAlignment="0" applyProtection="0"/>
    <xf numFmtId="0" fontId="48" fillId="12" borderId="323" applyNumberFormat="0" applyAlignment="0" applyProtection="0"/>
    <xf numFmtId="0" fontId="48" fillId="12" borderId="323" applyNumberFormat="0" applyAlignment="0" applyProtection="0"/>
    <xf numFmtId="0" fontId="48" fillId="12" borderId="323" applyNumberFormat="0" applyAlignment="0" applyProtection="0"/>
    <xf numFmtId="0" fontId="48" fillId="12" borderId="323" applyNumberFormat="0" applyAlignment="0" applyProtection="0"/>
    <xf numFmtId="0" fontId="48" fillId="12" borderId="323" applyNumberFormat="0" applyAlignment="0" applyProtection="0"/>
    <xf numFmtId="0" fontId="48" fillId="12" borderId="323" applyNumberFormat="0" applyAlignment="0" applyProtection="0"/>
    <xf numFmtId="0" fontId="48" fillId="12" borderId="323" applyNumberFormat="0" applyAlignment="0" applyProtection="0"/>
    <xf numFmtId="0" fontId="48" fillId="12" borderId="323" applyNumberFormat="0" applyAlignment="0" applyProtection="0"/>
    <xf numFmtId="0" fontId="48" fillId="12" borderId="323" applyNumberFormat="0" applyAlignment="0" applyProtection="0"/>
    <xf numFmtId="0" fontId="48" fillId="12" borderId="323" applyNumberFormat="0" applyAlignment="0" applyProtection="0"/>
    <xf numFmtId="0" fontId="48" fillId="12" borderId="323" applyNumberFormat="0" applyAlignment="0" applyProtection="0"/>
    <xf numFmtId="0" fontId="48" fillId="12" borderId="323" applyNumberFormat="0" applyAlignment="0" applyProtection="0"/>
    <xf numFmtId="0" fontId="48" fillId="12" borderId="323" applyNumberFormat="0" applyAlignment="0" applyProtection="0"/>
    <xf numFmtId="0" fontId="48" fillId="12" borderId="323" applyNumberFormat="0" applyAlignment="0" applyProtection="0"/>
    <xf numFmtId="0" fontId="48" fillId="12" borderId="323" applyNumberFormat="0" applyAlignment="0" applyProtection="0"/>
    <xf numFmtId="0" fontId="16" fillId="24" borderId="323" applyNumberFormat="0" applyAlignment="0" applyProtection="0"/>
    <xf numFmtId="0" fontId="16" fillId="24" borderId="323" applyNumberFormat="0" applyAlignment="0" applyProtection="0"/>
    <xf numFmtId="0" fontId="16" fillId="24" borderId="323" applyNumberFormat="0" applyAlignment="0" applyProtection="0"/>
    <xf numFmtId="0" fontId="16" fillId="24" borderId="323" applyNumberFormat="0" applyAlignment="0" applyProtection="0"/>
    <xf numFmtId="0" fontId="16" fillId="24" borderId="323" applyNumberFormat="0" applyAlignment="0" applyProtection="0"/>
    <xf numFmtId="0" fontId="16" fillId="24" borderId="323" applyNumberFormat="0" applyAlignment="0" applyProtection="0"/>
    <xf numFmtId="0" fontId="16" fillId="24" borderId="323" applyNumberFormat="0" applyAlignment="0" applyProtection="0"/>
    <xf numFmtId="0" fontId="16" fillId="24" borderId="323" applyNumberFormat="0" applyAlignment="0" applyProtection="0"/>
    <xf numFmtId="0" fontId="16" fillId="24" borderId="323" applyNumberFormat="0" applyAlignment="0" applyProtection="0"/>
    <xf numFmtId="0" fontId="16" fillId="24" borderId="323" applyNumberFormat="0" applyAlignment="0" applyProtection="0"/>
    <xf numFmtId="0" fontId="16" fillId="24" borderId="323" applyNumberFormat="0" applyAlignment="0" applyProtection="0"/>
    <xf numFmtId="0" fontId="16" fillId="24" borderId="323" applyNumberFormat="0" applyAlignment="0" applyProtection="0"/>
    <xf numFmtId="0" fontId="16" fillId="24" borderId="323" applyNumberFormat="0" applyAlignment="0" applyProtection="0"/>
    <xf numFmtId="0" fontId="16" fillId="24" borderId="323" applyNumberFormat="0" applyAlignment="0" applyProtection="0"/>
    <xf numFmtId="0" fontId="16" fillId="24" borderId="323" applyNumberFormat="0" applyAlignment="0" applyProtection="0"/>
    <xf numFmtId="0" fontId="16" fillId="24" borderId="323" applyNumberFormat="0" applyAlignment="0" applyProtection="0"/>
    <xf numFmtId="0" fontId="16" fillId="24" borderId="323" applyNumberFormat="0" applyAlignment="0" applyProtection="0"/>
    <xf numFmtId="0" fontId="16" fillId="24" borderId="323" applyNumberFormat="0" applyAlignment="0" applyProtection="0"/>
    <xf numFmtId="0" fontId="16" fillId="24" borderId="323" applyNumberFormat="0" applyAlignment="0" applyProtection="0"/>
    <xf numFmtId="0" fontId="16" fillId="24" borderId="323" applyNumberFormat="0" applyAlignment="0" applyProtection="0"/>
    <xf numFmtId="0" fontId="16" fillId="24" borderId="323" applyNumberFormat="0" applyAlignment="0" applyProtection="0"/>
    <xf numFmtId="0" fontId="16" fillId="24" borderId="323" applyNumberFormat="0" applyAlignment="0" applyProtection="0"/>
    <xf numFmtId="0" fontId="16" fillId="24" borderId="323" applyNumberFormat="0" applyAlignment="0" applyProtection="0"/>
    <xf numFmtId="0" fontId="16" fillId="24" borderId="323" applyNumberFormat="0" applyAlignment="0" applyProtection="0"/>
    <xf numFmtId="0" fontId="16" fillId="24" borderId="323" applyNumberFormat="0" applyAlignment="0" applyProtection="0"/>
    <xf numFmtId="0" fontId="16" fillId="24" borderId="323" applyNumberFormat="0" applyAlignment="0" applyProtection="0"/>
    <xf numFmtId="0" fontId="16" fillId="24" borderId="323" applyNumberFormat="0" applyAlignment="0" applyProtection="0"/>
    <xf numFmtId="0" fontId="16" fillId="24" borderId="323" applyNumberFormat="0" applyAlignment="0" applyProtection="0"/>
    <xf numFmtId="0" fontId="16" fillId="24" borderId="323" applyNumberFormat="0" applyAlignment="0" applyProtection="0"/>
    <xf numFmtId="0" fontId="16" fillId="24" borderId="323" applyNumberFormat="0" applyAlignment="0" applyProtection="0"/>
    <xf numFmtId="0" fontId="16" fillId="24" borderId="323" applyNumberFormat="0" applyAlignment="0" applyProtection="0"/>
    <xf numFmtId="0" fontId="16" fillId="24" borderId="323" applyNumberFormat="0" applyAlignment="0" applyProtection="0"/>
    <xf numFmtId="0" fontId="16" fillId="24" borderId="323" applyNumberFormat="0" applyAlignment="0" applyProtection="0"/>
    <xf numFmtId="0" fontId="16" fillId="24" borderId="323" applyNumberFormat="0" applyAlignment="0" applyProtection="0"/>
    <xf numFmtId="0" fontId="16" fillId="24" borderId="323" applyNumberFormat="0" applyAlignment="0" applyProtection="0"/>
    <xf numFmtId="0" fontId="16" fillId="24" borderId="323" applyNumberFormat="0" applyAlignment="0" applyProtection="0"/>
    <xf numFmtId="0" fontId="16" fillId="24" borderId="323" applyNumberFormat="0" applyAlignment="0" applyProtection="0"/>
    <xf numFmtId="0" fontId="16" fillId="24" borderId="323" applyNumberFormat="0" applyAlignment="0" applyProtection="0"/>
    <xf numFmtId="0" fontId="16" fillId="24" borderId="323" applyNumberFormat="0" applyAlignment="0" applyProtection="0"/>
    <xf numFmtId="0" fontId="16" fillId="24" borderId="323" applyNumberFormat="0" applyAlignment="0" applyProtection="0"/>
    <xf numFmtId="0" fontId="16" fillId="24" borderId="323" applyNumberFormat="0" applyAlignment="0" applyProtection="0"/>
    <xf numFmtId="0" fontId="16" fillId="24" borderId="323" applyNumberFormat="0" applyAlignment="0" applyProtection="0"/>
    <xf numFmtId="0" fontId="16" fillId="24" borderId="323" applyNumberFormat="0" applyAlignment="0" applyProtection="0"/>
    <xf numFmtId="0" fontId="16" fillId="24" borderId="323" applyNumberFormat="0" applyAlignment="0" applyProtection="0"/>
    <xf numFmtId="0" fontId="16" fillId="24" borderId="323" applyNumberFormat="0" applyAlignment="0" applyProtection="0"/>
    <xf numFmtId="0" fontId="16" fillId="24" borderId="323" applyNumberFormat="0" applyAlignment="0" applyProtection="0"/>
    <xf numFmtId="0" fontId="16" fillId="24" borderId="323" applyNumberFormat="0" applyAlignment="0" applyProtection="0"/>
    <xf numFmtId="0" fontId="16" fillId="24" borderId="323" applyNumberFormat="0" applyAlignment="0" applyProtection="0"/>
    <xf numFmtId="0" fontId="16" fillId="24" borderId="323" applyNumberFormat="0" applyAlignment="0" applyProtection="0"/>
    <xf numFmtId="0" fontId="48" fillId="12" borderId="323" applyNumberFormat="0" applyAlignment="0" applyProtection="0"/>
    <xf numFmtId="0" fontId="48" fillId="12" borderId="323" applyNumberFormat="0" applyAlignment="0" applyProtection="0"/>
    <xf numFmtId="0" fontId="48" fillId="12" borderId="323" applyNumberFormat="0" applyAlignment="0" applyProtection="0"/>
    <xf numFmtId="0" fontId="48" fillId="12" borderId="323" applyNumberFormat="0" applyAlignment="0" applyProtection="0"/>
    <xf numFmtId="0" fontId="48" fillId="12" borderId="323" applyNumberFormat="0" applyAlignment="0" applyProtection="0"/>
    <xf numFmtId="0" fontId="48" fillId="12" borderId="323" applyNumberFormat="0" applyAlignment="0" applyProtection="0"/>
    <xf numFmtId="0" fontId="48" fillId="12" borderId="323" applyNumberFormat="0" applyAlignment="0" applyProtection="0"/>
    <xf numFmtId="0" fontId="48" fillId="12" borderId="323" applyNumberFormat="0" applyAlignment="0" applyProtection="0"/>
    <xf numFmtId="0" fontId="48" fillId="12" borderId="323" applyNumberFormat="0" applyAlignment="0" applyProtection="0"/>
    <xf numFmtId="0" fontId="48" fillId="12" borderId="323" applyNumberFormat="0" applyAlignment="0" applyProtection="0"/>
    <xf numFmtId="0" fontId="48" fillId="12" borderId="323" applyNumberFormat="0" applyAlignment="0" applyProtection="0"/>
    <xf numFmtId="0" fontId="48" fillId="12" borderId="323" applyNumberFormat="0" applyAlignment="0" applyProtection="0"/>
    <xf numFmtId="0" fontId="48" fillId="12" borderId="323" applyNumberFormat="0" applyAlignment="0" applyProtection="0"/>
    <xf numFmtId="0" fontId="48" fillId="12" borderId="323" applyNumberFormat="0" applyAlignment="0" applyProtection="0"/>
    <xf numFmtId="0" fontId="48" fillId="12" borderId="323" applyNumberFormat="0" applyAlignment="0" applyProtection="0"/>
    <xf numFmtId="0" fontId="48" fillId="12" borderId="323" applyNumberFormat="0" applyAlignment="0" applyProtection="0"/>
    <xf numFmtId="0" fontId="48" fillId="12" borderId="323" applyNumberFormat="0" applyAlignment="0" applyProtection="0"/>
    <xf numFmtId="0" fontId="48" fillId="12" borderId="323" applyNumberFormat="0" applyAlignment="0" applyProtection="0"/>
    <xf numFmtId="0" fontId="48" fillId="12" borderId="323" applyNumberFormat="0" applyAlignment="0" applyProtection="0"/>
    <xf numFmtId="0" fontId="48" fillId="12" borderId="323" applyNumberFormat="0" applyAlignment="0" applyProtection="0"/>
    <xf numFmtId="0" fontId="48" fillId="12" borderId="323" applyNumberFormat="0" applyAlignment="0" applyProtection="0"/>
    <xf numFmtId="0" fontId="48" fillId="12" borderId="323" applyNumberFormat="0" applyAlignment="0" applyProtection="0"/>
    <xf numFmtId="0" fontId="48" fillId="12" borderId="323" applyNumberFormat="0" applyAlignment="0" applyProtection="0"/>
    <xf numFmtId="0" fontId="48" fillId="12" borderId="323" applyNumberFormat="0" applyAlignment="0" applyProtection="0"/>
    <xf numFmtId="0" fontId="48" fillId="12" borderId="323" applyNumberFormat="0" applyAlignment="0" applyProtection="0"/>
    <xf numFmtId="0" fontId="48" fillId="12" borderId="323" applyNumberFormat="0" applyAlignment="0" applyProtection="0"/>
    <xf numFmtId="0" fontId="48" fillId="12" borderId="323" applyNumberFormat="0" applyAlignment="0" applyProtection="0"/>
    <xf numFmtId="0" fontId="48" fillId="12" borderId="323" applyNumberFormat="0" applyAlignment="0" applyProtection="0"/>
    <xf numFmtId="0" fontId="48" fillId="12" borderId="323" applyNumberFormat="0" applyAlignment="0" applyProtection="0"/>
    <xf numFmtId="0" fontId="48" fillId="12" borderId="323" applyNumberFormat="0" applyAlignment="0" applyProtection="0"/>
    <xf numFmtId="0" fontId="48" fillId="12" borderId="323" applyNumberFormat="0" applyAlignment="0" applyProtection="0"/>
    <xf numFmtId="0" fontId="48" fillId="12" borderId="323" applyNumberFormat="0" applyAlignment="0" applyProtection="0"/>
    <xf numFmtId="0" fontId="48" fillId="12" borderId="323" applyNumberFormat="0" applyAlignment="0" applyProtection="0"/>
    <xf numFmtId="0" fontId="48" fillId="12" borderId="323" applyNumberFormat="0" applyAlignment="0" applyProtection="0"/>
    <xf numFmtId="0" fontId="48" fillId="12" borderId="323" applyNumberFormat="0" applyAlignment="0" applyProtection="0"/>
    <xf numFmtId="0" fontId="48" fillId="12" borderId="323" applyNumberFormat="0" applyAlignment="0" applyProtection="0"/>
    <xf numFmtId="0" fontId="48" fillId="12" borderId="323" applyNumberFormat="0" applyAlignment="0" applyProtection="0"/>
    <xf numFmtId="0" fontId="48" fillId="12" borderId="323" applyNumberFormat="0" applyAlignment="0" applyProtection="0"/>
    <xf numFmtId="0" fontId="48" fillId="12" borderId="323" applyNumberFormat="0" applyAlignment="0" applyProtection="0"/>
    <xf numFmtId="0" fontId="48" fillId="12" borderId="323" applyNumberFormat="0" applyAlignment="0" applyProtection="0"/>
    <xf numFmtId="0" fontId="48" fillId="12" borderId="323" applyNumberFormat="0" applyAlignment="0" applyProtection="0"/>
    <xf numFmtId="0" fontId="48" fillId="12" borderId="323" applyNumberFormat="0" applyAlignment="0" applyProtection="0"/>
    <xf numFmtId="0" fontId="48" fillId="12" borderId="323" applyNumberFormat="0" applyAlignment="0" applyProtection="0"/>
    <xf numFmtId="0" fontId="48" fillId="12" borderId="323" applyNumberFormat="0" applyAlignment="0" applyProtection="0"/>
    <xf numFmtId="0" fontId="48" fillId="12" borderId="323" applyNumberFormat="0" applyAlignment="0" applyProtection="0"/>
    <xf numFmtId="0" fontId="48" fillId="12" borderId="323" applyNumberFormat="0" applyAlignment="0" applyProtection="0"/>
    <xf numFmtId="0" fontId="48" fillId="12" borderId="323" applyNumberFormat="0" applyAlignment="0" applyProtection="0"/>
    <xf numFmtId="0" fontId="48" fillId="12" borderId="323" applyNumberFormat="0" applyAlignment="0" applyProtection="0"/>
    <xf numFmtId="0" fontId="48" fillId="12" borderId="323" applyNumberFormat="0" applyAlignment="0" applyProtection="0"/>
    <xf numFmtId="0" fontId="48" fillId="12" borderId="323" applyNumberFormat="0" applyAlignment="0" applyProtection="0"/>
    <xf numFmtId="0" fontId="48" fillId="12" borderId="323" applyNumberFormat="0" applyAlignment="0" applyProtection="0"/>
    <xf numFmtId="0" fontId="48" fillId="12" borderId="323" applyNumberFormat="0" applyAlignment="0" applyProtection="0"/>
    <xf numFmtId="0" fontId="48" fillId="12" borderId="323" applyNumberFormat="0" applyAlignment="0" applyProtection="0"/>
    <xf numFmtId="0" fontId="48" fillId="12" borderId="323" applyNumberFormat="0" applyAlignment="0" applyProtection="0"/>
    <xf numFmtId="0" fontId="48" fillId="12" borderId="323" applyNumberFormat="0" applyAlignment="0" applyProtection="0"/>
    <xf numFmtId="0" fontId="48" fillId="12" borderId="323" applyNumberFormat="0" applyAlignment="0" applyProtection="0"/>
    <xf numFmtId="0" fontId="48" fillId="12" borderId="323" applyNumberFormat="0" applyAlignment="0" applyProtection="0"/>
    <xf numFmtId="0" fontId="48" fillId="12" borderId="323" applyNumberFormat="0" applyAlignment="0" applyProtection="0"/>
    <xf numFmtId="0" fontId="48" fillId="12" borderId="323" applyNumberFormat="0" applyAlignment="0" applyProtection="0"/>
    <xf numFmtId="0" fontId="48" fillId="12" borderId="323" applyNumberFormat="0" applyAlignment="0" applyProtection="0"/>
    <xf numFmtId="0" fontId="48" fillId="12" borderId="323" applyNumberFormat="0" applyAlignment="0" applyProtection="0"/>
    <xf numFmtId="0" fontId="48" fillId="12" borderId="323" applyNumberFormat="0" applyAlignment="0" applyProtection="0"/>
    <xf numFmtId="0" fontId="48" fillId="12" borderId="323" applyNumberFormat="0" applyAlignment="0" applyProtection="0"/>
    <xf numFmtId="0" fontId="48" fillId="12" borderId="323" applyNumberFormat="0" applyAlignment="0" applyProtection="0"/>
    <xf numFmtId="0" fontId="48" fillId="12" borderId="323" applyNumberFormat="0" applyAlignment="0" applyProtection="0"/>
    <xf numFmtId="0" fontId="48" fillId="12" borderId="323" applyNumberFormat="0" applyAlignment="0" applyProtection="0"/>
    <xf numFmtId="0" fontId="48" fillId="12" borderId="323" applyNumberFormat="0" applyAlignment="0" applyProtection="0"/>
    <xf numFmtId="0" fontId="48" fillId="12" borderId="323" applyNumberFormat="0" applyAlignment="0" applyProtection="0"/>
    <xf numFmtId="0" fontId="48" fillId="12" borderId="323" applyNumberFormat="0" applyAlignment="0" applyProtection="0"/>
    <xf numFmtId="0" fontId="48" fillId="12" borderId="323" applyNumberFormat="0" applyAlignment="0" applyProtection="0"/>
    <xf numFmtId="0" fontId="48" fillId="12" borderId="323" applyNumberFormat="0" applyAlignment="0" applyProtection="0"/>
    <xf numFmtId="0" fontId="48" fillId="12" borderId="323" applyNumberFormat="0" applyAlignment="0" applyProtection="0"/>
    <xf numFmtId="0" fontId="48" fillId="12" borderId="323" applyNumberFormat="0" applyAlignment="0" applyProtection="0"/>
    <xf numFmtId="0" fontId="48" fillId="12" borderId="323" applyNumberFormat="0" applyAlignment="0" applyProtection="0"/>
    <xf numFmtId="0" fontId="48" fillId="12" borderId="323" applyNumberFormat="0" applyAlignment="0" applyProtection="0"/>
    <xf numFmtId="0" fontId="48" fillId="12" borderId="323" applyNumberFormat="0" applyAlignment="0" applyProtection="0"/>
    <xf numFmtId="0" fontId="48" fillId="12" borderId="323" applyNumberFormat="0" applyAlignment="0" applyProtection="0"/>
    <xf numFmtId="0" fontId="16" fillId="24" borderId="323" applyNumberFormat="0" applyAlignment="0" applyProtection="0"/>
    <xf numFmtId="0" fontId="16" fillId="24" borderId="323" applyNumberFormat="0" applyAlignment="0" applyProtection="0"/>
    <xf numFmtId="0" fontId="16" fillId="24" borderId="323" applyNumberFormat="0" applyAlignment="0" applyProtection="0"/>
    <xf numFmtId="0" fontId="16" fillId="24" borderId="323" applyNumberFormat="0" applyAlignment="0" applyProtection="0"/>
    <xf numFmtId="0" fontId="16" fillId="24" borderId="323" applyNumberFormat="0" applyAlignment="0" applyProtection="0"/>
    <xf numFmtId="0" fontId="16" fillId="24" borderId="323" applyNumberFormat="0" applyAlignment="0" applyProtection="0"/>
    <xf numFmtId="0" fontId="16" fillId="24" borderId="323" applyNumberFormat="0" applyAlignment="0" applyProtection="0"/>
    <xf numFmtId="0" fontId="16" fillId="24" borderId="323" applyNumberFormat="0" applyAlignment="0" applyProtection="0"/>
    <xf numFmtId="0" fontId="16" fillId="24" borderId="323" applyNumberFormat="0" applyAlignment="0" applyProtection="0"/>
    <xf numFmtId="0" fontId="16" fillId="24" borderId="323" applyNumberFormat="0" applyAlignment="0" applyProtection="0"/>
    <xf numFmtId="0" fontId="16" fillId="24" borderId="323" applyNumberFormat="0" applyAlignment="0" applyProtection="0"/>
    <xf numFmtId="0" fontId="16" fillId="24" borderId="323" applyNumberFormat="0" applyAlignment="0" applyProtection="0"/>
    <xf numFmtId="0" fontId="16" fillId="24" borderId="323" applyNumberFormat="0" applyAlignment="0" applyProtection="0"/>
    <xf numFmtId="0" fontId="16" fillId="24" borderId="323" applyNumberFormat="0" applyAlignment="0" applyProtection="0"/>
    <xf numFmtId="0" fontId="16" fillId="24" borderId="323" applyNumberFormat="0" applyAlignment="0" applyProtection="0"/>
    <xf numFmtId="0" fontId="16" fillId="24" borderId="323" applyNumberFormat="0" applyAlignment="0" applyProtection="0"/>
    <xf numFmtId="0" fontId="16" fillId="24" borderId="323" applyNumberFormat="0" applyAlignment="0" applyProtection="0"/>
    <xf numFmtId="0" fontId="16" fillId="24" borderId="323" applyNumberFormat="0" applyAlignment="0" applyProtection="0"/>
    <xf numFmtId="0" fontId="16" fillId="24" borderId="323" applyNumberFormat="0" applyAlignment="0" applyProtection="0"/>
    <xf numFmtId="0" fontId="16" fillId="24" borderId="323" applyNumberFormat="0" applyAlignment="0" applyProtection="0"/>
    <xf numFmtId="0" fontId="16" fillId="24" borderId="323" applyNumberFormat="0" applyAlignment="0" applyProtection="0"/>
    <xf numFmtId="0" fontId="16" fillId="24" borderId="323" applyNumberFormat="0" applyAlignment="0" applyProtection="0"/>
    <xf numFmtId="0" fontId="16" fillId="24" borderId="323" applyNumberFormat="0" applyAlignment="0" applyProtection="0"/>
    <xf numFmtId="0" fontId="16" fillId="24" borderId="323" applyNumberFormat="0" applyAlignment="0" applyProtection="0"/>
    <xf numFmtId="0" fontId="16" fillId="24" borderId="323" applyNumberFormat="0" applyAlignment="0" applyProtection="0"/>
    <xf numFmtId="0" fontId="16" fillId="24" borderId="323" applyNumberFormat="0" applyAlignment="0" applyProtection="0"/>
    <xf numFmtId="0" fontId="16" fillId="24" borderId="323" applyNumberFormat="0" applyAlignment="0" applyProtection="0"/>
    <xf numFmtId="0" fontId="16" fillId="24" borderId="323" applyNumberFormat="0" applyAlignment="0" applyProtection="0"/>
    <xf numFmtId="0" fontId="16" fillId="24" borderId="323" applyNumberFormat="0" applyAlignment="0" applyProtection="0"/>
    <xf numFmtId="0" fontId="16" fillId="24" borderId="323" applyNumberFormat="0" applyAlignment="0" applyProtection="0"/>
    <xf numFmtId="0" fontId="16" fillId="24" borderId="323" applyNumberFormat="0" applyAlignment="0" applyProtection="0"/>
    <xf numFmtId="0" fontId="16" fillId="24" borderId="323" applyNumberFormat="0" applyAlignment="0" applyProtection="0"/>
    <xf numFmtId="0" fontId="16" fillId="24" borderId="323" applyNumberFormat="0" applyAlignment="0" applyProtection="0"/>
    <xf numFmtId="0" fontId="16" fillId="24" borderId="323" applyNumberFormat="0" applyAlignment="0" applyProtection="0"/>
    <xf numFmtId="0" fontId="16" fillId="24" borderId="323" applyNumberFormat="0" applyAlignment="0" applyProtection="0"/>
    <xf numFmtId="0" fontId="16" fillId="24" borderId="323" applyNumberFormat="0" applyAlignment="0" applyProtection="0"/>
    <xf numFmtId="0" fontId="16" fillId="24" borderId="323" applyNumberFormat="0" applyAlignment="0" applyProtection="0"/>
    <xf numFmtId="0" fontId="16" fillId="24" borderId="323" applyNumberFormat="0" applyAlignment="0" applyProtection="0"/>
    <xf numFmtId="0" fontId="16" fillId="24" borderId="323" applyNumberFormat="0" applyAlignment="0" applyProtection="0"/>
    <xf numFmtId="0" fontId="16" fillId="24" borderId="323" applyNumberFormat="0" applyAlignment="0" applyProtection="0"/>
    <xf numFmtId="0" fontId="16" fillId="24" borderId="323" applyNumberFormat="0" applyAlignment="0" applyProtection="0"/>
    <xf numFmtId="0" fontId="16" fillId="24" borderId="323" applyNumberFormat="0" applyAlignment="0" applyProtection="0"/>
    <xf numFmtId="0" fontId="16" fillId="24" borderId="323" applyNumberFormat="0" applyAlignment="0" applyProtection="0"/>
    <xf numFmtId="0" fontId="16" fillId="24" borderId="323" applyNumberFormat="0" applyAlignment="0" applyProtection="0"/>
    <xf numFmtId="0" fontId="16" fillId="24" borderId="323" applyNumberFormat="0" applyAlignment="0" applyProtection="0"/>
    <xf numFmtId="0" fontId="16" fillId="24" borderId="323" applyNumberFormat="0" applyAlignment="0" applyProtection="0"/>
    <xf numFmtId="0" fontId="16" fillId="24" borderId="323" applyNumberFormat="0" applyAlignment="0" applyProtection="0"/>
    <xf numFmtId="0" fontId="16" fillId="24" borderId="323" applyNumberFormat="0" applyAlignment="0" applyProtection="0"/>
    <xf numFmtId="0" fontId="16" fillId="24" borderId="323" applyNumberFormat="0" applyAlignment="0" applyProtection="0"/>
    <xf numFmtId="0" fontId="28" fillId="0" borderId="327"/>
    <xf numFmtId="0" fontId="28" fillId="0" borderId="327"/>
    <xf numFmtId="0" fontId="28" fillId="0" borderId="327"/>
    <xf numFmtId="0" fontId="28" fillId="0" borderId="327"/>
    <xf numFmtId="0" fontId="28" fillId="0" borderId="327"/>
    <xf numFmtId="0" fontId="28" fillId="0" borderId="327"/>
    <xf numFmtId="0" fontId="28" fillId="0" borderId="327"/>
    <xf numFmtId="0" fontId="28" fillId="0" borderId="327"/>
    <xf numFmtId="0" fontId="28" fillId="0" borderId="327"/>
    <xf numFmtId="0" fontId="28" fillId="0" borderId="327"/>
    <xf numFmtId="0" fontId="28" fillId="0" borderId="327"/>
    <xf numFmtId="0" fontId="28" fillId="0" borderId="327"/>
    <xf numFmtId="0" fontId="28" fillId="0" borderId="327"/>
    <xf numFmtId="0" fontId="28" fillId="0" borderId="327"/>
    <xf numFmtId="0" fontId="28" fillId="0" borderId="327"/>
    <xf numFmtId="0" fontId="28" fillId="0" borderId="327"/>
    <xf numFmtId="0" fontId="28" fillId="0" borderId="327"/>
    <xf numFmtId="0" fontId="28" fillId="0" borderId="327"/>
    <xf numFmtId="0" fontId="28" fillId="0" borderId="327"/>
    <xf numFmtId="0" fontId="28" fillId="0" borderId="327"/>
    <xf numFmtId="0" fontId="28" fillId="0" borderId="327"/>
    <xf numFmtId="0" fontId="28" fillId="0" borderId="327"/>
    <xf numFmtId="0" fontId="28" fillId="0" borderId="327"/>
    <xf numFmtId="0" fontId="28" fillId="0" borderId="327"/>
    <xf numFmtId="0" fontId="28" fillId="0" borderId="327"/>
    <xf numFmtId="0" fontId="28" fillId="0" borderId="327"/>
    <xf numFmtId="0" fontId="28" fillId="0" borderId="327"/>
    <xf numFmtId="0" fontId="28" fillId="0" borderId="327"/>
    <xf numFmtId="0" fontId="28" fillId="0" borderId="327"/>
    <xf numFmtId="0" fontId="28" fillId="0" borderId="327"/>
    <xf numFmtId="0" fontId="28" fillId="0" borderId="327"/>
    <xf numFmtId="0" fontId="28" fillId="0" borderId="327"/>
    <xf numFmtId="0" fontId="28" fillId="0" borderId="327"/>
    <xf numFmtId="0" fontId="28" fillId="0" borderId="327"/>
    <xf numFmtId="0" fontId="28" fillId="0" borderId="327"/>
    <xf numFmtId="0" fontId="28" fillId="0" borderId="327"/>
    <xf numFmtId="0" fontId="28" fillId="0" borderId="327"/>
    <xf numFmtId="0" fontId="28" fillId="0" borderId="327"/>
    <xf numFmtId="0" fontId="28" fillId="0" borderId="327"/>
    <xf numFmtId="0" fontId="28" fillId="0" borderId="327"/>
    <xf numFmtId="0" fontId="28" fillId="0" borderId="327"/>
    <xf numFmtId="0" fontId="28" fillId="0" borderId="327"/>
    <xf numFmtId="0" fontId="28" fillId="0" borderId="327"/>
    <xf numFmtId="0" fontId="28" fillId="0" borderId="327"/>
    <xf numFmtId="0" fontId="28" fillId="0" borderId="327"/>
    <xf numFmtId="0" fontId="25" fillId="13" borderId="323" applyNumberFormat="0" applyAlignment="0" applyProtection="0"/>
    <xf numFmtId="0" fontId="25" fillId="13" borderId="323" applyNumberFormat="0" applyAlignment="0" applyProtection="0"/>
    <xf numFmtId="0" fontId="25" fillId="13" borderId="323" applyNumberFormat="0" applyAlignment="0" applyProtection="0"/>
    <xf numFmtId="0" fontId="25" fillId="13" borderId="323" applyNumberFormat="0" applyAlignment="0" applyProtection="0"/>
    <xf numFmtId="0" fontId="25" fillId="13" borderId="323" applyNumberFormat="0" applyAlignment="0" applyProtection="0"/>
    <xf numFmtId="0" fontId="25" fillId="13" borderId="323" applyNumberFormat="0" applyAlignment="0" applyProtection="0"/>
    <xf numFmtId="0" fontId="25" fillId="13" borderId="323" applyNumberFormat="0" applyAlignment="0" applyProtection="0"/>
    <xf numFmtId="0" fontId="25" fillId="13" borderId="323" applyNumberFormat="0" applyAlignment="0" applyProtection="0"/>
    <xf numFmtId="0" fontId="25" fillId="13" borderId="323" applyNumberFormat="0" applyAlignment="0" applyProtection="0"/>
    <xf numFmtId="0" fontId="25" fillId="13" borderId="323" applyNumberFormat="0" applyAlignment="0" applyProtection="0"/>
    <xf numFmtId="0" fontId="25" fillId="13" borderId="323" applyNumberFormat="0" applyAlignment="0" applyProtection="0"/>
    <xf numFmtId="0" fontId="25" fillId="13" borderId="323" applyNumberFormat="0" applyAlignment="0" applyProtection="0"/>
    <xf numFmtId="0" fontId="25" fillId="13" borderId="323" applyNumberFormat="0" applyAlignment="0" applyProtection="0"/>
    <xf numFmtId="0" fontId="25" fillId="13" borderId="323" applyNumberFormat="0" applyAlignment="0" applyProtection="0"/>
    <xf numFmtId="0" fontId="25" fillId="13" borderId="323" applyNumberFormat="0" applyAlignment="0" applyProtection="0"/>
    <xf numFmtId="0" fontId="25" fillId="13" borderId="323" applyNumberFormat="0" applyAlignment="0" applyProtection="0"/>
    <xf numFmtId="0" fontId="25" fillId="13" borderId="323" applyNumberFormat="0" applyAlignment="0" applyProtection="0"/>
    <xf numFmtId="0" fontId="25" fillId="13" borderId="323" applyNumberFormat="0" applyAlignment="0" applyProtection="0"/>
    <xf numFmtId="0" fontId="25" fillId="13" borderId="323" applyNumberFormat="0" applyAlignment="0" applyProtection="0"/>
    <xf numFmtId="0" fontId="25" fillId="13" borderId="323" applyNumberFormat="0" applyAlignment="0" applyProtection="0"/>
    <xf numFmtId="0" fontId="25" fillId="13" borderId="323" applyNumberFormat="0" applyAlignment="0" applyProtection="0"/>
    <xf numFmtId="0" fontId="25" fillId="13" borderId="323" applyNumberFormat="0" applyAlignment="0" applyProtection="0"/>
    <xf numFmtId="0" fontId="25" fillId="13" borderId="323" applyNumberFormat="0" applyAlignment="0" applyProtection="0"/>
    <xf numFmtId="0" fontId="25" fillId="13" borderId="323" applyNumberFormat="0" applyAlignment="0" applyProtection="0"/>
    <xf numFmtId="0" fontId="25" fillId="13" borderId="323" applyNumberFormat="0" applyAlignment="0" applyProtection="0"/>
    <xf numFmtId="0" fontId="25" fillId="13" borderId="323" applyNumberFormat="0" applyAlignment="0" applyProtection="0"/>
    <xf numFmtId="0" fontId="25" fillId="13" borderId="323" applyNumberFormat="0" applyAlignment="0" applyProtection="0"/>
    <xf numFmtId="0" fontId="25" fillId="13" borderId="323" applyNumberFormat="0" applyAlignment="0" applyProtection="0"/>
    <xf numFmtId="0" fontId="25" fillId="13" borderId="323" applyNumberFormat="0" applyAlignment="0" applyProtection="0"/>
    <xf numFmtId="0" fontId="25" fillId="13" borderId="323" applyNumberFormat="0" applyAlignment="0" applyProtection="0"/>
    <xf numFmtId="0" fontId="25" fillId="13" borderId="323" applyNumberFormat="0" applyAlignment="0" applyProtection="0"/>
    <xf numFmtId="0" fontId="25" fillId="13" borderId="323" applyNumberFormat="0" applyAlignment="0" applyProtection="0"/>
    <xf numFmtId="0" fontId="25" fillId="13" borderId="323" applyNumberFormat="0" applyAlignment="0" applyProtection="0"/>
    <xf numFmtId="0" fontId="25" fillId="13" borderId="323" applyNumberFormat="0" applyAlignment="0" applyProtection="0"/>
    <xf numFmtId="0" fontId="25" fillId="13" borderId="323" applyNumberFormat="0" applyAlignment="0" applyProtection="0"/>
    <xf numFmtId="0" fontId="25" fillId="13" borderId="323" applyNumberFormat="0" applyAlignment="0" applyProtection="0"/>
    <xf numFmtId="0" fontId="25" fillId="13" borderId="323" applyNumberFormat="0" applyAlignment="0" applyProtection="0"/>
    <xf numFmtId="0" fontId="25" fillId="13" borderId="323" applyNumberFormat="0" applyAlignment="0" applyProtection="0"/>
    <xf numFmtId="0" fontId="25" fillId="13" borderId="323" applyNumberFormat="0" applyAlignment="0" applyProtection="0"/>
    <xf numFmtId="0" fontId="25" fillId="13" borderId="323" applyNumberFormat="0" applyAlignment="0" applyProtection="0"/>
    <xf numFmtId="0" fontId="25" fillId="13" borderId="323" applyNumberFormat="0" applyAlignment="0" applyProtection="0"/>
    <xf numFmtId="0" fontId="25" fillId="13" borderId="323" applyNumberFormat="0" applyAlignment="0" applyProtection="0"/>
    <xf numFmtId="0" fontId="25" fillId="13" borderId="323" applyNumberFormat="0" applyAlignment="0" applyProtection="0"/>
    <xf numFmtId="0" fontId="25" fillId="13" borderId="323" applyNumberFormat="0" applyAlignment="0" applyProtection="0"/>
    <xf numFmtId="0" fontId="25" fillId="13" borderId="323" applyNumberFormat="0" applyAlignment="0" applyProtection="0"/>
    <xf numFmtId="0" fontId="25" fillId="13" borderId="323" applyNumberFormat="0" applyAlignment="0" applyProtection="0"/>
    <xf numFmtId="0" fontId="25" fillId="13" borderId="323" applyNumberFormat="0" applyAlignment="0" applyProtection="0"/>
    <xf numFmtId="0" fontId="25" fillId="13" borderId="323" applyNumberFormat="0" applyAlignment="0" applyProtection="0"/>
    <xf numFmtId="0" fontId="25" fillId="13" borderId="323" applyNumberFormat="0" applyAlignment="0" applyProtection="0"/>
    <xf numFmtId="0" fontId="41" fillId="13" borderId="323" applyNumberFormat="0" applyAlignment="0" applyProtection="0"/>
    <xf numFmtId="0" fontId="41" fillId="13" borderId="323" applyNumberFormat="0" applyAlignment="0" applyProtection="0"/>
    <xf numFmtId="0" fontId="41" fillId="13" borderId="323" applyNumberFormat="0" applyAlignment="0" applyProtection="0"/>
    <xf numFmtId="0" fontId="41" fillId="13" borderId="323" applyNumberFormat="0" applyAlignment="0" applyProtection="0"/>
    <xf numFmtId="0" fontId="41" fillId="13" borderId="323" applyNumberFormat="0" applyAlignment="0" applyProtection="0"/>
    <xf numFmtId="0" fontId="41" fillId="13" borderId="323" applyNumberFormat="0" applyAlignment="0" applyProtection="0"/>
    <xf numFmtId="0" fontId="41" fillId="13" borderId="323" applyNumberFormat="0" applyAlignment="0" applyProtection="0"/>
    <xf numFmtId="0" fontId="41" fillId="13" borderId="323" applyNumberFormat="0" applyAlignment="0" applyProtection="0"/>
    <xf numFmtId="0" fontId="41" fillId="13" borderId="323" applyNumberFormat="0" applyAlignment="0" applyProtection="0"/>
    <xf numFmtId="0" fontId="41" fillId="13" borderId="323" applyNumberFormat="0" applyAlignment="0" applyProtection="0"/>
    <xf numFmtId="0" fontId="41" fillId="13" borderId="323" applyNumberFormat="0" applyAlignment="0" applyProtection="0"/>
    <xf numFmtId="0" fontId="41" fillId="13" borderId="323" applyNumberFormat="0" applyAlignment="0" applyProtection="0"/>
    <xf numFmtId="0" fontId="41" fillId="13" borderId="323" applyNumberFormat="0" applyAlignment="0" applyProtection="0"/>
    <xf numFmtId="0" fontId="41" fillId="13" borderId="323" applyNumberFormat="0" applyAlignment="0" applyProtection="0"/>
    <xf numFmtId="0" fontId="41" fillId="13" borderId="323" applyNumberFormat="0" applyAlignment="0" applyProtection="0"/>
    <xf numFmtId="0" fontId="41" fillId="13" borderId="323" applyNumberFormat="0" applyAlignment="0" applyProtection="0"/>
    <xf numFmtId="0" fontId="41" fillId="13" borderId="323" applyNumberFormat="0" applyAlignment="0" applyProtection="0"/>
    <xf numFmtId="0" fontId="41" fillId="13" borderId="323" applyNumberFormat="0" applyAlignment="0" applyProtection="0"/>
    <xf numFmtId="0" fontId="41" fillId="13" borderId="323" applyNumberFormat="0" applyAlignment="0" applyProtection="0"/>
    <xf numFmtId="0" fontId="41" fillId="13" borderId="323" applyNumberFormat="0" applyAlignment="0" applyProtection="0"/>
    <xf numFmtId="0" fontId="41" fillId="13" borderId="323" applyNumberFormat="0" applyAlignment="0" applyProtection="0"/>
    <xf numFmtId="0" fontId="41" fillId="13" borderId="323" applyNumberFormat="0" applyAlignment="0" applyProtection="0"/>
    <xf numFmtId="0" fontId="41" fillId="13" borderId="323" applyNumberFormat="0" applyAlignment="0" applyProtection="0"/>
    <xf numFmtId="0" fontId="41" fillId="13" borderId="323" applyNumberFormat="0" applyAlignment="0" applyProtection="0"/>
    <xf numFmtId="0" fontId="41" fillId="13" borderId="323" applyNumberFormat="0" applyAlignment="0" applyProtection="0"/>
    <xf numFmtId="0" fontId="41" fillId="13" borderId="323" applyNumberFormat="0" applyAlignment="0" applyProtection="0"/>
    <xf numFmtId="0" fontId="41" fillId="13" borderId="323" applyNumberFormat="0" applyAlignment="0" applyProtection="0"/>
    <xf numFmtId="0" fontId="41" fillId="13" borderId="323" applyNumberFormat="0" applyAlignment="0" applyProtection="0"/>
    <xf numFmtId="0" fontId="41" fillId="13" borderId="323" applyNumberFormat="0" applyAlignment="0" applyProtection="0"/>
    <xf numFmtId="0" fontId="41" fillId="13" borderId="323" applyNumberFormat="0" applyAlignment="0" applyProtection="0"/>
    <xf numFmtId="0" fontId="41" fillId="13" borderId="323" applyNumberFormat="0" applyAlignment="0" applyProtection="0"/>
    <xf numFmtId="0" fontId="41" fillId="13" borderId="323" applyNumberFormat="0" applyAlignment="0" applyProtection="0"/>
    <xf numFmtId="0" fontId="41" fillId="13" borderId="323" applyNumberFormat="0" applyAlignment="0" applyProtection="0"/>
    <xf numFmtId="0" fontId="41" fillId="13" borderId="323" applyNumberFormat="0" applyAlignment="0" applyProtection="0"/>
    <xf numFmtId="0" fontId="41" fillId="13" borderId="323" applyNumberFormat="0" applyAlignment="0" applyProtection="0"/>
    <xf numFmtId="0" fontId="41" fillId="13" borderId="323" applyNumberFormat="0" applyAlignment="0" applyProtection="0"/>
    <xf numFmtId="0" fontId="41" fillId="13" borderId="323" applyNumberFormat="0" applyAlignment="0" applyProtection="0"/>
    <xf numFmtId="0" fontId="41" fillId="13" borderId="323" applyNumberFormat="0" applyAlignment="0" applyProtection="0"/>
    <xf numFmtId="0" fontId="41" fillId="13" borderId="323" applyNumberFormat="0" applyAlignment="0" applyProtection="0"/>
    <xf numFmtId="0" fontId="41" fillId="13" borderId="323" applyNumberFormat="0" applyAlignment="0" applyProtection="0"/>
    <xf numFmtId="0" fontId="41" fillId="13" borderId="323" applyNumberFormat="0" applyAlignment="0" applyProtection="0"/>
    <xf numFmtId="0" fontId="41" fillId="13" borderId="323" applyNumberFormat="0" applyAlignment="0" applyProtection="0"/>
    <xf numFmtId="0" fontId="41" fillId="13" borderId="323" applyNumberFormat="0" applyAlignment="0" applyProtection="0"/>
    <xf numFmtId="0" fontId="41" fillId="13" borderId="323" applyNumberFormat="0" applyAlignment="0" applyProtection="0"/>
    <xf numFmtId="0" fontId="41" fillId="13" borderId="323" applyNumberFormat="0" applyAlignment="0" applyProtection="0"/>
    <xf numFmtId="0" fontId="41" fillId="13" borderId="323" applyNumberFormat="0" applyAlignment="0" applyProtection="0"/>
    <xf numFmtId="0" fontId="41" fillId="13" borderId="323" applyNumberFormat="0" applyAlignment="0" applyProtection="0"/>
    <xf numFmtId="0" fontId="41" fillId="13" borderId="323" applyNumberFormat="0" applyAlignment="0" applyProtection="0"/>
    <xf numFmtId="0" fontId="41" fillId="13" borderId="323" applyNumberFormat="0" applyAlignment="0" applyProtection="0"/>
    <xf numFmtId="0" fontId="25" fillId="13" borderId="323" applyNumberFormat="0" applyAlignment="0" applyProtection="0"/>
    <xf numFmtId="0" fontId="25" fillId="13" borderId="323" applyNumberFormat="0" applyAlignment="0" applyProtection="0"/>
    <xf numFmtId="0" fontId="25" fillId="13" borderId="323" applyNumberFormat="0" applyAlignment="0" applyProtection="0"/>
    <xf numFmtId="0" fontId="25" fillId="13" borderId="323" applyNumberFormat="0" applyAlignment="0" applyProtection="0"/>
    <xf numFmtId="0" fontId="25" fillId="13" borderId="323" applyNumberFormat="0" applyAlignment="0" applyProtection="0"/>
    <xf numFmtId="0" fontId="25" fillId="13" borderId="323" applyNumberFormat="0" applyAlignment="0" applyProtection="0"/>
    <xf numFmtId="0" fontId="25" fillId="13" borderId="323" applyNumberFormat="0" applyAlignment="0" applyProtection="0"/>
    <xf numFmtId="0" fontId="25" fillId="13" borderId="323" applyNumberFormat="0" applyAlignment="0" applyProtection="0"/>
    <xf numFmtId="0" fontId="25" fillId="13" borderId="323" applyNumberFormat="0" applyAlignment="0" applyProtection="0"/>
    <xf numFmtId="0" fontId="25" fillId="13" borderId="323" applyNumberFormat="0" applyAlignment="0" applyProtection="0"/>
    <xf numFmtId="0" fontId="25" fillId="13" borderId="323" applyNumberFormat="0" applyAlignment="0" applyProtection="0"/>
    <xf numFmtId="0" fontId="25" fillId="13" borderId="323" applyNumberFormat="0" applyAlignment="0" applyProtection="0"/>
    <xf numFmtId="0" fontId="25" fillId="13" borderId="323" applyNumberFormat="0" applyAlignment="0" applyProtection="0"/>
    <xf numFmtId="0" fontId="25" fillId="13" borderId="323" applyNumberFormat="0" applyAlignment="0" applyProtection="0"/>
    <xf numFmtId="0" fontId="25" fillId="13" borderId="323" applyNumberFormat="0" applyAlignment="0" applyProtection="0"/>
    <xf numFmtId="0" fontId="25" fillId="13" borderId="323" applyNumberFormat="0" applyAlignment="0" applyProtection="0"/>
    <xf numFmtId="0" fontId="25" fillId="13" borderId="323" applyNumberFormat="0" applyAlignment="0" applyProtection="0"/>
    <xf numFmtId="0" fontId="25" fillId="13" borderId="323" applyNumberFormat="0" applyAlignment="0" applyProtection="0"/>
    <xf numFmtId="0" fontId="25" fillId="13" borderId="323" applyNumberFormat="0" applyAlignment="0" applyProtection="0"/>
    <xf numFmtId="0" fontId="25" fillId="13" borderId="323" applyNumberFormat="0" applyAlignment="0" applyProtection="0"/>
    <xf numFmtId="0" fontId="25" fillId="13" borderId="323" applyNumberFormat="0" applyAlignment="0" applyProtection="0"/>
    <xf numFmtId="0" fontId="25" fillId="13" borderId="323" applyNumberFormat="0" applyAlignment="0" applyProtection="0"/>
    <xf numFmtId="0" fontId="25" fillId="13" borderId="323" applyNumberFormat="0" applyAlignment="0" applyProtection="0"/>
    <xf numFmtId="0" fontId="25" fillId="13" borderId="323" applyNumberFormat="0" applyAlignment="0" applyProtection="0"/>
    <xf numFmtId="0" fontId="25" fillId="13" borderId="323" applyNumberFormat="0" applyAlignment="0" applyProtection="0"/>
    <xf numFmtId="0" fontId="25" fillId="13" borderId="323" applyNumberFormat="0" applyAlignment="0" applyProtection="0"/>
    <xf numFmtId="0" fontId="25" fillId="13" borderId="323" applyNumberFormat="0" applyAlignment="0" applyProtection="0"/>
    <xf numFmtId="0" fontId="25" fillId="13" borderId="323" applyNumberFormat="0" applyAlignment="0" applyProtection="0"/>
    <xf numFmtId="0" fontId="25" fillId="13" borderId="323" applyNumberFormat="0" applyAlignment="0" applyProtection="0"/>
    <xf numFmtId="0" fontId="25" fillId="13" borderId="323" applyNumberFormat="0" applyAlignment="0" applyProtection="0"/>
    <xf numFmtId="0" fontId="25" fillId="13" borderId="323" applyNumberFormat="0" applyAlignment="0" applyProtection="0"/>
    <xf numFmtId="0" fontId="25" fillId="13" borderId="323" applyNumberFormat="0" applyAlignment="0" applyProtection="0"/>
    <xf numFmtId="0" fontId="25" fillId="13" borderId="323" applyNumberFormat="0" applyAlignment="0" applyProtection="0"/>
    <xf numFmtId="0" fontId="25" fillId="13" borderId="323" applyNumberFormat="0" applyAlignment="0" applyProtection="0"/>
    <xf numFmtId="0" fontId="25" fillId="13" borderId="323" applyNumberFormat="0" applyAlignment="0" applyProtection="0"/>
    <xf numFmtId="0" fontId="25" fillId="13" borderId="323" applyNumberFormat="0" applyAlignment="0" applyProtection="0"/>
    <xf numFmtId="0" fontId="25" fillId="13" borderId="323" applyNumberFormat="0" applyAlignment="0" applyProtection="0"/>
    <xf numFmtId="0" fontId="25" fillId="13" borderId="323" applyNumberFormat="0" applyAlignment="0" applyProtection="0"/>
    <xf numFmtId="0" fontId="25" fillId="13" borderId="323" applyNumberFormat="0" applyAlignment="0" applyProtection="0"/>
    <xf numFmtId="0" fontId="25" fillId="13" borderId="323" applyNumberFormat="0" applyAlignment="0" applyProtection="0"/>
    <xf numFmtId="0" fontId="25" fillId="13" borderId="323" applyNumberFormat="0" applyAlignment="0" applyProtection="0"/>
    <xf numFmtId="0" fontId="25" fillId="13" borderId="323" applyNumberFormat="0" applyAlignment="0" applyProtection="0"/>
    <xf numFmtId="0" fontId="25" fillId="13" borderId="323" applyNumberFormat="0" applyAlignment="0" applyProtection="0"/>
    <xf numFmtId="0" fontId="25" fillId="13" borderId="323" applyNumberFormat="0" applyAlignment="0" applyProtection="0"/>
    <xf numFmtId="0" fontId="25" fillId="13" borderId="323" applyNumberFormat="0" applyAlignment="0" applyProtection="0"/>
    <xf numFmtId="0" fontId="25" fillId="13" borderId="323" applyNumberFormat="0" applyAlignment="0" applyProtection="0"/>
    <xf numFmtId="0" fontId="25" fillId="13" borderId="323" applyNumberFormat="0" applyAlignment="0" applyProtection="0"/>
    <xf numFmtId="0" fontId="25" fillId="13" borderId="323" applyNumberFormat="0" applyAlignment="0" applyProtection="0"/>
    <xf numFmtId="0" fontId="25" fillId="13" borderId="323" applyNumberFormat="0" applyAlignment="0" applyProtection="0"/>
    <xf numFmtId="0" fontId="41" fillId="13" borderId="323" applyNumberFormat="0" applyAlignment="0" applyProtection="0"/>
    <xf numFmtId="0" fontId="41" fillId="13" borderId="323" applyNumberFormat="0" applyAlignment="0" applyProtection="0"/>
    <xf numFmtId="0" fontId="41" fillId="13" borderId="323" applyNumberFormat="0" applyAlignment="0" applyProtection="0"/>
    <xf numFmtId="0" fontId="41" fillId="13" borderId="323" applyNumberFormat="0" applyAlignment="0" applyProtection="0"/>
    <xf numFmtId="0" fontId="41" fillId="13" borderId="323" applyNumberFormat="0" applyAlignment="0" applyProtection="0"/>
    <xf numFmtId="0" fontId="41" fillId="13" borderId="323" applyNumberFormat="0" applyAlignment="0" applyProtection="0"/>
    <xf numFmtId="0" fontId="41" fillId="13" borderId="323" applyNumberFormat="0" applyAlignment="0" applyProtection="0"/>
    <xf numFmtId="0" fontId="41" fillId="13" borderId="323" applyNumberFormat="0" applyAlignment="0" applyProtection="0"/>
    <xf numFmtId="0" fontId="41" fillId="13" borderId="323" applyNumberFormat="0" applyAlignment="0" applyProtection="0"/>
    <xf numFmtId="0" fontId="41" fillId="13" borderId="323" applyNumberFormat="0" applyAlignment="0" applyProtection="0"/>
    <xf numFmtId="0" fontId="41" fillId="13" borderId="323" applyNumberFormat="0" applyAlignment="0" applyProtection="0"/>
    <xf numFmtId="0" fontId="41" fillId="13" borderId="323" applyNumberFormat="0" applyAlignment="0" applyProtection="0"/>
    <xf numFmtId="0" fontId="41" fillId="13" borderId="323" applyNumberFormat="0" applyAlignment="0" applyProtection="0"/>
    <xf numFmtId="0" fontId="41" fillId="13" borderId="323" applyNumberFormat="0" applyAlignment="0" applyProtection="0"/>
    <xf numFmtId="0" fontId="41" fillId="13" borderId="323" applyNumberFormat="0" applyAlignment="0" applyProtection="0"/>
    <xf numFmtId="0" fontId="41" fillId="13" borderId="323" applyNumberFormat="0" applyAlignment="0" applyProtection="0"/>
    <xf numFmtId="0" fontId="41" fillId="13" borderId="323" applyNumberFormat="0" applyAlignment="0" applyProtection="0"/>
    <xf numFmtId="0" fontId="41" fillId="13" borderId="323" applyNumberFormat="0" applyAlignment="0" applyProtection="0"/>
    <xf numFmtId="0" fontId="41" fillId="13" borderId="323" applyNumberFormat="0" applyAlignment="0" applyProtection="0"/>
    <xf numFmtId="0" fontId="41" fillId="13" borderId="323" applyNumberFormat="0" applyAlignment="0" applyProtection="0"/>
    <xf numFmtId="0" fontId="41" fillId="13" borderId="323" applyNumberFormat="0" applyAlignment="0" applyProtection="0"/>
    <xf numFmtId="0" fontId="41" fillId="13" borderId="323" applyNumberFormat="0" applyAlignment="0" applyProtection="0"/>
    <xf numFmtId="0" fontId="41" fillId="13" borderId="323" applyNumberFormat="0" applyAlignment="0" applyProtection="0"/>
    <xf numFmtId="0" fontId="41" fillId="13" borderId="323" applyNumberFormat="0" applyAlignment="0" applyProtection="0"/>
    <xf numFmtId="0" fontId="41" fillId="13" borderId="323" applyNumberFormat="0" applyAlignment="0" applyProtection="0"/>
    <xf numFmtId="0" fontId="41" fillId="13" borderId="323" applyNumberFormat="0" applyAlignment="0" applyProtection="0"/>
    <xf numFmtId="0" fontId="41" fillId="13" borderId="323" applyNumberFormat="0" applyAlignment="0" applyProtection="0"/>
    <xf numFmtId="0" fontId="41" fillId="13" borderId="323" applyNumberFormat="0" applyAlignment="0" applyProtection="0"/>
    <xf numFmtId="0" fontId="41" fillId="13" borderId="323" applyNumberFormat="0" applyAlignment="0" applyProtection="0"/>
    <xf numFmtId="0" fontId="41" fillId="13" borderId="323" applyNumberFormat="0" applyAlignment="0" applyProtection="0"/>
    <xf numFmtId="0" fontId="41" fillId="13" borderId="323" applyNumberFormat="0" applyAlignment="0" applyProtection="0"/>
    <xf numFmtId="0" fontId="41" fillId="13" borderId="323" applyNumberFormat="0" applyAlignment="0" applyProtection="0"/>
    <xf numFmtId="0" fontId="41" fillId="13" borderId="323" applyNumberFormat="0" applyAlignment="0" applyProtection="0"/>
    <xf numFmtId="0" fontId="41" fillId="13" borderId="323" applyNumberFormat="0" applyAlignment="0" applyProtection="0"/>
    <xf numFmtId="0" fontId="41" fillId="13" borderId="323" applyNumberFormat="0" applyAlignment="0" applyProtection="0"/>
    <xf numFmtId="0" fontId="41" fillId="13" borderId="323" applyNumberFormat="0" applyAlignment="0" applyProtection="0"/>
    <xf numFmtId="0" fontId="41" fillId="13" borderId="323" applyNumberFormat="0" applyAlignment="0" applyProtection="0"/>
    <xf numFmtId="0" fontId="41" fillId="13" borderId="323" applyNumberFormat="0" applyAlignment="0" applyProtection="0"/>
    <xf numFmtId="0" fontId="41" fillId="13" borderId="323" applyNumberFormat="0" applyAlignment="0" applyProtection="0"/>
    <xf numFmtId="0" fontId="41" fillId="13" borderId="323" applyNumberFormat="0" applyAlignment="0" applyProtection="0"/>
    <xf numFmtId="0" fontId="41" fillId="13" borderId="323" applyNumberFormat="0" applyAlignment="0" applyProtection="0"/>
    <xf numFmtId="0" fontId="41" fillId="13" borderId="323" applyNumberFormat="0" applyAlignment="0" applyProtection="0"/>
    <xf numFmtId="0" fontId="41" fillId="13" borderId="323" applyNumberFormat="0" applyAlignment="0" applyProtection="0"/>
    <xf numFmtId="0" fontId="41" fillId="13" borderId="323" applyNumberFormat="0" applyAlignment="0" applyProtection="0"/>
    <xf numFmtId="0" fontId="41" fillId="13" borderId="323" applyNumberFormat="0" applyAlignment="0" applyProtection="0"/>
    <xf numFmtId="0" fontId="41" fillId="13" borderId="323" applyNumberFormat="0" applyAlignment="0" applyProtection="0"/>
    <xf numFmtId="0" fontId="41" fillId="13" borderId="323" applyNumberFormat="0" applyAlignment="0" applyProtection="0"/>
    <xf numFmtId="0" fontId="41" fillId="13" borderId="323" applyNumberFormat="0" applyAlignment="0" applyProtection="0"/>
    <xf numFmtId="0" fontId="41" fillId="13" borderId="323" applyNumberFormat="0" applyAlignment="0" applyProtection="0"/>
    <xf numFmtId="0" fontId="25" fillId="13" borderId="323" applyNumberFormat="0" applyAlignment="0" applyProtection="0"/>
    <xf numFmtId="0" fontId="25" fillId="13" borderId="323" applyNumberFormat="0" applyAlignment="0" applyProtection="0"/>
    <xf numFmtId="0" fontId="25" fillId="13" borderId="323" applyNumberFormat="0" applyAlignment="0" applyProtection="0"/>
    <xf numFmtId="0" fontId="25" fillId="13" borderId="323" applyNumberFormat="0" applyAlignment="0" applyProtection="0"/>
    <xf numFmtId="0" fontId="25" fillId="13" borderId="323" applyNumberFormat="0" applyAlignment="0" applyProtection="0"/>
    <xf numFmtId="0" fontId="25" fillId="13" borderId="323" applyNumberFormat="0" applyAlignment="0" applyProtection="0"/>
    <xf numFmtId="0" fontId="25" fillId="13" borderId="323" applyNumberFormat="0" applyAlignment="0" applyProtection="0"/>
    <xf numFmtId="0" fontId="25" fillId="13" borderId="323" applyNumberFormat="0" applyAlignment="0" applyProtection="0"/>
    <xf numFmtId="0" fontId="25" fillId="13" borderId="323" applyNumberFormat="0" applyAlignment="0" applyProtection="0"/>
    <xf numFmtId="0" fontId="25" fillId="13" borderId="323" applyNumberFormat="0" applyAlignment="0" applyProtection="0"/>
    <xf numFmtId="0" fontId="25" fillId="13" borderId="323" applyNumberFormat="0" applyAlignment="0" applyProtection="0"/>
    <xf numFmtId="0" fontId="25" fillId="13" borderId="323" applyNumberFormat="0" applyAlignment="0" applyProtection="0"/>
    <xf numFmtId="0" fontId="25" fillId="13" borderId="323" applyNumberFormat="0" applyAlignment="0" applyProtection="0"/>
    <xf numFmtId="0" fontId="25" fillId="13" borderId="323" applyNumberFormat="0" applyAlignment="0" applyProtection="0"/>
    <xf numFmtId="0" fontId="25" fillId="13" borderId="323" applyNumberFormat="0" applyAlignment="0" applyProtection="0"/>
    <xf numFmtId="0" fontId="25" fillId="13" borderId="323" applyNumberFormat="0" applyAlignment="0" applyProtection="0"/>
    <xf numFmtId="0" fontId="25" fillId="13" borderId="323" applyNumberFormat="0" applyAlignment="0" applyProtection="0"/>
    <xf numFmtId="0" fontId="25" fillId="13" borderId="323" applyNumberFormat="0" applyAlignment="0" applyProtection="0"/>
    <xf numFmtId="0" fontId="25" fillId="13" borderId="323" applyNumberFormat="0" applyAlignment="0" applyProtection="0"/>
    <xf numFmtId="0" fontId="25" fillId="13" borderId="323" applyNumberFormat="0" applyAlignment="0" applyProtection="0"/>
    <xf numFmtId="0" fontId="25" fillId="13" borderId="323" applyNumberFormat="0" applyAlignment="0" applyProtection="0"/>
    <xf numFmtId="0" fontId="25" fillId="13" borderId="323" applyNumberFormat="0" applyAlignment="0" applyProtection="0"/>
    <xf numFmtId="0" fontId="25" fillId="13" borderId="323" applyNumberFormat="0" applyAlignment="0" applyProtection="0"/>
    <xf numFmtId="0" fontId="25" fillId="13" borderId="323" applyNumberFormat="0" applyAlignment="0" applyProtection="0"/>
    <xf numFmtId="0" fontId="25" fillId="13" borderId="323" applyNumberFormat="0" applyAlignment="0" applyProtection="0"/>
    <xf numFmtId="0" fontId="25" fillId="13" borderId="323" applyNumberFormat="0" applyAlignment="0" applyProtection="0"/>
    <xf numFmtId="0" fontId="25" fillId="13" borderId="323" applyNumberFormat="0" applyAlignment="0" applyProtection="0"/>
    <xf numFmtId="0" fontId="25" fillId="13" borderId="323" applyNumberFormat="0" applyAlignment="0" applyProtection="0"/>
    <xf numFmtId="0" fontId="25" fillId="13" borderId="323" applyNumberFormat="0" applyAlignment="0" applyProtection="0"/>
    <xf numFmtId="0" fontId="25" fillId="13" borderId="323" applyNumberFormat="0" applyAlignment="0" applyProtection="0"/>
    <xf numFmtId="0" fontId="25" fillId="13" borderId="323" applyNumberFormat="0" applyAlignment="0" applyProtection="0"/>
    <xf numFmtId="0" fontId="25" fillId="13" borderId="323" applyNumberFormat="0" applyAlignment="0" applyProtection="0"/>
    <xf numFmtId="0" fontId="25" fillId="13" borderId="323" applyNumberFormat="0" applyAlignment="0" applyProtection="0"/>
    <xf numFmtId="0" fontId="25" fillId="13" borderId="323" applyNumberFormat="0" applyAlignment="0" applyProtection="0"/>
    <xf numFmtId="0" fontId="25" fillId="13" borderId="323" applyNumberFormat="0" applyAlignment="0" applyProtection="0"/>
    <xf numFmtId="0" fontId="25" fillId="13" borderId="323" applyNumberFormat="0" applyAlignment="0" applyProtection="0"/>
    <xf numFmtId="0" fontId="25" fillId="13" borderId="323" applyNumberFormat="0" applyAlignment="0" applyProtection="0"/>
    <xf numFmtId="0" fontId="25" fillId="13" borderId="323" applyNumberFormat="0" applyAlignment="0" applyProtection="0"/>
    <xf numFmtId="0" fontId="25" fillId="13" borderId="323" applyNumberFormat="0" applyAlignment="0" applyProtection="0"/>
    <xf numFmtId="0" fontId="25" fillId="13" borderId="323" applyNumberFormat="0" applyAlignment="0" applyProtection="0"/>
    <xf numFmtId="0" fontId="25" fillId="13" borderId="323" applyNumberFormat="0" applyAlignment="0" applyProtection="0"/>
    <xf numFmtId="0" fontId="25" fillId="13" borderId="323" applyNumberFormat="0" applyAlignment="0" applyProtection="0"/>
    <xf numFmtId="0" fontId="25" fillId="13" borderId="323" applyNumberFormat="0" applyAlignment="0" applyProtection="0"/>
    <xf numFmtId="0" fontId="25" fillId="13" borderId="323" applyNumberFormat="0" applyAlignment="0" applyProtection="0"/>
    <xf numFmtId="0" fontId="25" fillId="13" borderId="323" applyNumberFormat="0" applyAlignment="0" applyProtection="0"/>
    <xf numFmtId="0" fontId="25" fillId="13" borderId="323" applyNumberFormat="0" applyAlignment="0" applyProtection="0"/>
    <xf numFmtId="0" fontId="25" fillId="13" borderId="323" applyNumberFormat="0" applyAlignment="0" applyProtection="0"/>
    <xf numFmtId="0" fontId="25" fillId="13" borderId="323" applyNumberFormat="0" applyAlignment="0" applyProtection="0"/>
    <xf numFmtId="0" fontId="25" fillId="13" borderId="323" applyNumberFormat="0" applyAlignment="0" applyProtection="0"/>
    <xf numFmtId="0" fontId="25" fillId="8" borderId="323" applyNumberFormat="0" applyAlignment="0" applyProtection="0"/>
    <xf numFmtId="0" fontId="25" fillId="8" borderId="323" applyNumberFormat="0" applyAlignment="0" applyProtection="0"/>
    <xf numFmtId="0" fontId="25" fillId="8" borderId="323" applyNumberFormat="0" applyAlignment="0" applyProtection="0"/>
    <xf numFmtId="0" fontId="25" fillId="8" borderId="323" applyNumberFormat="0" applyAlignment="0" applyProtection="0"/>
    <xf numFmtId="0" fontId="25" fillId="8" borderId="323" applyNumberFormat="0" applyAlignment="0" applyProtection="0"/>
    <xf numFmtId="0" fontId="25" fillId="8" borderId="323" applyNumberFormat="0" applyAlignment="0" applyProtection="0"/>
    <xf numFmtId="0" fontId="25" fillId="8" borderId="323" applyNumberFormat="0" applyAlignment="0" applyProtection="0"/>
    <xf numFmtId="0" fontId="25" fillId="8" borderId="323" applyNumberFormat="0" applyAlignment="0" applyProtection="0"/>
    <xf numFmtId="0" fontId="25" fillId="8" borderId="323" applyNumberFormat="0" applyAlignment="0" applyProtection="0"/>
    <xf numFmtId="0" fontId="25" fillId="8" borderId="323" applyNumberFormat="0" applyAlignment="0" applyProtection="0"/>
    <xf numFmtId="0" fontId="25" fillId="8" borderId="323" applyNumberFormat="0" applyAlignment="0" applyProtection="0"/>
    <xf numFmtId="0" fontId="25" fillId="8" borderId="323" applyNumberFormat="0" applyAlignment="0" applyProtection="0"/>
    <xf numFmtId="0" fontId="25" fillId="8" borderId="323" applyNumberFormat="0" applyAlignment="0" applyProtection="0"/>
    <xf numFmtId="0" fontId="25" fillId="8" borderId="323" applyNumberFormat="0" applyAlignment="0" applyProtection="0"/>
    <xf numFmtId="0" fontId="25" fillId="8" borderId="323" applyNumberFormat="0" applyAlignment="0" applyProtection="0"/>
    <xf numFmtId="0" fontId="25" fillId="8" borderId="323" applyNumberFormat="0" applyAlignment="0" applyProtection="0"/>
    <xf numFmtId="0" fontId="25" fillId="8" borderId="323" applyNumberFormat="0" applyAlignment="0" applyProtection="0"/>
    <xf numFmtId="0" fontId="25" fillId="8" borderId="323" applyNumberFormat="0" applyAlignment="0" applyProtection="0"/>
    <xf numFmtId="0" fontId="25" fillId="8" borderId="323" applyNumberFormat="0" applyAlignment="0" applyProtection="0"/>
    <xf numFmtId="0" fontId="25" fillId="8" borderId="323" applyNumberFormat="0" applyAlignment="0" applyProtection="0"/>
    <xf numFmtId="0" fontId="25" fillId="8" borderId="323" applyNumberFormat="0" applyAlignment="0" applyProtection="0"/>
    <xf numFmtId="0" fontId="25" fillId="8" borderId="323" applyNumberFormat="0" applyAlignment="0" applyProtection="0"/>
    <xf numFmtId="0" fontId="25" fillId="8" borderId="323" applyNumberFormat="0" applyAlignment="0" applyProtection="0"/>
    <xf numFmtId="0" fontId="25" fillId="8" borderId="323" applyNumberFormat="0" applyAlignment="0" applyProtection="0"/>
    <xf numFmtId="0" fontId="25" fillId="8" borderId="323" applyNumberFormat="0" applyAlignment="0" applyProtection="0"/>
    <xf numFmtId="0" fontId="25" fillId="8" borderId="323" applyNumberFormat="0" applyAlignment="0" applyProtection="0"/>
    <xf numFmtId="0" fontId="25" fillId="8" borderId="323" applyNumberFormat="0" applyAlignment="0" applyProtection="0"/>
    <xf numFmtId="0" fontId="25" fillId="8" borderId="323" applyNumberFormat="0" applyAlignment="0" applyProtection="0"/>
    <xf numFmtId="0" fontId="25" fillId="8" borderId="323" applyNumberFormat="0" applyAlignment="0" applyProtection="0"/>
    <xf numFmtId="0" fontId="25" fillId="8" borderId="323" applyNumberFormat="0" applyAlignment="0" applyProtection="0"/>
    <xf numFmtId="0" fontId="25" fillId="8" borderId="323" applyNumberFormat="0" applyAlignment="0" applyProtection="0"/>
    <xf numFmtId="0" fontId="25" fillId="8" borderId="323" applyNumberFormat="0" applyAlignment="0" applyProtection="0"/>
    <xf numFmtId="0" fontId="25" fillId="8" borderId="323" applyNumberFormat="0" applyAlignment="0" applyProtection="0"/>
    <xf numFmtId="0" fontId="25" fillId="8" borderId="323" applyNumberFormat="0" applyAlignment="0" applyProtection="0"/>
    <xf numFmtId="0" fontId="25" fillId="8" borderId="323" applyNumberFormat="0" applyAlignment="0" applyProtection="0"/>
    <xf numFmtId="0" fontId="25" fillId="8" borderId="323" applyNumberFormat="0" applyAlignment="0" applyProtection="0"/>
    <xf numFmtId="0" fontId="25" fillId="8" borderId="323" applyNumberFormat="0" applyAlignment="0" applyProtection="0"/>
    <xf numFmtId="0" fontId="25" fillId="8" borderId="323" applyNumberFormat="0" applyAlignment="0" applyProtection="0"/>
    <xf numFmtId="0" fontId="25" fillId="8" borderId="323" applyNumberFormat="0" applyAlignment="0" applyProtection="0"/>
    <xf numFmtId="0" fontId="25" fillId="8" borderId="323" applyNumberFormat="0" applyAlignment="0" applyProtection="0"/>
    <xf numFmtId="0" fontId="25" fillId="8" borderId="323" applyNumberFormat="0" applyAlignment="0" applyProtection="0"/>
    <xf numFmtId="0" fontId="25" fillId="8" borderId="323" applyNumberFormat="0" applyAlignment="0" applyProtection="0"/>
    <xf numFmtId="0" fontId="25" fillId="8" borderId="323" applyNumberFormat="0" applyAlignment="0" applyProtection="0"/>
    <xf numFmtId="0" fontId="25" fillId="8" borderId="323" applyNumberFormat="0" applyAlignment="0" applyProtection="0"/>
    <xf numFmtId="0" fontId="25" fillId="8" borderId="323" applyNumberFormat="0" applyAlignment="0" applyProtection="0"/>
    <xf numFmtId="0" fontId="25" fillId="8" borderId="323" applyNumberFormat="0" applyAlignment="0" applyProtection="0"/>
    <xf numFmtId="0" fontId="25" fillId="8" borderId="323" applyNumberFormat="0" applyAlignment="0" applyProtection="0"/>
    <xf numFmtId="0" fontId="25" fillId="8" borderId="323" applyNumberFormat="0" applyAlignment="0" applyProtection="0"/>
    <xf numFmtId="0" fontId="25" fillId="8" borderId="323" applyNumberFormat="0" applyAlignment="0" applyProtection="0"/>
    <xf numFmtId="0" fontId="25" fillId="8" borderId="323" applyNumberFormat="0" applyAlignment="0" applyProtection="0"/>
    <xf numFmtId="0" fontId="25" fillId="8" borderId="323" applyNumberFormat="0" applyAlignment="0" applyProtection="0"/>
    <xf numFmtId="0" fontId="25" fillId="8" borderId="323" applyNumberFormat="0" applyAlignment="0" applyProtection="0"/>
    <xf numFmtId="0" fontId="25" fillId="8" borderId="323" applyNumberFormat="0" applyAlignment="0" applyProtection="0"/>
    <xf numFmtId="0" fontId="25" fillId="8" borderId="323" applyNumberFormat="0" applyAlignment="0" applyProtection="0"/>
    <xf numFmtId="0" fontId="25" fillId="8" borderId="323" applyNumberFormat="0" applyAlignment="0" applyProtection="0"/>
    <xf numFmtId="0" fontId="25" fillId="8" borderId="323" applyNumberFormat="0" applyAlignment="0" applyProtection="0"/>
    <xf numFmtId="0" fontId="25" fillId="8" borderId="323" applyNumberFormat="0" applyAlignment="0" applyProtection="0"/>
    <xf numFmtId="0" fontId="25" fillId="8" borderId="323" applyNumberFormat="0" applyAlignment="0" applyProtection="0"/>
    <xf numFmtId="0" fontId="25" fillId="8" borderId="323" applyNumberFormat="0" applyAlignment="0" applyProtection="0"/>
    <xf numFmtId="0" fontId="25" fillId="8" borderId="323" applyNumberFormat="0" applyAlignment="0" applyProtection="0"/>
    <xf numFmtId="0" fontId="25" fillId="8" borderId="323" applyNumberFormat="0" applyAlignment="0" applyProtection="0"/>
    <xf numFmtId="0" fontId="25" fillId="8" borderId="323" applyNumberFormat="0" applyAlignment="0" applyProtection="0"/>
    <xf numFmtId="0" fontId="25" fillId="8" borderId="323" applyNumberFormat="0" applyAlignment="0" applyProtection="0"/>
    <xf numFmtId="0" fontId="25" fillId="8" borderId="323" applyNumberFormat="0" applyAlignment="0" applyProtection="0"/>
    <xf numFmtId="0" fontId="25" fillId="8" borderId="323" applyNumberFormat="0" applyAlignment="0" applyProtection="0"/>
    <xf numFmtId="0" fontId="25" fillId="8" borderId="323" applyNumberFormat="0" applyAlignment="0" applyProtection="0"/>
    <xf numFmtId="0" fontId="25" fillId="8" borderId="323" applyNumberFormat="0" applyAlignment="0" applyProtection="0"/>
    <xf numFmtId="0" fontId="25" fillId="8" borderId="323" applyNumberFormat="0" applyAlignment="0" applyProtection="0"/>
    <xf numFmtId="0" fontId="25" fillId="8" borderId="323" applyNumberFormat="0" applyAlignment="0" applyProtection="0"/>
    <xf numFmtId="0" fontId="25" fillId="8" borderId="323" applyNumberFormat="0" applyAlignment="0" applyProtection="0"/>
    <xf numFmtId="0" fontId="25" fillId="8" borderId="323" applyNumberFormat="0" applyAlignment="0" applyProtection="0"/>
    <xf numFmtId="0" fontId="25" fillId="8" borderId="323" applyNumberFormat="0" applyAlignment="0" applyProtection="0"/>
    <xf numFmtId="0" fontId="25" fillId="8" borderId="323" applyNumberFormat="0" applyAlignment="0" applyProtection="0"/>
    <xf numFmtId="0" fontId="25" fillId="8" borderId="323" applyNumberFormat="0" applyAlignment="0" applyProtection="0"/>
    <xf numFmtId="0" fontId="25" fillId="8" borderId="323" applyNumberFormat="0" applyAlignment="0" applyProtection="0"/>
    <xf numFmtId="0" fontId="25" fillId="8" borderId="323" applyNumberFormat="0" applyAlignment="0" applyProtection="0"/>
    <xf numFmtId="0" fontId="25" fillId="8" borderId="323" applyNumberFormat="0" applyAlignment="0" applyProtection="0"/>
    <xf numFmtId="0" fontId="84" fillId="73" borderId="327"/>
    <xf numFmtId="0" fontId="84" fillId="73" borderId="327"/>
    <xf numFmtId="0" fontId="84" fillId="73" borderId="327"/>
    <xf numFmtId="0" fontId="84" fillId="73" borderId="327"/>
    <xf numFmtId="0" fontId="84" fillId="73" borderId="327"/>
    <xf numFmtId="0" fontId="84" fillId="73" borderId="327"/>
    <xf numFmtId="0" fontId="84" fillId="73" borderId="327"/>
    <xf numFmtId="0" fontId="84" fillId="73" borderId="327"/>
    <xf numFmtId="0" fontId="84" fillId="73" borderId="327"/>
    <xf numFmtId="0" fontId="84" fillId="73" borderId="327"/>
    <xf numFmtId="0" fontId="84" fillId="73" borderId="327"/>
    <xf numFmtId="0" fontId="84" fillId="73" borderId="327"/>
    <xf numFmtId="0" fontId="84" fillId="73" borderId="327"/>
    <xf numFmtId="0" fontId="84" fillId="73" borderId="327"/>
    <xf numFmtId="0" fontId="84" fillId="73" borderId="327"/>
    <xf numFmtId="0" fontId="84" fillId="73" borderId="327"/>
    <xf numFmtId="0" fontId="84" fillId="73" borderId="327"/>
    <xf numFmtId="0" fontId="84" fillId="73" borderId="327"/>
    <xf numFmtId="0" fontId="84" fillId="73" borderId="327"/>
    <xf numFmtId="0" fontId="84" fillId="73" borderId="327"/>
    <xf numFmtId="0" fontId="84" fillId="73" borderId="327"/>
    <xf numFmtId="0" fontId="84" fillId="73" borderId="327"/>
    <xf numFmtId="0" fontId="84" fillId="73" borderId="327"/>
    <xf numFmtId="0" fontId="84" fillId="73" borderId="327"/>
    <xf numFmtId="0" fontId="84" fillId="73" borderId="327"/>
    <xf numFmtId="0" fontId="84" fillId="73" borderId="327"/>
    <xf numFmtId="0" fontId="84" fillId="73" borderId="327"/>
    <xf numFmtId="0" fontId="84" fillId="73" borderId="327"/>
    <xf numFmtId="0" fontId="84" fillId="73" borderId="327"/>
    <xf numFmtId="0" fontId="84" fillId="73" borderId="327"/>
    <xf numFmtId="0" fontId="84" fillId="73" borderId="327"/>
    <xf numFmtId="0" fontId="84" fillId="73" borderId="327"/>
    <xf numFmtId="0" fontId="84" fillId="73" borderId="327"/>
    <xf numFmtId="0" fontId="84" fillId="73" borderId="327"/>
    <xf numFmtId="0" fontId="84" fillId="73" borderId="327"/>
    <xf numFmtId="0" fontId="84" fillId="73" borderId="327"/>
    <xf numFmtId="0" fontId="84" fillId="73" borderId="327"/>
    <xf numFmtId="0" fontId="84" fillId="73" borderId="327"/>
    <xf numFmtId="0" fontId="84" fillId="73" borderId="327"/>
    <xf numFmtId="0" fontId="84" fillId="73" borderId="327"/>
    <xf numFmtId="0" fontId="84" fillId="73" borderId="327"/>
    <xf numFmtId="0" fontId="84" fillId="73" borderId="327"/>
    <xf numFmtId="0" fontId="84" fillId="73" borderId="327"/>
    <xf numFmtId="0" fontId="84" fillId="73" borderId="327"/>
    <xf numFmtId="0" fontId="84" fillId="73" borderId="327"/>
    <xf numFmtId="0" fontId="72" fillId="0" borderId="320" applyBorder="0">
      <alignment horizontal="center" vertical="center" wrapText="1"/>
    </xf>
    <xf numFmtId="0" fontId="72" fillId="0" borderId="320" applyBorder="0">
      <alignment horizontal="center" vertical="center" wrapText="1"/>
    </xf>
    <xf numFmtId="0" fontId="72" fillId="0" borderId="320" applyBorder="0">
      <alignment horizontal="center" vertical="center" wrapText="1"/>
    </xf>
    <xf numFmtId="0" fontId="72" fillId="0" borderId="320" applyBorder="0">
      <alignment horizontal="center" vertical="center" wrapText="1"/>
    </xf>
    <xf numFmtId="0" fontId="72" fillId="0" borderId="320" applyBorder="0">
      <alignment horizontal="center" vertical="center" wrapText="1"/>
    </xf>
    <xf numFmtId="0" fontId="72" fillId="0" borderId="320" applyBorder="0">
      <alignment horizontal="center" vertical="center" wrapText="1"/>
    </xf>
    <xf numFmtId="0" fontId="72" fillId="0" borderId="320" applyBorder="0">
      <alignment horizontal="center" vertical="center" wrapText="1"/>
    </xf>
    <xf numFmtId="0" fontId="72" fillId="0" borderId="320" applyBorder="0">
      <alignment horizontal="center" vertical="center" wrapText="1"/>
    </xf>
    <xf numFmtId="0" fontId="72" fillId="0" borderId="320" applyBorder="0">
      <alignment horizontal="center" vertical="center" wrapText="1"/>
    </xf>
    <xf numFmtId="0" fontId="72" fillId="0" borderId="320" applyBorder="0">
      <alignment horizontal="center" vertical="center" wrapText="1"/>
    </xf>
    <xf numFmtId="0" fontId="72" fillId="0" borderId="320" applyBorder="0">
      <alignment horizontal="center" vertical="center" wrapText="1"/>
    </xf>
    <xf numFmtId="0" fontId="72" fillId="0" borderId="320" applyBorder="0">
      <alignment horizontal="center" vertical="center" wrapText="1"/>
    </xf>
    <xf numFmtId="0" fontId="72" fillId="0" borderId="320" applyBorder="0">
      <alignment horizontal="center" vertical="center" wrapText="1"/>
    </xf>
    <xf numFmtId="0" fontId="72" fillId="0" borderId="320" applyBorder="0">
      <alignment horizontal="center" vertical="center" wrapText="1"/>
    </xf>
    <xf numFmtId="0" fontId="72" fillId="0" borderId="320" applyBorder="0">
      <alignment horizontal="center" vertical="center" wrapText="1"/>
    </xf>
    <xf numFmtId="0" fontId="72" fillId="0" borderId="320" applyBorder="0">
      <alignment horizontal="center" vertical="center" wrapText="1"/>
    </xf>
    <xf numFmtId="0" fontId="72" fillId="0" borderId="320" applyBorder="0">
      <alignment horizontal="center" vertical="center" wrapText="1"/>
    </xf>
    <xf numFmtId="0" fontId="72" fillId="0" borderId="320" applyBorder="0">
      <alignment horizontal="center" vertical="center" wrapText="1"/>
    </xf>
    <xf numFmtId="0" fontId="72" fillId="0" borderId="320" applyBorder="0">
      <alignment horizontal="center" vertical="center" wrapText="1"/>
    </xf>
    <xf numFmtId="0" fontId="72" fillId="0" borderId="320" applyBorder="0">
      <alignment horizontal="center" vertical="center" wrapText="1"/>
    </xf>
    <xf numFmtId="0" fontId="72" fillId="0" borderId="320" applyBorder="0">
      <alignment horizontal="center" vertical="center" wrapText="1"/>
    </xf>
    <xf numFmtId="0" fontId="72" fillId="0" borderId="320" applyBorder="0">
      <alignment horizontal="center" vertical="center" wrapText="1"/>
    </xf>
    <xf numFmtId="0" fontId="72" fillId="0" borderId="320" applyBorder="0">
      <alignment horizontal="center" vertical="center" wrapText="1"/>
    </xf>
    <xf numFmtId="0" fontId="72" fillId="0" borderId="320" applyBorder="0">
      <alignment horizontal="center" vertical="center" wrapText="1"/>
    </xf>
    <xf numFmtId="0" fontId="72" fillId="0" borderId="320" applyBorder="0">
      <alignment horizontal="center" vertical="center" wrapText="1"/>
    </xf>
    <xf numFmtId="0" fontId="72" fillId="0" borderId="320" applyBorder="0">
      <alignment horizontal="center" vertical="center" wrapText="1"/>
    </xf>
    <xf numFmtId="0" fontId="72" fillId="0" borderId="320" applyBorder="0">
      <alignment horizontal="center" vertical="center" wrapText="1"/>
    </xf>
    <xf numFmtId="0" fontId="72" fillId="0" borderId="320" applyBorder="0">
      <alignment horizontal="center" vertical="center" wrapText="1"/>
    </xf>
    <xf numFmtId="0" fontId="72" fillId="0" borderId="320" applyBorder="0">
      <alignment horizontal="center" vertical="center" wrapText="1"/>
    </xf>
    <xf numFmtId="0" fontId="72" fillId="0" borderId="320" applyBorder="0">
      <alignment horizontal="center" vertical="center" wrapText="1"/>
    </xf>
    <xf numFmtId="0" fontId="72" fillId="0" borderId="320" applyBorder="0">
      <alignment horizontal="center" vertical="center" wrapText="1"/>
    </xf>
    <xf numFmtId="0" fontId="72" fillId="0" borderId="320" applyBorder="0">
      <alignment horizontal="center" vertical="center" wrapText="1"/>
    </xf>
    <xf numFmtId="0" fontId="72" fillId="0" borderId="320" applyBorder="0">
      <alignment horizontal="center" vertical="center" wrapText="1"/>
    </xf>
    <xf numFmtId="0" fontId="72" fillId="0" borderId="320" applyBorder="0">
      <alignment horizontal="center" vertical="center" wrapText="1"/>
    </xf>
    <xf numFmtId="0" fontId="72" fillId="0" borderId="320" applyBorder="0">
      <alignment horizontal="center" vertical="center" wrapText="1"/>
    </xf>
    <xf numFmtId="0" fontId="72" fillId="0" borderId="320" applyBorder="0">
      <alignment horizontal="center" vertical="center" wrapText="1"/>
    </xf>
    <xf numFmtId="0" fontId="72" fillId="0" borderId="320" applyBorder="0">
      <alignment horizontal="center" vertical="center" wrapText="1"/>
    </xf>
    <xf numFmtId="0" fontId="72" fillId="0" borderId="320" applyBorder="0">
      <alignment horizontal="center" vertical="center" wrapText="1"/>
    </xf>
    <xf numFmtId="0" fontId="72" fillId="0" borderId="320" applyBorder="0">
      <alignment horizontal="center" vertical="center" wrapText="1"/>
    </xf>
    <xf numFmtId="0" fontId="72" fillId="0" borderId="320" applyBorder="0">
      <alignment horizontal="center" vertical="center" wrapText="1"/>
    </xf>
    <xf numFmtId="0" fontId="72" fillId="0" borderId="320" applyBorder="0">
      <alignment horizontal="center" vertical="center" wrapText="1"/>
    </xf>
    <xf numFmtId="0" fontId="72" fillId="0" borderId="320" applyBorder="0">
      <alignment horizontal="center" vertical="center" wrapText="1"/>
    </xf>
    <xf numFmtId="0" fontId="72" fillId="0" borderId="320" applyBorder="0">
      <alignment horizontal="center" vertical="center" wrapText="1"/>
    </xf>
    <xf numFmtId="0" fontId="72" fillId="0" borderId="320" applyBorder="0">
      <alignment horizontal="center" vertical="center" wrapText="1"/>
    </xf>
    <xf numFmtId="0" fontId="72" fillId="0" borderId="320" applyBorder="0">
      <alignment horizontal="center" vertical="center" wrapText="1"/>
    </xf>
    <xf numFmtId="0" fontId="72" fillId="0" borderId="320" applyBorder="0">
      <alignment horizontal="center" vertical="center" wrapText="1"/>
    </xf>
    <xf numFmtId="0" fontId="72" fillId="0" borderId="320" applyBorder="0">
      <alignment horizontal="center" vertical="center" wrapText="1"/>
    </xf>
    <xf numFmtId="0" fontId="72" fillId="0" borderId="320" applyBorder="0">
      <alignment horizontal="center" vertical="center" wrapText="1"/>
    </xf>
    <xf numFmtId="0" fontId="72" fillId="0" borderId="320" applyBorder="0">
      <alignment horizontal="center" vertical="center" wrapText="1"/>
    </xf>
    <xf numFmtId="0" fontId="72" fillId="0" borderId="320" applyBorder="0">
      <alignment horizontal="center" vertical="center" wrapText="1"/>
    </xf>
    <xf numFmtId="0" fontId="72" fillId="0" borderId="320" applyBorder="0">
      <alignment horizontal="center" vertical="center" wrapText="1"/>
    </xf>
    <xf numFmtId="0" fontId="72" fillId="0" borderId="320" applyBorder="0">
      <alignment horizontal="center" vertical="center" wrapText="1"/>
    </xf>
    <xf numFmtId="0" fontId="72" fillId="0" borderId="320" applyBorder="0">
      <alignment horizontal="center" vertical="center" wrapText="1"/>
    </xf>
    <xf numFmtId="0" fontId="72" fillId="0" borderId="320" applyBorder="0">
      <alignment horizontal="center" vertical="center" wrapText="1"/>
    </xf>
    <xf numFmtId="0" fontId="72" fillId="0" borderId="320" applyBorder="0">
      <alignment horizontal="center" vertical="center" wrapText="1"/>
    </xf>
    <xf numFmtId="0" fontId="72" fillId="0" borderId="320" applyBorder="0">
      <alignment horizontal="center" vertical="center" wrapText="1"/>
    </xf>
    <xf numFmtId="0" fontId="72" fillId="0" borderId="320" applyBorder="0">
      <alignment horizontal="center" vertical="center" wrapText="1"/>
    </xf>
    <xf numFmtId="0" fontId="72" fillId="0" borderId="320" applyBorder="0">
      <alignment horizontal="center" vertical="center" wrapText="1"/>
    </xf>
    <xf numFmtId="0" fontId="72" fillId="0" borderId="320" applyBorder="0">
      <alignment horizontal="center" vertical="center" wrapText="1"/>
    </xf>
    <xf numFmtId="0" fontId="72" fillId="0" borderId="320" applyBorder="0">
      <alignment horizontal="center" vertical="center" wrapText="1"/>
    </xf>
    <xf numFmtId="0" fontId="49" fillId="10" borderId="331" applyNumberFormat="0" applyFont="0" applyAlignment="0" applyProtection="0"/>
    <xf numFmtId="0" fontId="48" fillId="12" borderId="330" applyNumberFormat="0" applyAlignment="0" applyProtection="0"/>
    <xf numFmtId="0" fontId="25" fillId="8" borderId="330" applyNumberFormat="0" applyAlignment="0" applyProtection="0"/>
    <xf numFmtId="0" fontId="31" fillId="0" borderId="328" applyNumberFormat="0" applyFill="0" applyAlignment="0" applyProtection="0"/>
    <xf numFmtId="0" fontId="31" fillId="0" borderId="333" applyNumberFormat="0" applyFill="0" applyAlignment="0" applyProtection="0"/>
    <xf numFmtId="0" fontId="24" fillId="24" borderId="332" applyNumberFormat="0" applyAlignment="0" applyProtection="0"/>
    <xf numFmtId="0" fontId="8" fillId="10" borderId="331" applyNumberFormat="0" applyFont="0" applyAlignment="0" applyProtection="0"/>
    <xf numFmtId="0" fontId="41" fillId="13" borderId="330" applyNumberFormat="0" applyAlignment="0" applyProtection="0"/>
    <xf numFmtId="0" fontId="48" fillId="12" borderId="330" applyNumberFormat="0" applyAlignment="0" applyProtection="0"/>
    <xf numFmtId="0" fontId="48" fillId="24" borderId="330" applyNumberFormat="0" applyAlignment="0" applyProtection="0"/>
    <xf numFmtId="0" fontId="31" fillId="0" borderId="328" applyNumberFormat="0" applyFill="0" applyAlignment="0" applyProtection="0"/>
    <xf numFmtId="0" fontId="48" fillId="24" borderId="330" applyNumberFormat="0" applyAlignment="0" applyProtection="0"/>
    <xf numFmtId="0" fontId="49" fillId="10" borderId="331" applyNumberFormat="0" applyFont="0" applyAlignment="0" applyProtection="0"/>
    <xf numFmtId="0" fontId="29" fillId="12" borderId="329" applyNumberFormat="0" applyAlignment="0" applyProtection="0"/>
    <xf numFmtId="0" fontId="8" fillId="10" borderId="331" applyNumberFormat="0" applyFont="0" applyAlignment="0" applyProtection="0"/>
    <xf numFmtId="0" fontId="8" fillId="10" borderId="324" applyNumberFormat="0" applyFont="0" applyAlignment="0" applyProtection="0"/>
    <xf numFmtId="0" fontId="49" fillId="10" borderId="324" applyNumberFormat="0" applyFont="0" applyAlignment="0" applyProtection="0"/>
    <xf numFmtId="0" fontId="31" fillId="0" borderId="326" applyNumberFormat="0" applyFill="0" applyAlignment="0" applyProtection="0"/>
    <xf numFmtId="0" fontId="31" fillId="0" borderId="328" applyNumberFormat="0" applyFill="0" applyAlignment="0" applyProtection="0"/>
    <xf numFmtId="0" fontId="31" fillId="0" borderId="333" applyNumberFormat="0" applyFill="0" applyAlignment="0" applyProtection="0"/>
    <xf numFmtId="0" fontId="31" fillId="0" borderId="328" applyNumberFormat="0" applyFill="0" applyAlignment="0" applyProtection="0"/>
    <xf numFmtId="0" fontId="41" fillId="13" borderId="346" applyNumberFormat="0" applyAlignment="0" applyProtection="0"/>
    <xf numFmtId="0" fontId="31" fillId="0" borderId="352" applyNumberFormat="0" applyFill="0" applyAlignment="0" applyProtection="0"/>
    <xf numFmtId="0" fontId="72" fillId="0" borderId="353" applyBorder="0">
      <alignment horizontal="center" vertical="center" wrapText="1"/>
    </xf>
    <xf numFmtId="0" fontId="31" fillId="0" borderId="352" applyNumberFormat="0" applyFill="0" applyAlignment="0" applyProtection="0"/>
    <xf numFmtId="0" fontId="24" fillId="24" borderId="348" applyNumberFormat="0" applyAlignment="0" applyProtection="0"/>
    <xf numFmtId="0" fontId="31" fillId="0" borderId="349" applyNumberFormat="0" applyFill="0" applyAlignment="0" applyProtection="0"/>
    <xf numFmtId="0" fontId="31" fillId="0" borderId="344" applyNumberFormat="0" applyFill="0" applyAlignment="0" applyProtection="0"/>
    <xf numFmtId="0" fontId="72" fillId="0" borderId="350" applyBorder="0">
      <alignment horizontal="center" vertical="center" wrapText="1"/>
    </xf>
    <xf numFmtId="0" fontId="8" fillId="10" borderId="347" applyNumberFormat="0" applyFont="0" applyAlignment="0" applyProtection="0"/>
    <xf numFmtId="0" fontId="48" fillId="24" borderId="346" applyNumberFormat="0" applyAlignment="0" applyProtection="0"/>
    <xf numFmtId="0" fontId="8" fillId="10" borderId="347" applyNumberFormat="0" applyFont="0" applyAlignment="0" applyProtection="0"/>
    <xf numFmtId="0" fontId="25" fillId="13" borderId="346" applyNumberFormat="0" applyAlignment="0" applyProtection="0"/>
    <xf numFmtId="0" fontId="28" fillId="10" borderId="347" applyNumberFormat="0" applyFont="0" applyAlignment="0" applyProtection="0"/>
    <xf numFmtId="0" fontId="72" fillId="0" borderId="350" applyBorder="0">
      <alignment horizontal="center" vertical="center" wrapText="1"/>
    </xf>
    <xf numFmtId="0" fontId="31" fillId="0" borderId="352" applyNumberFormat="0" applyFill="0" applyAlignment="0" applyProtection="0"/>
    <xf numFmtId="0" fontId="31" fillId="0" borderId="352" applyNumberFormat="0" applyFill="0" applyAlignment="0" applyProtection="0"/>
    <xf numFmtId="0" fontId="8" fillId="10" borderId="347" applyNumberFormat="0" applyFont="0" applyAlignment="0" applyProtection="0"/>
    <xf numFmtId="0" fontId="25" fillId="13" borderId="355" applyNumberFormat="0" applyAlignment="0" applyProtection="0"/>
    <xf numFmtId="0" fontId="32" fillId="24" borderId="330" applyNumberFormat="0" applyAlignment="0" applyProtection="0"/>
    <xf numFmtId="0" fontId="16" fillId="24" borderId="330" applyNumberFormat="0" applyAlignment="0" applyProtection="0"/>
    <xf numFmtId="0" fontId="16" fillId="24" borderId="330" applyNumberFormat="0" applyAlignment="0" applyProtection="0"/>
    <xf numFmtId="0" fontId="16" fillId="24" borderId="330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72" fillId="0" borderId="311" applyBorder="0">
      <alignment horizontal="center" vertical="center" wrapText="1"/>
    </xf>
    <xf numFmtId="0" fontId="25" fillId="13" borderId="335" applyNumberFormat="0" applyAlignment="0" applyProtection="0"/>
    <xf numFmtId="0" fontId="25" fillId="13" borderId="335" applyNumberFormat="0" applyAlignment="0" applyProtection="0"/>
    <xf numFmtId="0" fontId="25" fillId="13" borderId="335" applyNumberFormat="0" applyAlignment="0" applyProtection="0"/>
    <xf numFmtId="0" fontId="41" fillId="13" borderId="335" applyNumberFormat="0" applyAlignment="0" applyProtection="0"/>
    <xf numFmtId="0" fontId="21" fillId="11" borderId="0" applyNumberFormat="0" applyBorder="0" applyAlignment="0" applyProtection="0"/>
    <xf numFmtId="0" fontId="41" fillId="13" borderId="330" applyNumberFormat="0" applyAlignment="0" applyProtection="0"/>
    <xf numFmtId="0" fontId="25" fillId="13" borderId="330" applyNumberFormat="0" applyAlignment="0" applyProtection="0"/>
    <xf numFmtId="0" fontId="25" fillId="13" borderId="330" applyNumberFormat="0" applyAlignment="0" applyProtection="0"/>
    <xf numFmtId="0" fontId="25" fillId="13" borderId="330" applyNumberFormat="0" applyAlignment="0" applyProtection="0"/>
    <xf numFmtId="0" fontId="72" fillId="0" borderId="311" applyBorder="0">
      <alignment horizontal="center" vertical="center" wrapText="1"/>
    </xf>
    <xf numFmtId="0" fontId="2" fillId="0" borderId="0"/>
    <xf numFmtId="0" fontId="2" fillId="0" borderId="0"/>
    <xf numFmtId="0" fontId="16" fillId="24" borderId="335" applyNumberFormat="0" applyAlignment="0" applyProtection="0"/>
    <xf numFmtId="0" fontId="16" fillId="24" borderId="335" applyNumberFormat="0" applyAlignment="0" applyProtection="0"/>
    <xf numFmtId="0" fontId="16" fillId="24" borderId="335" applyNumberFormat="0" applyAlignment="0" applyProtection="0"/>
    <xf numFmtId="0" fontId="32" fillId="24" borderId="335" applyNumberFormat="0" applyAlignment="0" applyProtection="0"/>
    <xf numFmtId="0" fontId="6" fillId="0" borderId="0"/>
    <xf numFmtId="0" fontId="2" fillId="0" borderId="0"/>
    <xf numFmtId="175" fontId="28" fillId="0" borderId="0"/>
    <xf numFmtId="0" fontId="6" fillId="0" borderId="0"/>
    <xf numFmtId="0" fontId="31" fillId="0" borderId="352" applyNumberFormat="0" applyFill="0" applyAlignment="0" applyProtection="0"/>
    <xf numFmtId="0" fontId="6" fillId="0" borderId="0"/>
    <xf numFmtId="0" fontId="49" fillId="10" borderId="347" applyNumberFormat="0" applyFont="0" applyAlignment="0" applyProtection="0"/>
    <xf numFmtId="0" fontId="16" fillId="24" borderId="346" applyNumberFormat="0" applyAlignment="0" applyProtection="0"/>
    <xf numFmtId="0" fontId="48" fillId="12" borderId="335" applyNumberFormat="0" applyAlignment="0" applyProtection="0"/>
    <xf numFmtId="0" fontId="48" fillId="24" borderId="335" applyNumberFormat="0" applyAlignment="0" applyProtection="0"/>
    <xf numFmtId="0" fontId="29" fillId="12" borderId="336" applyNumberFormat="0" applyAlignment="0" applyProtection="0"/>
    <xf numFmtId="0" fontId="31" fillId="0" borderId="349" applyNumberFormat="0" applyFill="0" applyAlignment="0" applyProtection="0"/>
    <xf numFmtId="0" fontId="25" fillId="8" borderId="335" applyNumberFormat="0" applyAlignment="0" applyProtection="0"/>
    <xf numFmtId="0" fontId="16" fillId="24" borderId="346" applyNumberFormat="0" applyAlignment="0" applyProtection="0"/>
    <xf numFmtId="0" fontId="16" fillId="24" borderId="346" applyNumberFormat="0" applyAlignment="0" applyProtection="0"/>
    <xf numFmtId="0" fontId="31" fillId="0" borderId="352" applyNumberFormat="0" applyFill="0" applyAlignment="0" applyProtection="0"/>
    <xf numFmtId="0" fontId="2" fillId="0" borderId="0"/>
    <xf numFmtId="0" fontId="49" fillId="10" borderId="347" applyNumberFormat="0" applyFont="0" applyAlignment="0" applyProtection="0"/>
    <xf numFmtId="0" fontId="31" fillId="0" borderId="349" applyNumberFormat="0" applyFill="0" applyAlignment="0" applyProtection="0"/>
    <xf numFmtId="0" fontId="49" fillId="10" borderId="347" applyNumberFormat="0" applyFont="0" applyAlignment="0" applyProtection="0"/>
    <xf numFmtId="0" fontId="29" fillId="24" borderId="345" applyNumberFormat="0" applyAlignment="0" applyProtection="0"/>
    <xf numFmtId="0" fontId="16" fillId="24" borderId="346" applyNumberFormat="0" applyAlignment="0" applyProtection="0"/>
    <xf numFmtId="0" fontId="31" fillId="0" borderId="352" applyNumberFormat="0" applyFill="0" applyAlignment="0" applyProtection="0"/>
    <xf numFmtId="0" fontId="29" fillId="24" borderId="345" applyNumberFormat="0" applyAlignment="0" applyProtection="0"/>
    <xf numFmtId="0" fontId="41" fillId="13" borderId="355" applyNumberFormat="0" applyAlignment="0" applyProtection="0"/>
    <xf numFmtId="0" fontId="2" fillId="0" borderId="0"/>
    <xf numFmtId="0" fontId="2" fillId="0" borderId="0"/>
    <xf numFmtId="0" fontId="41" fillId="13" borderId="335" applyNumberFormat="0" applyAlignment="0" applyProtection="0"/>
    <xf numFmtId="0" fontId="2" fillId="0" borderId="0"/>
    <xf numFmtId="0" fontId="48" fillId="12" borderId="335" applyNumberFormat="0" applyAlignment="0" applyProtection="0"/>
    <xf numFmtId="0" fontId="48" fillId="24" borderId="335" applyNumberFormat="0" applyAlignment="0" applyProtection="0"/>
    <xf numFmtId="0" fontId="18" fillId="10" borderId="331" applyNumberFormat="0" applyFont="0" applyAlignment="0" applyProtection="0"/>
    <xf numFmtId="0" fontId="28" fillId="10" borderId="331" applyNumberFormat="0" applyFont="0" applyAlignment="0" applyProtection="0"/>
    <xf numFmtId="0" fontId="28" fillId="10" borderId="331" applyNumberFormat="0" applyFont="0" applyAlignment="0" applyProtection="0"/>
    <xf numFmtId="0" fontId="8" fillId="10" borderId="331" applyNumberFormat="0" applyFont="0" applyAlignment="0" applyProtection="0"/>
    <xf numFmtId="0" fontId="28" fillId="10" borderId="331" applyNumberFormat="0" applyFont="0" applyAlignment="0" applyProtection="0"/>
    <xf numFmtId="0" fontId="24" fillId="24" borderId="332" applyNumberFormat="0" applyAlignment="0" applyProtection="0"/>
    <xf numFmtId="0" fontId="29" fillId="24" borderId="329" applyNumberFormat="0" applyAlignment="0" applyProtection="0"/>
    <xf numFmtId="0" fontId="29" fillId="24" borderId="329" applyNumberFormat="0" applyAlignment="0" applyProtection="0"/>
    <xf numFmtId="0" fontId="29" fillId="24" borderId="329" applyNumberFormat="0" applyAlignment="0" applyProtection="0"/>
    <xf numFmtId="9" fontId="1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46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8" fillId="0" borderId="0"/>
    <xf numFmtId="43" fontId="49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48" fillId="12" borderId="346" applyNumberFormat="0" applyAlignment="0" applyProtection="0"/>
    <xf numFmtId="0" fontId="8" fillId="10" borderId="347" applyNumberFormat="0" applyFont="0" applyAlignment="0" applyProtection="0"/>
    <xf numFmtId="0" fontId="8" fillId="10" borderId="347" applyNumberFormat="0" applyFont="0" applyAlignment="0" applyProtection="0"/>
    <xf numFmtId="0" fontId="25" fillId="8" borderId="346" applyNumberFormat="0" applyAlignment="0" applyProtection="0"/>
    <xf numFmtId="0" fontId="28" fillId="10" borderId="347" applyNumberFormat="0" applyFont="0" applyAlignment="0" applyProtection="0"/>
    <xf numFmtId="0" fontId="28" fillId="10" borderId="347" applyNumberFormat="0" applyFont="0" applyAlignment="0" applyProtection="0"/>
    <xf numFmtId="0" fontId="29" fillId="24" borderId="336" applyNumberFormat="0" applyAlignment="0" applyProtection="0"/>
    <xf numFmtId="0" fontId="29" fillId="24" borderId="336" applyNumberFormat="0" applyAlignment="0" applyProtection="0"/>
    <xf numFmtId="0" fontId="29" fillId="24" borderId="336" applyNumberFormat="0" applyAlignment="0" applyProtection="0"/>
    <xf numFmtId="0" fontId="72" fillId="0" borderId="350" applyBorder="0">
      <alignment horizontal="center" vertical="center" wrapText="1"/>
    </xf>
    <xf numFmtId="0" fontId="48" fillId="24" borderId="330" applyNumberFormat="0" applyAlignment="0" applyProtection="0"/>
    <xf numFmtId="0" fontId="48" fillId="24" borderId="330" applyNumberFormat="0" applyAlignment="0" applyProtection="0"/>
    <xf numFmtId="0" fontId="48" fillId="12" borderId="330" applyNumberFormat="0" applyAlignment="0" applyProtection="0"/>
    <xf numFmtId="0" fontId="48" fillId="12" borderId="330" applyNumberFormat="0" applyAlignment="0" applyProtection="0"/>
    <xf numFmtId="0" fontId="41" fillId="13" borderId="330" applyNumberFormat="0" applyAlignment="0" applyProtection="0"/>
    <xf numFmtId="0" fontId="25" fillId="8" borderId="330" applyNumberFormat="0" applyAlignment="0" applyProtection="0"/>
    <xf numFmtId="0" fontId="8" fillId="10" borderId="331" applyNumberFormat="0" applyFont="0" applyAlignment="0" applyProtection="0"/>
    <xf numFmtId="0" fontId="8" fillId="10" borderId="331" applyNumberFormat="0" applyFont="0" applyAlignment="0" applyProtection="0"/>
    <xf numFmtId="0" fontId="49" fillId="10" borderId="331" applyNumberFormat="0" applyFont="0" applyAlignment="0" applyProtection="0"/>
    <xf numFmtId="0" fontId="49" fillId="10" borderId="331" applyNumberFormat="0" applyFont="0" applyAlignment="0" applyProtection="0"/>
    <xf numFmtId="0" fontId="24" fillId="24" borderId="332" applyNumberFormat="0" applyAlignment="0" applyProtection="0"/>
    <xf numFmtId="0" fontId="29" fillId="12" borderId="329" applyNumberFormat="0" applyAlignment="0" applyProtection="0"/>
    <xf numFmtId="0" fontId="31" fillId="0" borderId="333" applyNumberFormat="0" applyFill="0" applyAlignment="0" applyProtection="0"/>
    <xf numFmtId="0" fontId="31" fillId="0" borderId="333" applyNumberFormat="0" applyFill="0" applyAlignment="0" applyProtection="0"/>
    <xf numFmtId="0" fontId="31" fillId="0" borderId="328" applyNumberFormat="0" applyFill="0" applyAlignment="0" applyProtection="0"/>
    <xf numFmtId="0" fontId="31" fillId="0" borderId="328" applyNumberFormat="0" applyFill="0" applyAlignment="0" applyProtection="0"/>
    <xf numFmtId="0" fontId="32" fillId="24" borderId="330" applyNumberFormat="0" applyAlignment="0" applyProtection="0"/>
    <xf numFmtId="0" fontId="16" fillId="24" borderId="330" applyNumberFormat="0" applyAlignment="0" applyProtection="0"/>
    <xf numFmtId="0" fontId="16" fillId="24" borderId="330" applyNumberFormat="0" applyAlignment="0" applyProtection="0"/>
    <xf numFmtId="0" fontId="16" fillId="24" borderId="330" applyNumberFormat="0" applyAlignment="0" applyProtection="0"/>
    <xf numFmtId="0" fontId="41" fillId="13" borderId="330" applyNumberFormat="0" applyAlignment="0" applyProtection="0"/>
    <xf numFmtId="0" fontId="25" fillId="13" borderId="330" applyNumberFormat="0" applyAlignment="0" applyProtection="0"/>
    <xf numFmtId="0" fontId="25" fillId="13" borderId="330" applyNumberFormat="0" applyAlignment="0" applyProtection="0"/>
    <xf numFmtId="0" fontId="25" fillId="13" borderId="330" applyNumberFormat="0" applyAlignment="0" applyProtection="0"/>
    <xf numFmtId="0" fontId="18" fillId="10" borderId="331" applyNumberFormat="0" applyFont="0" applyAlignment="0" applyProtection="0"/>
    <xf numFmtId="0" fontId="28" fillId="10" borderId="331" applyNumberFormat="0" applyFont="0" applyAlignment="0" applyProtection="0"/>
    <xf numFmtId="0" fontId="28" fillId="10" borderId="331" applyNumberFormat="0" applyFont="0" applyAlignment="0" applyProtection="0"/>
    <xf numFmtId="0" fontId="8" fillId="10" borderId="331" applyNumberFormat="0" applyFont="0" applyAlignment="0" applyProtection="0"/>
    <xf numFmtId="0" fontId="28" fillId="10" borderId="331" applyNumberFormat="0" applyFont="0" applyAlignment="0" applyProtection="0"/>
    <xf numFmtId="0" fontId="24" fillId="24" borderId="332" applyNumberFormat="0" applyAlignment="0" applyProtection="0"/>
    <xf numFmtId="0" fontId="29" fillId="24" borderId="329" applyNumberFormat="0" applyAlignment="0" applyProtection="0"/>
    <xf numFmtId="0" fontId="29" fillId="24" borderId="329" applyNumberFormat="0" applyAlignment="0" applyProtection="0"/>
    <xf numFmtId="0" fontId="29" fillId="24" borderId="329" applyNumberFormat="0" applyAlignment="0" applyProtection="0"/>
    <xf numFmtId="0" fontId="48" fillId="24" borderId="330" applyNumberFormat="0" applyAlignment="0" applyProtection="0"/>
    <xf numFmtId="0" fontId="32" fillId="24" borderId="346" applyNumberFormat="0" applyAlignment="0" applyProtection="0"/>
    <xf numFmtId="0" fontId="41" fillId="13" borderId="346" applyNumberFormat="0" applyAlignment="0" applyProtection="0"/>
    <xf numFmtId="0" fontId="29" fillId="24" borderId="345" applyNumberFormat="0" applyAlignment="0" applyProtection="0"/>
    <xf numFmtId="0" fontId="24" fillId="24" borderId="348" applyNumberFormat="0" applyAlignment="0" applyProtection="0"/>
    <xf numFmtId="0" fontId="18" fillId="10" borderId="347" applyNumberFormat="0" applyFont="0" applyAlignment="0" applyProtection="0"/>
    <xf numFmtId="0" fontId="8" fillId="10" borderId="331" applyNumberFormat="0" applyFont="0" applyAlignment="0" applyProtection="0"/>
    <xf numFmtId="0" fontId="49" fillId="10" borderId="331" applyNumberFormat="0" applyFont="0" applyAlignment="0" applyProtection="0"/>
    <xf numFmtId="0" fontId="28" fillId="0" borderId="327"/>
    <xf numFmtId="0" fontId="28" fillId="0" borderId="327"/>
    <xf numFmtId="0" fontId="31" fillId="0" borderId="333" applyNumberFormat="0" applyFill="0" applyAlignment="0" applyProtection="0"/>
    <xf numFmtId="0" fontId="84" fillId="0" borderId="327"/>
    <xf numFmtId="0" fontId="84" fillId="0" borderId="327"/>
    <xf numFmtId="0" fontId="48" fillId="12" borderId="330" applyNumberFormat="0" applyAlignment="0" applyProtection="0"/>
    <xf numFmtId="0" fontId="48" fillId="12" borderId="330" applyNumberFormat="0" applyAlignment="0" applyProtection="0"/>
    <xf numFmtId="0" fontId="25" fillId="8" borderId="330" applyNumberFormat="0" applyAlignment="0" applyProtection="0"/>
    <xf numFmtId="0" fontId="29" fillId="12" borderId="329" applyNumberFormat="0" applyAlignment="0" applyProtection="0"/>
    <xf numFmtId="0" fontId="31" fillId="0" borderId="328" applyNumberFormat="0" applyFill="0" applyAlignment="0" applyProtection="0"/>
    <xf numFmtId="0" fontId="31" fillId="0" borderId="328" applyNumberFormat="0" applyFill="0" applyAlignment="0" applyProtection="0"/>
    <xf numFmtId="0" fontId="31" fillId="0" borderId="344" applyNumberFormat="0" applyFill="0" applyAlignment="0" applyProtection="0"/>
    <xf numFmtId="0" fontId="29" fillId="12" borderId="329" applyNumberFormat="0" applyAlignment="0" applyProtection="0"/>
    <xf numFmtId="0" fontId="29" fillId="24" borderId="329" applyNumberFormat="0" applyAlignment="0" applyProtection="0"/>
    <xf numFmtId="0" fontId="29" fillId="24" borderId="329" applyNumberFormat="0" applyAlignment="0" applyProtection="0"/>
    <xf numFmtId="0" fontId="29" fillId="24" borderId="329" applyNumberFormat="0" applyAlignment="0" applyProtection="0"/>
    <xf numFmtId="0" fontId="48" fillId="24" borderId="330" applyNumberFormat="0" applyAlignment="0" applyProtection="0"/>
    <xf numFmtId="0" fontId="48" fillId="24" borderId="330" applyNumberFormat="0" applyAlignment="0" applyProtection="0"/>
    <xf numFmtId="0" fontId="48" fillId="12" borderId="330" applyNumberFormat="0" applyAlignment="0" applyProtection="0"/>
    <xf numFmtId="0" fontId="48" fillId="12" borderId="330" applyNumberFormat="0" applyAlignment="0" applyProtection="0"/>
    <xf numFmtId="0" fontId="41" fillId="13" borderId="330" applyNumberFormat="0" applyAlignment="0" applyProtection="0"/>
    <xf numFmtId="0" fontId="25" fillId="8" borderId="330" applyNumberFormat="0" applyAlignment="0" applyProtection="0"/>
    <xf numFmtId="0" fontId="8" fillId="10" borderId="331" applyNumberFormat="0" applyFont="0" applyAlignment="0" applyProtection="0"/>
    <xf numFmtId="0" fontId="8" fillId="10" borderId="331" applyNumberFormat="0" applyFont="0" applyAlignment="0" applyProtection="0"/>
    <xf numFmtId="0" fontId="49" fillId="10" borderId="331" applyNumberFormat="0" applyFont="0" applyAlignment="0" applyProtection="0"/>
    <xf numFmtId="0" fontId="49" fillId="10" borderId="331" applyNumberFormat="0" applyFont="0" applyAlignment="0" applyProtection="0"/>
    <xf numFmtId="0" fontId="24" fillId="24" borderId="332" applyNumberFormat="0" applyAlignment="0" applyProtection="0"/>
    <xf numFmtId="0" fontId="29" fillId="12" borderId="329" applyNumberFormat="0" applyAlignment="0" applyProtection="0"/>
    <xf numFmtId="0" fontId="31" fillId="0" borderId="333" applyNumberFormat="0" applyFill="0" applyAlignment="0" applyProtection="0"/>
    <xf numFmtId="0" fontId="31" fillId="0" borderId="333" applyNumberFormat="0" applyFill="0" applyAlignment="0" applyProtection="0"/>
    <xf numFmtId="0" fontId="31" fillId="0" borderId="328" applyNumberFormat="0" applyFill="0" applyAlignment="0" applyProtection="0"/>
    <xf numFmtId="0" fontId="31" fillId="0" borderId="328" applyNumberFormat="0" applyFill="0" applyAlignment="0" applyProtection="0"/>
    <xf numFmtId="0" fontId="32" fillId="24" borderId="330" applyNumberFormat="0" applyAlignment="0" applyProtection="0"/>
    <xf numFmtId="0" fontId="16" fillId="24" borderId="330" applyNumberFormat="0" applyAlignment="0" applyProtection="0"/>
    <xf numFmtId="0" fontId="16" fillId="24" borderId="330" applyNumberFormat="0" applyAlignment="0" applyProtection="0"/>
    <xf numFmtId="0" fontId="16" fillId="24" borderId="330" applyNumberFormat="0" applyAlignment="0" applyProtection="0"/>
    <xf numFmtId="0" fontId="41" fillId="13" borderId="330" applyNumberFormat="0" applyAlignment="0" applyProtection="0"/>
    <xf numFmtId="0" fontId="25" fillId="13" borderId="330" applyNumberFormat="0" applyAlignment="0" applyProtection="0"/>
    <xf numFmtId="0" fontId="25" fillId="13" borderId="330" applyNumberFormat="0" applyAlignment="0" applyProtection="0"/>
    <xf numFmtId="0" fontId="25" fillId="13" borderId="330" applyNumberFormat="0" applyAlignment="0" applyProtection="0"/>
    <xf numFmtId="0" fontId="18" fillId="10" borderId="331" applyNumberFormat="0" applyFont="0" applyAlignment="0" applyProtection="0"/>
    <xf numFmtId="0" fontId="28" fillId="10" borderId="331" applyNumberFormat="0" applyFont="0" applyAlignment="0" applyProtection="0"/>
    <xf numFmtId="0" fontId="28" fillId="10" borderId="331" applyNumberFormat="0" applyFont="0" applyAlignment="0" applyProtection="0"/>
    <xf numFmtId="0" fontId="8" fillId="10" borderId="331" applyNumberFormat="0" applyFont="0" applyAlignment="0" applyProtection="0"/>
    <xf numFmtId="0" fontId="28" fillId="10" borderId="331" applyNumberFormat="0" applyFont="0" applyAlignment="0" applyProtection="0"/>
    <xf numFmtId="0" fontId="24" fillId="24" borderId="332" applyNumberFormat="0" applyAlignment="0" applyProtection="0"/>
    <xf numFmtId="0" fontId="29" fillId="24" borderId="329" applyNumberFormat="0" applyAlignment="0" applyProtection="0"/>
    <xf numFmtId="0" fontId="29" fillId="24" borderId="329" applyNumberFormat="0" applyAlignment="0" applyProtection="0"/>
    <xf numFmtId="0" fontId="29" fillId="24" borderId="329" applyNumberFormat="0" applyAlignment="0" applyProtection="0"/>
    <xf numFmtId="0" fontId="48" fillId="24" borderId="330" applyNumberFormat="0" applyAlignment="0" applyProtection="0"/>
    <xf numFmtId="0" fontId="8" fillId="10" borderId="331" applyNumberFormat="0" applyFont="0" applyAlignment="0" applyProtection="0"/>
    <xf numFmtId="0" fontId="49" fillId="10" borderId="331" applyNumberFormat="0" applyFont="0" applyAlignment="0" applyProtection="0"/>
    <xf numFmtId="0" fontId="28" fillId="0" borderId="327"/>
    <xf numFmtId="0" fontId="28" fillId="0" borderId="327"/>
    <xf numFmtId="0" fontId="31" fillId="0" borderId="333" applyNumberFormat="0" applyFill="0" applyAlignment="0" applyProtection="0"/>
    <xf numFmtId="0" fontId="84" fillId="0" borderId="327"/>
    <xf numFmtId="0" fontId="84" fillId="0" borderId="327"/>
    <xf numFmtId="0" fontId="48" fillId="12" borderId="330" applyNumberFormat="0" applyAlignment="0" applyProtection="0"/>
    <xf numFmtId="0" fontId="48" fillId="12" borderId="330" applyNumberFormat="0" applyAlignment="0" applyProtection="0"/>
    <xf numFmtId="0" fontId="25" fillId="8" borderId="330" applyNumberFormat="0" applyAlignment="0" applyProtection="0"/>
    <xf numFmtId="0" fontId="29" fillId="12" borderId="329" applyNumberFormat="0" applyAlignment="0" applyProtection="0"/>
    <xf numFmtId="0" fontId="31" fillId="0" borderId="328" applyNumberFormat="0" applyFill="0" applyAlignment="0" applyProtection="0"/>
    <xf numFmtId="0" fontId="31" fillId="0" borderId="328" applyNumberFormat="0" applyFill="0" applyAlignment="0" applyProtection="0"/>
    <xf numFmtId="0" fontId="48" fillId="24" borderId="330" applyNumberFormat="0" applyAlignment="0" applyProtection="0"/>
    <xf numFmtId="0" fontId="49" fillId="10" borderId="331" applyNumberFormat="0" applyFont="0" applyAlignment="0" applyProtection="0"/>
    <xf numFmtId="0" fontId="29" fillId="12" borderId="329" applyNumberFormat="0" applyAlignment="0" applyProtection="0"/>
    <xf numFmtId="0" fontId="32" fillId="24" borderId="330" applyNumberFormat="0" applyAlignment="0" applyProtection="0"/>
    <xf numFmtId="0" fontId="48" fillId="12" borderId="330" applyNumberFormat="0" applyAlignment="0" applyProtection="0"/>
    <xf numFmtId="0" fontId="24" fillId="24" borderId="332" applyNumberFormat="0" applyAlignment="0" applyProtection="0"/>
    <xf numFmtId="0" fontId="8" fillId="10" borderId="331" applyNumberFormat="0" applyFont="0" applyAlignment="0" applyProtection="0"/>
    <xf numFmtId="0" fontId="29" fillId="24" borderId="329" applyNumberFormat="0" applyAlignment="0" applyProtection="0"/>
    <xf numFmtId="0" fontId="16" fillId="24" borderId="330" applyNumberFormat="0" applyAlignment="0" applyProtection="0"/>
    <xf numFmtId="0" fontId="41" fillId="13" borderId="330" applyNumberFormat="0" applyAlignment="0" applyProtection="0"/>
    <xf numFmtId="0" fontId="48" fillId="24" borderId="330" applyNumberFormat="0" applyAlignment="0" applyProtection="0"/>
    <xf numFmtId="0" fontId="41" fillId="13" borderId="330" applyNumberFormat="0" applyAlignment="0" applyProtection="0"/>
    <xf numFmtId="0" fontId="25" fillId="8" borderId="330" applyNumberFormat="0" applyAlignment="0" applyProtection="0"/>
    <xf numFmtId="0" fontId="8" fillId="10" borderId="331" applyNumberFormat="0" applyFont="0" applyAlignment="0" applyProtection="0"/>
    <xf numFmtId="0" fontId="8" fillId="10" borderId="331" applyNumberFormat="0" applyFont="0" applyAlignment="0" applyProtection="0"/>
    <xf numFmtId="0" fontId="49" fillId="10" borderId="331" applyNumberFormat="0" applyFont="0" applyAlignment="0" applyProtection="0"/>
    <xf numFmtId="0" fontId="24" fillId="24" borderId="332" applyNumberFormat="0" applyAlignment="0" applyProtection="0"/>
    <xf numFmtId="0" fontId="31" fillId="0" borderId="333" applyNumberFormat="0" applyFill="0" applyAlignment="0" applyProtection="0"/>
    <xf numFmtId="0" fontId="31" fillId="0" borderId="333" applyNumberFormat="0" applyFill="0" applyAlignment="0" applyProtection="0"/>
    <xf numFmtId="0" fontId="31" fillId="0" borderId="328" applyNumberFormat="0" applyFill="0" applyAlignment="0" applyProtection="0"/>
    <xf numFmtId="0" fontId="49" fillId="10" borderId="331" applyNumberFormat="0" applyFont="0" applyAlignment="0" applyProtection="0"/>
    <xf numFmtId="0" fontId="8" fillId="10" borderId="331" applyNumberFormat="0" applyFont="0" applyAlignment="0" applyProtection="0"/>
    <xf numFmtId="0" fontId="48" fillId="24" borderId="330" applyNumberFormat="0" applyAlignment="0" applyProtection="0"/>
    <xf numFmtId="0" fontId="29" fillId="24" borderId="329" applyNumberFormat="0" applyAlignment="0" applyProtection="0"/>
    <xf numFmtId="0" fontId="8" fillId="10" borderId="331" applyNumberFormat="0" applyFont="0" applyAlignment="0" applyProtection="0"/>
    <xf numFmtId="0" fontId="25" fillId="13" borderId="330" applyNumberFormat="0" applyAlignment="0" applyProtection="0"/>
    <xf numFmtId="0" fontId="16" fillId="24" borderId="330" applyNumberFormat="0" applyAlignment="0" applyProtection="0"/>
    <xf numFmtId="0" fontId="31" fillId="0" borderId="328" applyNumberFormat="0" applyFill="0" applyAlignment="0" applyProtection="0"/>
    <xf numFmtId="0" fontId="48" fillId="24" borderId="330" applyNumberFormat="0" applyAlignment="0" applyProtection="0"/>
    <xf numFmtId="0" fontId="48" fillId="24" borderId="330" applyNumberFormat="0" applyAlignment="0" applyProtection="0"/>
    <xf numFmtId="0" fontId="48" fillId="12" borderId="330" applyNumberFormat="0" applyAlignment="0" applyProtection="0"/>
    <xf numFmtId="0" fontId="48" fillId="12" borderId="330" applyNumberFormat="0" applyAlignment="0" applyProtection="0"/>
    <xf numFmtId="0" fontId="41" fillId="13" borderId="330" applyNumberFormat="0" applyAlignment="0" applyProtection="0"/>
    <xf numFmtId="0" fontId="25" fillId="8" borderId="330" applyNumberFormat="0" applyAlignment="0" applyProtection="0"/>
    <xf numFmtId="0" fontId="8" fillId="10" borderId="331" applyNumberFormat="0" applyFont="0" applyAlignment="0" applyProtection="0"/>
    <xf numFmtId="0" fontId="8" fillId="10" borderId="331" applyNumberFormat="0" applyFont="0" applyAlignment="0" applyProtection="0"/>
    <xf numFmtId="0" fontId="49" fillId="10" borderId="331" applyNumberFormat="0" applyFont="0" applyAlignment="0" applyProtection="0"/>
    <xf numFmtId="0" fontId="49" fillId="10" borderId="331" applyNumberFormat="0" applyFont="0" applyAlignment="0" applyProtection="0"/>
    <xf numFmtId="0" fontId="24" fillId="24" borderId="332" applyNumberFormat="0" applyAlignment="0" applyProtection="0"/>
    <xf numFmtId="0" fontId="29" fillId="12" borderId="329" applyNumberFormat="0" applyAlignment="0" applyProtection="0"/>
    <xf numFmtId="0" fontId="31" fillId="0" borderId="333" applyNumberFormat="0" applyFill="0" applyAlignment="0" applyProtection="0"/>
    <xf numFmtId="0" fontId="31" fillId="0" borderId="333" applyNumberFormat="0" applyFill="0" applyAlignment="0" applyProtection="0"/>
    <xf numFmtId="0" fontId="31" fillId="0" borderId="328" applyNumberFormat="0" applyFill="0" applyAlignment="0" applyProtection="0"/>
    <xf numFmtId="0" fontId="31" fillId="0" borderId="328" applyNumberFormat="0" applyFill="0" applyAlignment="0" applyProtection="0"/>
    <xf numFmtId="0" fontId="32" fillId="24" borderId="330" applyNumberFormat="0" applyAlignment="0" applyProtection="0"/>
    <xf numFmtId="0" fontId="16" fillId="24" borderId="330" applyNumberFormat="0" applyAlignment="0" applyProtection="0"/>
    <xf numFmtId="0" fontId="16" fillId="24" borderId="330" applyNumberFormat="0" applyAlignment="0" applyProtection="0"/>
    <xf numFmtId="0" fontId="16" fillId="24" borderId="330" applyNumberFormat="0" applyAlignment="0" applyProtection="0"/>
    <xf numFmtId="0" fontId="41" fillId="13" borderId="330" applyNumberFormat="0" applyAlignment="0" applyProtection="0"/>
    <xf numFmtId="0" fontId="25" fillId="13" borderId="330" applyNumberFormat="0" applyAlignment="0" applyProtection="0"/>
    <xf numFmtId="0" fontId="25" fillId="13" borderId="330" applyNumberFormat="0" applyAlignment="0" applyProtection="0"/>
    <xf numFmtId="0" fontId="25" fillId="13" borderId="330" applyNumberFormat="0" applyAlignment="0" applyProtection="0"/>
    <xf numFmtId="0" fontId="18" fillId="10" borderId="331" applyNumberFormat="0" applyFont="0" applyAlignment="0" applyProtection="0"/>
    <xf numFmtId="0" fontId="28" fillId="10" borderId="331" applyNumberFormat="0" applyFont="0" applyAlignment="0" applyProtection="0"/>
    <xf numFmtId="0" fontId="28" fillId="10" borderId="331" applyNumberFormat="0" applyFont="0" applyAlignment="0" applyProtection="0"/>
    <xf numFmtId="0" fontId="8" fillId="10" borderId="331" applyNumberFormat="0" applyFont="0" applyAlignment="0" applyProtection="0"/>
    <xf numFmtId="0" fontId="28" fillId="10" borderId="331" applyNumberFormat="0" applyFont="0" applyAlignment="0" applyProtection="0"/>
    <xf numFmtId="0" fontId="24" fillId="24" borderId="332" applyNumberFormat="0" applyAlignment="0" applyProtection="0"/>
    <xf numFmtId="0" fontId="29" fillId="24" borderId="329" applyNumberFormat="0" applyAlignment="0" applyProtection="0"/>
    <xf numFmtId="0" fontId="29" fillId="24" borderId="329" applyNumberFormat="0" applyAlignment="0" applyProtection="0"/>
    <xf numFmtId="0" fontId="29" fillId="24" borderId="329" applyNumberFormat="0" applyAlignment="0" applyProtection="0"/>
    <xf numFmtId="0" fontId="48" fillId="24" borderId="330" applyNumberFormat="0" applyAlignment="0" applyProtection="0"/>
    <xf numFmtId="0" fontId="16" fillId="24" borderId="330" applyNumberFormat="0" applyAlignment="0" applyProtection="0"/>
    <xf numFmtId="0" fontId="16" fillId="24" borderId="330" applyNumberFormat="0" applyAlignment="0" applyProtection="0"/>
    <xf numFmtId="0" fontId="25" fillId="13" borderId="330" applyNumberFormat="0" applyAlignment="0" applyProtection="0"/>
    <xf numFmtId="0" fontId="25" fillId="13" borderId="330" applyNumberFormat="0" applyAlignment="0" applyProtection="0"/>
    <xf numFmtId="0" fontId="25" fillId="13" borderId="330" applyNumberFormat="0" applyAlignment="0" applyProtection="0"/>
    <xf numFmtId="0" fontId="18" fillId="10" borderId="331" applyNumberFormat="0" applyFont="0" applyAlignment="0" applyProtection="0"/>
    <xf numFmtId="0" fontId="28" fillId="10" borderId="331" applyNumberFormat="0" applyFont="0" applyAlignment="0" applyProtection="0"/>
    <xf numFmtId="0" fontId="28" fillId="10" borderId="331" applyNumberFormat="0" applyFont="0" applyAlignment="0" applyProtection="0"/>
    <xf numFmtId="0" fontId="8" fillId="10" borderId="331" applyNumberFormat="0" applyFont="0" applyAlignment="0" applyProtection="0"/>
    <xf numFmtId="0" fontId="28" fillId="10" borderId="331" applyNumberFormat="0" applyFont="0" applyAlignment="0" applyProtection="0"/>
    <xf numFmtId="0" fontId="24" fillId="24" borderId="332" applyNumberFormat="0" applyAlignment="0" applyProtection="0"/>
    <xf numFmtId="0" fontId="29" fillId="24" borderId="329" applyNumberFormat="0" applyAlignment="0" applyProtection="0"/>
    <xf numFmtId="0" fontId="29" fillId="24" borderId="329" applyNumberFormat="0" applyAlignment="0" applyProtection="0"/>
    <xf numFmtId="0" fontId="24" fillId="24" borderId="332" applyNumberFormat="0" applyAlignment="0" applyProtection="0"/>
    <xf numFmtId="0" fontId="31" fillId="0" borderId="333" applyNumberFormat="0" applyFill="0" applyAlignment="0" applyProtection="0"/>
    <xf numFmtId="0" fontId="28" fillId="0" borderId="327"/>
    <xf numFmtId="0" fontId="84" fillId="0" borderId="327"/>
    <xf numFmtId="0" fontId="25" fillId="8" borderId="330" applyNumberFormat="0" applyAlignment="0" applyProtection="0"/>
    <xf numFmtId="0" fontId="31" fillId="0" borderId="328" applyNumberFormat="0" applyFill="0" applyAlignment="0" applyProtection="0"/>
    <xf numFmtId="0" fontId="29" fillId="24" borderId="329" applyNumberFormat="0" applyAlignment="0" applyProtection="0"/>
    <xf numFmtId="0" fontId="29" fillId="24" borderId="329" applyNumberFormat="0" applyAlignment="0" applyProtection="0"/>
    <xf numFmtId="0" fontId="28" fillId="10" borderId="331" applyNumberFormat="0" applyFont="0" applyAlignment="0" applyProtection="0"/>
    <xf numFmtId="0" fontId="18" fillId="10" borderId="331" applyNumberFormat="0" applyFont="0" applyAlignment="0" applyProtection="0"/>
    <xf numFmtId="0" fontId="25" fillId="13" borderId="330" applyNumberFormat="0" applyAlignment="0" applyProtection="0"/>
    <xf numFmtId="0" fontId="41" fillId="13" borderId="330" applyNumberFormat="0" applyAlignment="0" applyProtection="0"/>
    <xf numFmtId="0" fontId="32" fillId="24" borderId="330" applyNumberFormat="0" applyAlignment="0" applyProtection="0"/>
    <xf numFmtId="0" fontId="31" fillId="0" borderId="328" applyNumberFormat="0" applyFill="0" applyAlignment="0" applyProtection="0"/>
    <xf numFmtId="0" fontId="31" fillId="0" borderId="328" applyNumberFormat="0" applyFill="0" applyAlignment="0" applyProtection="0"/>
    <xf numFmtId="0" fontId="8" fillId="10" borderId="331" applyNumberFormat="0" applyFont="0" applyAlignment="0" applyProtection="0"/>
    <xf numFmtId="0" fontId="25" fillId="8" borderId="330" applyNumberFormat="0" applyAlignment="0" applyProtection="0"/>
    <xf numFmtId="0" fontId="41" fillId="13" borderId="330" applyNumberFormat="0" applyAlignment="0" applyProtection="0"/>
    <xf numFmtId="0" fontId="48" fillId="12" borderId="330" applyNumberFormat="0" applyAlignment="0" applyProtection="0"/>
    <xf numFmtId="0" fontId="48" fillId="12" borderId="330" applyNumberFormat="0" applyAlignment="0" applyProtection="0"/>
    <xf numFmtId="0" fontId="48" fillId="24" borderId="330" applyNumberFormat="0" applyAlignment="0" applyProtection="0"/>
    <xf numFmtId="0" fontId="48" fillId="24" borderId="330" applyNumberFormat="0" applyAlignment="0" applyProtection="0"/>
    <xf numFmtId="0" fontId="28" fillId="0" borderId="327"/>
    <xf numFmtId="0" fontId="31" fillId="0" borderId="333" applyNumberFormat="0" applyFill="0" applyAlignment="0" applyProtection="0"/>
    <xf numFmtId="0" fontId="48" fillId="12" borderId="330" applyNumberFormat="0" applyAlignment="0" applyProtection="0"/>
    <xf numFmtId="0" fontId="48" fillId="12" borderId="330" applyNumberFormat="0" applyAlignment="0" applyProtection="0"/>
    <xf numFmtId="0" fontId="31" fillId="0" borderId="328" applyNumberFormat="0" applyFill="0" applyAlignment="0" applyProtection="0"/>
    <xf numFmtId="0" fontId="29" fillId="12" borderId="329" applyNumberFormat="0" applyAlignment="0" applyProtection="0"/>
    <xf numFmtId="0" fontId="28" fillId="10" borderId="331" applyNumberFormat="0" applyFont="0" applyAlignment="0" applyProtection="0"/>
    <xf numFmtId="0" fontId="16" fillId="24" borderId="330" applyNumberFormat="0" applyAlignment="0" applyProtection="0"/>
    <xf numFmtId="0" fontId="48" fillId="24" borderId="330" applyNumberFormat="0" applyAlignment="0" applyProtection="0"/>
    <xf numFmtId="0" fontId="28" fillId="10" borderId="331" applyNumberFormat="0" applyFont="0" applyAlignment="0" applyProtection="0"/>
    <xf numFmtId="0" fontId="25" fillId="13" borderId="330" applyNumberFormat="0" applyAlignment="0" applyProtection="0"/>
    <xf numFmtId="0" fontId="16" fillId="24" borderId="330" applyNumberFormat="0" applyAlignment="0" applyProtection="0"/>
    <xf numFmtId="0" fontId="29" fillId="12" borderId="329" applyNumberFormat="0" applyAlignment="0" applyProtection="0"/>
    <xf numFmtId="0" fontId="31" fillId="0" borderId="333" applyNumberFormat="0" applyFill="0" applyAlignment="0" applyProtection="0"/>
    <xf numFmtId="0" fontId="49" fillId="10" borderId="331" applyNumberFormat="0" applyFont="0" applyAlignment="0" applyProtection="0"/>
    <xf numFmtId="0" fontId="8" fillId="10" borderId="331" applyNumberFormat="0" applyFont="0" applyAlignment="0" applyProtection="0"/>
    <xf numFmtId="0" fontId="49" fillId="10" borderId="331" applyNumberFormat="0" applyFont="0" applyAlignment="0" applyProtection="0"/>
    <xf numFmtId="0" fontId="49" fillId="10" borderId="331" applyNumberFormat="0" applyFont="0" applyAlignment="0" applyProtection="0"/>
    <xf numFmtId="0" fontId="28" fillId="0" borderId="327"/>
    <xf numFmtId="0" fontId="28" fillId="0" borderId="327"/>
    <xf numFmtId="0" fontId="31" fillId="0" borderId="333" applyNumberFormat="0" applyFill="0" applyAlignment="0" applyProtection="0"/>
    <xf numFmtId="0" fontId="84" fillId="0" borderId="327"/>
    <xf numFmtId="0" fontId="84" fillId="0" borderId="327"/>
    <xf numFmtId="0" fontId="84" fillId="0" borderId="327"/>
    <xf numFmtId="0" fontId="48" fillId="12" borderId="330" applyNumberFormat="0" applyAlignment="0" applyProtection="0"/>
    <xf numFmtId="0" fontId="48" fillId="12" borderId="330" applyNumberFormat="0" applyAlignment="0" applyProtection="0"/>
    <xf numFmtId="0" fontId="25" fillId="8" borderId="330" applyNumberFormat="0" applyAlignment="0" applyProtection="0"/>
    <xf numFmtId="0" fontId="29" fillId="12" borderId="329" applyNumberFormat="0" applyAlignment="0" applyProtection="0"/>
    <xf numFmtId="0" fontId="31" fillId="0" borderId="328" applyNumberFormat="0" applyFill="0" applyAlignment="0" applyProtection="0"/>
    <xf numFmtId="0" fontId="31" fillId="0" borderId="328" applyNumberFormat="0" applyFill="0" applyAlignment="0" applyProtection="0"/>
    <xf numFmtId="0" fontId="48" fillId="12" borderId="330" applyNumberFormat="0" applyAlignment="0" applyProtection="0"/>
    <xf numFmtId="0" fontId="8" fillId="10" borderId="331" applyNumberFormat="0" applyFont="0" applyAlignment="0" applyProtection="0"/>
    <xf numFmtId="0" fontId="49" fillId="10" borderId="331" applyNumberFormat="0" applyFont="0" applyAlignment="0" applyProtection="0"/>
    <xf numFmtId="0" fontId="28" fillId="0" borderId="327"/>
    <xf numFmtId="0" fontId="28" fillId="0" borderId="327"/>
    <xf numFmtId="0" fontId="31" fillId="0" borderId="333" applyNumberFormat="0" applyFill="0" applyAlignment="0" applyProtection="0"/>
    <xf numFmtId="0" fontId="84" fillId="0" borderId="327"/>
    <xf numFmtId="0" fontId="84" fillId="0" borderId="327"/>
    <xf numFmtId="0" fontId="48" fillId="12" borderId="330" applyNumberFormat="0" applyAlignment="0" applyProtection="0"/>
    <xf numFmtId="0" fontId="48" fillId="12" borderId="330" applyNumberFormat="0" applyAlignment="0" applyProtection="0"/>
    <xf numFmtId="0" fontId="25" fillId="8" borderId="330" applyNumberFormat="0" applyAlignment="0" applyProtection="0"/>
    <xf numFmtId="0" fontId="29" fillId="12" borderId="329" applyNumberFormat="0" applyAlignment="0" applyProtection="0"/>
    <xf numFmtId="0" fontId="31" fillId="0" borderId="328" applyNumberFormat="0" applyFill="0" applyAlignment="0" applyProtection="0"/>
    <xf numFmtId="0" fontId="31" fillId="0" borderId="328" applyNumberFormat="0" applyFill="0" applyAlignment="0" applyProtection="0"/>
    <xf numFmtId="0" fontId="32" fillId="24" borderId="339" applyNumberFormat="0" applyAlignment="0" applyProtection="0"/>
    <xf numFmtId="0" fontId="16" fillId="24" borderId="339" applyNumberFormat="0" applyAlignment="0" applyProtection="0"/>
    <xf numFmtId="0" fontId="48" fillId="24" borderId="339" applyNumberFormat="0" applyAlignment="0" applyProtection="0"/>
    <xf numFmtId="0" fontId="16" fillId="24" borderId="339" applyNumberFormat="0" applyAlignment="0" applyProtection="0"/>
    <xf numFmtId="0" fontId="16" fillId="24" borderId="339" applyNumberFormat="0" applyAlignment="0" applyProtection="0"/>
    <xf numFmtId="0" fontId="25" fillId="13" borderId="339" applyNumberFormat="0" applyAlignment="0" applyProtection="0"/>
    <xf numFmtId="0" fontId="41" fillId="13" borderId="339" applyNumberFormat="0" applyAlignment="0" applyProtection="0"/>
    <xf numFmtId="0" fontId="25" fillId="13" borderId="339" applyNumberFormat="0" applyAlignment="0" applyProtection="0"/>
    <xf numFmtId="0" fontId="41" fillId="13" borderId="339" applyNumberFormat="0" applyAlignment="0" applyProtection="0"/>
    <xf numFmtId="0" fontId="25" fillId="13" borderId="339" applyNumberFormat="0" applyAlignment="0" applyProtection="0"/>
    <xf numFmtId="0" fontId="18" fillId="10" borderId="340" applyNumberFormat="0" applyFont="0" applyAlignment="0" applyProtection="0"/>
    <xf numFmtId="0" fontId="28" fillId="10" borderId="340" applyNumberFormat="0" applyFont="0" applyAlignment="0" applyProtection="0"/>
    <xf numFmtId="0" fontId="8" fillId="10" borderId="340" applyNumberFormat="0" applyFont="0" applyAlignment="0" applyProtection="0"/>
    <xf numFmtId="0" fontId="28" fillId="10" borderId="340" applyNumberFormat="0" applyFont="0" applyAlignment="0" applyProtection="0"/>
    <xf numFmtId="0" fontId="8" fillId="10" borderId="340" applyNumberFormat="0" applyFont="0" applyAlignment="0" applyProtection="0"/>
    <xf numFmtId="0" fontId="49" fillId="10" borderId="340" applyNumberFormat="0" applyFont="0" applyAlignment="0" applyProtection="0"/>
    <xf numFmtId="0" fontId="28" fillId="10" borderId="340" applyNumberFormat="0" applyFont="0" applyAlignment="0" applyProtection="0"/>
    <xf numFmtId="0" fontId="24" fillId="24" borderId="341" applyNumberFormat="0" applyAlignment="0" applyProtection="0"/>
    <xf numFmtId="0" fontId="24" fillId="24" borderId="341" applyNumberFormat="0" applyAlignment="0" applyProtection="0"/>
    <xf numFmtId="0" fontId="31" fillId="0" borderId="342" applyNumberFormat="0" applyFill="0" applyAlignment="0" applyProtection="0"/>
    <xf numFmtId="0" fontId="31" fillId="0" borderId="358" applyNumberFormat="0" applyFill="0" applyAlignment="0" applyProtection="0"/>
    <xf numFmtId="0" fontId="24" fillId="24" borderId="357" applyNumberFormat="0" applyAlignment="0" applyProtection="0"/>
    <xf numFmtId="0" fontId="28" fillId="10" borderId="356" applyNumberFormat="0" applyFont="0" applyAlignment="0" applyProtection="0"/>
    <xf numFmtId="0" fontId="8" fillId="10" borderId="356" applyNumberFormat="0" applyFont="0" applyAlignment="0" applyProtection="0"/>
    <xf numFmtId="0" fontId="8" fillId="10" borderId="356" applyNumberFormat="0" applyFont="0" applyAlignment="0" applyProtection="0"/>
    <xf numFmtId="0" fontId="28" fillId="10" borderId="356" applyNumberFormat="0" applyFont="0" applyAlignment="0" applyProtection="0"/>
    <xf numFmtId="0" fontId="18" fillId="10" borderId="356" applyNumberFormat="0" applyFont="0" applyAlignment="0" applyProtection="0"/>
    <xf numFmtId="0" fontId="41" fillId="13" borderId="355" applyNumberFormat="0" applyAlignment="0" applyProtection="0"/>
    <xf numFmtId="0" fontId="16" fillId="24" borderId="355" applyNumberFormat="0" applyAlignment="0" applyProtection="0"/>
    <xf numFmtId="0" fontId="16" fillId="24" borderId="355" applyNumberFormat="0" applyAlignment="0" applyProtection="0"/>
    <xf numFmtId="0" fontId="32" fillId="24" borderId="355" applyNumberFormat="0" applyAlignment="0" applyProtection="0"/>
    <xf numFmtId="0" fontId="31" fillId="0" borderId="344" applyNumberFormat="0" applyFill="0" applyAlignment="0" applyProtection="0"/>
    <xf numFmtId="0" fontId="31" fillId="0" borderId="344" applyNumberFormat="0" applyFill="0" applyAlignment="0" applyProtection="0"/>
    <xf numFmtId="0" fontId="25" fillId="8" borderId="346" applyNumberFormat="0" applyAlignment="0" applyProtection="0"/>
    <xf numFmtId="0" fontId="48" fillId="12" borderId="346" applyNumberFormat="0" applyAlignment="0" applyProtection="0"/>
    <xf numFmtId="0" fontId="84" fillId="0" borderId="343"/>
    <xf numFmtId="0" fontId="31" fillId="0" borderId="349" applyNumberFormat="0" applyFill="0" applyAlignment="0" applyProtection="0"/>
    <xf numFmtId="0" fontId="28" fillId="0" borderId="343"/>
    <xf numFmtId="0" fontId="8" fillId="45" borderId="354" applyNumberFormat="0" applyFont="0" applyAlignment="0" applyProtection="0"/>
    <xf numFmtId="0" fontId="8" fillId="10" borderId="347" applyNumberFormat="0" applyFont="0" applyAlignment="0" applyProtection="0"/>
    <xf numFmtId="0" fontId="48" fillId="12" borderId="346" applyNumberFormat="0" applyAlignment="0" applyProtection="0"/>
    <xf numFmtId="0" fontId="31" fillId="0" borderId="344" applyNumberFormat="0" applyFill="0" applyAlignment="0" applyProtection="0"/>
    <xf numFmtId="0" fontId="29" fillId="12" borderId="345" applyNumberFormat="0" applyAlignment="0" applyProtection="0"/>
    <xf numFmtId="0" fontId="25" fillId="8" borderId="346" applyNumberFormat="0" applyAlignment="0" applyProtection="0"/>
    <xf numFmtId="0" fontId="48" fillId="12" borderId="346" applyNumberFormat="0" applyAlignment="0" applyProtection="0"/>
    <xf numFmtId="0" fontId="84" fillId="0" borderId="343"/>
    <xf numFmtId="0" fontId="84" fillId="0" borderId="343"/>
    <xf numFmtId="0" fontId="28" fillId="0" borderId="343"/>
    <xf numFmtId="0" fontId="28" fillId="0" borderId="343"/>
    <xf numFmtId="0" fontId="8" fillId="45" borderId="354" applyNumberFormat="0" applyFont="0" applyAlignment="0" applyProtection="0"/>
    <xf numFmtId="0" fontId="49" fillId="10" borderId="347" applyNumberFormat="0" applyFont="0" applyAlignment="0" applyProtection="0"/>
    <xf numFmtId="0" fontId="31" fillId="0" borderId="349" applyNumberFormat="0" applyFill="0" applyAlignment="0" applyProtection="0"/>
    <xf numFmtId="0" fontId="29" fillId="12" borderId="345" applyNumberFormat="0" applyAlignment="0" applyProtection="0"/>
    <xf numFmtId="0" fontId="25" fillId="13" borderId="346" applyNumberFormat="0" applyAlignment="0" applyProtection="0"/>
    <xf numFmtId="0" fontId="28" fillId="10" borderId="347" applyNumberFormat="0" applyFont="0" applyAlignment="0" applyProtection="0"/>
    <xf numFmtId="0" fontId="48" fillId="24" borderId="346" applyNumberFormat="0" applyAlignment="0" applyProtection="0"/>
    <xf numFmtId="0" fontId="28" fillId="10" borderId="347" applyNumberFormat="0" applyFont="0" applyAlignment="0" applyProtection="0"/>
    <xf numFmtId="0" fontId="29" fillId="12" borderId="345" applyNumberFormat="0" applyAlignment="0" applyProtection="0"/>
    <xf numFmtId="0" fontId="48" fillId="12" borderId="346" applyNumberFormat="0" applyAlignment="0" applyProtection="0"/>
    <xf numFmtId="0" fontId="48" fillId="12" borderId="346" applyNumberFormat="0" applyAlignment="0" applyProtection="0"/>
    <xf numFmtId="0" fontId="28" fillId="0" borderId="343"/>
    <xf numFmtId="0" fontId="48" fillId="24" borderId="346" applyNumberFormat="0" applyAlignment="0" applyProtection="0"/>
    <xf numFmtId="0" fontId="48" fillId="24" borderId="346" applyNumberFormat="0" applyAlignment="0" applyProtection="0"/>
    <xf numFmtId="0" fontId="48" fillId="12" borderId="346" applyNumberFormat="0" applyAlignment="0" applyProtection="0"/>
    <xf numFmtId="0" fontId="41" fillId="13" borderId="346" applyNumberFormat="0" applyAlignment="0" applyProtection="0"/>
    <xf numFmtId="0" fontId="25" fillId="8" borderId="346" applyNumberFormat="0" applyAlignment="0" applyProtection="0"/>
    <xf numFmtId="0" fontId="31" fillId="0" borderId="344" applyNumberFormat="0" applyFill="0" applyAlignment="0" applyProtection="0"/>
    <xf numFmtId="0" fontId="72" fillId="0" borderId="353" applyBorder="0">
      <alignment horizontal="center" vertical="center" wrapText="1"/>
    </xf>
    <xf numFmtId="0" fontId="32" fillId="24" borderId="346" applyNumberFormat="0" applyAlignment="0" applyProtection="0"/>
    <xf numFmtId="0" fontId="25" fillId="13" borderId="346" applyNumberFormat="0" applyAlignment="0" applyProtection="0"/>
    <xf numFmtId="0" fontId="72" fillId="0" borderId="353" applyBorder="0">
      <alignment horizontal="center" vertical="center" wrapText="1"/>
    </xf>
    <xf numFmtId="0" fontId="28" fillId="10" borderId="347" applyNumberFormat="0" applyFont="0" applyAlignment="0" applyProtection="0"/>
    <xf numFmtId="0" fontId="31" fillId="0" borderId="344" applyNumberFormat="0" applyFill="0" applyAlignment="0" applyProtection="0"/>
    <xf numFmtId="0" fontId="72" fillId="0" borderId="350" applyBorder="0">
      <alignment horizontal="center" vertical="center" wrapText="1"/>
    </xf>
    <xf numFmtId="0" fontId="31" fillId="0" borderId="352" applyNumberFormat="0" applyFill="0" applyAlignment="0" applyProtection="0"/>
    <xf numFmtId="0" fontId="84" fillId="0" borderId="343"/>
    <xf numFmtId="0" fontId="28" fillId="0" borderId="343"/>
    <xf numFmtId="0" fontId="31" fillId="0" borderId="349" applyNumberFormat="0" applyFill="0" applyAlignment="0" applyProtection="0"/>
    <xf numFmtId="0" fontId="29" fillId="24" borderId="345" applyNumberFormat="0" applyAlignment="0" applyProtection="0"/>
    <xf numFmtId="0" fontId="24" fillId="24" borderId="348" applyNumberFormat="0" applyAlignment="0" applyProtection="0"/>
    <xf numFmtId="0" fontId="8" fillId="10" borderId="347" applyNumberFormat="0" applyFont="0" applyAlignment="0" applyProtection="0"/>
    <xf numFmtId="0" fontId="28" fillId="10" borderId="347" applyNumberFormat="0" applyFont="0" applyAlignment="0" applyProtection="0"/>
    <xf numFmtId="0" fontId="18" fillId="10" borderId="347" applyNumberFormat="0" applyFont="0" applyAlignment="0" applyProtection="0"/>
    <xf numFmtId="0" fontId="25" fillId="13" borderId="346" applyNumberFormat="0" applyAlignment="0" applyProtection="0"/>
    <xf numFmtId="0" fontId="25" fillId="13" borderId="346" applyNumberFormat="0" applyAlignment="0" applyProtection="0"/>
    <xf numFmtId="0" fontId="16" fillId="24" borderId="346" applyNumberFormat="0" applyAlignment="0" applyProtection="0"/>
    <xf numFmtId="0" fontId="72" fillId="0" borderId="353" applyBorder="0">
      <alignment horizontal="center" vertical="center" wrapText="1"/>
    </xf>
    <xf numFmtId="0" fontId="31" fillId="0" borderId="352" applyNumberFormat="0" applyFill="0" applyAlignment="0" applyProtection="0"/>
    <xf numFmtId="0" fontId="31" fillId="0" borderId="352" applyNumberFormat="0" applyFill="0" applyAlignment="0" applyProtection="0"/>
    <xf numFmtId="0" fontId="31" fillId="0" borderId="351" applyNumberFormat="0" applyFill="0" applyAlignment="0" applyProtection="0"/>
    <xf numFmtId="0" fontId="29" fillId="24" borderId="345" applyNumberFormat="0" applyAlignment="0" applyProtection="0"/>
    <xf numFmtId="0" fontId="29" fillId="24" borderId="345" applyNumberFormat="0" applyAlignment="0" applyProtection="0"/>
    <xf numFmtId="0" fontId="8" fillId="10" borderId="347" applyNumberFormat="0" applyFont="0" applyAlignment="0" applyProtection="0"/>
    <xf numFmtId="0" fontId="28" fillId="10" borderId="347" applyNumberFormat="0" applyFont="0" applyAlignment="0" applyProtection="0"/>
    <xf numFmtId="0" fontId="28" fillId="10" borderId="347" applyNumberFormat="0" applyFont="0" applyAlignment="0" applyProtection="0"/>
    <xf numFmtId="0" fontId="25" fillId="13" borderId="346" applyNumberFormat="0" applyAlignment="0" applyProtection="0"/>
    <xf numFmtId="0" fontId="25" fillId="13" borderId="346" applyNumberFormat="0" applyAlignment="0" applyProtection="0"/>
    <xf numFmtId="0" fontId="41" fillId="13" borderId="346" applyNumberFormat="0" applyAlignment="0" applyProtection="0"/>
    <xf numFmtId="0" fontId="16" fillId="24" borderId="346" applyNumberFormat="0" applyAlignment="0" applyProtection="0"/>
    <xf numFmtId="0" fontId="16" fillId="24" borderId="346" applyNumberFormat="0" applyAlignment="0" applyProtection="0"/>
    <xf numFmtId="0" fontId="31" fillId="0" borderId="344" applyNumberFormat="0" applyFill="0" applyAlignment="0" applyProtection="0"/>
    <xf numFmtId="0" fontId="31" fillId="0" borderId="344" applyNumberFormat="0" applyFill="0" applyAlignment="0" applyProtection="0"/>
    <xf numFmtId="0" fontId="31" fillId="0" borderId="349" applyNumberFormat="0" applyFill="0" applyAlignment="0" applyProtection="0"/>
    <xf numFmtId="0" fontId="24" fillId="24" borderId="348" applyNumberFormat="0" applyAlignment="0" applyProtection="0"/>
    <xf numFmtId="0" fontId="49" fillId="10" borderId="347" applyNumberFormat="0" applyFont="0" applyAlignment="0" applyProtection="0"/>
    <xf numFmtId="0" fontId="49" fillId="10" borderId="347" applyNumberFormat="0" applyFont="0" applyAlignment="0" applyProtection="0"/>
    <xf numFmtId="0" fontId="8" fillId="10" borderId="347" applyNumberFormat="0" applyFont="0" applyAlignment="0" applyProtection="0"/>
    <xf numFmtId="0" fontId="25" fillId="8" borderId="346" applyNumberFormat="0" applyAlignment="0" applyProtection="0"/>
    <xf numFmtId="0" fontId="48" fillId="12" borderId="346" applyNumberFormat="0" applyAlignment="0" applyProtection="0"/>
    <xf numFmtId="0" fontId="48" fillId="24" borderId="346" applyNumberFormat="0" applyAlignment="0" applyProtection="0"/>
    <xf numFmtId="0" fontId="48" fillId="24" borderId="346" applyNumberFormat="0" applyAlignment="0" applyProtection="0"/>
    <xf numFmtId="0" fontId="31" fillId="0" borderId="352" applyNumberFormat="0" applyFill="0" applyAlignment="0" applyProtection="0"/>
    <xf numFmtId="0" fontId="31" fillId="0" borderId="352" applyNumberFormat="0" applyFill="0" applyAlignment="0" applyProtection="0"/>
    <xf numFmtId="0" fontId="31" fillId="0" borderId="351" applyNumberFormat="0" applyFill="0" applyAlignment="0" applyProtection="0"/>
    <xf numFmtId="0" fontId="8" fillId="10" borderId="347" applyNumberFormat="0" applyFont="0" applyAlignment="0" applyProtection="0"/>
    <xf numFmtId="0" fontId="8" fillId="10" borderId="347" applyNumberFormat="0" applyFont="0" applyAlignment="0" applyProtection="0"/>
    <xf numFmtId="0" fontId="41" fillId="13" borderId="346" applyNumberFormat="0" applyAlignment="0" applyProtection="0"/>
    <xf numFmtId="0" fontId="31" fillId="0" borderId="351" applyNumberFormat="0" applyFill="0" applyAlignment="0" applyProtection="0"/>
    <xf numFmtId="0" fontId="31" fillId="0" borderId="352" applyNumberFormat="0" applyFill="0" applyAlignment="0" applyProtection="0"/>
    <xf numFmtId="0" fontId="31" fillId="0" borderId="352" applyNumberFormat="0" applyFill="0" applyAlignment="0" applyProtection="0"/>
    <xf numFmtId="0" fontId="31" fillId="0" borderId="351" applyNumberFormat="0" applyFill="0" applyAlignment="0" applyProtection="0"/>
    <xf numFmtId="0" fontId="16" fillId="24" borderId="346" applyNumberFormat="0" applyAlignment="0" applyProtection="0"/>
    <xf numFmtId="0" fontId="31" fillId="0" borderId="352" applyNumberFormat="0" applyFill="0" applyAlignment="0" applyProtection="0"/>
    <xf numFmtId="0" fontId="29" fillId="24" borderId="345" applyNumberFormat="0" applyAlignment="0" applyProtection="0"/>
    <xf numFmtId="0" fontId="8" fillId="10" borderId="347" applyNumberFormat="0" applyFont="0" applyAlignment="0" applyProtection="0"/>
    <xf numFmtId="0" fontId="48" fillId="12" borderId="346" applyNumberFormat="0" applyAlignment="0" applyProtection="0"/>
    <xf numFmtId="0" fontId="32" fillId="24" borderId="346" applyNumberFormat="0" applyAlignment="0" applyProtection="0"/>
    <xf numFmtId="0" fontId="49" fillId="10" borderId="347" applyNumberFormat="0" applyFont="0" applyAlignment="0" applyProtection="0"/>
    <xf numFmtId="0" fontId="48" fillId="24" borderId="346" applyNumberFormat="0" applyAlignment="0" applyProtection="0"/>
    <xf numFmtId="0" fontId="31" fillId="0" borderId="344" applyNumberFormat="0" applyFill="0" applyAlignment="0" applyProtection="0"/>
    <xf numFmtId="0" fontId="29" fillId="12" borderId="345" applyNumberFormat="0" applyAlignment="0" applyProtection="0"/>
    <xf numFmtId="0" fontId="48" fillId="12" borderId="346" applyNumberFormat="0" applyAlignment="0" applyProtection="0"/>
    <xf numFmtId="0" fontId="84" fillId="0" borderId="343"/>
    <xf numFmtId="0" fontId="84" fillId="0" borderId="343"/>
    <xf numFmtId="0" fontId="28" fillId="0" borderId="343"/>
    <xf numFmtId="0" fontId="28" fillId="0" borderId="343"/>
    <xf numFmtId="0" fontId="49" fillId="10" borderId="347" applyNumberFormat="0" applyFont="0" applyAlignment="0" applyProtection="0"/>
    <xf numFmtId="0" fontId="48" fillId="24" borderId="346" applyNumberFormat="0" applyAlignment="0" applyProtection="0"/>
    <xf numFmtId="0" fontId="31" fillId="0" borderId="352" applyNumberFormat="0" applyFill="0" applyAlignment="0" applyProtection="0"/>
    <xf numFmtId="0" fontId="31" fillId="0" borderId="352" applyNumberFormat="0" applyFill="0" applyAlignment="0" applyProtection="0"/>
    <xf numFmtId="0" fontId="31" fillId="0" borderId="351" applyNumberFormat="0" applyFill="0" applyAlignment="0" applyProtection="0"/>
    <xf numFmtId="0" fontId="29" fillId="24" borderId="345" applyNumberFormat="0" applyAlignment="0" applyProtection="0"/>
    <xf numFmtId="0" fontId="24" fillId="24" borderId="348" applyNumberFormat="0" applyAlignment="0" applyProtection="0"/>
    <xf numFmtId="0" fontId="28" fillId="10" borderId="347" applyNumberFormat="0" applyFont="0" applyAlignment="0" applyProtection="0"/>
    <xf numFmtId="0" fontId="28" fillId="10" borderId="347" applyNumberFormat="0" applyFont="0" applyAlignment="0" applyProtection="0"/>
    <xf numFmtId="0" fontId="28" fillId="10" borderId="347" applyNumberFormat="0" applyFont="0" applyAlignment="0" applyProtection="0"/>
    <xf numFmtId="0" fontId="25" fillId="13" borderId="346" applyNumberFormat="0" applyAlignment="0" applyProtection="0"/>
    <xf numFmtId="0" fontId="25" fillId="13" borderId="346" applyNumberFormat="0" applyAlignment="0" applyProtection="0"/>
    <xf numFmtId="0" fontId="41" fillId="13" borderId="346" applyNumberFormat="0" applyAlignment="0" applyProtection="0"/>
    <xf numFmtId="0" fontId="16" fillId="24" borderId="346" applyNumberFormat="0" applyAlignment="0" applyProtection="0"/>
    <xf numFmtId="0" fontId="16" fillId="24" borderId="346" applyNumberFormat="0" applyAlignment="0" applyProtection="0"/>
    <xf numFmtId="0" fontId="32" fillId="24" borderId="346" applyNumberFormat="0" applyAlignment="0" applyProtection="0"/>
    <xf numFmtId="0" fontId="31" fillId="0" borderId="344" applyNumberFormat="0" applyFill="0" applyAlignment="0" applyProtection="0"/>
    <xf numFmtId="0" fontId="31" fillId="0" borderId="349" applyNumberFormat="0" applyFill="0" applyAlignment="0" applyProtection="0"/>
    <xf numFmtId="0" fontId="29" fillId="12" borderId="345" applyNumberFormat="0" applyAlignment="0" applyProtection="0"/>
    <xf numFmtId="0" fontId="49" fillId="10" borderId="347" applyNumberFormat="0" applyFont="0" applyAlignment="0" applyProtection="0"/>
    <xf numFmtId="0" fontId="49" fillId="10" borderId="347" applyNumberFormat="0" applyFont="0" applyAlignment="0" applyProtection="0"/>
    <xf numFmtId="0" fontId="8" fillId="10" borderId="347" applyNumberFormat="0" applyFont="0" applyAlignment="0" applyProtection="0"/>
    <xf numFmtId="0" fontId="48" fillId="12" borderId="346" applyNumberFormat="0" applyAlignment="0" applyProtection="0"/>
    <xf numFmtId="0" fontId="48" fillId="24" borderId="346" applyNumberFormat="0" applyAlignment="0" applyProtection="0"/>
    <xf numFmtId="0" fontId="48" fillId="24" borderId="346" applyNumberFormat="0" applyAlignment="0" applyProtection="0"/>
    <xf numFmtId="0" fontId="31" fillId="0" borderId="352" applyNumberFormat="0" applyFill="0" applyAlignment="0" applyProtection="0"/>
    <xf numFmtId="0" fontId="31" fillId="0" borderId="352" applyNumberFormat="0" applyFill="0" applyAlignment="0" applyProtection="0"/>
    <xf numFmtId="0" fontId="29" fillId="24" borderId="345" applyNumberFormat="0" applyAlignment="0" applyProtection="0"/>
    <xf numFmtId="0" fontId="29" fillId="24" borderId="345" applyNumberFormat="0" applyAlignment="0" applyProtection="0"/>
    <xf numFmtId="0" fontId="72" fillId="0" borderId="353" applyBorder="0">
      <alignment horizontal="center" vertical="center" wrapText="1"/>
    </xf>
    <xf numFmtId="0" fontId="31" fillId="0" borderId="344" applyNumberFormat="0" applyFill="0" applyAlignment="0" applyProtection="0"/>
    <xf numFmtId="0" fontId="29" fillId="12" borderId="345" applyNumberFormat="0" applyAlignment="0" applyProtection="0"/>
    <xf numFmtId="0" fontId="25" fillId="8" borderId="346" applyNumberFormat="0" applyAlignment="0" applyProtection="0"/>
    <xf numFmtId="0" fontId="48" fillId="12" borderId="346" applyNumberFormat="0" applyAlignment="0" applyProtection="0"/>
    <xf numFmtId="0" fontId="84" fillId="0" borderId="343"/>
    <xf numFmtId="0" fontId="84" fillId="0" borderId="343"/>
    <xf numFmtId="0" fontId="28" fillId="0" borderId="343"/>
    <xf numFmtId="0" fontId="28" fillId="0" borderId="343"/>
    <xf numFmtId="0" fontId="8" fillId="45" borderId="354" applyNumberFormat="0" applyFont="0" applyAlignment="0" applyProtection="0"/>
    <xf numFmtId="0" fontId="8" fillId="10" borderId="347" applyNumberFormat="0" applyFont="0" applyAlignment="0" applyProtection="0"/>
    <xf numFmtId="0" fontId="48" fillId="24" borderId="346" applyNumberFormat="0" applyAlignment="0" applyProtection="0"/>
    <xf numFmtId="0" fontId="31" fillId="0" borderId="352" applyNumberFormat="0" applyFill="0" applyAlignment="0" applyProtection="0"/>
    <xf numFmtId="0" fontId="31" fillId="0" borderId="352" applyNumberFormat="0" applyFill="0" applyAlignment="0" applyProtection="0"/>
    <xf numFmtId="0" fontId="31" fillId="0" borderId="351" applyNumberFormat="0" applyFill="0" applyAlignment="0" applyProtection="0"/>
    <xf numFmtId="0" fontId="29" fillId="24" borderId="345" applyNumberFormat="0" applyAlignment="0" applyProtection="0"/>
    <xf numFmtId="0" fontId="29" fillId="24" borderId="345" applyNumberFormat="0" applyAlignment="0" applyProtection="0"/>
    <xf numFmtId="0" fontId="28" fillId="10" borderId="347" applyNumberFormat="0" applyFont="0" applyAlignment="0" applyProtection="0"/>
    <xf numFmtId="0" fontId="28" fillId="10" borderId="347" applyNumberFormat="0" applyFont="0" applyAlignment="0" applyProtection="0"/>
    <xf numFmtId="0" fontId="28" fillId="10" borderId="347" applyNumberFormat="0" applyFont="0" applyAlignment="0" applyProtection="0"/>
    <xf numFmtId="0" fontId="72" fillId="0" borderId="353" applyBorder="0">
      <alignment horizontal="center" vertical="center" wrapText="1"/>
    </xf>
    <xf numFmtId="0" fontId="25" fillId="13" borderId="346" applyNumberFormat="0" applyAlignment="0" applyProtection="0"/>
    <xf numFmtId="0" fontId="25" fillId="13" borderId="346" applyNumberFormat="0" applyAlignment="0" applyProtection="0"/>
    <xf numFmtId="0" fontId="72" fillId="0" borderId="353" applyBorder="0">
      <alignment horizontal="center" vertical="center" wrapText="1"/>
    </xf>
    <xf numFmtId="0" fontId="24" fillId="24" borderId="348" applyNumberFormat="0" applyAlignment="0" applyProtection="0"/>
    <xf numFmtId="0" fontId="48" fillId="12" borderId="346" applyNumberFormat="0" applyAlignment="0" applyProtection="0"/>
    <xf numFmtId="0" fontId="48" fillId="12" borderId="346" applyNumberFormat="0" applyAlignment="0" applyProtection="0"/>
    <xf numFmtId="0" fontId="48" fillId="24" borderId="346" applyNumberFormat="0" applyAlignment="0" applyProtection="0"/>
    <xf numFmtId="0" fontId="31" fillId="0" borderId="352" applyNumberFormat="0" applyFill="0" applyAlignment="0" applyProtection="0"/>
    <xf numFmtId="0" fontId="31" fillId="0" borderId="352" applyNumberFormat="0" applyFill="0" applyAlignment="0" applyProtection="0"/>
    <xf numFmtId="0" fontId="31" fillId="0" borderId="351" applyNumberFormat="0" applyFill="0" applyAlignment="0" applyProtection="0"/>
    <xf numFmtId="0" fontId="29" fillId="24" borderId="345" applyNumberFormat="0" applyAlignment="0" applyProtection="0"/>
    <xf numFmtId="0" fontId="28" fillId="10" borderId="347" applyNumberFormat="0" applyFont="0" applyAlignment="0" applyProtection="0"/>
    <xf numFmtId="0" fontId="25" fillId="13" borderId="346" applyNumberFormat="0" applyAlignment="0" applyProtection="0"/>
    <xf numFmtId="0" fontId="25" fillId="13" borderId="346" applyNumberFormat="0" applyAlignment="0" applyProtection="0"/>
    <xf numFmtId="0" fontId="25" fillId="13" borderId="346" applyNumberFormat="0" applyAlignment="0" applyProtection="0"/>
    <xf numFmtId="0" fontId="16" fillId="24" borderId="346" applyNumberFormat="0" applyAlignment="0" applyProtection="0"/>
    <xf numFmtId="0" fontId="16" fillId="24" borderId="346" applyNumberFormat="0" applyAlignment="0" applyProtection="0"/>
    <xf numFmtId="0" fontId="32" fillId="24" borderId="346" applyNumberFormat="0" applyAlignment="0" applyProtection="0"/>
    <xf numFmtId="0" fontId="24" fillId="24" borderId="357" applyNumberFormat="0" applyAlignment="0" applyProtection="0"/>
    <xf numFmtId="0" fontId="49" fillId="10" borderId="356" applyNumberFormat="0" applyFont="0" applyAlignment="0" applyProtection="0"/>
    <xf numFmtId="0" fontId="28" fillId="10" borderId="356" applyNumberFormat="0" applyFont="0" applyAlignment="0" applyProtection="0"/>
    <xf numFmtId="0" fontId="25" fillId="13" borderId="355" applyNumberFormat="0" applyAlignment="0" applyProtection="0"/>
    <xf numFmtId="0" fontId="25" fillId="13" borderId="355" applyNumberFormat="0" applyAlignment="0" applyProtection="0"/>
    <xf numFmtId="0" fontId="16" fillId="24" borderId="355" applyNumberFormat="0" applyAlignment="0" applyProtection="0"/>
    <xf numFmtId="0" fontId="48" fillId="24" borderId="355" applyNumberFormat="0" applyAlignment="0" applyProtection="0"/>
    <xf numFmtId="0" fontId="29" fillId="12" borderId="345" applyNumberFormat="0" applyAlignment="0" applyProtection="0"/>
    <xf numFmtId="0" fontId="48" fillId="12" borderId="346" applyNumberFormat="0" applyAlignment="0" applyProtection="0"/>
    <xf numFmtId="0" fontId="84" fillId="0" borderId="343"/>
    <xf numFmtId="0" fontId="28" fillId="0" borderId="343"/>
    <xf numFmtId="0" fontId="49" fillId="10" borderId="347" applyNumberFormat="0" applyFont="0" applyAlignment="0" applyProtection="0"/>
    <xf numFmtId="0" fontId="31" fillId="0" borderId="344" applyNumberFormat="0" applyFill="0" applyAlignment="0" applyProtection="0"/>
    <xf numFmtId="0" fontId="48" fillId="12" borderId="346" applyNumberFormat="0" applyAlignment="0" applyProtection="0"/>
    <xf numFmtId="0" fontId="84" fillId="0" borderId="343"/>
    <xf numFmtId="0" fontId="31" fillId="0" borderId="349" applyNumberFormat="0" applyFill="0" applyAlignment="0" applyProtection="0"/>
    <xf numFmtId="0" fontId="49" fillId="10" borderId="347" applyNumberFormat="0" applyFont="0" applyAlignment="0" applyProtection="0"/>
    <xf numFmtId="0" fontId="49" fillId="10" borderId="347" applyNumberFormat="0" applyFont="0" applyAlignment="0" applyProtection="0"/>
    <xf numFmtId="0" fontId="16" fillId="24" borderId="346" applyNumberFormat="0" applyAlignment="0" applyProtection="0"/>
    <xf numFmtId="0" fontId="31" fillId="0" borderId="351" applyNumberFormat="0" applyFill="0" applyAlignment="0" applyProtection="0"/>
    <xf numFmtId="0" fontId="16" fillId="24" borderId="346" applyNumberFormat="0" applyAlignment="0" applyProtection="0"/>
    <xf numFmtId="0" fontId="31" fillId="0" borderId="344" applyNumberFormat="0" applyFill="0" applyAlignment="0" applyProtection="0"/>
    <xf numFmtId="0" fontId="31" fillId="0" borderId="349" applyNumberFormat="0" applyFill="0" applyAlignment="0" applyProtection="0"/>
    <xf numFmtId="0" fontId="72" fillId="0" borderId="350" applyBorder="0">
      <alignment horizontal="center" vertical="center" wrapText="1"/>
    </xf>
    <xf numFmtId="0" fontId="48" fillId="12" borderId="346" applyNumberFormat="0" applyAlignment="0" applyProtection="0"/>
    <xf numFmtId="0" fontId="8" fillId="10" borderId="347" applyNumberFormat="0" applyFont="0" applyAlignment="0" applyProtection="0"/>
    <xf numFmtId="0" fontId="31" fillId="0" borderId="344" applyNumberFormat="0" applyFill="0" applyAlignment="0" applyProtection="0"/>
    <xf numFmtId="0" fontId="41" fillId="13" borderId="346" applyNumberFormat="0" applyAlignment="0" applyProtection="0"/>
    <xf numFmtId="0" fontId="18" fillId="10" borderId="347" applyNumberFormat="0" applyFont="0" applyAlignment="0" applyProtection="0"/>
    <xf numFmtId="0" fontId="29" fillId="24" borderId="345" applyNumberFormat="0" applyAlignment="0" applyProtection="0"/>
    <xf numFmtId="0" fontId="25" fillId="8" borderId="346" applyNumberFormat="0" applyAlignment="0" applyProtection="0"/>
    <xf numFmtId="0" fontId="8" fillId="45" borderId="354" applyNumberFormat="0" applyFont="0" applyAlignment="0" applyProtection="0"/>
    <xf numFmtId="0" fontId="24" fillId="24" borderId="348" applyNumberFormat="0" applyAlignment="0" applyProtection="0"/>
    <xf numFmtId="0" fontId="29" fillId="24" borderId="345" applyNumberFormat="0" applyAlignment="0" applyProtection="0"/>
    <xf numFmtId="0" fontId="28" fillId="10" borderId="347" applyNumberFormat="0" applyFont="0" applyAlignment="0" applyProtection="0"/>
    <xf numFmtId="0" fontId="28" fillId="10" borderId="347" applyNumberFormat="0" applyFont="0" applyAlignment="0" applyProtection="0"/>
    <xf numFmtId="0" fontId="25" fillId="13" borderId="346" applyNumberFormat="0" applyAlignment="0" applyProtection="0"/>
    <xf numFmtId="0" fontId="16" fillId="24" borderId="346" applyNumberFormat="0" applyAlignment="0" applyProtection="0"/>
    <xf numFmtId="0" fontId="48" fillId="24" borderId="346" applyNumberFormat="0" applyAlignment="0" applyProtection="0"/>
    <xf numFmtId="0" fontId="31" fillId="0" borderId="352" applyNumberFormat="0" applyFill="0" applyAlignment="0" applyProtection="0"/>
    <xf numFmtId="0" fontId="29" fillId="24" borderId="345" applyNumberFormat="0" applyAlignment="0" applyProtection="0"/>
    <xf numFmtId="0" fontId="24" fillId="24" borderId="348" applyNumberFormat="0" applyAlignment="0" applyProtection="0"/>
    <xf numFmtId="0" fontId="18" fillId="10" borderId="347" applyNumberFormat="0" applyFont="0" applyAlignment="0" applyProtection="0"/>
    <xf numFmtId="0" fontId="25" fillId="13" borderId="346" applyNumberFormat="0" applyAlignment="0" applyProtection="0"/>
    <xf numFmtId="0" fontId="16" fillId="24" borderId="346" applyNumberFormat="0" applyAlignment="0" applyProtection="0"/>
    <xf numFmtId="0" fontId="32" fillId="24" borderId="346" applyNumberFormat="0" applyAlignment="0" applyProtection="0"/>
    <xf numFmtId="0" fontId="31" fillId="0" borderId="349" applyNumberFormat="0" applyFill="0" applyAlignment="0" applyProtection="0"/>
    <xf numFmtId="0" fontId="29" fillId="12" borderId="345" applyNumberFormat="0" applyAlignment="0" applyProtection="0"/>
    <xf numFmtId="0" fontId="8" fillId="10" borderId="347" applyNumberFormat="0" applyFont="0" applyAlignment="0" applyProtection="0"/>
    <xf numFmtId="0" fontId="41" fillId="13" borderId="346" applyNumberFormat="0" applyAlignment="0" applyProtection="0"/>
    <xf numFmtId="0" fontId="48" fillId="12" borderId="346" applyNumberFormat="0" applyAlignment="0" applyProtection="0"/>
    <xf numFmtId="0" fontId="31" fillId="0" borderId="344" applyNumberFormat="0" applyFill="0" applyAlignment="0" applyProtection="0"/>
    <xf numFmtId="0" fontId="31" fillId="0" borderId="352" applyNumberFormat="0" applyFill="0" applyAlignment="0" applyProtection="0"/>
    <xf numFmtId="0" fontId="31" fillId="0" borderId="351" applyNumberFormat="0" applyFill="0" applyAlignment="0" applyProtection="0"/>
    <xf numFmtId="0" fontId="25" fillId="8" borderId="346" applyNumberFormat="0" applyAlignment="0" applyProtection="0"/>
    <xf numFmtId="0" fontId="48" fillId="24" borderId="346" applyNumberFormat="0" applyAlignment="0" applyProtection="0"/>
    <xf numFmtId="0" fontId="41" fillId="13" borderId="346" applyNumberFormat="0" applyAlignment="0" applyProtection="0"/>
    <xf numFmtId="0" fontId="31" fillId="0" borderId="352" applyNumberFormat="0" applyFill="0" applyAlignment="0" applyProtection="0"/>
    <xf numFmtId="0" fontId="24" fillId="24" borderId="348" applyNumberFormat="0" applyAlignment="0" applyProtection="0"/>
    <xf numFmtId="0" fontId="29" fillId="12" borderId="345" applyNumberFormat="0" applyAlignment="0" applyProtection="0"/>
    <xf numFmtId="0" fontId="31" fillId="0" borderId="352" applyNumberFormat="0" applyFill="0" applyAlignment="0" applyProtection="0"/>
    <xf numFmtId="0" fontId="31" fillId="0" borderId="344" applyNumberFormat="0" applyFill="0" applyAlignment="0" applyProtection="0"/>
    <xf numFmtId="0" fontId="25" fillId="8" borderId="346" applyNumberFormat="0" applyAlignment="0" applyProtection="0"/>
    <xf numFmtId="0" fontId="48" fillId="12" borderId="346" applyNumberFormat="0" applyAlignment="0" applyProtection="0"/>
    <xf numFmtId="0" fontId="31" fillId="0" borderId="349" applyNumberFormat="0" applyFill="0" applyAlignment="0" applyProtection="0"/>
    <xf numFmtId="0" fontId="8" fillId="45" borderId="354" applyNumberFormat="0" applyFont="0" applyAlignment="0" applyProtection="0"/>
    <xf numFmtId="0" fontId="8" fillId="10" borderId="347" applyNumberFormat="0" applyFont="0" applyAlignment="0" applyProtection="0"/>
    <xf numFmtId="0" fontId="31" fillId="0" borderId="352" applyNumberFormat="0" applyFill="0" applyAlignment="0" applyProtection="0"/>
    <xf numFmtId="0" fontId="29" fillId="24" borderId="345" applyNumberFormat="0" applyAlignment="0" applyProtection="0"/>
    <xf numFmtId="0" fontId="29" fillId="24" borderId="345" applyNumberFormat="0" applyAlignment="0" applyProtection="0"/>
    <xf numFmtId="0" fontId="8" fillId="10" borderId="347" applyNumberFormat="0" applyFont="0" applyAlignment="0" applyProtection="0"/>
    <xf numFmtId="0" fontId="18" fillId="10" borderId="347" applyNumberFormat="0" applyFont="0" applyAlignment="0" applyProtection="0"/>
    <xf numFmtId="0" fontId="25" fillId="13" borderId="346" applyNumberFormat="0" applyAlignment="0" applyProtection="0"/>
    <xf numFmtId="0" fontId="16" fillId="24" borderId="346" applyNumberFormat="0" applyAlignment="0" applyProtection="0"/>
    <xf numFmtId="0" fontId="31" fillId="0" borderId="344" applyNumberFormat="0" applyFill="0" applyAlignment="0" applyProtection="0"/>
    <xf numFmtId="0" fontId="31" fillId="0" borderId="349" applyNumberFormat="0" applyFill="0" applyAlignment="0" applyProtection="0"/>
    <xf numFmtId="0" fontId="24" fillId="24" borderId="348" applyNumberFormat="0" applyAlignment="0" applyProtection="0"/>
    <xf numFmtId="0" fontId="8" fillId="10" borderId="347" applyNumberFormat="0" applyFont="0" applyAlignment="0" applyProtection="0"/>
    <xf numFmtId="0" fontId="25" fillId="8" borderId="346" applyNumberFormat="0" applyAlignment="0" applyProtection="0"/>
    <xf numFmtId="0" fontId="31" fillId="0" borderId="352" applyNumberFormat="0" applyFill="0" applyAlignment="0" applyProtection="0"/>
    <xf numFmtId="0" fontId="31" fillId="0" borderId="351" applyNumberFormat="0" applyFill="0" applyAlignment="0" applyProtection="0"/>
    <xf numFmtId="0" fontId="29" fillId="24" borderId="345" applyNumberFormat="0" applyAlignment="0" applyProtection="0"/>
    <xf numFmtId="0" fontId="29" fillId="12" borderId="345" applyNumberFormat="0" applyAlignment="0" applyProtection="0"/>
    <xf numFmtId="0" fontId="31" fillId="0" borderId="344" applyNumberFormat="0" applyFill="0" applyAlignment="0" applyProtection="0"/>
    <xf numFmtId="0" fontId="48" fillId="12" borderId="346" applyNumberFormat="0" applyAlignment="0" applyProtection="0"/>
    <xf numFmtId="0" fontId="31" fillId="0" borderId="349" applyNumberFormat="0" applyFill="0" applyAlignment="0" applyProtection="0"/>
    <xf numFmtId="0" fontId="49" fillId="10" borderId="347" applyNumberFormat="0" applyFont="0" applyAlignment="0" applyProtection="0"/>
    <xf numFmtId="0" fontId="29" fillId="24" borderId="345" applyNumberFormat="0" applyAlignment="0" applyProtection="0"/>
    <xf numFmtId="0" fontId="24" fillId="24" borderId="348" applyNumberFormat="0" applyAlignment="0" applyProtection="0"/>
    <xf numFmtId="0" fontId="8" fillId="10" borderId="347" applyNumberFormat="0" applyFont="0" applyAlignment="0" applyProtection="0"/>
    <xf numFmtId="0" fontId="18" fillId="10" borderId="347" applyNumberFormat="0" applyFont="0" applyAlignment="0" applyProtection="0"/>
    <xf numFmtId="0" fontId="25" fillId="13" borderId="346" applyNumberFormat="0" applyAlignment="0" applyProtection="0"/>
    <xf numFmtId="0" fontId="41" fillId="13" borderId="346" applyNumberFormat="0" applyAlignment="0" applyProtection="0"/>
    <xf numFmtId="0" fontId="31" fillId="0" borderId="344" applyNumberFormat="0" applyFill="0" applyAlignment="0" applyProtection="0"/>
    <xf numFmtId="0" fontId="31" fillId="0" borderId="349" applyNumberFormat="0" applyFill="0" applyAlignment="0" applyProtection="0"/>
    <xf numFmtId="0" fontId="29" fillId="12" borderId="345" applyNumberFormat="0" applyAlignment="0" applyProtection="0"/>
    <xf numFmtId="0" fontId="49" fillId="10" borderId="347" applyNumberFormat="0" applyFont="0" applyAlignment="0" applyProtection="0"/>
    <xf numFmtId="0" fontId="48" fillId="24" borderId="346" applyNumberFormat="0" applyAlignment="0" applyProtection="0"/>
    <xf numFmtId="0" fontId="31" fillId="0" borderId="352" applyNumberFormat="0" applyFill="0" applyAlignment="0" applyProtection="0"/>
    <xf numFmtId="0" fontId="29" fillId="24" borderId="345" applyNumberFormat="0" applyAlignment="0" applyProtection="0"/>
    <xf numFmtId="0" fontId="8" fillId="10" borderId="347" applyNumberFormat="0" applyFont="0" applyAlignment="0" applyProtection="0"/>
    <xf numFmtId="0" fontId="41" fillId="13" borderId="346" applyNumberFormat="0" applyAlignment="0" applyProtection="0"/>
    <xf numFmtId="0" fontId="16" fillId="24" borderId="346" applyNumberFormat="0" applyAlignment="0" applyProtection="0"/>
    <xf numFmtId="0" fontId="72" fillId="0" borderId="350" applyBorder="0">
      <alignment horizontal="center" vertical="center" wrapText="1"/>
    </xf>
    <xf numFmtId="0" fontId="48" fillId="24" borderId="339" applyNumberFormat="0" applyAlignment="0" applyProtection="0"/>
    <xf numFmtId="0" fontId="48" fillId="24" borderId="339" applyNumberFormat="0" applyAlignment="0" applyProtection="0"/>
    <xf numFmtId="0" fontId="48" fillId="24" borderId="339" applyNumberFormat="0" applyAlignment="0" applyProtection="0"/>
    <xf numFmtId="0" fontId="48" fillId="24" borderId="339" applyNumberFormat="0" applyAlignment="0" applyProtection="0"/>
    <xf numFmtId="0" fontId="48" fillId="24" borderId="339" applyNumberFormat="0" applyAlignment="0" applyProtection="0"/>
    <xf numFmtId="0" fontId="48" fillId="24" borderId="339" applyNumberFormat="0" applyAlignment="0" applyProtection="0"/>
    <xf numFmtId="0" fontId="48" fillId="24" borderId="339" applyNumberFormat="0" applyAlignment="0" applyProtection="0"/>
    <xf numFmtId="0" fontId="48" fillId="24" borderId="339" applyNumberFormat="0" applyAlignment="0" applyProtection="0"/>
    <xf numFmtId="0" fontId="48" fillId="24" borderId="339" applyNumberFormat="0" applyAlignment="0" applyProtection="0"/>
    <xf numFmtId="0" fontId="48" fillId="24" borderId="339" applyNumberFormat="0" applyAlignment="0" applyProtection="0"/>
    <xf numFmtId="0" fontId="48" fillId="24" borderId="339" applyNumberFormat="0" applyAlignment="0" applyProtection="0"/>
    <xf numFmtId="0" fontId="48" fillId="24" borderId="339" applyNumberFormat="0" applyAlignment="0" applyProtection="0"/>
    <xf numFmtId="0" fontId="48" fillId="24" borderId="339" applyNumberFormat="0" applyAlignment="0" applyProtection="0"/>
    <xf numFmtId="0" fontId="48" fillId="24" borderId="339" applyNumberFormat="0" applyAlignment="0" applyProtection="0"/>
    <xf numFmtId="0" fontId="48" fillId="24" borderId="339" applyNumberFormat="0" applyAlignment="0" applyProtection="0"/>
    <xf numFmtId="0" fontId="48" fillId="24" borderId="339" applyNumberFormat="0" applyAlignment="0" applyProtection="0"/>
    <xf numFmtId="0" fontId="48" fillId="24" borderId="339" applyNumberFormat="0" applyAlignment="0" applyProtection="0"/>
    <xf numFmtId="0" fontId="48" fillId="24" borderId="339" applyNumberFormat="0" applyAlignment="0" applyProtection="0"/>
    <xf numFmtId="0" fontId="48" fillId="24" borderId="339" applyNumberFormat="0" applyAlignment="0" applyProtection="0"/>
    <xf numFmtId="0" fontId="48" fillId="24" borderId="339" applyNumberFormat="0" applyAlignment="0" applyProtection="0"/>
    <xf numFmtId="0" fontId="48" fillId="24" borderId="339" applyNumberFormat="0" applyAlignment="0" applyProtection="0"/>
    <xf numFmtId="0" fontId="48" fillId="24" borderId="339" applyNumberFormat="0" applyAlignment="0" applyProtection="0"/>
    <xf numFmtId="0" fontId="48" fillId="24" borderId="339" applyNumberFormat="0" applyAlignment="0" applyProtection="0"/>
    <xf numFmtId="0" fontId="48" fillId="24" borderId="339" applyNumberFormat="0" applyAlignment="0" applyProtection="0"/>
    <xf numFmtId="0" fontId="48" fillId="24" borderId="339" applyNumberFormat="0" applyAlignment="0" applyProtection="0"/>
    <xf numFmtId="0" fontId="48" fillId="24" borderId="339" applyNumberFormat="0" applyAlignment="0" applyProtection="0"/>
    <xf numFmtId="0" fontId="48" fillId="24" borderId="339" applyNumberFormat="0" applyAlignment="0" applyProtection="0"/>
    <xf numFmtId="0" fontId="48" fillId="24" borderId="339" applyNumberFormat="0" applyAlignment="0" applyProtection="0"/>
    <xf numFmtId="0" fontId="48" fillId="24" borderId="339" applyNumberFormat="0" applyAlignment="0" applyProtection="0"/>
    <xf numFmtId="0" fontId="48" fillId="24" borderId="339" applyNumberFormat="0" applyAlignment="0" applyProtection="0"/>
    <xf numFmtId="0" fontId="48" fillId="24" borderId="339" applyNumberFormat="0" applyAlignment="0" applyProtection="0"/>
    <xf numFmtId="0" fontId="48" fillId="24" borderId="339" applyNumberFormat="0" applyAlignment="0" applyProtection="0"/>
    <xf numFmtId="0" fontId="48" fillId="24" borderId="339" applyNumberFormat="0" applyAlignment="0" applyProtection="0"/>
    <xf numFmtId="0" fontId="48" fillId="24" borderId="339" applyNumberFormat="0" applyAlignment="0" applyProtection="0"/>
    <xf numFmtId="0" fontId="48" fillId="24" borderId="339" applyNumberFormat="0" applyAlignment="0" applyProtection="0"/>
    <xf numFmtId="0" fontId="48" fillId="24" borderId="339" applyNumberFormat="0" applyAlignment="0" applyProtection="0"/>
    <xf numFmtId="0" fontId="48" fillId="24" borderId="339" applyNumberFormat="0" applyAlignment="0" applyProtection="0"/>
    <xf numFmtId="0" fontId="48" fillId="24" borderId="339" applyNumberFormat="0" applyAlignment="0" applyProtection="0"/>
    <xf numFmtId="0" fontId="48" fillId="24" borderId="339" applyNumberFormat="0" applyAlignment="0" applyProtection="0"/>
    <xf numFmtId="0" fontId="48" fillId="24" borderId="339" applyNumberFormat="0" applyAlignment="0" applyProtection="0"/>
    <xf numFmtId="0" fontId="48" fillId="24" borderId="339" applyNumberFormat="0" applyAlignment="0" applyProtection="0"/>
    <xf numFmtId="0" fontId="48" fillId="24" borderId="339" applyNumberFormat="0" applyAlignment="0" applyProtection="0"/>
    <xf numFmtId="0" fontId="48" fillId="24" borderId="339" applyNumberFormat="0" applyAlignment="0" applyProtection="0"/>
    <xf numFmtId="0" fontId="48" fillId="24" borderId="339" applyNumberFormat="0" applyAlignment="0" applyProtection="0"/>
    <xf numFmtId="0" fontId="48" fillId="24" borderId="339" applyNumberFormat="0" applyAlignment="0" applyProtection="0"/>
    <xf numFmtId="0" fontId="48" fillId="24" borderId="339" applyNumberFormat="0" applyAlignment="0" applyProtection="0"/>
    <xf numFmtId="0" fontId="48" fillId="24" borderId="339" applyNumberFormat="0" applyAlignment="0" applyProtection="0"/>
    <xf numFmtId="0" fontId="48" fillId="24" borderId="339" applyNumberFormat="0" applyAlignment="0" applyProtection="0"/>
    <xf numFmtId="0" fontId="48" fillId="24" borderId="339" applyNumberFormat="0" applyAlignment="0" applyProtection="0"/>
    <xf numFmtId="0" fontId="48" fillId="24" borderId="339" applyNumberFormat="0" applyAlignment="0" applyProtection="0"/>
    <xf numFmtId="0" fontId="48" fillId="24" borderId="339" applyNumberFormat="0" applyAlignment="0" applyProtection="0"/>
    <xf numFmtId="0" fontId="48" fillId="24" borderId="339" applyNumberFormat="0" applyAlignment="0" applyProtection="0"/>
    <xf numFmtId="0" fontId="48" fillId="24" borderId="339" applyNumberFormat="0" applyAlignment="0" applyProtection="0"/>
    <xf numFmtId="0" fontId="48" fillId="24" borderId="339" applyNumberFormat="0" applyAlignment="0" applyProtection="0"/>
    <xf numFmtId="0" fontId="48" fillId="24" borderId="339" applyNumberFormat="0" applyAlignment="0" applyProtection="0"/>
    <xf numFmtId="0" fontId="48" fillId="24" borderId="339" applyNumberFormat="0" applyAlignment="0" applyProtection="0"/>
    <xf numFmtId="0" fontId="48" fillId="24" borderId="339" applyNumberFormat="0" applyAlignment="0" applyProtection="0"/>
    <xf numFmtId="0" fontId="48" fillId="24" borderId="339" applyNumberFormat="0" applyAlignment="0" applyProtection="0"/>
    <xf numFmtId="0" fontId="48" fillId="24" borderId="339" applyNumberFormat="0" applyAlignment="0" applyProtection="0"/>
    <xf numFmtId="0" fontId="48" fillId="24" borderId="339" applyNumberFormat="0" applyAlignment="0" applyProtection="0"/>
    <xf numFmtId="0" fontId="48" fillId="24" borderId="339" applyNumberFormat="0" applyAlignment="0" applyProtection="0"/>
    <xf numFmtId="0" fontId="48" fillId="24" borderId="339" applyNumberFormat="0" applyAlignment="0" applyProtection="0"/>
    <xf numFmtId="0" fontId="48" fillId="24" borderId="339" applyNumberFormat="0" applyAlignment="0" applyProtection="0"/>
    <xf numFmtId="0" fontId="48" fillId="24" borderId="339" applyNumberFormat="0" applyAlignment="0" applyProtection="0"/>
    <xf numFmtId="0" fontId="48" fillId="24" borderId="339" applyNumberFormat="0" applyAlignment="0" applyProtection="0"/>
    <xf numFmtId="0" fontId="48" fillId="24" borderId="339" applyNumberFormat="0" applyAlignment="0" applyProtection="0"/>
    <xf numFmtId="0" fontId="48" fillId="24" borderId="339" applyNumberFormat="0" applyAlignment="0" applyProtection="0"/>
    <xf numFmtId="0" fontId="48" fillId="24" borderId="339" applyNumberFormat="0" applyAlignment="0" applyProtection="0"/>
    <xf numFmtId="0" fontId="48" fillId="24" borderId="339" applyNumberFormat="0" applyAlignment="0" applyProtection="0"/>
    <xf numFmtId="0" fontId="48" fillId="24" borderId="339" applyNumberFormat="0" applyAlignment="0" applyProtection="0"/>
    <xf numFmtId="0" fontId="48" fillId="24" borderId="339" applyNumberFormat="0" applyAlignment="0" applyProtection="0"/>
    <xf numFmtId="0" fontId="48" fillId="24" borderId="339" applyNumberFormat="0" applyAlignment="0" applyProtection="0"/>
    <xf numFmtId="0" fontId="48" fillId="24" borderId="339" applyNumberFormat="0" applyAlignment="0" applyProtection="0"/>
    <xf numFmtId="0" fontId="48" fillId="24" borderId="339" applyNumberFormat="0" applyAlignment="0" applyProtection="0"/>
    <xf numFmtId="0" fontId="48" fillId="24" borderId="339" applyNumberFormat="0" applyAlignment="0" applyProtection="0"/>
    <xf numFmtId="0" fontId="48" fillId="24" borderId="339" applyNumberFormat="0" applyAlignment="0" applyProtection="0"/>
    <xf numFmtId="0" fontId="48" fillId="24" borderId="339" applyNumberFormat="0" applyAlignment="0" applyProtection="0"/>
    <xf numFmtId="0" fontId="48" fillId="24" borderId="339" applyNumberFormat="0" applyAlignment="0" applyProtection="0"/>
    <xf numFmtId="0" fontId="32" fillId="24" borderId="339" applyNumberFormat="0" applyAlignment="0" applyProtection="0"/>
    <xf numFmtId="0" fontId="32" fillId="24" borderId="339" applyNumberFormat="0" applyAlignment="0" applyProtection="0"/>
    <xf numFmtId="0" fontId="32" fillId="24" borderId="339" applyNumberFormat="0" applyAlignment="0" applyProtection="0"/>
    <xf numFmtId="0" fontId="32" fillId="24" borderId="339" applyNumberFormat="0" applyAlignment="0" applyProtection="0"/>
    <xf numFmtId="0" fontId="32" fillId="24" borderId="339" applyNumberFormat="0" applyAlignment="0" applyProtection="0"/>
    <xf numFmtId="0" fontId="32" fillId="24" borderId="339" applyNumberFormat="0" applyAlignment="0" applyProtection="0"/>
    <xf numFmtId="0" fontId="32" fillId="24" borderId="339" applyNumberFormat="0" applyAlignment="0" applyProtection="0"/>
    <xf numFmtId="0" fontId="32" fillId="24" borderId="339" applyNumberFormat="0" applyAlignment="0" applyProtection="0"/>
    <xf numFmtId="0" fontId="32" fillId="24" borderId="339" applyNumberFormat="0" applyAlignment="0" applyProtection="0"/>
    <xf numFmtId="0" fontId="32" fillId="24" borderId="339" applyNumberFormat="0" applyAlignment="0" applyProtection="0"/>
    <xf numFmtId="0" fontId="32" fillId="24" borderId="339" applyNumberFormat="0" applyAlignment="0" applyProtection="0"/>
    <xf numFmtId="0" fontId="32" fillId="24" borderId="339" applyNumberFormat="0" applyAlignment="0" applyProtection="0"/>
    <xf numFmtId="0" fontId="32" fillId="24" borderId="339" applyNumberFormat="0" applyAlignment="0" applyProtection="0"/>
    <xf numFmtId="0" fontId="32" fillId="24" borderId="339" applyNumberFormat="0" applyAlignment="0" applyProtection="0"/>
    <xf numFmtId="0" fontId="32" fillId="24" borderId="339" applyNumberFormat="0" applyAlignment="0" applyProtection="0"/>
    <xf numFmtId="0" fontId="32" fillId="24" borderId="339" applyNumberFormat="0" applyAlignment="0" applyProtection="0"/>
    <xf numFmtId="0" fontId="32" fillId="24" borderId="339" applyNumberFormat="0" applyAlignment="0" applyProtection="0"/>
    <xf numFmtId="0" fontId="32" fillId="24" borderId="339" applyNumberFormat="0" applyAlignment="0" applyProtection="0"/>
    <xf numFmtId="0" fontId="32" fillId="24" borderId="339" applyNumberFormat="0" applyAlignment="0" applyProtection="0"/>
    <xf numFmtId="0" fontId="32" fillId="24" borderId="339" applyNumberFormat="0" applyAlignment="0" applyProtection="0"/>
    <xf numFmtId="0" fontId="32" fillId="24" borderId="339" applyNumberFormat="0" applyAlignment="0" applyProtection="0"/>
    <xf numFmtId="0" fontId="32" fillId="24" borderId="339" applyNumberFormat="0" applyAlignment="0" applyProtection="0"/>
    <xf numFmtId="0" fontId="32" fillId="24" borderId="339" applyNumberFormat="0" applyAlignment="0" applyProtection="0"/>
    <xf numFmtId="0" fontId="32" fillId="24" borderId="339" applyNumberFormat="0" applyAlignment="0" applyProtection="0"/>
    <xf numFmtId="0" fontId="32" fillId="24" borderId="339" applyNumberFormat="0" applyAlignment="0" applyProtection="0"/>
    <xf numFmtId="0" fontId="32" fillId="24" borderId="339" applyNumberFormat="0" applyAlignment="0" applyProtection="0"/>
    <xf numFmtId="0" fontId="32" fillId="24" borderId="339" applyNumberFormat="0" applyAlignment="0" applyProtection="0"/>
    <xf numFmtId="0" fontId="32" fillId="24" borderId="339" applyNumberFormat="0" applyAlignment="0" applyProtection="0"/>
    <xf numFmtId="0" fontId="32" fillId="24" borderId="339" applyNumberFormat="0" applyAlignment="0" applyProtection="0"/>
    <xf numFmtId="0" fontId="32" fillId="24" borderId="339" applyNumberFormat="0" applyAlignment="0" applyProtection="0"/>
    <xf numFmtId="0" fontId="32" fillId="24" borderId="339" applyNumberFormat="0" applyAlignment="0" applyProtection="0"/>
    <xf numFmtId="0" fontId="32" fillId="24" borderId="339" applyNumberFormat="0" applyAlignment="0" applyProtection="0"/>
    <xf numFmtId="0" fontId="32" fillId="24" borderId="339" applyNumberFormat="0" applyAlignment="0" applyProtection="0"/>
    <xf numFmtId="0" fontId="32" fillId="24" borderId="339" applyNumberFormat="0" applyAlignment="0" applyProtection="0"/>
    <xf numFmtId="0" fontId="32" fillId="24" borderId="339" applyNumberFormat="0" applyAlignment="0" applyProtection="0"/>
    <xf numFmtId="0" fontId="32" fillId="24" borderId="339" applyNumberFormat="0" applyAlignment="0" applyProtection="0"/>
    <xf numFmtId="0" fontId="32" fillId="24" borderId="339" applyNumberFormat="0" applyAlignment="0" applyProtection="0"/>
    <xf numFmtId="0" fontId="32" fillId="24" borderId="339" applyNumberFormat="0" applyAlignment="0" applyProtection="0"/>
    <xf numFmtId="0" fontId="32" fillId="24" borderId="339" applyNumberFormat="0" applyAlignment="0" applyProtection="0"/>
    <xf numFmtId="0" fontId="32" fillId="24" borderId="339" applyNumberFormat="0" applyAlignment="0" applyProtection="0"/>
    <xf numFmtId="0" fontId="32" fillId="24" borderId="339" applyNumberFormat="0" applyAlignment="0" applyProtection="0"/>
    <xf numFmtId="0" fontId="32" fillId="24" borderId="339" applyNumberFormat="0" applyAlignment="0" applyProtection="0"/>
    <xf numFmtId="0" fontId="32" fillId="24" borderId="339" applyNumberFormat="0" applyAlignment="0" applyProtection="0"/>
    <xf numFmtId="0" fontId="32" fillId="24" borderId="339" applyNumberFormat="0" applyAlignment="0" applyProtection="0"/>
    <xf numFmtId="0" fontId="32" fillId="24" borderId="339" applyNumberFormat="0" applyAlignment="0" applyProtection="0"/>
    <xf numFmtId="0" fontId="32" fillId="24" borderId="339" applyNumberFormat="0" applyAlignment="0" applyProtection="0"/>
    <xf numFmtId="0" fontId="32" fillId="24" borderId="339" applyNumberFormat="0" applyAlignment="0" applyProtection="0"/>
    <xf numFmtId="0" fontId="32" fillId="24" borderId="339" applyNumberFormat="0" applyAlignment="0" applyProtection="0"/>
    <xf numFmtId="0" fontId="32" fillId="24" borderId="339" applyNumberFormat="0" applyAlignment="0" applyProtection="0"/>
    <xf numFmtId="0" fontId="16" fillId="24" borderId="339" applyNumberFormat="0" applyAlignment="0" applyProtection="0"/>
    <xf numFmtId="0" fontId="16" fillId="24" borderId="339" applyNumberFormat="0" applyAlignment="0" applyProtection="0"/>
    <xf numFmtId="0" fontId="16" fillId="24" borderId="339" applyNumberFormat="0" applyAlignment="0" applyProtection="0"/>
    <xf numFmtId="0" fontId="16" fillId="24" borderId="339" applyNumberFormat="0" applyAlignment="0" applyProtection="0"/>
    <xf numFmtId="0" fontId="16" fillId="24" borderId="339" applyNumberFormat="0" applyAlignment="0" applyProtection="0"/>
    <xf numFmtId="0" fontId="16" fillId="24" borderId="339" applyNumberFormat="0" applyAlignment="0" applyProtection="0"/>
    <xf numFmtId="0" fontId="16" fillId="24" borderId="339" applyNumberFormat="0" applyAlignment="0" applyProtection="0"/>
    <xf numFmtId="0" fontId="16" fillId="24" borderId="339" applyNumberFormat="0" applyAlignment="0" applyProtection="0"/>
    <xf numFmtId="0" fontId="16" fillId="24" borderId="339" applyNumberFormat="0" applyAlignment="0" applyProtection="0"/>
    <xf numFmtId="0" fontId="16" fillId="24" borderId="339" applyNumberFormat="0" applyAlignment="0" applyProtection="0"/>
    <xf numFmtId="0" fontId="16" fillId="24" borderId="339" applyNumberFormat="0" applyAlignment="0" applyProtection="0"/>
    <xf numFmtId="0" fontId="16" fillId="24" borderId="339" applyNumberFormat="0" applyAlignment="0" applyProtection="0"/>
    <xf numFmtId="0" fontId="16" fillId="24" borderId="339" applyNumberFormat="0" applyAlignment="0" applyProtection="0"/>
    <xf numFmtId="0" fontId="16" fillId="24" borderId="339" applyNumberFormat="0" applyAlignment="0" applyProtection="0"/>
    <xf numFmtId="0" fontId="16" fillId="24" borderId="339" applyNumberFormat="0" applyAlignment="0" applyProtection="0"/>
    <xf numFmtId="0" fontId="16" fillId="24" borderId="339" applyNumberFormat="0" applyAlignment="0" applyProtection="0"/>
    <xf numFmtId="0" fontId="16" fillId="24" borderId="339" applyNumberFormat="0" applyAlignment="0" applyProtection="0"/>
    <xf numFmtId="0" fontId="16" fillId="24" borderId="339" applyNumberFormat="0" applyAlignment="0" applyProtection="0"/>
    <xf numFmtId="0" fontId="16" fillId="24" borderId="339" applyNumberFormat="0" applyAlignment="0" applyProtection="0"/>
    <xf numFmtId="0" fontId="16" fillId="24" borderId="339" applyNumberFormat="0" applyAlignment="0" applyProtection="0"/>
    <xf numFmtId="0" fontId="16" fillId="24" borderId="339" applyNumberFormat="0" applyAlignment="0" applyProtection="0"/>
    <xf numFmtId="0" fontId="16" fillId="24" borderId="339" applyNumberFormat="0" applyAlignment="0" applyProtection="0"/>
    <xf numFmtId="0" fontId="16" fillId="24" borderId="339" applyNumberFormat="0" applyAlignment="0" applyProtection="0"/>
    <xf numFmtId="0" fontId="16" fillId="24" borderId="339" applyNumberFormat="0" applyAlignment="0" applyProtection="0"/>
    <xf numFmtId="0" fontId="16" fillId="24" borderId="339" applyNumberFormat="0" applyAlignment="0" applyProtection="0"/>
    <xf numFmtId="0" fontId="16" fillId="24" borderId="339" applyNumberFormat="0" applyAlignment="0" applyProtection="0"/>
    <xf numFmtId="0" fontId="16" fillId="24" borderId="339" applyNumberFormat="0" applyAlignment="0" applyProtection="0"/>
    <xf numFmtId="0" fontId="16" fillId="24" borderId="339" applyNumberFormat="0" applyAlignment="0" applyProtection="0"/>
    <xf numFmtId="0" fontId="16" fillId="24" borderId="339" applyNumberFormat="0" applyAlignment="0" applyProtection="0"/>
    <xf numFmtId="0" fontId="16" fillId="24" borderId="339" applyNumberFormat="0" applyAlignment="0" applyProtection="0"/>
    <xf numFmtId="0" fontId="16" fillId="24" borderId="339" applyNumberFormat="0" applyAlignment="0" applyProtection="0"/>
    <xf numFmtId="0" fontId="16" fillId="24" borderId="339" applyNumberFormat="0" applyAlignment="0" applyProtection="0"/>
    <xf numFmtId="0" fontId="16" fillId="24" borderId="339" applyNumberFormat="0" applyAlignment="0" applyProtection="0"/>
    <xf numFmtId="0" fontId="16" fillId="24" borderId="339" applyNumberFormat="0" applyAlignment="0" applyProtection="0"/>
    <xf numFmtId="0" fontId="16" fillId="24" borderId="339" applyNumberFormat="0" applyAlignment="0" applyProtection="0"/>
    <xf numFmtId="0" fontId="16" fillId="24" borderId="339" applyNumberFormat="0" applyAlignment="0" applyProtection="0"/>
    <xf numFmtId="0" fontId="16" fillId="24" borderId="339" applyNumberFormat="0" applyAlignment="0" applyProtection="0"/>
    <xf numFmtId="0" fontId="16" fillId="24" borderId="339" applyNumberFormat="0" applyAlignment="0" applyProtection="0"/>
    <xf numFmtId="0" fontId="16" fillId="24" borderId="339" applyNumberFormat="0" applyAlignment="0" applyProtection="0"/>
    <xf numFmtId="0" fontId="16" fillId="24" borderId="339" applyNumberFormat="0" applyAlignment="0" applyProtection="0"/>
    <xf numFmtId="0" fontId="16" fillId="24" borderId="339" applyNumberFormat="0" applyAlignment="0" applyProtection="0"/>
    <xf numFmtId="0" fontId="16" fillId="24" borderId="339" applyNumberFormat="0" applyAlignment="0" applyProtection="0"/>
    <xf numFmtId="0" fontId="16" fillId="24" borderId="339" applyNumberFormat="0" applyAlignment="0" applyProtection="0"/>
    <xf numFmtId="0" fontId="16" fillId="24" borderId="339" applyNumberFormat="0" applyAlignment="0" applyProtection="0"/>
    <xf numFmtId="0" fontId="16" fillId="24" borderId="339" applyNumberFormat="0" applyAlignment="0" applyProtection="0"/>
    <xf numFmtId="0" fontId="16" fillId="24" borderId="339" applyNumberFormat="0" applyAlignment="0" applyProtection="0"/>
    <xf numFmtId="0" fontId="16" fillId="24" borderId="339" applyNumberFormat="0" applyAlignment="0" applyProtection="0"/>
    <xf numFmtId="0" fontId="16" fillId="24" borderId="339" applyNumberFormat="0" applyAlignment="0" applyProtection="0"/>
    <xf numFmtId="0" fontId="16" fillId="24" borderId="339" applyNumberFormat="0" applyAlignment="0" applyProtection="0"/>
    <xf numFmtId="0" fontId="48" fillId="24" borderId="339" applyNumberFormat="0" applyAlignment="0" applyProtection="0"/>
    <xf numFmtId="0" fontId="48" fillId="24" borderId="339" applyNumberFormat="0" applyAlignment="0" applyProtection="0"/>
    <xf numFmtId="0" fontId="48" fillId="24" borderId="339" applyNumberFormat="0" applyAlignment="0" applyProtection="0"/>
    <xf numFmtId="0" fontId="48" fillId="24" borderId="339" applyNumberFormat="0" applyAlignment="0" applyProtection="0"/>
    <xf numFmtId="0" fontId="48" fillId="24" borderId="339" applyNumberFormat="0" applyAlignment="0" applyProtection="0"/>
    <xf numFmtId="0" fontId="48" fillId="24" borderId="339" applyNumberFormat="0" applyAlignment="0" applyProtection="0"/>
    <xf numFmtId="0" fontId="48" fillId="24" borderId="339" applyNumberFormat="0" applyAlignment="0" applyProtection="0"/>
    <xf numFmtId="0" fontId="48" fillId="24" borderId="339" applyNumberFormat="0" applyAlignment="0" applyProtection="0"/>
    <xf numFmtId="0" fontId="48" fillId="24" borderId="339" applyNumberFormat="0" applyAlignment="0" applyProtection="0"/>
    <xf numFmtId="0" fontId="48" fillId="24" borderId="339" applyNumberFormat="0" applyAlignment="0" applyProtection="0"/>
    <xf numFmtId="0" fontId="48" fillId="24" borderId="339" applyNumberFormat="0" applyAlignment="0" applyProtection="0"/>
    <xf numFmtId="0" fontId="48" fillId="24" borderId="339" applyNumberFormat="0" applyAlignment="0" applyProtection="0"/>
    <xf numFmtId="0" fontId="48" fillId="24" borderId="339" applyNumberFormat="0" applyAlignment="0" applyProtection="0"/>
    <xf numFmtId="0" fontId="48" fillId="24" borderId="339" applyNumberFormat="0" applyAlignment="0" applyProtection="0"/>
    <xf numFmtId="0" fontId="48" fillId="24" borderId="339" applyNumberFormat="0" applyAlignment="0" applyProtection="0"/>
    <xf numFmtId="0" fontId="48" fillId="24" borderId="339" applyNumberFormat="0" applyAlignment="0" applyProtection="0"/>
    <xf numFmtId="0" fontId="48" fillId="24" borderId="339" applyNumberFormat="0" applyAlignment="0" applyProtection="0"/>
    <xf numFmtId="0" fontId="48" fillId="24" borderId="339" applyNumberFormat="0" applyAlignment="0" applyProtection="0"/>
    <xf numFmtId="0" fontId="48" fillId="24" borderId="339" applyNumberFormat="0" applyAlignment="0" applyProtection="0"/>
    <xf numFmtId="0" fontId="48" fillId="24" borderId="339" applyNumberFormat="0" applyAlignment="0" applyProtection="0"/>
    <xf numFmtId="0" fontId="48" fillId="24" borderId="339" applyNumberFormat="0" applyAlignment="0" applyProtection="0"/>
    <xf numFmtId="0" fontId="48" fillId="24" borderId="339" applyNumberFormat="0" applyAlignment="0" applyProtection="0"/>
    <xf numFmtId="0" fontId="48" fillId="24" borderId="339" applyNumberFormat="0" applyAlignment="0" applyProtection="0"/>
    <xf numFmtId="0" fontId="48" fillId="24" borderId="339" applyNumberFormat="0" applyAlignment="0" applyProtection="0"/>
    <xf numFmtId="0" fontId="48" fillId="24" borderId="339" applyNumberFormat="0" applyAlignment="0" applyProtection="0"/>
    <xf numFmtId="0" fontId="48" fillId="24" borderId="339" applyNumberFormat="0" applyAlignment="0" applyProtection="0"/>
    <xf numFmtId="0" fontId="48" fillId="24" borderId="339" applyNumberFormat="0" applyAlignment="0" applyProtection="0"/>
    <xf numFmtId="0" fontId="48" fillId="24" borderId="339" applyNumberFormat="0" applyAlignment="0" applyProtection="0"/>
    <xf numFmtId="0" fontId="48" fillId="24" borderId="339" applyNumberFormat="0" applyAlignment="0" applyProtection="0"/>
    <xf numFmtId="0" fontId="48" fillId="24" borderId="339" applyNumberFormat="0" applyAlignment="0" applyProtection="0"/>
    <xf numFmtId="0" fontId="48" fillId="24" borderId="339" applyNumberFormat="0" applyAlignment="0" applyProtection="0"/>
    <xf numFmtId="0" fontId="48" fillId="24" borderId="339" applyNumberFormat="0" applyAlignment="0" applyProtection="0"/>
    <xf numFmtId="0" fontId="48" fillId="24" borderId="339" applyNumberFormat="0" applyAlignment="0" applyProtection="0"/>
    <xf numFmtId="0" fontId="48" fillId="24" borderId="339" applyNumberFormat="0" applyAlignment="0" applyProtection="0"/>
    <xf numFmtId="0" fontId="48" fillId="24" borderId="339" applyNumberFormat="0" applyAlignment="0" applyProtection="0"/>
    <xf numFmtId="0" fontId="48" fillId="24" borderId="339" applyNumberFormat="0" applyAlignment="0" applyProtection="0"/>
    <xf numFmtId="0" fontId="48" fillId="24" borderId="339" applyNumberFormat="0" applyAlignment="0" applyProtection="0"/>
    <xf numFmtId="0" fontId="48" fillId="24" borderId="339" applyNumberFormat="0" applyAlignment="0" applyProtection="0"/>
    <xf numFmtId="0" fontId="48" fillId="24" borderId="339" applyNumberFormat="0" applyAlignment="0" applyProtection="0"/>
    <xf numFmtId="0" fontId="48" fillId="24" borderId="339" applyNumberFormat="0" applyAlignment="0" applyProtection="0"/>
    <xf numFmtId="0" fontId="48" fillId="24" borderId="339" applyNumberFormat="0" applyAlignment="0" applyProtection="0"/>
    <xf numFmtId="0" fontId="48" fillId="24" borderId="339" applyNumberFormat="0" applyAlignment="0" applyProtection="0"/>
    <xf numFmtId="0" fontId="48" fillId="24" borderId="339" applyNumberFormat="0" applyAlignment="0" applyProtection="0"/>
    <xf numFmtId="0" fontId="48" fillId="24" borderId="339" applyNumberFormat="0" applyAlignment="0" applyProtection="0"/>
    <xf numFmtId="0" fontId="48" fillId="24" borderId="339" applyNumberFormat="0" applyAlignment="0" applyProtection="0"/>
    <xf numFmtId="0" fontId="48" fillId="24" borderId="339" applyNumberFormat="0" applyAlignment="0" applyProtection="0"/>
    <xf numFmtId="0" fontId="48" fillId="24" borderId="339" applyNumberFormat="0" applyAlignment="0" applyProtection="0"/>
    <xf numFmtId="0" fontId="48" fillId="24" borderId="339" applyNumberFormat="0" applyAlignment="0" applyProtection="0"/>
    <xf numFmtId="0" fontId="48" fillId="12" borderId="339" applyNumberFormat="0" applyAlignment="0" applyProtection="0"/>
    <xf numFmtId="0" fontId="48" fillId="12" borderId="339" applyNumberFormat="0" applyAlignment="0" applyProtection="0"/>
    <xf numFmtId="0" fontId="48" fillId="12" borderId="339" applyNumberFormat="0" applyAlignment="0" applyProtection="0"/>
    <xf numFmtId="0" fontId="48" fillId="12" borderId="339" applyNumberFormat="0" applyAlignment="0" applyProtection="0"/>
    <xf numFmtId="0" fontId="48" fillId="12" borderId="339" applyNumberFormat="0" applyAlignment="0" applyProtection="0"/>
    <xf numFmtId="0" fontId="48" fillId="12" borderId="339" applyNumberFormat="0" applyAlignment="0" applyProtection="0"/>
    <xf numFmtId="0" fontId="48" fillId="12" borderId="339" applyNumberFormat="0" applyAlignment="0" applyProtection="0"/>
    <xf numFmtId="0" fontId="48" fillId="12" borderId="339" applyNumberFormat="0" applyAlignment="0" applyProtection="0"/>
    <xf numFmtId="0" fontId="48" fillId="12" borderId="339" applyNumberFormat="0" applyAlignment="0" applyProtection="0"/>
    <xf numFmtId="0" fontId="48" fillId="12" borderId="339" applyNumberFormat="0" applyAlignment="0" applyProtection="0"/>
    <xf numFmtId="0" fontId="48" fillId="12" borderId="339" applyNumberFormat="0" applyAlignment="0" applyProtection="0"/>
    <xf numFmtId="0" fontId="48" fillId="12" borderId="339" applyNumberFormat="0" applyAlignment="0" applyProtection="0"/>
    <xf numFmtId="0" fontId="48" fillId="12" borderId="339" applyNumberFormat="0" applyAlignment="0" applyProtection="0"/>
    <xf numFmtId="0" fontId="48" fillId="12" borderId="339" applyNumberFormat="0" applyAlignment="0" applyProtection="0"/>
    <xf numFmtId="0" fontId="48" fillId="12" borderId="339" applyNumberFormat="0" applyAlignment="0" applyProtection="0"/>
    <xf numFmtId="0" fontId="48" fillId="12" borderId="339" applyNumberFormat="0" applyAlignment="0" applyProtection="0"/>
    <xf numFmtId="0" fontId="48" fillId="12" borderId="339" applyNumberFormat="0" applyAlignment="0" applyProtection="0"/>
    <xf numFmtId="0" fontId="48" fillId="12" borderId="339" applyNumberFormat="0" applyAlignment="0" applyProtection="0"/>
    <xf numFmtId="0" fontId="48" fillId="12" borderId="339" applyNumberFormat="0" applyAlignment="0" applyProtection="0"/>
    <xf numFmtId="0" fontId="48" fillId="12" borderId="339" applyNumberFormat="0" applyAlignment="0" applyProtection="0"/>
    <xf numFmtId="0" fontId="48" fillId="12" borderId="339" applyNumberFormat="0" applyAlignment="0" applyProtection="0"/>
    <xf numFmtId="0" fontId="48" fillId="12" borderId="339" applyNumberFormat="0" applyAlignment="0" applyProtection="0"/>
    <xf numFmtId="0" fontId="48" fillId="12" borderId="339" applyNumberFormat="0" applyAlignment="0" applyProtection="0"/>
    <xf numFmtId="0" fontId="48" fillId="12" borderId="339" applyNumberFormat="0" applyAlignment="0" applyProtection="0"/>
    <xf numFmtId="0" fontId="48" fillId="12" borderId="339" applyNumberFormat="0" applyAlignment="0" applyProtection="0"/>
    <xf numFmtId="0" fontId="48" fillId="12" borderId="339" applyNumberFormat="0" applyAlignment="0" applyProtection="0"/>
    <xf numFmtId="0" fontId="48" fillId="12" borderId="339" applyNumberFormat="0" applyAlignment="0" applyProtection="0"/>
    <xf numFmtId="0" fontId="48" fillId="12" borderId="339" applyNumberFormat="0" applyAlignment="0" applyProtection="0"/>
    <xf numFmtId="0" fontId="48" fillId="12" borderId="339" applyNumberFormat="0" applyAlignment="0" applyProtection="0"/>
    <xf numFmtId="0" fontId="48" fillId="12" borderId="339" applyNumberFormat="0" applyAlignment="0" applyProtection="0"/>
    <xf numFmtId="0" fontId="48" fillId="12" borderId="339" applyNumberFormat="0" applyAlignment="0" applyProtection="0"/>
    <xf numFmtId="0" fontId="48" fillId="12" borderId="339" applyNumberFormat="0" applyAlignment="0" applyProtection="0"/>
    <xf numFmtId="0" fontId="48" fillId="12" borderId="339" applyNumberFormat="0" applyAlignment="0" applyProtection="0"/>
    <xf numFmtId="0" fontId="48" fillId="12" borderId="339" applyNumberFormat="0" applyAlignment="0" applyProtection="0"/>
    <xf numFmtId="0" fontId="48" fillId="12" borderId="339" applyNumberFormat="0" applyAlignment="0" applyProtection="0"/>
    <xf numFmtId="0" fontId="48" fillId="12" borderId="339" applyNumberFormat="0" applyAlignment="0" applyProtection="0"/>
    <xf numFmtId="0" fontId="48" fillId="12" borderId="339" applyNumberFormat="0" applyAlignment="0" applyProtection="0"/>
    <xf numFmtId="0" fontId="48" fillId="12" borderId="339" applyNumberFormat="0" applyAlignment="0" applyProtection="0"/>
    <xf numFmtId="0" fontId="48" fillId="12" borderId="339" applyNumberFormat="0" applyAlignment="0" applyProtection="0"/>
    <xf numFmtId="0" fontId="48" fillId="12" borderId="339" applyNumberFormat="0" applyAlignment="0" applyProtection="0"/>
    <xf numFmtId="0" fontId="48" fillId="12" borderId="339" applyNumberFormat="0" applyAlignment="0" applyProtection="0"/>
    <xf numFmtId="0" fontId="48" fillId="12" borderId="339" applyNumberFormat="0" applyAlignment="0" applyProtection="0"/>
    <xf numFmtId="0" fontId="48" fillId="12" borderId="339" applyNumberFormat="0" applyAlignment="0" applyProtection="0"/>
    <xf numFmtId="0" fontId="48" fillId="12" borderId="339" applyNumberFormat="0" applyAlignment="0" applyProtection="0"/>
    <xf numFmtId="0" fontId="48" fillId="12" borderId="339" applyNumberFormat="0" applyAlignment="0" applyProtection="0"/>
    <xf numFmtId="0" fontId="48" fillId="12" borderId="339" applyNumberFormat="0" applyAlignment="0" applyProtection="0"/>
    <xf numFmtId="0" fontId="48" fillId="12" borderId="339" applyNumberFormat="0" applyAlignment="0" applyProtection="0"/>
    <xf numFmtId="0" fontId="48" fillId="12" borderId="339" applyNumberFormat="0" applyAlignment="0" applyProtection="0"/>
    <xf numFmtId="0" fontId="48" fillId="12" borderId="339" applyNumberFormat="0" applyAlignment="0" applyProtection="0"/>
    <xf numFmtId="0" fontId="48" fillId="12" borderId="339" applyNumberFormat="0" applyAlignment="0" applyProtection="0"/>
    <xf numFmtId="0" fontId="48" fillId="12" borderId="339" applyNumberFormat="0" applyAlignment="0" applyProtection="0"/>
    <xf numFmtId="0" fontId="48" fillId="12" borderId="339" applyNumberFormat="0" applyAlignment="0" applyProtection="0"/>
    <xf numFmtId="0" fontId="48" fillId="12" borderId="339" applyNumberFormat="0" applyAlignment="0" applyProtection="0"/>
    <xf numFmtId="0" fontId="48" fillId="12" borderId="339" applyNumberFormat="0" applyAlignment="0" applyProtection="0"/>
    <xf numFmtId="0" fontId="48" fillId="12" borderId="339" applyNumberFormat="0" applyAlignment="0" applyProtection="0"/>
    <xf numFmtId="0" fontId="48" fillId="12" borderId="339" applyNumberFormat="0" applyAlignment="0" applyProtection="0"/>
    <xf numFmtId="0" fontId="48" fillId="12" borderId="339" applyNumberFormat="0" applyAlignment="0" applyProtection="0"/>
    <xf numFmtId="0" fontId="48" fillId="12" borderId="339" applyNumberFormat="0" applyAlignment="0" applyProtection="0"/>
    <xf numFmtId="0" fontId="48" fillId="12" borderId="339" applyNumberFormat="0" applyAlignment="0" applyProtection="0"/>
    <xf numFmtId="0" fontId="48" fillId="12" borderId="339" applyNumberFormat="0" applyAlignment="0" applyProtection="0"/>
    <xf numFmtId="0" fontId="48" fillId="12" borderId="339" applyNumberFormat="0" applyAlignment="0" applyProtection="0"/>
    <xf numFmtId="0" fontId="48" fillId="12" borderId="339" applyNumberFormat="0" applyAlignment="0" applyProtection="0"/>
    <xf numFmtId="0" fontId="48" fillId="12" borderId="339" applyNumberFormat="0" applyAlignment="0" applyProtection="0"/>
    <xf numFmtId="0" fontId="48" fillId="12" borderId="339" applyNumberFormat="0" applyAlignment="0" applyProtection="0"/>
    <xf numFmtId="0" fontId="48" fillId="12" borderId="339" applyNumberFormat="0" applyAlignment="0" applyProtection="0"/>
    <xf numFmtId="0" fontId="48" fillId="12" borderId="339" applyNumberFormat="0" applyAlignment="0" applyProtection="0"/>
    <xf numFmtId="0" fontId="48" fillId="12" borderId="339" applyNumberFormat="0" applyAlignment="0" applyProtection="0"/>
    <xf numFmtId="0" fontId="48" fillId="12" borderId="339" applyNumberFormat="0" applyAlignment="0" applyProtection="0"/>
    <xf numFmtId="0" fontId="48" fillId="12" borderId="339" applyNumberFormat="0" applyAlignment="0" applyProtection="0"/>
    <xf numFmtId="0" fontId="48" fillId="12" borderId="339" applyNumberFormat="0" applyAlignment="0" applyProtection="0"/>
    <xf numFmtId="0" fontId="48" fillId="12" borderId="339" applyNumberFormat="0" applyAlignment="0" applyProtection="0"/>
    <xf numFmtId="0" fontId="48" fillId="12" borderId="339" applyNumberFormat="0" applyAlignment="0" applyProtection="0"/>
    <xf numFmtId="0" fontId="48" fillId="12" borderId="339" applyNumberFormat="0" applyAlignment="0" applyProtection="0"/>
    <xf numFmtId="0" fontId="48" fillId="12" borderId="339" applyNumberFormat="0" applyAlignment="0" applyProtection="0"/>
    <xf numFmtId="0" fontId="48" fillId="12" borderId="339" applyNumberFormat="0" applyAlignment="0" applyProtection="0"/>
    <xf numFmtId="0" fontId="48" fillId="12" borderId="339" applyNumberFormat="0" applyAlignment="0" applyProtection="0"/>
    <xf numFmtId="0" fontId="48" fillId="12" borderId="339" applyNumberFormat="0" applyAlignment="0" applyProtection="0"/>
    <xf numFmtId="0" fontId="16" fillId="24" borderId="339" applyNumberFormat="0" applyAlignment="0" applyProtection="0"/>
    <xf numFmtId="0" fontId="16" fillId="24" borderId="339" applyNumberFormat="0" applyAlignment="0" applyProtection="0"/>
    <xf numFmtId="0" fontId="16" fillId="24" borderId="339" applyNumberFormat="0" applyAlignment="0" applyProtection="0"/>
    <xf numFmtId="0" fontId="16" fillId="24" borderId="339" applyNumberFormat="0" applyAlignment="0" applyProtection="0"/>
    <xf numFmtId="0" fontId="16" fillId="24" borderId="339" applyNumberFormat="0" applyAlignment="0" applyProtection="0"/>
    <xf numFmtId="0" fontId="16" fillId="24" borderId="339" applyNumberFormat="0" applyAlignment="0" applyProtection="0"/>
    <xf numFmtId="0" fontId="16" fillId="24" borderId="339" applyNumberFormat="0" applyAlignment="0" applyProtection="0"/>
    <xf numFmtId="0" fontId="16" fillId="24" borderId="339" applyNumberFormat="0" applyAlignment="0" applyProtection="0"/>
    <xf numFmtId="0" fontId="16" fillId="24" borderId="339" applyNumberFormat="0" applyAlignment="0" applyProtection="0"/>
    <xf numFmtId="0" fontId="16" fillId="24" borderId="339" applyNumberFormat="0" applyAlignment="0" applyProtection="0"/>
    <xf numFmtId="0" fontId="16" fillId="24" borderId="339" applyNumberFormat="0" applyAlignment="0" applyProtection="0"/>
    <xf numFmtId="0" fontId="16" fillId="24" borderId="339" applyNumberFormat="0" applyAlignment="0" applyProtection="0"/>
    <xf numFmtId="0" fontId="16" fillId="24" borderId="339" applyNumberFormat="0" applyAlignment="0" applyProtection="0"/>
    <xf numFmtId="0" fontId="16" fillId="24" borderId="339" applyNumberFormat="0" applyAlignment="0" applyProtection="0"/>
    <xf numFmtId="0" fontId="16" fillId="24" borderId="339" applyNumberFormat="0" applyAlignment="0" applyProtection="0"/>
    <xf numFmtId="0" fontId="16" fillId="24" borderId="339" applyNumberFormat="0" applyAlignment="0" applyProtection="0"/>
    <xf numFmtId="0" fontId="16" fillId="24" borderId="339" applyNumberFormat="0" applyAlignment="0" applyProtection="0"/>
    <xf numFmtId="0" fontId="16" fillId="24" borderId="339" applyNumberFormat="0" applyAlignment="0" applyProtection="0"/>
    <xf numFmtId="0" fontId="16" fillId="24" borderId="339" applyNumberFormat="0" applyAlignment="0" applyProtection="0"/>
    <xf numFmtId="0" fontId="16" fillId="24" borderId="339" applyNumberFormat="0" applyAlignment="0" applyProtection="0"/>
    <xf numFmtId="0" fontId="16" fillId="24" borderId="339" applyNumberFormat="0" applyAlignment="0" applyProtection="0"/>
    <xf numFmtId="0" fontId="16" fillId="24" borderId="339" applyNumberFormat="0" applyAlignment="0" applyProtection="0"/>
    <xf numFmtId="0" fontId="16" fillId="24" borderId="339" applyNumberFormat="0" applyAlignment="0" applyProtection="0"/>
    <xf numFmtId="0" fontId="16" fillId="24" borderId="339" applyNumberFormat="0" applyAlignment="0" applyProtection="0"/>
    <xf numFmtId="0" fontId="16" fillId="24" borderId="339" applyNumberFormat="0" applyAlignment="0" applyProtection="0"/>
    <xf numFmtId="0" fontId="16" fillId="24" borderId="339" applyNumberFormat="0" applyAlignment="0" applyProtection="0"/>
    <xf numFmtId="0" fontId="16" fillId="24" borderId="339" applyNumberFormat="0" applyAlignment="0" applyProtection="0"/>
    <xf numFmtId="0" fontId="16" fillId="24" borderId="339" applyNumberFormat="0" applyAlignment="0" applyProtection="0"/>
    <xf numFmtId="0" fontId="16" fillId="24" borderId="339" applyNumberFormat="0" applyAlignment="0" applyProtection="0"/>
    <xf numFmtId="0" fontId="16" fillId="24" borderId="339" applyNumberFormat="0" applyAlignment="0" applyProtection="0"/>
    <xf numFmtId="0" fontId="16" fillId="24" borderId="339" applyNumberFormat="0" applyAlignment="0" applyProtection="0"/>
    <xf numFmtId="0" fontId="16" fillId="24" borderId="339" applyNumberFormat="0" applyAlignment="0" applyProtection="0"/>
    <xf numFmtId="0" fontId="16" fillId="24" borderId="339" applyNumberFormat="0" applyAlignment="0" applyProtection="0"/>
    <xf numFmtId="0" fontId="16" fillId="24" borderId="339" applyNumberFormat="0" applyAlignment="0" applyProtection="0"/>
    <xf numFmtId="0" fontId="16" fillId="24" borderId="339" applyNumberFormat="0" applyAlignment="0" applyProtection="0"/>
    <xf numFmtId="0" fontId="16" fillId="24" borderId="339" applyNumberFormat="0" applyAlignment="0" applyProtection="0"/>
    <xf numFmtId="0" fontId="16" fillId="24" borderId="339" applyNumberFormat="0" applyAlignment="0" applyProtection="0"/>
    <xf numFmtId="0" fontId="16" fillId="24" borderId="339" applyNumberFormat="0" applyAlignment="0" applyProtection="0"/>
    <xf numFmtId="0" fontId="16" fillId="24" borderId="339" applyNumberFormat="0" applyAlignment="0" applyProtection="0"/>
    <xf numFmtId="0" fontId="16" fillId="24" borderId="339" applyNumberFormat="0" applyAlignment="0" applyProtection="0"/>
    <xf numFmtId="0" fontId="16" fillId="24" borderId="339" applyNumberFormat="0" applyAlignment="0" applyProtection="0"/>
    <xf numFmtId="0" fontId="16" fillId="24" borderId="339" applyNumberFormat="0" applyAlignment="0" applyProtection="0"/>
    <xf numFmtId="0" fontId="16" fillId="24" borderId="339" applyNumberFormat="0" applyAlignment="0" applyProtection="0"/>
    <xf numFmtId="0" fontId="16" fillId="24" borderId="339" applyNumberFormat="0" applyAlignment="0" applyProtection="0"/>
    <xf numFmtId="0" fontId="16" fillId="24" borderId="339" applyNumberFormat="0" applyAlignment="0" applyProtection="0"/>
    <xf numFmtId="0" fontId="16" fillId="24" borderId="339" applyNumberFormat="0" applyAlignment="0" applyProtection="0"/>
    <xf numFmtId="0" fontId="16" fillId="24" borderId="339" applyNumberFormat="0" applyAlignment="0" applyProtection="0"/>
    <xf numFmtId="0" fontId="16" fillId="24" borderId="339" applyNumberFormat="0" applyAlignment="0" applyProtection="0"/>
    <xf numFmtId="0" fontId="16" fillId="24" borderId="339" applyNumberFormat="0" applyAlignment="0" applyProtection="0"/>
    <xf numFmtId="0" fontId="48" fillId="12" borderId="339" applyNumberFormat="0" applyAlignment="0" applyProtection="0"/>
    <xf numFmtId="0" fontId="48" fillId="12" borderId="339" applyNumberFormat="0" applyAlignment="0" applyProtection="0"/>
    <xf numFmtId="0" fontId="48" fillId="12" borderId="339" applyNumberFormat="0" applyAlignment="0" applyProtection="0"/>
    <xf numFmtId="0" fontId="48" fillId="12" borderId="339" applyNumberFormat="0" applyAlignment="0" applyProtection="0"/>
    <xf numFmtId="0" fontId="48" fillId="12" borderId="339" applyNumberFormat="0" applyAlignment="0" applyProtection="0"/>
    <xf numFmtId="0" fontId="48" fillId="12" borderId="339" applyNumberFormat="0" applyAlignment="0" applyProtection="0"/>
    <xf numFmtId="0" fontId="48" fillId="12" borderId="339" applyNumberFormat="0" applyAlignment="0" applyProtection="0"/>
    <xf numFmtId="0" fontId="48" fillId="12" borderId="339" applyNumberFormat="0" applyAlignment="0" applyProtection="0"/>
    <xf numFmtId="0" fontId="48" fillId="12" borderId="339" applyNumberFormat="0" applyAlignment="0" applyProtection="0"/>
    <xf numFmtId="0" fontId="48" fillId="12" borderId="339" applyNumberFormat="0" applyAlignment="0" applyProtection="0"/>
    <xf numFmtId="0" fontId="48" fillId="12" borderId="339" applyNumberFormat="0" applyAlignment="0" applyProtection="0"/>
    <xf numFmtId="0" fontId="48" fillId="12" borderId="339" applyNumberFormat="0" applyAlignment="0" applyProtection="0"/>
    <xf numFmtId="0" fontId="48" fillId="12" borderId="339" applyNumberFormat="0" applyAlignment="0" applyProtection="0"/>
    <xf numFmtId="0" fontId="48" fillId="12" borderId="339" applyNumberFormat="0" applyAlignment="0" applyProtection="0"/>
    <xf numFmtId="0" fontId="48" fillId="12" borderId="339" applyNumberFormat="0" applyAlignment="0" applyProtection="0"/>
    <xf numFmtId="0" fontId="48" fillId="12" borderId="339" applyNumberFormat="0" applyAlignment="0" applyProtection="0"/>
    <xf numFmtId="0" fontId="48" fillId="12" borderId="339" applyNumberFormat="0" applyAlignment="0" applyProtection="0"/>
    <xf numFmtId="0" fontId="48" fillId="12" borderId="339" applyNumberFormat="0" applyAlignment="0" applyProtection="0"/>
    <xf numFmtId="0" fontId="48" fillId="12" borderId="339" applyNumberFormat="0" applyAlignment="0" applyProtection="0"/>
    <xf numFmtId="0" fontId="48" fillId="12" borderId="339" applyNumberFormat="0" applyAlignment="0" applyProtection="0"/>
    <xf numFmtId="0" fontId="48" fillId="12" borderId="339" applyNumberFormat="0" applyAlignment="0" applyProtection="0"/>
    <xf numFmtId="0" fontId="48" fillId="12" borderId="339" applyNumberFormat="0" applyAlignment="0" applyProtection="0"/>
    <xf numFmtId="0" fontId="48" fillId="12" borderId="339" applyNumberFormat="0" applyAlignment="0" applyProtection="0"/>
    <xf numFmtId="0" fontId="48" fillId="12" borderId="339" applyNumberFormat="0" applyAlignment="0" applyProtection="0"/>
    <xf numFmtId="0" fontId="48" fillId="12" borderId="339" applyNumberFormat="0" applyAlignment="0" applyProtection="0"/>
    <xf numFmtId="0" fontId="48" fillId="12" borderId="339" applyNumberFormat="0" applyAlignment="0" applyProtection="0"/>
    <xf numFmtId="0" fontId="48" fillId="12" borderId="339" applyNumberFormat="0" applyAlignment="0" applyProtection="0"/>
    <xf numFmtId="0" fontId="48" fillId="12" borderId="339" applyNumberFormat="0" applyAlignment="0" applyProtection="0"/>
    <xf numFmtId="0" fontId="48" fillId="12" borderId="339" applyNumberFormat="0" applyAlignment="0" applyProtection="0"/>
    <xf numFmtId="0" fontId="48" fillId="12" borderId="339" applyNumberFormat="0" applyAlignment="0" applyProtection="0"/>
    <xf numFmtId="0" fontId="48" fillId="12" borderId="339" applyNumberFormat="0" applyAlignment="0" applyProtection="0"/>
    <xf numFmtId="0" fontId="48" fillId="12" borderId="339" applyNumberFormat="0" applyAlignment="0" applyProtection="0"/>
    <xf numFmtId="0" fontId="48" fillId="12" borderId="339" applyNumberFormat="0" applyAlignment="0" applyProtection="0"/>
    <xf numFmtId="0" fontId="48" fillId="12" borderId="339" applyNumberFormat="0" applyAlignment="0" applyProtection="0"/>
    <xf numFmtId="0" fontId="48" fillId="12" borderId="339" applyNumberFormat="0" applyAlignment="0" applyProtection="0"/>
    <xf numFmtId="0" fontId="48" fillId="12" borderId="339" applyNumberFormat="0" applyAlignment="0" applyProtection="0"/>
    <xf numFmtId="0" fontId="48" fillId="12" borderId="339" applyNumberFormat="0" applyAlignment="0" applyProtection="0"/>
    <xf numFmtId="0" fontId="48" fillId="12" borderId="339" applyNumberFormat="0" applyAlignment="0" applyProtection="0"/>
    <xf numFmtId="0" fontId="48" fillId="12" borderId="339" applyNumberFormat="0" applyAlignment="0" applyProtection="0"/>
    <xf numFmtId="0" fontId="48" fillId="12" borderId="339" applyNumberFormat="0" applyAlignment="0" applyProtection="0"/>
    <xf numFmtId="0" fontId="48" fillId="12" borderId="339" applyNumberFormat="0" applyAlignment="0" applyProtection="0"/>
    <xf numFmtId="0" fontId="48" fillId="12" borderId="339" applyNumberFormat="0" applyAlignment="0" applyProtection="0"/>
    <xf numFmtId="0" fontId="48" fillId="12" borderId="339" applyNumberFormat="0" applyAlignment="0" applyProtection="0"/>
    <xf numFmtId="0" fontId="48" fillId="12" borderId="339" applyNumberFormat="0" applyAlignment="0" applyProtection="0"/>
    <xf numFmtId="0" fontId="48" fillId="12" borderId="339" applyNumberFormat="0" applyAlignment="0" applyProtection="0"/>
    <xf numFmtId="0" fontId="48" fillId="12" borderId="339" applyNumberFormat="0" applyAlignment="0" applyProtection="0"/>
    <xf numFmtId="0" fontId="48" fillId="12" borderId="339" applyNumberFormat="0" applyAlignment="0" applyProtection="0"/>
    <xf numFmtId="0" fontId="48" fillId="12" borderId="339" applyNumberFormat="0" applyAlignment="0" applyProtection="0"/>
    <xf numFmtId="0" fontId="48" fillId="12" borderId="339" applyNumberFormat="0" applyAlignment="0" applyProtection="0"/>
    <xf numFmtId="0" fontId="48" fillId="12" borderId="339" applyNumberFormat="0" applyAlignment="0" applyProtection="0"/>
    <xf numFmtId="0" fontId="48" fillId="12" borderId="339" applyNumberFormat="0" applyAlignment="0" applyProtection="0"/>
    <xf numFmtId="0" fontId="48" fillId="12" borderId="339" applyNumberFormat="0" applyAlignment="0" applyProtection="0"/>
    <xf numFmtId="0" fontId="48" fillId="12" borderId="339" applyNumberFormat="0" applyAlignment="0" applyProtection="0"/>
    <xf numFmtId="0" fontId="48" fillId="12" borderId="339" applyNumberFormat="0" applyAlignment="0" applyProtection="0"/>
    <xf numFmtId="0" fontId="48" fillId="12" borderId="339" applyNumberFormat="0" applyAlignment="0" applyProtection="0"/>
    <xf numFmtId="0" fontId="48" fillId="12" borderId="339" applyNumberFormat="0" applyAlignment="0" applyProtection="0"/>
    <xf numFmtId="0" fontId="48" fillId="12" borderId="339" applyNumberFormat="0" applyAlignment="0" applyProtection="0"/>
    <xf numFmtId="0" fontId="48" fillId="12" borderId="339" applyNumberFormat="0" applyAlignment="0" applyProtection="0"/>
    <xf numFmtId="0" fontId="48" fillId="12" borderId="339" applyNumberFormat="0" applyAlignment="0" applyProtection="0"/>
    <xf numFmtId="0" fontId="48" fillId="12" borderId="339" applyNumberFormat="0" applyAlignment="0" applyProtection="0"/>
    <xf numFmtId="0" fontId="48" fillId="12" borderId="339" applyNumberFormat="0" applyAlignment="0" applyProtection="0"/>
    <xf numFmtId="0" fontId="48" fillId="12" borderId="339" applyNumberFormat="0" applyAlignment="0" applyProtection="0"/>
    <xf numFmtId="0" fontId="48" fillId="12" borderId="339" applyNumberFormat="0" applyAlignment="0" applyProtection="0"/>
    <xf numFmtId="0" fontId="48" fillId="12" borderId="339" applyNumberFormat="0" applyAlignment="0" applyProtection="0"/>
    <xf numFmtId="0" fontId="48" fillId="12" borderId="339" applyNumberFormat="0" applyAlignment="0" applyProtection="0"/>
    <xf numFmtId="0" fontId="48" fillId="12" borderId="339" applyNumberFormat="0" applyAlignment="0" applyProtection="0"/>
    <xf numFmtId="0" fontId="48" fillId="12" borderId="339" applyNumberFormat="0" applyAlignment="0" applyProtection="0"/>
    <xf numFmtId="0" fontId="48" fillId="12" borderId="339" applyNumberFormat="0" applyAlignment="0" applyProtection="0"/>
    <xf numFmtId="0" fontId="48" fillId="12" borderId="339" applyNumberFormat="0" applyAlignment="0" applyProtection="0"/>
    <xf numFmtId="0" fontId="48" fillId="12" borderId="339" applyNumberFormat="0" applyAlignment="0" applyProtection="0"/>
    <xf numFmtId="0" fontId="48" fillId="12" borderId="339" applyNumberFormat="0" applyAlignment="0" applyProtection="0"/>
    <xf numFmtId="0" fontId="48" fillId="12" borderId="339" applyNumberFormat="0" applyAlignment="0" applyProtection="0"/>
    <xf numFmtId="0" fontId="48" fillId="12" borderId="339" applyNumberFormat="0" applyAlignment="0" applyProtection="0"/>
    <xf numFmtId="0" fontId="48" fillId="12" borderId="339" applyNumberFormat="0" applyAlignment="0" applyProtection="0"/>
    <xf numFmtId="0" fontId="48" fillId="12" borderId="339" applyNumberFormat="0" applyAlignment="0" applyProtection="0"/>
    <xf numFmtId="0" fontId="48" fillId="12" borderId="339" applyNumberFormat="0" applyAlignment="0" applyProtection="0"/>
    <xf numFmtId="0" fontId="48" fillId="12" borderId="339" applyNumberFormat="0" applyAlignment="0" applyProtection="0"/>
    <xf numFmtId="0" fontId="16" fillId="24" borderId="339" applyNumberFormat="0" applyAlignment="0" applyProtection="0"/>
    <xf numFmtId="0" fontId="16" fillId="24" borderId="339" applyNumberFormat="0" applyAlignment="0" applyProtection="0"/>
    <xf numFmtId="0" fontId="16" fillId="24" borderId="339" applyNumberFormat="0" applyAlignment="0" applyProtection="0"/>
    <xf numFmtId="0" fontId="16" fillId="24" borderId="339" applyNumberFormat="0" applyAlignment="0" applyProtection="0"/>
    <xf numFmtId="0" fontId="16" fillId="24" borderId="339" applyNumberFormat="0" applyAlignment="0" applyProtection="0"/>
    <xf numFmtId="0" fontId="16" fillId="24" borderId="339" applyNumberFormat="0" applyAlignment="0" applyProtection="0"/>
    <xf numFmtId="0" fontId="16" fillId="24" borderId="339" applyNumberFormat="0" applyAlignment="0" applyProtection="0"/>
    <xf numFmtId="0" fontId="16" fillId="24" borderId="339" applyNumberFormat="0" applyAlignment="0" applyProtection="0"/>
    <xf numFmtId="0" fontId="16" fillId="24" borderId="339" applyNumberFormat="0" applyAlignment="0" applyProtection="0"/>
    <xf numFmtId="0" fontId="16" fillId="24" borderId="339" applyNumberFormat="0" applyAlignment="0" applyProtection="0"/>
    <xf numFmtId="0" fontId="16" fillId="24" borderId="339" applyNumberFormat="0" applyAlignment="0" applyProtection="0"/>
    <xf numFmtId="0" fontId="16" fillId="24" borderId="339" applyNumberFormat="0" applyAlignment="0" applyProtection="0"/>
    <xf numFmtId="0" fontId="16" fillId="24" borderId="339" applyNumberFormat="0" applyAlignment="0" applyProtection="0"/>
    <xf numFmtId="0" fontId="16" fillId="24" borderId="339" applyNumberFormat="0" applyAlignment="0" applyProtection="0"/>
    <xf numFmtId="0" fontId="16" fillId="24" borderId="339" applyNumberFormat="0" applyAlignment="0" applyProtection="0"/>
    <xf numFmtId="0" fontId="16" fillId="24" borderId="339" applyNumberFormat="0" applyAlignment="0" applyProtection="0"/>
    <xf numFmtId="0" fontId="16" fillId="24" borderId="339" applyNumberFormat="0" applyAlignment="0" applyProtection="0"/>
    <xf numFmtId="0" fontId="16" fillId="24" borderId="339" applyNumberFormat="0" applyAlignment="0" applyProtection="0"/>
    <xf numFmtId="0" fontId="16" fillId="24" borderId="339" applyNumberFormat="0" applyAlignment="0" applyProtection="0"/>
    <xf numFmtId="0" fontId="16" fillId="24" borderId="339" applyNumberFormat="0" applyAlignment="0" applyProtection="0"/>
    <xf numFmtId="0" fontId="16" fillId="24" borderId="339" applyNumberFormat="0" applyAlignment="0" applyProtection="0"/>
    <xf numFmtId="0" fontId="16" fillId="24" borderId="339" applyNumberFormat="0" applyAlignment="0" applyProtection="0"/>
    <xf numFmtId="0" fontId="16" fillId="24" borderId="339" applyNumberFormat="0" applyAlignment="0" applyProtection="0"/>
    <xf numFmtId="0" fontId="16" fillId="24" borderId="339" applyNumberFormat="0" applyAlignment="0" applyProtection="0"/>
    <xf numFmtId="0" fontId="16" fillId="24" borderId="339" applyNumberFormat="0" applyAlignment="0" applyProtection="0"/>
    <xf numFmtId="0" fontId="16" fillId="24" borderId="339" applyNumberFormat="0" applyAlignment="0" applyProtection="0"/>
    <xf numFmtId="0" fontId="16" fillId="24" borderId="339" applyNumberFormat="0" applyAlignment="0" applyProtection="0"/>
    <xf numFmtId="0" fontId="16" fillId="24" borderId="339" applyNumberFormat="0" applyAlignment="0" applyProtection="0"/>
    <xf numFmtId="0" fontId="16" fillId="24" borderId="339" applyNumberFormat="0" applyAlignment="0" applyProtection="0"/>
    <xf numFmtId="0" fontId="16" fillId="24" borderId="339" applyNumberFormat="0" applyAlignment="0" applyProtection="0"/>
    <xf numFmtId="0" fontId="16" fillId="24" borderId="339" applyNumberFormat="0" applyAlignment="0" applyProtection="0"/>
    <xf numFmtId="0" fontId="16" fillId="24" borderId="339" applyNumberFormat="0" applyAlignment="0" applyProtection="0"/>
    <xf numFmtId="0" fontId="16" fillId="24" borderId="339" applyNumberFormat="0" applyAlignment="0" applyProtection="0"/>
    <xf numFmtId="0" fontId="16" fillId="24" borderId="339" applyNumberFormat="0" applyAlignment="0" applyProtection="0"/>
    <xf numFmtId="0" fontId="16" fillId="24" borderId="339" applyNumberFormat="0" applyAlignment="0" applyProtection="0"/>
    <xf numFmtId="0" fontId="16" fillId="24" borderId="339" applyNumberFormat="0" applyAlignment="0" applyProtection="0"/>
    <xf numFmtId="0" fontId="16" fillId="24" borderId="339" applyNumberFormat="0" applyAlignment="0" applyProtection="0"/>
    <xf numFmtId="0" fontId="16" fillId="24" borderId="339" applyNumberFormat="0" applyAlignment="0" applyProtection="0"/>
    <xf numFmtId="0" fontId="16" fillId="24" borderId="339" applyNumberFormat="0" applyAlignment="0" applyProtection="0"/>
    <xf numFmtId="0" fontId="16" fillId="24" borderId="339" applyNumberFormat="0" applyAlignment="0" applyProtection="0"/>
    <xf numFmtId="0" fontId="16" fillId="24" borderId="339" applyNumberFormat="0" applyAlignment="0" applyProtection="0"/>
    <xf numFmtId="0" fontId="16" fillId="24" borderId="339" applyNumberFormat="0" applyAlignment="0" applyProtection="0"/>
    <xf numFmtId="0" fontId="16" fillId="24" borderId="339" applyNumberFormat="0" applyAlignment="0" applyProtection="0"/>
    <xf numFmtId="0" fontId="16" fillId="24" borderId="339" applyNumberFormat="0" applyAlignment="0" applyProtection="0"/>
    <xf numFmtId="0" fontId="16" fillId="24" borderId="339" applyNumberFormat="0" applyAlignment="0" applyProtection="0"/>
    <xf numFmtId="0" fontId="16" fillId="24" borderId="339" applyNumberFormat="0" applyAlignment="0" applyProtection="0"/>
    <xf numFmtId="0" fontId="16" fillId="24" borderId="339" applyNumberFormat="0" applyAlignment="0" applyProtection="0"/>
    <xf numFmtId="0" fontId="16" fillId="24" borderId="339" applyNumberFormat="0" applyAlignment="0" applyProtection="0"/>
    <xf numFmtId="0" fontId="16" fillId="24" borderId="339" applyNumberFormat="0" applyAlignment="0" applyProtection="0"/>
    <xf numFmtId="0" fontId="28" fillId="0" borderId="343"/>
    <xf numFmtId="0" fontId="28" fillId="0" borderId="343"/>
    <xf numFmtId="0" fontId="28" fillId="0" borderId="343"/>
    <xf numFmtId="0" fontId="28" fillId="0" borderId="343"/>
    <xf numFmtId="0" fontId="28" fillId="0" borderId="343"/>
    <xf numFmtId="0" fontId="28" fillId="0" borderId="343"/>
    <xf numFmtId="0" fontId="28" fillId="0" borderId="343"/>
    <xf numFmtId="0" fontId="28" fillId="0" borderId="343"/>
    <xf numFmtId="0" fontId="28" fillId="0" borderId="343"/>
    <xf numFmtId="0" fontId="28" fillId="0" borderId="343"/>
    <xf numFmtId="0" fontId="28" fillId="0" borderId="343"/>
    <xf numFmtId="0" fontId="28" fillId="0" borderId="343"/>
    <xf numFmtId="0" fontId="28" fillId="0" borderId="343"/>
    <xf numFmtId="0" fontId="28" fillId="0" borderId="343"/>
    <xf numFmtId="0" fontId="28" fillId="0" borderId="343"/>
    <xf numFmtId="0" fontId="28" fillId="0" borderId="343"/>
    <xf numFmtId="0" fontId="28" fillId="0" borderId="343"/>
    <xf numFmtId="0" fontId="28" fillId="0" borderId="343"/>
    <xf numFmtId="0" fontId="28" fillId="0" borderId="343"/>
    <xf numFmtId="0" fontId="28" fillId="0" borderId="343"/>
    <xf numFmtId="0" fontId="28" fillId="0" borderId="343"/>
    <xf numFmtId="0" fontId="28" fillId="0" borderId="343"/>
    <xf numFmtId="0" fontId="28" fillId="0" borderId="343"/>
    <xf numFmtId="0" fontId="28" fillId="0" borderId="343"/>
    <xf numFmtId="0" fontId="28" fillId="0" borderId="343"/>
    <xf numFmtId="0" fontId="28" fillId="0" borderId="343"/>
    <xf numFmtId="0" fontId="28" fillId="0" borderId="343"/>
    <xf numFmtId="0" fontId="28" fillId="0" borderId="343"/>
    <xf numFmtId="0" fontId="28" fillId="0" borderId="343"/>
    <xf numFmtId="0" fontId="28" fillId="0" borderId="343"/>
    <xf numFmtId="0" fontId="28" fillId="0" borderId="343"/>
    <xf numFmtId="0" fontId="28" fillId="0" borderId="343"/>
    <xf numFmtId="0" fontId="28" fillId="0" borderId="343"/>
    <xf numFmtId="0" fontId="28" fillId="0" borderId="343"/>
    <xf numFmtId="0" fontId="28" fillId="0" borderId="343"/>
    <xf numFmtId="0" fontId="28" fillId="0" borderId="343"/>
    <xf numFmtId="0" fontId="28" fillId="0" borderId="343"/>
    <xf numFmtId="0" fontId="28" fillId="0" borderId="343"/>
    <xf numFmtId="0" fontId="28" fillId="0" borderId="343"/>
    <xf numFmtId="0" fontId="28" fillId="0" borderId="343"/>
    <xf numFmtId="0" fontId="28" fillId="0" borderId="343"/>
    <xf numFmtId="0" fontId="28" fillId="0" borderId="343"/>
    <xf numFmtId="0" fontId="28" fillId="0" borderId="343"/>
    <xf numFmtId="0" fontId="28" fillId="0" borderId="343"/>
    <xf numFmtId="0" fontId="28" fillId="0" borderId="343"/>
    <xf numFmtId="0" fontId="25" fillId="13" borderId="339" applyNumberFormat="0" applyAlignment="0" applyProtection="0"/>
    <xf numFmtId="0" fontId="25" fillId="13" borderId="339" applyNumberFormat="0" applyAlignment="0" applyProtection="0"/>
    <xf numFmtId="0" fontId="25" fillId="13" borderId="339" applyNumberFormat="0" applyAlignment="0" applyProtection="0"/>
    <xf numFmtId="0" fontId="25" fillId="13" borderId="339" applyNumberFormat="0" applyAlignment="0" applyProtection="0"/>
    <xf numFmtId="0" fontId="25" fillId="13" borderId="339" applyNumberFormat="0" applyAlignment="0" applyProtection="0"/>
    <xf numFmtId="0" fontId="25" fillId="13" borderId="339" applyNumberFormat="0" applyAlignment="0" applyProtection="0"/>
    <xf numFmtId="0" fontId="25" fillId="13" borderId="339" applyNumberFormat="0" applyAlignment="0" applyProtection="0"/>
    <xf numFmtId="0" fontId="25" fillId="13" borderId="339" applyNumberFormat="0" applyAlignment="0" applyProtection="0"/>
    <xf numFmtId="0" fontId="25" fillId="13" borderId="339" applyNumberFormat="0" applyAlignment="0" applyProtection="0"/>
    <xf numFmtId="0" fontId="25" fillId="13" borderId="339" applyNumberFormat="0" applyAlignment="0" applyProtection="0"/>
    <xf numFmtId="0" fontId="25" fillId="13" borderId="339" applyNumberFormat="0" applyAlignment="0" applyProtection="0"/>
    <xf numFmtId="0" fontId="25" fillId="13" borderId="339" applyNumberFormat="0" applyAlignment="0" applyProtection="0"/>
    <xf numFmtId="0" fontId="25" fillId="13" borderId="339" applyNumberFormat="0" applyAlignment="0" applyProtection="0"/>
    <xf numFmtId="0" fontId="25" fillId="13" borderId="339" applyNumberFormat="0" applyAlignment="0" applyProtection="0"/>
    <xf numFmtId="0" fontId="25" fillId="13" borderId="339" applyNumberFormat="0" applyAlignment="0" applyProtection="0"/>
    <xf numFmtId="0" fontId="25" fillId="13" borderId="339" applyNumberFormat="0" applyAlignment="0" applyProtection="0"/>
    <xf numFmtId="0" fontId="25" fillId="13" borderId="339" applyNumberFormat="0" applyAlignment="0" applyProtection="0"/>
    <xf numFmtId="0" fontId="25" fillId="13" borderId="339" applyNumberFormat="0" applyAlignment="0" applyProtection="0"/>
    <xf numFmtId="0" fontId="25" fillId="13" borderId="339" applyNumberFormat="0" applyAlignment="0" applyProtection="0"/>
    <xf numFmtId="0" fontId="25" fillId="13" borderId="339" applyNumberFormat="0" applyAlignment="0" applyProtection="0"/>
    <xf numFmtId="0" fontId="25" fillId="13" borderId="339" applyNumberFormat="0" applyAlignment="0" applyProtection="0"/>
    <xf numFmtId="0" fontId="25" fillId="13" borderId="339" applyNumberFormat="0" applyAlignment="0" applyProtection="0"/>
    <xf numFmtId="0" fontId="25" fillId="13" borderId="339" applyNumberFormat="0" applyAlignment="0" applyProtection="0"/>
    <xf numFmtId="0" fontId="25" fillId="13" borderId="339" applyNumberFormat="0" applyAlignment="0" applyProtection="0"/>
    <xf numFmtId="0" fontId="25" fillId="13" borderId="339" applyNumberFormat="0" applyAlignment="0" applyProtection="0"/>
    <xf numFmtId="0" fontId="25" fillId="13" borderId="339" applyNumberFormat="0" applyAlignment="0" applyProtection="0"/>
    <xf numFmtId="0" fontId="25" fillId="13" borderId="339" applyNumberFormat="0" applyAlignment="0" applyProtection="0"/>
    <xf numFmtId="0" fontId="25" fillId="13" borderId="339" applyNumberFormat="0" applyAlignment="0" applyProtection="0"/>
    <xf numFmtId="0" fontId="25" fillId="13" borderId="339" applyNumberFormat="0" applyAlignment="0" applyProtection="0"/>
    <xf numFmtId="0" fontId="25" fillId="13" borderId="339" applyNumberFormat="0" applyAlignment="0" applyProtection="0"/>
    <xf numFmtId="0" fontId="25" fillId="13" borderId="339" applyNumberFormat="0" applyAlignment="0" applyProtection="0"/>
    <xf numFmtId="0" fontId="25" fillId="13" borderId="339" applyNumberFormat="0" applyAlignment="0" applyProtection="0"/>
    <xf numFmtId="0" fontId="25" fillId="13" borderId="339" applyNumberFormat="0" applyAlignment="0" applyProtection="0"/>
    <xf numFmtId="0" fontId="25" fillId="13" borderId="339" applyNumberFormat="0" applyAlignment="0" applyProtection="0"/>
    <xf numFmtId="0" fontId="25" fillId="13" borderId="339" applyNumberFormat="0" applyAlignment="0" applyProtection="0"/>
    <xf numFmtId="0" fontId="25" fillId="13" borderId="339" applyNumberFormat="0" applyAlignment="0" applyProtection="0"/>
    <xf numFmtId="0" fontId="25" fillId="13" borderId="339" applyNumberFormat="0" applyAlignment="0" applyProtection="0"/>
    <xf numFmtId="0" fontId="25" fillId="13" borderId="339" applyNumberFormat="0" applyAlignment="0" applyProtection="0"/>
    <xf numFmtId="0" fontId="25" fillId="13" borderId="339" applyNumberFormat="0" applyAlignment="0" applyProtection="0"/>
    <xf numFmtId="0" fontId="25" fillId="13" borderId="339" applyNumberFormat="0" applyAlignment="0" applyProtection="0"/>
    <xf numFmtId="0" fontId="25" fillId="13" borderId="339" applyNumberFormat="0" applyAlignment="0" applyProtection="0"/>
    <xf numFmtId="0" fontId="25" fillId="13" borderId="339" applyNumberFormat="0" applyAlignment="0" applyProtection="0"/>
    <xf numFmtId="0" fontId="25" fillId="13" borderId="339" applyNumberFormat="0" applyAlignment="0" applyProtection="0"/>
    <xf numFmtId="0" fontId="25" fillId="13" borderId="339" applyNumberFormat="0" applyAlignment="0" applyProtection="0"/>
    <xf numFmtId="0" fontId="25" fillId="13" borderId="339" applyNumberFormat="0" applyAlignment="0" applyProtection="0"/>
    <xf numFmtId="0" fontId="25" fillId="13" borderId="339" applyNumberFormat="0" applyAlignment="0" applyProtection="0"/>
    <xf numFmtId="0" fontId="25" fillId="13" borderId="339" applyNumberFormat="0" applyAlignment="0" applyProtection="0"/>
    <xf numFmtId="0" fontId="25" fillId="13" borderId="339" applyNumberFormat="0" applyAlignment="0" applyProtection="0"/>
    <xf numFmtId="0" fontId="25" fillId="13" borderId="339" applyNumberFormat="0" applyAlignment="0" applyProtection="0"/>
    <xf numFmtId="0" fontId="41" fillId="13" borderId="339" applyNumberFormat="0" applyAlignment="0" applyProtection="0"/>
    <xf numFmtId="0" fontId="41" fillId="13" borderId="339" applyNumberFormat="0" applyAlignment="0" applyProtection="0"/>
    <xf numFmtId="0" fontId="41" fillId="13" borderId="339" applyNumberFormat="0" applyAlignment="0" applyProtection="0"/>
    <xf numFmtId="0" fontId="41" fillId="13" borderId="339" applyNumberFormat="0" applyAlignment="0" applyProtection="0"/>
    <xf numFmtId="0" fontId="41" fillId="13" borderId="339" applyNumberFormat="0" applyAlignment="0" applyProtection="0"/>
    <xf numFmtId="0" fontId="41" fillId="13" borderId="339" applyNumberFormat="0" applyAlignment="0" applyProtection="0"/>
    <xf numFmtId="0" fontId="41" fillId="13" borderId="339" applyNumberFormat="0" applyAlignment="0" applyProtection="0"/>
    <xf numFmtId="0" fontId="41" fillId="13" borderId="339" applyNumberFormat="0" applyAlignment="0" applyProtection="0"/>
    <xf numFmtId="0" fontId="41" fillId="13" borderId="339" applyNumberFormat="0" applyAlignment="0" applyProtection="0"/>
    <xf numFmtId="0" fontId="41" fillId="13" borderId="339" applyNumberFormat="0" applyAlignment="0" applyProtection="0"/>
    <xf numFmtId="0" fontId="41" fillId="13" borderId="339" applyNumberFormat="0" applyAlignment="0" applyProtection="0"/>
    <xf numFmtId="0" fontId="41" fillId="13" borderId="339" applyNumberFormat="0" applyAlignment="0" applyProtection="0"/>
    <xf numFmtId="0" fontId="41" fillId="13" borderId="339" applyNumberFormat="0" applyAlignment="0" applyProtection="0"/>
    <xf numFmtId="0" fontId="41" fillId="13" borderId="339" applyNumberFormat="0" applyAlignment="0" applyProtection="0"/>
    <xf numFmtId="0" fontId="41" fillId="13" borderId="339" applyNumberFormat="0" applyAlignment="0" applyProtection="0"/>
    <xf numFmtId="0" fontId="41" fillId="13" borderId="339" applyNumberFormat="0" applyAlignment="0" applyProtection="0"/>
    <xf numFmtId="0" fontId="41" fillId="13" borderId="339" applyNumberFormat="0" applyAlignment="0" applyProtection="0"/>
    <xf numFmtId="0" fontId="41" fillId="13" borderId="339" applyNumberFormat="0" applyAlignment="0" applyProtection="0"/>
    <xf numFmtId="0" fontId="41" fillId="13" borderId="339" applyNumberFormat="0" applyAlignment="0" applyProtection="0"/>
    <xf numFmtId="0" fontId="41" fillId="13" borderId="339" applyNumberFormat="0" applyAlignment="0" applyProtection="0"/>
    <xf numFmtId="0" fontId="41" fillId="13" borderId="339" applyNumberFormat="0" applyAlignment="0" applyProtection="0"/>
    <xf numFmtId="0" fontId="41" fillId="13" borderId="339" applyNumberFormat="0" applyAlignment="0" applyProtection="0"/>
    <xf numFmtId="0" fontId="41" fillId="13" borderId="339" applyNumberFormat="0" applyAlignment="0" applyProtection="0"/>
    <xf numFmtId="0" fontId="41" fillId="13" borderId="339" applyNumberFormat="0" applyAlignment="0" applyProtection="0"/>
    <xf numFmtId="0" fontId="41" fillId="13" borderId="339" applyNumberFormat="0" applyAlignment="0" applyProtection="0"/>
    <xf numFmtId="0" fontId="41" fillId="13" borderId="339" applyNumberFormat="0" applyAlignment="0" applyProtection="0"/>
    <xf numFmtId="0" fontId="41" fillId="13" borderId="339" applyNumberFormat="0" applyAlignment="0" applyProtection="0"/>
    <xf numFmtId="0" fontId="41" fillId="13" borderId="339" applyNumberFormat="0" applyAlignment="0" applyProtection="0"/>
    <xf numFmtId="0" fontId="41" fillId="13" borderId="339" applyNumberFormat="0" applyAlignment="0" applyProtection="0"/>
    <xf numFmtId="0" fontId="41" fillId="13" borderId="339" applyNumberFormat="0" applyAlignment="0" applyProtection="0"/>
    <xf numFmtId="0" fontId="41" fillId="13" borderId="339" applyNumberFormat="0" applyAlignment="0" applyProtection="0"/>
    <xf numFmtId="0" fontId="41" fillId="13" borderId="339" applyNumberFormat="0" applyAlignment="0" applyProtection="0"/>
    <xf numFmtId="0" fontId="41" fillId="13" borderId="339" applyNumberFormat="0" applyAlignment="0" applyProtection="0"/>
    <xf numFmtId="0" fontId="41" fillId="13" borderId="339" applyNumberFormat="0" applyAlignment="0" applyProtection="0"/>
    <xf numFmtId="0" fontId="41" fillId="13" borderId="339" applyNumberFormat="0" applyAlignment="0" applyProtection="0"/>
    <xf numFmtId="0" fontId="41" fillId="13" borderId="339" applyNumberFormat="0" applyAlignment="0" applyProtection="0"/>
    <xf numFmtId="0" fontId="41" fillId="13" borderId="339" applyNumberFormat="0" applyAlignment="0" applyProtection="0"/>
    <xf numFmtId="0" fontId="41" fillId="13" borderId="339" applyNumberFormat="0" applyAlignment="0" applyProtection="0"/>
    <xf numFmtId="0" fontId="41" fillId="13" borderId="339" applyNumberFormat="0" applyAlignment="0" applyProtection="0"/>
    <xf numFmtId="0" fontId="41" fillId="13" borderId="339" applyNumberFormat="0" applyAlignment="0" applyProtection="0"/>
    <xf numFmtId="0" fontId="41" fillId="13" borderId="339" applyNumberFormat="0" applyAlignment="0" applyProtection="0"/>
    <xf numFmtId="0" fontId="41" fillId="13" borderId="339" applyNumberFormat="0" applyAlignment="0" applyProtection="0"/>
    <xf numFmtId="0" fontId="41" fillId="13" borderId="339" applyNumberFormat="0" applyAlignment="0" applyProtection="0"/>
    <xf numFmtId="0" fontId="41" fillId="13" borderId="339" applyNumberFormat="0" applyAlignment="0" applyProtection="0"/>
    <xf numFmtId="0" fontId="41" fillId="13" borderId="339" applyNumberFormat="0" applyAlignment="0" applyProtection="0"/>
    <xf numFmtId="0" fontId="41" fillId="13" borderId="339" applyNumberFormat="0" applyAlignment="0" applyProtection="0"/>
    <xf numFmtId="0" fontId="41" fillId="13" borderId="339" applyNumberFormat="0" applyAlignment="0" applyProtection="0"/>
    <xf numFmtId="0" fontId="41" fillId="13" borderId="339" applyNumberFormat="0" applyAlignment="0" applyProtection="0"/>
    <xf numFmtId="0" fontId="41" fillId="13" borderId="339" applyNumberFormat="0" applyAlignment="0" applyProtection="0"/>
    <xf numFmtId="0" fontId="25" fillId="13" borderId="339" applyNumberFormat="0" applyAlignment="0" applyProtection="0"/>
    <xf numFmtId="0" fontId="25" fillId="13" borderId="339" applyNumberFormat="0" applyAlignment="0" applyProtection="0"/>
    <xf numFmtId="0" fontId="25" fillId="13" borderId="339" applyNumberFormat="0" applyAlignment="0" applyProtection="0"/>
    <xf numFmtId="0" fontId="25" fillId="13" borderId="339" applyNumberFormat="0" applyAlignment="0" applyProtection="0"/>
    <xf numFmtId="0" fontId="25" fillId="13" borderId="339" applyNumberFormat="0" applyAlignment="0" applyProtection="0"/>
    <xf numFmtId="0" fontId="25" fillId="13" borderId="339" applyNumberFormat="0" applyAlignment="0" applyProtection="0"/>
    <xf numFmtId="0" fontId="25" fillId="13" borderId="339" applyNumberFormat="0" applyAlignment="0" applyProtection="0"/>
    <xf numFmtId="0" fontId="25" fillId="13" borderId="339" applyNumberFormat="0" applyAlignment="0" applyProtection="0"/>
    <xf numFmtId="0" fontId="25" fillId="13" borderId="339" applyNumberFormat="0" applyAlignment="0" applyProtection="0"/>
    <xf numFmtId="0" fontId="25" fillId="13" borderId="339" applyNumberFormat="0" applyAlignment="0" applyProtection="0"/>
    <xf numFmtId="0" fontId="25" fillId="13" borderId="339" applyNumberFormat="0" applyAlignment="0" applyProtection="0"/>
    <xf numFmtId="0" fontId="25" fillId="13" borderId="339" applyNumberFormat="0" applyAlignment="0" applyProtection="0"/>
    <xf numFmtId="0" fontId="25" fillId="13" borderId="339" applyNumberFormat="0" applyAlignment="0" applyProtection="0"/>
    <xf numFmtId="0" fontId="25" fillId="13" borderId="339" applyNumberFormat="0" applyAlignment="0" applyProtection="0"/>
    <xf numFmtId="0" fontId="25" fillId="13" borderId="339" applyNumberFormat="0" applyAlignment="0" applyProtection="0"/>
    <xf numFmtId="0" fontId="25" fillId="13" borderId="339" applyNumberFormat="0" applyAlignment="0" applyProtection="0"/>
    <xf numFmtId="0" fontId="25" fillId="13" borderId="339" applyNumberFormat="0" applyAlignment="0" applyProtection="0"/>
    <xf numFmtId="0" fontId="25" fillId="13" borderId="339" applyNumberFormat="0" applyAlignment="0" applyProtection="0"/>
    <xf numFmtId="0" fontId="25" fillId="13" borderId="339" applyNumberFormat="0" applyAlignment="0" applyProtection="0"/>
    <xf numFmtId="0" fontId="25" fillId="13" borderId="339" applyNumberFormat="0" applyAlignment="0" applyProtection="0"/>
    <xf numFmtId="0" fontId="25" fillId="13" borderId="339" applyNumberFormat="0" applyAlignment="0" applyProtection="0"/>
    <xf numFmtId="0" fontId="25" fillId="13" borderId="339" applyNumberFormat="0" applyAlignment="0" applyProtection="0"/>
    <xf numFmtId="0" fontId="25" fillId="13" borderId="339" applyNumberFormat="0" applyAlignment="0" applyProtection="0"/>
    <xf numFmtId="0" fontId="25" fillId="13" borderId="339" applyNumberFormat="0" applyAlignment="0" applyProtection="0"/>
    <xf numFmtId="0" fontId="25" fillId="13" borderId="339" applyNumberFormat="0" applyAlignment="0" applyProtection="0"/>
    <xf numFmtId="0" fontId="25" fillId="13" borderId="339" applyNumberFormat="0" applyAlignment="0" applyProtection="0"/>
    <xf numFmtId="0" fontId="25" fillId="13" borderId="339" applyNumberFormat="0" applyAlignment="0" applyProtection="0"/>
    <xf numFmtId="0" fontId="25" fillId="13" borderId="339" applyNumberFormat="0" applyAlignment="0" applyProtection="0"/>
    <xf numFmtId="0" fontId="25" fillId="13" borderId="339" applyNumberFormat="0" applyAlignment="0" applyProtection="0"/>
    <xf numFmtId="0" fontId="25" fillId="13" borderId="339" applyNumberFormat="0" applyAlignment="0" applyProtection="0"/>
    <xf numFmtId="0" fontId="25" fillId="13" borderId="339" applyNumberFormat="0" applyAlignment="0" applyProtection="0"/>
    <xf numFmtId="0" fontId="25" fillId="13" borderId="339" applyNumberFormat="0" applyAlignment="0" applyProtection="0"/>
    <xf numFmtId="0" fontId="25" fillId="13" borderId="339" applyNumberFormat="0" applyAlignment="0" applyProtection="0"/>
    <xf numFmtId="0" fontId="25" fillId="13" borderId="339" applyNumberFormat="0" applyAlignment="0" applyProtection="0"/>
    <xf numFmtId="0" fontId="25" fillId="13" borderId="339" applyNumberFormat="0" applyAlignment="0" applyProtection="0"/>
    <xf numFmtId="0" fontId="25" fillId="13" borderId="339" applyNumberFormat="0" applyAlignment="0" applyProtection="0"/>
    <xf numFmtId="0" fontId="25" fillId="13" borderId="339" applyNumberFormat="0" applyAlignment="0" applyProtection="0"/>
    <xf numFmtId="0" fontId="25" fillId="13" borderId="339" applyNumberFormat="0" applyAlignment="0" applyProtection="0"/>
    <xf numFmtId="0" fontId="25" fillId="13" borderId="339" applyNumberFormat="0" applyAlignment="0" applyProtection="0"/>
    <xf numFmtId="0" fontId="25" fillId="13" borderId="339" applyNumberFormat="0" applyAlignment="0" applyProtection="0"/>
    <xf numFmtId="0" fontId="25" fillId="13" borderId="339" applyNumberFormat="0" applyAlignment="0" applyProtection="0"/>
    <xf numFmtId="0" fontId="25" fillId="13" borderId="339" applyNumberFormat="0" applyAlignment="0" applyProtection="0"/>
    <xf numFmtId="0" fontId="25" fillId="13" borderId="339" applyNumberFormat="0" applyAlignment="0" applyProtection="0"/>
    <xf numFmtId="0" fontId="25" fillId="13" borderId="339" applyNumberFormat="0" applyAlignment="0" applyProtection="0"/>
    <xf numFmtId="0" fontId="25" fillId="13" borderId="339" applyNumberFormat="0" applyAlignment="0" applyProtection="0"/>
    <xf numFmtId="0" fontId="25" fillId="13" borderId="339" applyNumberFormat="0" applyAlignment="0" applyProtection="0"/>
    <xf numFmtId="0" fontId="25" fillId="13" borderId="339" applyNumberFormat="0" applyAlignment="0" applyProtection="0"/>
    <xf numFmtId="0" fontId="25" fillId="13" borderId="339" applyNumberFormat="0" applyAlignment="0" applyProtection="0"/>
    <xf numFmtId="0" fontId="25" fillId="13" borderId="339" applyNumberFormat="0" applyAlignment="0" applyProtection="0"/>
    <xf numFmtId="0" fontId="41" fillId="13" borderId="339" applyNumberFormat="0" applyAlignment="0" applyProtection="0"/>
    <xf numFmtId="0" fontId="41" fillId="13" borderId="339" applyNumberFormat="0" applyAlignment="0" applyProtection="0"/>
    <xf numFmtId="0" fontId="41" fillId="13" borderId="339" applyNumberFormat="0" applyAlignment="0" applyProtection="0"/>
    <xf numFmtId="0" fontId="41" fillId="13" borderId="339" applyNumberFormat="0" applyAlignment="0" applyProtection="0"/>
    <xf numFmtId="0" fontId="41" fillId="13" borderId="339" applyNumberFormat="0" applyAlignment="0" applyProtection="0"/>
    <xf numFmtId="0" fontId="41" fillId="13" borderId="339" applyNumberFormat="0" applyAlignment="0" applyProtection="0"/>
    <xf numFmtId="0" fontId="41" fillId="13" borderId="339" applyNumberFormat="0" applyAlignment="0" applyProtection="0"/>
    <xf numFmtId="0" fontId="41" fillId="13" borderId="339" applyNumberFormat="0" applyAlignment="0" applyProtection="0"/>
    <xf numFmtId="0" fontId="41" fillId="13" borderId="339" applyNumberFormat="0" applyAlignment="0" applyProtection="0"/>
    <xf numFmtId="0" fontId="41" fillId="13" borderId="339" applyNumberFormat="0" applyAlignment="0" applyProtection="0"/>
    <xf numFmtId="0" fontId="41" fillId="13" borderId="339" applyNumberFormat="0" applyAlignment="0" applyProtection="0"/>
    <xf numFmtId="0" fontId="41" fillId="13" borderId="339" applyNumberFormat="0" applyAlignment="0" applyProtection="0"/>
    <xf numFmtId="0" fontId="41" fillId="13" borderId="339" applyNumberFormat="0" applyAlignment="0" applyProtection="0"/>
    <xf numFmtId="0" fontId="41" fillId="13" borderId="339" applyNumberFormat="0" applyAlignment="0" applyProtection="0"/>
    <xf numFmtId="0" fontId="41" fillId="13" borderId="339" applyNumberFormat="0" applyAlignment="0" applyProtection="0"/>
    <xf numFmtId="0" fontId="41" fillId="13" borderId="339" applyNumberFormat="0" applyAlignment="0" applyProtection="0"/>
    <xf numFmtId="0" fontId="41" fillId="13" borderId="339" applyNumberFormat="0" applyAlignment="0" applyProtection="0"/>
    <xf numFmtId="0" fontId="41" fillId="13" borderId="339" applyNumberFormat="0" applyAlignment="0" applyProtection="0"/>
    <xf numFmtId="0" fontId="41" fillId="13" borderId="339" applyNumberFormat="0" applyAlignment="0" applyProtection="0"/>
    <xf numFmtId="0" fontId="41" fillId="13" borderId="339" applyNumberFormat="0" applyAlignment="0" applyProtection="0"/>
    <xf numFmtId="0" fontId="41" fillId="13" borderId="339" applyNumberFormat="0" applyAlignment="0" applyProtection="0"/>
    <xf numFmtId="0" fontId="41" fillId="13" borderId="339" applyNumberFormat="0" applyAlignment="0" applyProtection="0"/>
    <xf numFmtId="0" fontId="41" fillId="13" borderId="339" applyNumberFormat="0" applyAlignment="0" applyProtection="0"/>
    <xf numFmtId="0" fontId="41" fillId="13" borderId="339" applyNumberFormat="0" applyAlignment="0" applyProtection="0"/>
    <xf numFmtId="0" fontId="41" fillId="13" borderId="339" applyNumberFormat="0" applyAlignment="0" applyProtection="0"/>
    <xf numFmtId="0" fontId="41" fillId="13" borderId="339" applyNumberFormat="0" applyAlignment="0" applyProtection="0"/>
    <xf numFmtId="0" fontId="41" fillId="13" borderId="339" applyNumberFormat="0" applyAlignment="0" applyProtection="0"/>
    <xf numFmtId="0" fontId="41" fillId="13" borderId="339" applyNumberFormat="0" applyAlignment="0" applyProtection="0"/>
    <xf numFmtId="0" fontId="41" fillId="13" borderId="339" applyNumberFormat="0" applyAlignment="0" applyProtection="0"/>
    <xf numFmtId="0" fontId="41" fillId="13" borderId="339" applyNumberFormat="0" applyAlignment="0" applyProtection="0"/>
    <xf numFmtId="0" fontId="41" fillId="13" borderId="339" applyNumberFormat="0" applyAlignment="0" applyProtection="0"/>
    <xf numFmtId="0" fontId="41" fillId="13" borderId="339" applyNumberFormat="0" applyAlignment="0" applyProtection="0"/>
    <xf numFmtId="0" fontId="41" fillId="13" borderId="339" applyNumberFormat="0" applyAlignment="0" applyProtection="0"/>
    <xf numFmtId="0" fontId="41" fillId="13" borderId="339" applyNumberFormat="0" applyAlignment="0" applyProtection="0"/>
    <xf numFmtId="0" fontId="41" fillId="13" borderId="339" applyNumberFormat="0" applyAlignment="0" applyProtection="0"/>
    <xf numFmtId="0" fontId="41" fillId="13" borderId="339" applyNumberFormat="0" applyAlignment="0" applyProtection="0"/>
    <xf numFmtId="0" fontId="41" fillId="13" borderId="339" applyNumberFormat="0" applyAlignment="0" applyProtection="0"/>
    <xf numFmtId="0" fontId="41" fillId="13" borderId="339" applyNumberFormat="0" applyAlignment="0" applyProtection="0"/>
    <xf numFmtId="0" fontId="41" fillId="13" borderId="339" applyNumberFormat="0" applyAlignment="0" applyProtection="0"/>
    <xf numFmtId="0" fontId="41" fillId="13" borderId="339" applyNumberFormat="0" applyAlignment="0" applyProtection="0"/>
    <xf numFmtId="0" fontId="41" fillId="13" borderId="339" applyNumberFormat="0" applyAlignment="0" applyProtection="0"/>
    <xf numFmtId="0" fontId="41" fillId="13" borderId="339" applyNumberFormat="0" applyAlignment="0" applyProtection="0"/>
    <xf numFmtId="0" fontId="41" fillId="13" borderId="339" applyNumberFormat="0" applyAlignment="0" applyProtection="0"/>
    <xf numFmtId="0" fontId="41" fillId="13" borderId="339" applyNumberFormat="0" applyAlignment="0" applyProtection="0"/>
    <xf numFmtId="0" fontId="41" fillId="13" borderId="339" applyNumberFormat="0" applyAlignment="0" applyProtection="0"/>
    <xf numFmtId="0" fontId="41" fillId="13" borderId="339" applyNumberFormat="0" applyAlignment="0" applyProtection="0"/>
    <xf numFmtId="0" fontId="41" fillId="13" borderId="339" applyNumberFormat="0" applyAlignment="0" applyProtection="0"/>
    <xf numFmtId="0" fontId="41" fillId="13" borderId="339" applyNumberFormat="0" applyAlignment="0" applyProtection="0"/>
    <xf numFmtId="0" fontId="41" fillId="13" borderId="339" applyNumberFormat="0" applyAlignment="0" applyProtection="0"/>
    <xf numFmtId="0" fontId="25" fillId="13" borderId="339" applyNumberFormat="0" applyAlignment="0" applyProtection="0"/>
    <xf numFmtId="0" fontId="25" fillId="13" borderId="339" applyNumberFormat="0" applyAlignment="0" applyProtection="0"/>
    <xf numFmtId="0" fontId="25" fillId="13" borderId="339" applyNumberFormat="0" applyAlignment="0" applyProtection="0"/>
    <xf numFmtId="0" fontId="25" fillId="13" borderId="339" applyNumberFormat="0" applyAlignment="0" applyProtection="0"/>
    <xf numFmtId="0" fontId="25" fillId="13" borderId="339" applyNumberFormat="0" applyAlignment="0" applyProtection="0"/>
    <xf numFmtId="0" fontId="25" fillId="13" borderId="339" applyNumberFormat="0" applyAlignment="0" applyProtection="0"/>
    <xf numFmtId="0" fontId="25" fillId="13" borderId="339" applyNumberFormat="0" applyAlignment="0" applyProtection="0"/>
    <xf numFmtId="0" fontId="25" fillId="13" borderId="339" applyNumberFormat="0" applyAlignment="0" applyProtection="0"/>
    <xf numFmtId="0" fontId="25" fillId="13" borderId="339" applyNumberFormat="0" applyAlignment="0" applyProtection="0"/>
    <xf numFmtId="0" fontId="25" fillId="13" borderId="339" applyNumberFormat="0" applyAlignment="0" applyProtection="0"/>
    <xf numFmtId="0" fontId="25" fillId="13" borderId="339" applyNumberFormat="0" applyAlignment="0" applyProtection="0"/>
    <xf numFmtId="0" fontId="25" fillId="13" borderId="339" applyNumberFormat="0" applyAlignment="0" applyProtection="0"/>
    <xf numFmtId="0" fontId="25" fillId="13" borderId="339" applyNumberFormat="0" applyAlignment="0" applyProtection="0"/>
    <xf numFmtId="0" fontId="25" fillId="13" borderId="339" applyNumberFormat="0" applyAlignment="0" applyProtection="0"/>
    <xf numFmtId="0" fontId="25" fillId="13" borderId="339" applyNumberFormat="0" applyAlignment="0" applyProtection="0"/>
    <xf numFmtId="0" fontId="25" fillId="13" borderId="339" applyNumberFormat="0" applyAlignment="0" applyProtection="0"/>
    <xf numFmtId="0" fontId="25" fillId="13" borderId="339" applyNumberFormat="0" applyAlignment="0" applyProtection="0"/>
    <xf numFmtId="0" fontId="25" fillId="13" borderId="339" applyNumberFormat="0" applyAlignment="0" applyProtection="0"/>
    <xf numFmtId="0" fontId="25" fillId="13" borderId="339" applyNumberFormat="0" applyAlignment="0" applyProtection="0"/>
    <xf numFmtId="0" fontId="25" fillId="13" borderId="339" applyNumberFormat="0" applyAlignment="0" applyProtection="0"/>
    <xf numFmtId="0" fontId="25" fillId="13" borderId="339" applyNumberFormat="0" applyAlignment="0" applyProtection="0"/>
    <xf numFmtId="0" fontId="25" fillId="13" borderId="339" applyNumberFormat="0" applyAlignment="0" applyProtection="0"/>
    <xf numFmtId="0" fontId="25" fillId="13" borderId="339" applyNumberFormat="0" applyAlignment="0" applyProtection="0"/>
    <xf numFmtId="0" fontId="25" fillId="13" borderId="339" applyNumberFormat="0" applyAlignment="0" applyProtection="0"/>
    <xf numFmtId="0" fontId="25" fillId="13" borderId="339" applyNumberFormat="0" applyAlignment="0" applyProtection="0"/>
    <xf numFmtId="0" fontId="25" fillId="13" borderId="339" applyNumberFormat="0" applyAlignment="0" applyProtection="0"/>
    <xf numFmtId="0" fontId="25" fillId="13" borderId="339" applyNumberFormat="0" applyAlignment="0" applyProtection="0"/>
    <xf numFmtId="0" fontId="25" fillId="13" borderId="339" applyNumberFormat="0" applyAlignment="0" applyProtection="0"/>
    <xf numFmtId="0" fontId="25" fillId="13" borderId="339" applyNumberFormat="0" applyAlignment="0" applyProtection="0"/>
    <xf numFmtId="0" fontId="25" fillId="13" borderId="339" applyNumberFormat="0" applyAlignment="0" applyProtection="0"/>
    <xf numFmtId="0" fontId="25" fillId="13" borderId="339" applyNumberFormat="0" applyAlignment="0" applyProtection="0"/>
    <xf numFmtId="0" fontId="25" fillId="13" borderId="339" applyNumberFormat="0" applyAlignment="0" applyProtection="0"/>
    <xf numFmtId="0" fontId="25" fillId="13" borderId="339" applyNumberFormat="0" applyAlignment="0" applyProtection="0"/>
    <xf numFmtId="0" fontId="25" fillId="13" borderId="339" applyNumberFormat="0" applyAlignment="0" applyProtection="0"/>
    <xf numFmtId="0" fontId="25" fillId="13" borderId="339" applyNumberFormat="0" applyAlignment="0" applyProtection="0"/>
    <xf numFmtId="0" fontId="25" fillId="13" borderId="339" applyNumberFormat="0" applyAlignment="0" applyProtection="0"/>
    <xf numFmtId="0" fontId="25" fillId="13" borderId="339" applyNumberFormat="0" applyAlignment="0" applyProtection="0"/>
    <xf numFmtId="0" fontId="25" fillId="13" borderId="339" applyNumberFormat="0" applyAlignment="0" applyProtection="0"/>
    <xf numFmtId="0" fontId="25" fillId="13" borderId="339" applyNumberFormat="0" applyAlignment="0" applyProtection="0"/>
    <xf numFmtId="0" fontId="25" fillId="13" borderId="339" applyNumberFormat="0" applyAlignment="0" applyProtection="0"/>
    <xf numFmtId="0" fontId="25" fillId="13" borderId="339" applyNumberFormat="0" applyAlignment="0" applyProtection="0"/>
    <xf numFmtId="0" fontId="25" fillId="13" borderId="339" applyNumberFormat="0" applyAlignment="0" applyProtection="0"/>
    <xf numFmtId="0" fontId="25" fillId="13" borderId="339" applyNumberFormat="0" applyAlignment="0" applyProtection="0"/>
    <xf numFmtId="0" fontId="25" fillId="13" borderId="339" applyNumberFormat="0" applyAlignment="0" applyProtection="0"/>
    <xf numFmtId="0" fontId="25" fillId="13" borderId="339" applyNumberFormat="0" applyAlignment="0" applyProtection="0"/>
    <xf numFmtId="0" fontId="25" fillId="13" borderId="339" applyNumberFormat="0" applyAlignment="0" applyProtection="0"/>
    <xf numFmtId="0" fontId="25" fillId="13" borderId="339" applyNumberFormat="0" applyAlignment="0" applyProtection="0"/>
    <xf numFmtId="0" fontId="25" fillId="13" borderId="339" applyNumberFormat="0" applyAlignment="0" applyProtection="0"/>
    <xf numFmtId="0" fontId="25" fillId="13" borderId="339" applyNumberFormat="0" applyAlignment="0" applyProtection="0"/>
    <xf numFmtId="0" fontId="25" fillId="8" borderId="339" applyNumberFormat="0" applyAlignment="0" applyProtection="0"/>
    <xf numFmtId="0" fontId="25" fillId="8" borderId="339" applyNumberFormat="0" applyAlignment="0" applyProtection="0"/>
    <xf numFmtId="0" fontId="25" fillId="8" borderId="339" applyNumberFormat="0" applyAlignment="0" applyProtection="0"/>
    <xf numFmtId="0" fontId="25" fillId="8" borderId="339" applyNumberFormat="0" applyAlignment="0" applyProtection="0"/>
    <xf numFmtId="0" fontId="25" fillId="8" borderId="339" applyNumberFormat="0" applyAlignment="0" applyProtection="0"/>
    <xf numFmtId="0" fontId="25" fillId="8" borderId="339" applyNumberFormat="0" applyAlignment="0" applyProtection="0"/>
    <xf numFmtId="0" fontId="25" fillId="8" borderId="339" applyNumberFormat="0" applyAlignment="0" applyProtection="0"/>
    <xf numFmtId="0" fontId="25" fillId="8" borderId="339" applyNumberFormat="0" applyAlignment="0" applyProtection="0"/>
    <xf numFmtId="0" fontId="25" fillId="8" borderId="339" applyNumberFormat="0" applyAlignment="0" applyProtection="0"/>
    <xf numFmtId="0" fontId="25" fillId="8" borderId="339" applyNumberFormat="0" applyAlignment="0" applyProtection="0"/>
    <xf numFmtId="0" fontId="25" fillId="8" borderId="339" applyNumberFormat="0" applyAlignment="0" applyProtection="0"/>
    <xf numFmtId="0" fontId="25" fillId="8" borderId="339" applyNumberFormat="0" applyAlignment="0" applyProtection="0"/>
    <xf numFmtId="0" fontId="25" fillId="8" borderId="339" applyNumberFormat="0" applyAlignment="0" applyProtection="0"/>
    <xf numFmtId="0" fontId="25" fillId="8" borderId="339" applyNumberFormat="0" applyAlignment="0" applyProtection="0"/>
    <xf numFmtId="0" fontId="25" fillId="8" borderId="339" applyNumberFormat="0" applyAlignment="0" applyProtection="0"/>
    <xf numFmtId="0" fontId="25" fillId="8" borderId="339" applyNumberFormat="0" applyAlignment="0" applyProtection="0"/>
    <xf numFmtId="0" fontId="25" fillId="8" borderId="339" applyNumberFormat="0" applyAlignment="0" applyProtection="0"/>
    <xf numFmtId="0" fontId="25" fillId="8" borderId="339" applyNumberFormat="0" applyAlignment="0" applyProtection="0"/>
    <xf numFmtId="0" fontId="25" fillId="8" borderId="339" applyNumberFormat="0" applyAlignment="0" applyProtection="0"/>
    <xf numFmtId="0" fontId="25" fillId="8" borderId="339" applyNumberFormat="0" applyAlignment="0" applyProtection="0"/>
    <xf numFmtId="0" fontId="25" fillId="8" borderId="339" applyNumberFormat="0" applyAlignment="0" applyProtection="0"/>
    <xf numFmtId="0" fontId="25" fillId="8" borderId="339" applyNumberFormat="0" applyAlignment="0" applyProtection="0"/>
    <xf numFmtId="0" fontId="25" fillId="8" borderId="339" applyNumberFormat="0" applyAlignment="0" applyProtection="0"/>
    <xf numFmtId="0" fontId="25" fillId="8" borderId="339" applyNumberFormat="0" applyAlignment="0" applyProtection="0"/>
    <xf numFmtId="0" fontId="25" fillId="8" borderId="339" applyNumberFormat="0" applyAlignment="0" applyProtection="0"/>
    <xf numFmtId="0" fontId="25" fillId="8" borderId="339" applyNumberFormat="0" applyAlignment="0" applyProtection="0"/>
    <xf numFmtId="0" fontId="25" fillId="8" borderId="339" applyNumberFormat="0" applyAlignment="0" applyProtection="0"/>
    <xf numFmtId="0" fontId="25" fillId="8" borderId="339" applyNumberFormat="0" applyAlignment="0" applyProtection="0"/>
    <xf numFmtId="0" fontId="25" fillId="8" borderId="339" applyNumberFormat="0" applyAlignment="0" applyProtection="0"/>
    <xf numFmtId="0" fontId="25" fillId="8" borderId="339" applyNumberFormat="0" applyAlignment="0" applyProtection="0"/>
    <xf numFmtId="0" fontId="25" fillId="8" borderId="339" applyNumberFormat="0" applyAlignment="0" applyProtection="0"/>
    <xf numFmtId="0" fontId="25" fillId="8" borderId="339" applyNumberFormat="0" applyAlignment="0" applyProtection="0"/>
    <xf numFmtId="0" fontId="25" fillId="8" borderId="339" applyNumberFormat="0" applyAlignment="0" applyProtection="0"/>
    <xf numFmtId="0" fontId="25" fillId="8" borderId="339" applyNumberFormat="0" applyAlignment="0" applyProtection="0"/>
    <xf numFmtId="0" fontId="25" fillId="8" borderId="339" applyNumberFormat="0" applyAlignment="0" applyProtection="0"/>
    <xf numFmtId="0" fontId="25" fillId="8" borderId="339" applyNumberFormat="0" applyAlignment="0" applyProtection="0"/>
    <xf numFmtId="0" fontId="25" fillId="8" borderId="339" applyNumberFormat="0" applyAlignment="0" applyProtection="0"/>
    <xf numFmtId="0" fontId="25" fillId="8" borderId="339" applyNumberFormat="0" applyAlignment="0" applyProtection="0"/>
    <xf numFmtId="0" fontId="25" fillId="8" borderId="339" applyNumberFormat="0" applyAlignment="0" applyProtection="0"/>
    <xf numFmtId="0" fontId="25" fillId="8" borderId="339" applyNumberFormat="0" applyAlignment="0" applyProtection="0"/>
    <xf numFmtId="0" fontId="25" fillId="8" borderId="339" applyNumberFormat="0" applyAlignment="0" applyProtection="0"/>
    <xf numFmtId="0" fontId="25" fillId="8" borderId="339" applyNumberFormat="0" applyAlignment="0" applyProtection="0"/>
    <xf numFmtId="0" fontId="25" fillId="8" borderId="339" applyNumberFormat="0" applyAlignment="0" applyProtection="0"/>
    <xf numFmtId="0" fontId="25" fillId="8" borderId="339" applyNumberFormat="0" applyAlignment="0" applyProtection="0"/>
    <xf numFmtId="0" fontId="25" fillId="8" borderId="339" applyNumberFormat="0" applyAlignment="0" applyProtection="0"/>
    <xf numFmtId="0" fontId="25" fillId="8" borderId="339" applyNumberFormat="0" applyAlignment="0" applyProtection="0"/>
    <xf numFmtId="0" fontId="25" fillId="8" borderId="339" applyNumberFormat="0" applyAlignment="0" applyProtection="0"/>
    <xf numFmtId="0" fontId="25" fillId="8" borderId="339" applyNumberFormat="0" applyAlignment="0" applyProtection="0"/>
    <xf numFmtId="0" fontId="25" fillId="8" borderId="339" applyNumberFormat="0" applyAlignment="0" applyProtection="0"/>
    <xf numFmtId="0" fontId="25" fillId="8" borderId="339" applyNumberFormat="0" applyAlignment="0" applyProtection="0"/>
    <xf numFmtId="0" fontId="25" fillId="8" borderId="339" applyNumberFormat="0" applyAlignment="0" applyProtection="0"/>
    <xf numFmtId="0" fontId="25" fillId="8" borderId="339" applyNumberFormat="0" applyAlignment="0" applyProtection="0"/>
    <xf numFmtId="0" fontId="25" fillId="8" borderId="339" applyNumberFormat="0" applyAlignment="0" applyProtection="0"/>
    <xf numFmtId="0" fontId="25" fillId="8" borderId="339" applyNumberFormat="0" applyAlignment="0" applyProtection="0"/>
    <xf numFmtId="0" fontId="25" fillId="8" borderId="339" applyNumberFormat="0" applyAlignment="0" applyProtection="0"/>
    <xf numFmtId="0" fontId="25" fillId="8" borderId="339" applyNumberFormat="0" applyAlignment="0" applyProtection="0"/>
    <xf numFmtId="0" fontId="25" fillId="8" borderId="339" applyNumberFormat="0" applyAlignment="0" applyProtection="0"/>
    <xf numFmtId="0" fontId="25" fillId="8" borderId="339" applyNumberFormat="0" applyAlignment="0" applyProtection="0"/>
    <xf numFmtId="0" fontId="25" fillId="8" borderId="339" applyNumberFormat="0" applyAlignment="0" applyProtection="0"/>
    <xf numFmtId="0" fontId="25" fillId="8" borderId="339" applyNumberFormat="0" applyAlignment="0" applyProtection="0"/>
    <xf numFmtId="0" fontId="25" fillId="8" borderId="339" applyNumberFormat="0" applyAlignment="0" applyProtection="0"/>
    <xf numFmtId="0" fontId="25" fillId="8" borderId="339" applyNumberFormat="0" applyAlignment="0" applyProtection="0"/>
    <xf numFmtId="0" fontId="25" fillId="8" borderId="339" applyNumberFormat="0" applyAlignment="0" applyProtection="0"/>
    <xf numFmtId="0" fontId="25" fillId="8" borderId="339" applyNumberFormat="0" applyAlignment="0" applyProtection="0"/>
    <xf numFmtId="0" fontId="25" fillId="8" borderId="339" applyNumberFormat="0" applyAlignment="0" applyProtection="0"/>
    <xf numFmtId="0" fontId="25" fillId="8" borderId="339" applyNumberFormat="0" applyAlignment="0" applyProtection="0"/>
    <xf numFmtId="0" fontId="25" fillId="8" borderId="339" applyNumberFormat="0" applyAlignment="0" applyProtection="0"/>
    <xf numFmtId="0" fontId="25" fillId="8" borderId="339" applyNumberFormat="0" applyAlignment="0" applyProtection="0"/>
    <xf numFmtId="0" fontId="25" fillId="8" borderId="339" applyNumberFormat="0" applyAlignment="0" applyProtection="0"/>
    <xf numFmtId="0" fontId="25" fillId="8" borderId="339" applyNumberFormat="0" applyAlignment="0" applyProtection="0"/>
    <xf numFmtId="0" fontId="25" fillId="8" borderId="339" applyNumberFormat="0" applyAlignment="0" applyProtection="0"/>
    <xf numFmtId="0" fontId="25" fillId="8" borderId="339" applyNumberFormat="0" applyAlignment="0" applyProtection="0"/>
    <xf numFmtId="0" fontId="25" fillId="8" borderId="339" applyNumberFormat="0" applyAlignment="0" applyProtection="0"/>
    <xf numFmtId="0" fontId="25" fillId="8" borderId="339" applyNumberFormat="0" applyAlignment="0" applyProtection="0"/>
    <xf numFmtId="0" fontId="25" fillId="8" borderId="339" applyNumberFormat="0" applyAlignment="0" applyProtection="0"/>
    <xf numFmtId="0" fontId="25" fillId="8" borderId="339" applyNumberFormat="0" applyAlignment="0" applyProtection="0"/>
    <xf numFmtId="0" fontId="25" fillId="8" borderId="339" applyNumberFormat="0" applyAlignment="0" applyProtection="0"/>
    <xf numFmtId="0" fontId="84" fillId="73" borderId="343"/>
    <xf numFmtId="0" fontId="84" fillId="73" borderId="343"/>
    <xf numFmtId="0" fontId="84" fillId="73" borderId="343"/>
    <xf numFmtId="0" fontId="84" fillId="73" borderId="343"/>
    <xf numFmtId="0" fontId="84" fillId="73" borderId="343"/>
    <xf numFmtId="0" fontId="84" fillId="73" borderId="343"/>
    <xf numFmtId="0" fontId="84" fillId="73" borderId="343"/>
    <xf numFmtId="0" fontId="84" fillId="73" borderId="343"/>
    <xf numFmtId="0" fontId="84" fillId="73" borderId="343"/>
    <xf numFmtId="0" fontId="84" fillId="73" borderId="343"/>
    <xf numFmtId="0" fontId="84" fillId="73" borderId="343"/>
    <xf numFmtId="0" fontId="84" fillId="73" borderId="343"/>
    <xf numFmtId="0" fontId="84" fillId="73" borderId="343"/>
    <xf numFmtId="0" fontId="84" fillId="73" borderId="343"/>
    <xf numFmtId="0" fontId="84" fillId="73" borderId="343"/>
    <xf numFmtId="0" fontId="84" fillId="73" borderId="343"/>
    <xf numFmtId="0" fontId="84" fillId="73" borderId="343"/>
    <xf numFmtId="0" fontId="84" fillId="73" borderId="343"/>
    <xf numFmtId="0" fontId="84" fillId="73" borderId="343"/>
    <xf numFmtId="0" fontId="84" fillId="73" borderId="343"/>
    <xf numFmtId="0" fontId="84" fillId="73" borderId="343"/>
    <xf numFmtId="0" fontId="84" fillId="73" borderId="343"/>
    <xf numFmtId="0" fontId="84" fillId="73" borderId="343"/>
    <xf numFmtId="0" fontId="84" fillId="73" borderId="343"/>
    <xf numFmtId="0" fontId="84" fillId="73" borderId="343"/>
    <xf numFmtId="0" fontId="84" fillId="73" borderId="343"/>
    <xf numFmtId="0" fontId="84" fillId="73" borderId="343"/>
    <xf numFmtId="0" fontId="84" fillId="73" borderId="343"/>
    <xf numFmtId="0" fontId="84" fillId="73" borderId="343"/>
    <xf numFmtId="0" fontId="84" fillId="73" borderId="343"/>
    <xf numFmtId="0" fontId="84" fillId="73" borderId="343"/>
    <xf numFmtId="0" fontId="84" fillId="73" borderId="343"/>
    <xf numFmtId="0" fontId="84" fillId="73" borderId="343"/>
    <xf numFmtId="0" fontId="84" fillId="73" borderId="343"/>
    <xf numFmtId="0" fontId="84" fillId="73" borderId="343"/>
    <xf numFmtId="0" fontId="84" fillId="73" borderId="343"/>
    <xf numFmtId="0" fontId="84" fillId="73" borderId="343"/>
    <xf numFmtId="0" fontId="84" fillId="73" borderId="343"/>
    <xf numFmtId="0" fontId="84" fillId="73" borderId="343"/>
    <xf numFmtId="0" fontId="84" fillId="73" borderId="343"/>
    <xf numFmtId="0" fontId="84" fillId="73" borderId="343"/>
    <xf numFmtId="0" fontId="84" fillId="73" borderId="343"/>
    <xf numFmtId="0" fontId="84" fillId="73" borderId="343"/>
    <xf numFmtId="0" fontId="84" fillId="73" borderId="343"/>
    <xf numFmtId="0" fontId="84" fillId="73" borderId="343"/>
    <xf numFmtId="0" fontId="49" fillId="10" borderId="347" applyNumberFormat="0" applyFont="0" applyAlignment="0" applyProtection="0"/>
    <xf numFmtId="0" fontId="48" fillId="12" borderId="346" applyNumberFormat="0" applyAlignment="0" applyProtection="0"/>
    <xf numFmtId="0" fontId="25" fillId="8" borderId="346" applyNumberFormat="0" applyAlignment="0" applyProtection="0"/>
    <xf numFmtId="0" fontId="31" fillId="0" borderId="344" applyNumberFormat="0" applyFill="0" applyAlignment="0" applyProtection="0"/>
    <xf numFmtId="0" fontId="31" fillId="0" borderId="349" applyNumberFormat="0" applyFill="0" applyAlignment="0" applyProtection="0"/>
    <xf numFmtId="0" fontId="24" fillId="24" borderId="348" applyNumberFormat="0" applyAlignment="0" applyProtection="0"/>
    <xf numFmtId="0" fontId="8" fillId="10" borderId="347" applyNumberFormat="0" applyFont="0" applyAlignment="0" applyProtection="0"/>
    <xf numFmtId="0" fontId="41" fillId="13" borderId="346" applyNumberFormat="0" applyAlignment="0" applyProtection="0"/>
    <xf numFmtId="0" fontId="48" fillId="12" borderId="346" applyNumberFormat="0" applyAlignment="0" applyProtection="0"/>
    <xf numFmtId="0" fontId="48" fillId="24" borderId="346" applyNumberFormat="0" applyAlignment="0" applyProtection="0"/>
    <xf numFmtId="0" fontId="31" fillId="0" borderId="344" applyNumberFormat="0" applyFill="0" applyAlignment="0" applyProtection="0"/>
    <xf numFmtId="0" fontId="48" fillId="24" borderId="346" applyNumberFormat="0" applyAlignment="0" applyProtection="0"/>
    <xf numFmtId="0" fontId="49" fillId="10" borderId="347" applyNumberFormat="0" applyFont="0" applyAlignment="0" applyProtection="0"/>
    <xf numFmtId="0" fontId="29" fillId="12" borderId="345" applyNumberFormat="0" applyAlignment="0" applyProtection="0"/>
    <xf numFmtId="0" fontId="8" fillId="10" borderId="347" applyNumberFormat="0" applyFont="0" applyAlignment="0" applyProtection="0"/>
    <xf numFmtId="0" fontId="8" fillId="10" borderId="340" applyNumberFormat="0" applyFont="0" applyAlignment="0" applyProtection="0"/>
    <xf numFmtId="0" fontId="49" fillId="10" borderId="340" applyNumberFormat="0" applyFont="0" applyAlignment="0" applyProtection="0"/>
    <xf numFmtId="0" fontId="31" fillId="0" borderId="342" applyNumberFormat="0" applyFill="0" applyAlignment="0" applyProtection="0"/>
    <xf numFmtId="0" fontId="31" fillId="0" borderId="344" applyNumberFormat="0" applyFill="0" applyAlignment="0" applyProtection="0"/>
    <xf numFmtId="0" fontId="31" fillId="0" borderId="349" applyNumberFormat="0" applyFill="0" applyAlignment="0" applyProtection="0"/>
    <xf numFmtId="0" fontId="31" fillId="0" borderId="344" applyNumberFormat="0" applyFill="0" applyAlignment="0" applyProtection="0"/>
    <xf numFmtId="0" fontId="72" fillId="0" borderId="353" applyBorder="0">
      <alignment horizontal="center" vertical="center" wrapText="1"/>
    </xf>
    <xf numFmtId="0" fontId="72" fillId="0" borderId="353" applyBorder="0">
      <alignment horizontal="center" vertical="center" wrapText="1"/>
    </xf>
    <xf numFmtId="0" fontId="72" fillId="0" borderId="353" applyBorder="0">
      <alignment horizontal="center" vertical="center" wrapText="1"/>
    </xf>
    <xf numFmtId="0" fontId="72" fillId="0" borderId="353" applyBorder="0">
      <alignment horizontal="center" vertical="center" wrapText="1"/>
    </xf>
    <xf numFmtId="0" fontId="72" fillId="0" borderId="353" applyBorder="0">
      <alignment horizontal="center" vertical="center" wrapText="1"/>
    </xf>
    <xf numFmtId="0" fontId="72" fillId="0" borderId="353" applyBorder="0">
      <alignment horizontal="center" vertical="center" wrapText="1"/>
    </xf>
    <xf numFmtId="0" fontId="72" fillId="0" borderId="353" applyBorder="0">
      <alignment horizontal="center" vertical="center" wrapText="1"/>
    </xf>
    <xf numFmtId="0" fontId="72" fillId="0" borderId="353" applyBorder="0">
      <alignment horizontal="center" vertical="center" wrapText="1"/>
    </xf>
    <xf numFmtId="0" fontId="72" fillId="0" borderId="353" applyBorder="0">
      <alignment horizontal="center" vertical="center" wrapText="1"/>
    </xf>
    <xf numFmtId="0" fontId="72" fillId="0" borderId="353" applyBorder="0">
      <alignment horizontal="center" vertical="center" wrapText="1"/>
    </xf>
    <xf numFmtId="0" fontId="72" fillId="0" borderId="353" applyBorder="0">
      <alignment horizontal="center" vertical="center" wrapText="1"/>
    </xf>
    <xf numFmtId="0" fontId="72" fillId="0" borderId="353" applyBorder="0">
      <alignment horizontal="center" vertical="center" wrapText="1"/>
    </xf>
    <xf numFmtId="0" fontId="72" fillId="0" borderId="353" applyBorder="0">
      <alignment horizontal="center" vertical="center" wrapText="1"/>
    </xf>
    <xf numFmtId="0" fontId="72" fillId="0" borderId="353" applyBorder="0">
      <alignment horizontal="center" vertical="center" wrapText="1"/>
    </xf>
    <xf numFmtId="0" fontId="72" fillId="0" borderId="353" applyBorder="0">
      <alignment horizontal="center" vertical="center" wrapText="1"/>
    </xf>
    <xf numFmtId="0" fontId="72" fillId="0" borderId="353" applyBorder="0">
      <alignment horizontal="center" vertical="center" wrapText="1"/>
    </xf>
    <xf numFmtId="0" fontId="72" fillId="0" borderId="353" applyBorder="0">
      <alignment horizontal="center" vertical="center" wrapText="1"/>
    </xf>
    <xf numFmtId="0" fontId="72" fillId="0" borderId="353" applyBorder="0">
      <alignment horizontal="center" vertical="center" wrapText="1"/>
    </xf>
    <xf numFmtId="0" fontId="72" fillId="0" borderId="353" applyBorder="0">
      <alignment horizontal="center" vertical="center" wrapText="1"/>
    </xf>
    <xf numFmtId="0" fontId="72" fillId="0" borderId="353" applyBorder="0">
      <alignment horizontal="center" vertical="center" wrapText="1"/>
    </xf>
    <xf numFmtId="0" fontId="72" fillId="0" borderId="353" applyBorder="0">
      <alignment horizontal="center" vertical="center" wrapText="1"/>
    </xf>
    <xf numFmtId="0" fontId="72" fillId="0" borderId="353" applyBorder="0">
      <alignment horizontal="center" vertical="center" wrapText="1"/>
    </xf>
    <xf numFmtId="0" fontId="72" fillId="0" borderId="353" applyBorder="0">
      <alignment horizontal="center" vertical="center" wrapText="1"/>
    </xf>
    <xf numFmtId="0" fontId="72" fillId="0" borderId="353" applyBorder="0">
      <alignment horizontal="center" vertical="center" wrapText="1"/>
    </xf>
    <xf numFmtId="0" fontId="72" fillId="0" borderId="353" applyBorder="0">
      <alignment horizontal="center" vertical="center" wrapText="1"/>
    </xf>
    <xf numFmtId="0" fontId="72" fillId="0" borderId="353" applyBorder="0">
      <alignment horizontal="center" vertical="center" wrapText="1"/>
    </xf>
    <xf numFmtId="0" fontId="72" fillId="0" borderId="353" applyBorder="0">
      <alignment horizontal="center" vertical="center" wrapText="1"/>
    </xf>
    <xf numFmtId="0" fontId="72" fillId="0" borderId="353" applyBorder="0">
      <alignment horizontal="center" vertical="center" wrapText="1"/>
    </xf>
    <xf numFmtId="0" fontId="72" fillId="0" borderId="353" applyBorder="0">
      <alignment horizontal="center" vertical="center" wrapText="1"/>
    </xf>
    <xf numFmtId="0" fontId="72" fillId="0" borderId="353" applyBorder="0">
      <alignment horizontal="center" vertical="center" wrapText="1"/>
    </xf>
    <xf numFmtId="0" fontId="48" fillId="24" borderId="355" applyNumberFormat="0" applyAlignment="0" applyProtection="0"/>
    <xf numFmtId="0" fontId="48" fillId="24" borderId="355" applyNumberFormat="0" applyAlignment="0" applyProtection="0"/>
    <xf numFmtId="0" fontId="48" fillId="24" borderId="355" applyNumberFormat="0" applyAlignment="0" applyProtection="0"/>
    <xf numFmtId="0" fontId="48" fillId="24" borderId="355" applyNumberFormat="0" applyAlignment="0" applyProtection="0"/>
    <xf numFmtId="0" fontId="48" fillId="24" borderId="355" applyNumberFormat="0" applyAlignment="0" applyProtection="0"/>
    <xf numFmtId="0" fontId="48" fillId="24" borderId="355" applyNumberFormat="0" applyAlignment="0" applyProtection="0"/>
    <xf numFmtId="0" fontId="48" fillId="24" borderId="355" applyNumberFormat="0" applyAlignment="0" applyProtection="0"/>
    <xf numFmtId="0" fontId="48" fillId="24" borderId="355" applyNumberFormat="0" applyAlignment="0" applyProtection="0"/>
    <xf numFmtId="0" fontId="48" fillId="24" borderId="355" applyNumberFormat="0" applyAlignment="0" applyProtection="0"/>
    <xf numFmtId="0" fontId="48" fillId="24" borderId="355" applyNumberFormat="0" applyAlignment="0" applyProtection="0"/>
    <xf numFmtId="0" fontId="48" fillId="24" borderId="355" applyNumberFormat="0" applyAlignment="0" applyProtection="0"/>
    <xf numFmtId="0" fontId="48" fillId="24" borderId="355" applyNumberFormat="0" applyAlignment="0" applyProtection="0"/>
    <xf numFmtId="0" fontId="48" fillId="24" borderId="355" applyNumberFormat="0" applyAlignment="0" applyProtection="0"/>
    <xf numFmtId="0" fontId="48" fillId="24" borderId="355" applyNumberFormat="0" applyAlignment="0" applyProtection="0"/>
    <xf numFmtId="0" fontId="48" fillId="24" borderId="355" applyNumberFormat="0" applyAlignment="0" applyProtection="0"/>
    <xf numFmtId="0" fontId="48" fillId="24" borderId="355" applyNumberFormat="0" applyAlignment="0" applyProtection="0"/>
    <xf numFmtId="0" fontId="48" fillId="24" borderId="355" applyNumberFormat="0" applyAlignment="0" applyProtection="0"/>
    <xf numFmtId="0" fontId="48" fillId="24" borderId="355" applyNumberFormat="0" applyAlignment="0" applyProtection="0"/>
    <xf numFmtId="0" fontId="48" fillId="24" borderId="355" applyNumberFormat="0" applyAlignment="0" applyProtection="0"/>
    <xf numFmtId="0" fontId="48" fillId="24" borderId="355" applyNumberFormat="0" applyAlignment="0" applyProtection="0"/>
    <xf numFmtId="0" fontId="48" fillId="24" borderId="355" applyNumberFormat="0" applyAlignment="0" applyProtection="0"/>
    <xf numFmtId="0" fontId="48" fillId="24" borderId="355" applyNumberFormat="0" applyAlignment="0" applyProtection="0"/>
    <xf numFmtId="0" fontId="48" fillId="24" borderId="355" applyNumberFormat="0" applyAlignment="0" applyProtection="0"/>
    <xf numFmtId="0" fontId="48" fillId="24" borderId="355" applyNumberFormat="0" applyAlignment="0" applyProtection="0"/>
    <xf numFmtId="0" fontId="48" fillId="24" borderId="355" applyNumberFormat="0" applyAlignment="0" applyProtection="0"/>
    <xf numFmtId="0" fontId="48" fillId="24" borderId="355" applyNumberFormat="0" applyAlignment="0" applyProtection="0"/>
    <xf numFmtId="0" fontId="48" fillId="24" borderId="355" applyNumberFormat="0" applyAlignment="0" applyProtection="0"/>
    <xf numFmtId="0" fontId="48" fillId="24" borderId="355" applyNumberFormat="0" applyAlignment="0" applyProtection="0"/>
    <xf numFmtId="0" fontId="48" fillId="24" borderId="355" applyNumberFormat="0" applyAlignment="0" applyProtection="0"/>
    <xf numFmtId="0" fontId="48" fillId="24" borderId="355" applyNumberFormat="0" applyAlignment="0" applyProtection="0"/>
    <xf numFmtId="0" fontId="48" fillId="24" borderId="355" applyNumberFormat="0" applyAlignment="0" applyProtection="0"/>
    <xf numFmtId="0" fontId="48" fillId="24" borderId="355" applyNumberFormat="0" applyAlignment="0" applyProtection="0"/>
    <xf numFmtId="0" fontId="48" fillId="24" borderId="355" applyNumberFormat="0" applyAlignment="0" applyProtection="0"/>
    <xf numFmtId="0" fontId="48" fillId="24" borderId="355" applyNumberFormat="0" applyAlignment="0" applyProtection="0"/>
    <xf numFmtId="0" fontId="48" fillId="24" borderId="355" applyNumberFormat="0" applyAlignment="0" applyProtection="0"/>
    <xf numFmtId="0" fontId="48" fillId="24" borderId="355" applyNumberFormat="0" applyAlignment="0" applyProtection="0"/>
    <xf numFmtId="0" fontId="48" fillId="24" borderId="355" applyNumberFormat="0" applyAlignment="0" applyProtection="0"/>
    <xf numFmtId="0" fontId="48" fillId="24" borderId="355" applyNumberFormat="0" applyAlignment="0" applyProtection="0"/>
    <xf numFmtId="0" fontId="48" fillId="24" borderId="355" applyNumberFormat="0" applyAlignment="0" applyProtection="0"/>
    <xf numFmtId="0" fontId="48" fillId="24" borderId="355" applyNumberFormat="0" applyAlignment="0" applyProtection="0"/>
    <xf numFmtId="0" fontId="48" fillId="24" borderId="355" applyNumberFormat="0" applyAlignment="0" applyProtection="0"/>
    <xf numFmtId="0" fontId="48" fillId="24" borderId="355" applyNumberFormat="0" applyAlignment="0" applyProtection="0"/>
    <xf numFmtId="0" fontId="48" fillId="24" borderId="355" applyNumberFormat="0" applyAlignment="0" applyProtection="0"/>
    <xf numFmtId="0" fontId="48" fillId="24" borderId="355" applyNumberFormat="0" applyAlignment="0" applyProtection="0"/>
    <xf numFmtId="0" fontId="48" fillId="24" borderId="355" applyNumberFormat="0" applyAlignment="0" applyProtection="0"/>
    <xf numFmtId="0" fontId="48" fillId="24" borderId="355" applyNumberFormat="0" applyAlignment="0" applyProtection="0"/>
    <xf numFmtId="0" fontId="48" fillId="24" borderId="355" applyNumberFormat="0" applyAlignment="0" applyProtection="0"/>
    <xf numFmtId="0" fontId="48" fillId="24" borderId="355" applyNumberFormat="0" applyAlignment="0" applyProtection="0"/>
    <xf numFmtId="0" fontId="48" fillId="24" borderId="355" applyNumberFormat="0" applyAlignment="0" applyProtection="0"/>
    <xf numFmtId="0" fontId="48" fillId="24" borderId="355" applyNumberFormat="0" applyAlignment="0" applyProtection="0"/>
    <xf numFmtId="0" fontId="48" fillId="24" borderId="355" applyNumberFormat="0" applyAlignment="0" applyProtection="0"/>
    <xf numFmtId="0" fontId="48" fillId="24" borderId="355" applyNumberFormat="0" applyAlignment="0" applyProtection="0"/>
    <xf numFmtId="0" fontId="48" fillId="24" borderId="355" applyNumberFormat="0" applyAlignment="0" applyProtection="0"/>
    <xf numFmtId="0" fontId="48" fillId="24" borderId="355" applyNumberFormat="0" applyAlignment="0" applyProtection="0"/>
    <xf numFmtId="0" fontId="48" fillId="24" borderId="355" applyNumberFormat="0" applyAlignment="0" applyProtection="0"/>
    <xf numFmtId="0" fontId="48" fillId="24" borderId="355" applyNumberFormat="0" applyAlignment="0" applyProtection="0"/>
    <xf numFmtId="0" fontId="48" fillId="24" borderId="355" applyNumberFormat="0" applyAlignment="0" applyProtection="0"/>
    <xf numFmtId="0" fontId="48" fillId="24" borderId="355" applyNumberFormat="0" applyAlignment="0" applyProtection="0"/>
    <xf numFmtId="0" fontId="48" fillId="24" borderId="355" applyNumberFormat="0" applyAlignment="0" applyProtection="0"/>
    <xf numFmtId="0" fontId="48" fillId="24" borderId="355" applyNumberFormat="0" applyAlignment="0" applyProtection="0"/>
    <xf numFmtId="0" fontId="48" fillId="24" borderId="355" applyNumberFormat="0" applyAlignment="0" applyProtection="0"/>
    <xf numFmtId="0" fontId="48" fillId="24" borderId="355" applyNumberFormat="0" applyAlignment="0" applyProtection="0"/>
    <xf numFmtId="0" fontId="48" fillId="24" borderId="355" applyNumberFormat="0" applyAlignment="0" applyProtection="0"/>
    <xf numFmtId="0" fontId="48" fillId="24" borderId="355" applyNumberFormat="0" applyAlignment="0" applyProtection="0"/>
    <xf numFmtId="0" fontId="48" fillId="24" borderId="355" applyNumberFormat="0" applyAlignment="0" applyProtection="0"/>
    <xf numFmtId="0" fontId="48" fillId="24" borderId="355" applyNumberFormat="0" applyAlignment="0" applyProtection="0"/>
    <xf numFmtId="0" fontId="48" fillId="24" borderId="355" applyNumberFormat="0" applyAlignment="0" applyProtection="0"/>
    <xf numFmtId="0" fontId="48" fillId="24" borderId="355" applyNumberFormat="0" applyAlignment="0" applyProtection="0"/>
    <xf numFmtId="0" fontId="48" fillId="24" borderId="355" applyNumberFormat="0" applyAlignment="0" applyProtection="0"/>
    <xf numFmtId="0" fontId="48" fillId="24" borderId="355" applyNumberFormat="0" applyAlignment="0" applyProtection="0"/>
    <xf numFmtId="0" fontId="48" fillId="24" borderId="355" applyNumberFormat="0" applyAlignment="0" applyProtection="0"/>
    <xf numFmtId="0" fontId="48" fillId="24" borderId="355" applyNumberFormat="0" applyAlignment="0" applyProtection="0"/>
    <xf numFmtId="0" fontId="48" fillId="24" borderId="355" applyNumberFormat="0" applyAlignment="0" applyProtection="0"/>
    <xf numFmtId="0" fontId="48" fillId="24" borderId="355" applyNumberFormat="0" applyAlignment="0" applyProtection="0"/>
    <xf numFmtId="0" fontId="48" fillId="24" borderId="355" applyNumberFormat="0" applyAlignment="0" applyProtection="0"/>
    <xf numFmtId="0" fontId="48" fillId="24" borderId="355" applyNumberFormat="0" applyAlignment="0" applyProtection="0"/>
    <xf numFmtId="0" fontId="48" fillId="24" borderId="355" applyNumberFormat="0" applyAlignment="0" applyProtection="0"/>
    <xf numFmtId="0" fontId="48" fillId="24" borderId="355" applyNumberFormat="0" applyAlignment="0" applyProtection="0"/>
    <xf numFmtId="0" fontId="32" fillId="24" borderId="355" applyNumberFormat="0" applyAlignment="0" applyProtection="0"/>
    <xf numFmtId="0" fontId="32" fillId="24" borderId="355" applyNumberFormat="0" applyAlignment="0" applyProtection="0"/>
    <xf numFmtId="0" fontId="32" fillId="24" borderId="355" applyNumberFormat="0" applyAlignment="0" applyProtection="0"/>
    <xf numFmtId="0" fontId="32" fillId="24" borderId="355" applyNumberFormat="0" applyAlignment="0" applyProtection="0"/>
    <xf numFmtId="0" fontId="32" fillId="24" borderId="355" applyNumberFormat="0" applyAlignment="0" applyProtection="0"/>
    <xf numFmtId="0" fontId="32" fillId="24" borderId="355" applyNumberFormat="0" applyAlignment="0" applyProtection="0"/>
    <xf numFmtId="0" fontId="32" fillId="24" borderId="355" applyNumberFormat="0" applyAlignment="0" applyProtection="0"/>
    <xf numFmtId="0" fontId="32" fillId="24" borderId="355" applyNumberFormat="0" applyAlignment="0" applyProtection="0"/>
    <xf numFmtId="0" fontId="32" fillId="24" borderId="355" applyNumberFormat="0" applyAlignment="0" applyProtection="0"/>
    <xf numFmtId="0" fontId="32" fillId="24" borderId="355" applyNumberFormat="0" applyAlignment="0" applyProtection="0"/>
    <xf numFmtId="0" fontId="32" fillId="24" borderId="355" applyNumberFormat="0" applyAlignment="0" applyProtection="0"/>
    <xf numFmtId="0" fontId="32" fillId="24" borderId="355" applyNumberFormat="0" applyAlignment="0" applyProtection="0"/>
    <xf numFmtId="0" fontId="32" fillId="24" borderId="355" applyNumberFormat="0" applyAlignment="0" applyProtection="0"/>
    <xf numFmtId="0" fontId="32" fillId="24" borderId="355" applyNumberFormat="0" applyAlignment="0" applyProtection="0"/>
    <xf numFmtId="0" fontId="32" fillId="24" borderId="355" applyNumberFormat="0" applyAlignment="0" applyProtection="0"/>
    <xf numFmtId="0" fontId="32" fillId="24" borderId="355" applyNumberFormat="0" applyAlignment="0" applyProtection="0"/>
    <xf numFmtId="0" fontId="32" fillId="24" borderId="355" applyNumberFormat="0" applyAlignment="0" applyProtection="0"/>
    <xf numFmtId="0" fontId="32" fillId="24" borderId="355" applyNumberFormat="0" applyAlignment="0" applyProtection="0"/>
    <xf numFmtId="0" fontId="32" fillId="24" borderId="355" applyNumberFormat="0" applyAlignment="0" applyProtection="0"/>
    <xf numFmtId="0" fontId="32" fillId="24" borderId="355" applyNumberFormat="0" applyAlignment="0" applyProtection="0"/>
    <xf numFmtId="0" fontId="32" fillId="24" borderId="355" applyNumberFormat="0" applyAlignment="0" applyProtection="0"/>
    <xf numFmtId="0" fontId="32" fillId="24" borderId="355" applyNumberFormat="0" applyAlignment="0" applyProtection="0"/>
    <xf numFmtId="0" fontId="32" fillId="24" borderId="355" applyNumberFormat="0" applyAlignment="0" applyProtection="0"/>
    <xf numFmtId="0" fontId="32" fillId="24" borderId="355" applyNumberFormat="0" applyAlignment="0" applyProtection="0"/>
    <xf numFmtId="0" fontId="32" fillId="24" borderId="355" applyNumberFormat="0" applyAlignment="0" applyProtection="0"/>
    <xf numFmtId="0" fontId="32" fillId="24" borderId="355" applyNumberFormat="0" applyAlignment="0" applyProtection="0"/>
    <xf numFmtId="0" fontId="32" fillId="24" borderId="355" applyNumberFormat="0" applyAlignment="0" applyProtection="0"/>
    <xf numFmtId="0" fontId="32" fillId="24" borderId="355" applyNumberFormat="0" applyAlignment="0" applyProtection="0"/>
    <xf numFmtId="0" fontId="32" fillId="24" borderId="355" applyNumberFormat="0" applyAlignment="0" applyProtection="0"/>
    <xf numFmtId="0" fontId="32" fillId="24" borderId="355" applyNumberFormat="0" applyAlignment="0" applyProtection="0"/>
    <xf numFmtId="0" fontId="32" fillId="24" borderId="355" applyNumberFormat="0" applyAlignment="0" applyProtection="0"/>
    <xf numFmtId="0" fontId="32" fillId="24" borderId="355" applyNumberFormat="0" applyAlignment="0" applyProtection="0"/>
    <xf numFmtId="0" fontId="32" fillId="24" borderId="355" applyNumberFormat="0" applyAlignment="0" applyProtection="0"/>
    <xf numFmtId="0" fontId="32" fillId="24" borderId="355" applyNumberFormat="0" applyAlignment="0" applyProtection="0"/>
    <xf numFmtId="0" fontId="32" fillId="24" borderId="355" applyNumberFormat="0" applyAlignment="0" applyProtection="0"/>
    <xf numFmtId="0" fontId="32" fillId="24" borderId="355" applyNumberFormat="0" applyAlignment="0" applyProtection="0"/>
    <xf numFmtId="0" fontId="32" fillId="24" borderId="355" applyNumberFormat="0" applyAlignment="0" applyProtection="0"/>
    <xf numFmtId="0" fontId="32" fillId="24" borderId="355" applyNumberFormat="0" applyAlignment="0" applyProtection="0"/>
    <xf numFmtId="0" fontId="32" fillId="24" borderId="355" applyNumberFormat="0" applyAlignment="0" applyProtection="0"/>
    <xf numFmtId="0" fontId="32" fillId="24" borderId="355" applyNumberFormat="0" applyAlignment="0" applyProtection="0"/>
    <xf numFmtId="0" fontId="32" fillId="24" borderId="355" applyNumberFormat="0" applyAlignment="0" applyProtection="0"/>
    <xf numFmtId="0" fontId="32" fillId="24" borderId="355" applyNumberFormat="0" applyAlignment="0" applyProtection="0"/>
    <xf numFmtId="0" fontId="32" fillId="24" borderId="355" applyNumberFormat="0" applyAlignment="0" applyProtection="0"/>
    <xf numFmtId="0" fontId="32" fillId="24" borderId="355" applyNumberFormat="0" applyAlignment="0" applyProtection="0"/>
    <xf numFmtId="0" fontId="32" fillId="24" borderId="355" applyNumberFormat="0" applyAlignment="0" applyProtection="0"/>
    <xf numFmtId="0" fontId="32" fillId="24" borderId="355" applyNumberFormat="0" applyAlignment="0" applyProtection="0"/>
    <xf numFmtId="0" fontId="32" fillId="24" borderId="355" applyNumberFormat="0" applyAlignment="0" applyProtection="0"/>
    <xf numFmtId="0" fontId="32" fillId="24" borderId="355" applyNumberFormat="0" applyAlignment="0" applyProtection="0"/>
    <xf numFmtId="0" fontId="32" fillId="24" borderId="355" applyNumberFormat="0" applyAlignment="0" applyProtection="0"/>
    <xf numFmtId="0" fontId="16" fillId="24" borderId="355" applyNumberFormat="0" applyAlignment="0" applyProtection="0"/>
    <xf numFmtId="0" fontId="16" fillId="24" borderId="355" applyNumberFormat="0" applyAlignment="0" applyProtection="0"/>
    <xf numFmtId="0" fontId="16" fillId="24" borderId="355" applyNumberFormat="0" applyAlignment="0" applyProtection="0"/>
    <xf numFmtId="0" fontId="16" fillId="24" borderId="355" applyNumberFormat="0" applyAlignment="0" applyProtection="0"/>
    <xf numFmtId="0" fontId="16" fillId="24" borderId="355" applyNumberFormat="0" applyAlignment="0" applyProtection="0"/>
    <xf numFmtId="0" fontId="16" fillId="24" borderId="355" applyNumberFormat="0" applyAlignment="0" applyProtection="0"/>
    <xf numFmtId="0" fontId="16" fillId="24" borderId="355" applyNumberFormat="0" applyAlignment="0" applyProtection="0"/>
    <xf numFmtId="0" fontId="16" fillId="24" borderId="355" applyNumberFormat="0" applyAlignment="0" applyProtection="0"/>
    <xf numFmtId="0" fontId="16" fillId="24" borderId="355" applyNumberFormat="0" applyAlignment="0" applyProtection="0"/>
    <xf numFmtId="0" fontId="16" fillId="24" borderId="355" applyNumberFormat="0" applyAlignment="0" applyProtection="0"/>
    <xf numFmtId="0" fontId="16" fillId="24" borderId="355" applyNumberFormat="0" applyAlignment="0" applyProtection="0"/>
    <xf numFmtId="0" fontId="16" fillId="24" borderId="355" applyNumberFormat="0" applyAlignment="0" applyProtection="0"/>
    <xf numFmtId="0" fontId="16" fillId="24" borderId="355" applyNumberFormat="0" applyAlignment="0" applyProtection="0"/>
    <xf numFmtId="0" fontId="16" fillId="24" borderId="355" applyNumberFormat="0" applyAlignment="0" applyProtection="0"/>
    <xf numFmtId="0" fontId="16" fillId="24" borderId="355" applyNumberFormat="0" applyAlignment="0" applyProtection="0"/>
    <xf numFmtId="0" fontId="16" fillId="24" borderId="355" applyNumberFormat="0" applyAlignment="0" applyProtection="0"/>
    <xf numFmtId="0" fontId="16" fillId="24" borderId="355" applyNumberFormat="0" applyAlignment="0" applyProtection="0"/>
    <xf numFmtId="0" fontId="16" fillId="24" borderId="355" applyNumberFormat="0" applyAlignment="0" applyProtection="0"/>
    <xf numFmtId="0" fontId="16" fillId="24" borderId="355" applyNumberFormat="0" applyAlignment="0" applyProtection="0"/>
    <xf numFmtId="0" fontId="16" fillId="24" borderId="355" applyNumberFormat="0" applyAlignment="0" applyProtection="0"/>
    <xf numFmtId="0" fontId="16" fillId="24" borderId="355" applyNumberFormat="0" applyAlignment="0" applyProtection="0"/>
    <xf numFmtId="0" fontId="16" fillId="24" borderId="355" applyNumberFormat="0" applyAlignment="0" applyProtection="0"/>
    <xf numFmtId="0" fontId="16" fillId="24" borderId="355" applyNumberFormat="0" applyAlignment="0" applyProtection="0"/>
    <xf numFmtId="0" fontId="16" fillId="24" borderId="355" applyNumberFormat="0" applyAlignment="0" applyProtection="0"/>
    <xf numFmtId="0" fontId="16" fillId="24" borderId="355" applyNumberFormat="0" applyAlignment="0" applyProtection="0"/>
    <xf numFmtId="0" fontId="16" fillId="24" borderId="355" applyNumberFormat="0" applyAlignment="0" applyProtection="0"/>
    <xf numFmtId="0" fontId="16" fillId="24" borderId="355" applyNumberFormat="0" applyAlignment="0" applyProtection="0"/>
    <xf numFmtId="0" fontId="16" fillId="24" borderId="355" applyNumberFormat="0" applyAlignment="0" applyProtection="0"/>
    <xf numFmtId="0" fontId="16" fillId="24" borderId="355" applyNumberFormat="0" applyAlignment="0" applyProtection="0"/>
    <xf numFmtId="0" fontId="16" fillId="24" borderId="355" applyNumberFormat="0" applyAlignment="0" applyProtection="0"/>
    <xf numFmtId="0" fontId="16" fillId="24" borderId="355" applyNumberFormat="0" applyAlignment="0" applyProtection="0"/>
    <xf numFmtId="0" fontId="16" fillId="24" borderId="355" applyNumberFormat="0" applyAlignment="0" applyProtection="0"/>
    <xf numFmtId="0" fontId="16" fillId="24" borderId="355" applyNumberFormat="0" applyAlignment="0" applyProtection="0"/>
    <xf numFmtId="0" fontId="16" fillId="24" borderId="355" applyNumberFormat="0" applyAlignment="0" applyProtection="0"/>
    <xf numFmtId="0" fontId="16" fillId="24" borderId="355" applyNumberFormat="0" applyAlignment="0" applyProtection="0"/>
    <xf numFmtId="0" fontId="16" fillId="24" borderId="355" applyNumberFormat="0" applyAlignment="0" applyProtection="0"/>
    <xf numFmtId="0" fontId="16" fillId="24" borderId="355" applyNumberFormat="0" applyAlignment="0" applyProtection="0"/>
    <xf numFmtId="0" fontId="16" fillId="24" borderId="355" applyNumberFormat="0" applyAlignment="0" applyProtection="0"/>
    <xf numFmtId="0" fontId="16" fillId="24" borderId="355" applyNumberFormat="0" applyAlignment="0" applyProtection="0"/>
    <xf numFmtId="0" fontId="16" fillId="24" borderId="355" applyNumberFormat="0" applyAlignment="0" applyProtection="0"/>
    <xf numFmtId="0" fontId="16" fillId="24" borderId="355" applyNumberFormat="0" applyAlignment="0" applyProtection="0"/>
    <xf numFmtId="0" fontId="16" fillId="24" borderId="355" applyNumberFormat="0" applyAlignment="0" applyProtection="0"/>
    <xf numFmtId="0" fontId="16" fillId="24" borderId="355" applyNumberFormat="0" applyAlignment="0" applyProtection="0"/>
    <xf numFmtId="0" fontId="16" fillId="24" borderId="355" applyNumberFormat="0" applyAlignment="0" applyProtection="0"/>
    <xf numFmtId="0" fontId="16" fillId="24" borderId="355" applyNumberFormat="0" applyAlignment="0" applyProtection="0"/>
    <xf numFmtId="0" fontId="16" fillId="24" borderId="355" applyNumberFormat="0" applyAlignment="0" applyProtection="0"/>
    <xf numFmtId="0" fontId="16" fillId="24" borderId="355" applyNumberFormat="0" applyAlignment="0" applyProtection="0"/>
    <xf numFmtId="0" fontId="16" fillId="24" borderId="355" applyNumberFormat="0" applyAlignment="0" applyProtection="0"/>
    <xf numFmtId="0" fontId="16" fillId="24" borderId="355" applyNumberFormat="0" applyAlignment="0" applyProtection="0"/>
    <xf numFmtId="0" fontId="48" fillId="24" borderId="355" applyNumberFormat="0" applyAlignment="0" applyProtection="0"/>
    <xf numFmtId="0" fontId="48" fillId="24" borderId="355" applyNumberFormat="0" applyAlignment="0" applyProtection="0"/>
    <xf numFmtId="0" fontId="48" fillId="24" borderId="355" applyNumberFormat="0" applyAlignment="0" applyProtection="0"/>
    <xf numFmtId="0" fontId="48" fillId="24" borderId="355" applyNumberFormat="0" applyAlignment="0" applyProtection="0"/>
    <xf numFmtId="0" fontId="48" fillId="24" borderId="355" applyNumberFormat="0" applyAlignment="0" applyProtection="0"/>
    <xf numFmtId="0" fontId="48" fillId="24" borderId="355" applyNumberFormat="0" applyAlignment="0" applyProtection="0"/>
    <xf numFmtId="0" fontId="48" fillId="24" borderId="355" applyNumberFormat="0" applyAlignment="0" applyProtection="0"/>
    <xf numFmtId="0" fontId="48" fillId="24" borderId="355" applyNumberFormat="0" applyAlignment="0" applyProtection="0"/>
    <xf numFmtId="0" fontId="48" fillId="24" borderId="355" applyNumberFormat="0" applyAlignment="0" applyProtection="0"/>
    <xf numFmtId="0" fontId="48" fillId="24" borderId="355" applyNumberFormat="0" applyAlignment="0" applyProtection="0"/>
    <xf numFmtId="0" fontId="48" fillId="24" borderId="355" applyNumberFormat="0" applyAlignment="0" applyProtection="0"/>
    <xf numFmtId="0" fontId="48" fillId="24" borderId="355" applyNumberFormat="0" applyAlignment="0" applyProtection="0"/>
    <xf numFmtId="0" fontId="48" fillId="24" borderId="355" applyNumberFormat="0" applyAlignment="0" applyProtection="0"/>
    <xf numFmtId="0" fontId="48" fillId="24" borderId="355" applyNumberFormat="0" applyAlignment="0" applyProtection="0"/>
    <xf numFmtId="0" fontId="48" fillId="24" borderId="355" applyNumberFormat="0" applyAlignment="0" applyProtection="0"/>
    <xf numFmtId="0" fontId="48" fillId="24" borderId="355" applyNumberFormat="0" applyAlignment="0" applyProtection="0"/>
    <xf numFmtId="0" fontId="48" fillId="24" borderId="355" applyNumberFormat="0" applyAlignment="0" applyProtection="0"/>
    <xf numFmtId="0" fontId="48" fillId="24" borderId="355" applyNumberFormat="0" applyAlignment="0" applyProtection="0"/>
    <xf numFmtId="0" fontId="48" fillId="24" borderId="355" applyNumberFormat="0" applyAlignment="0" applyProtection="0"/>
    <xf numFmtId="0" fontId="48" fillId="24" borderId="355" applyNumberFormat="0" applyAlignment="0" applyProtection="0"/>
    <xf numFmtId="0" fontId="48" fillId="24" borderId="355" applyNumberFormat="0" applyAlignment="0" applyProtection="0"/>
    <xf numFmtId="0" fontId="48" fillId="24" borderId="355" applyNumberFormat="0" applyAlignment="0" applyProtection="0"/>
    <xf numFmtId="0" fontId="48" fillId="24" borderId="355" applyNumberFormat="0" applyAlignment="0" applyProtection="0"/>
    <xf numFmtId="0" fontId="48" fillId="24" borderId="355" applyNumberFormat="0" applyAlignment="0" applyProtection="0"/>
    <xf numFmtId="0" fontId="48" fillId="24" borderId="355" applyNumberFormat="0" applyAlignment="0" applyProtection="0"/>
    <xf numFmtId="0" fontId="48" fillId="24" borderId="355" applyNumberFormat="0" applyAlignment="0" applyProtection="0"/>
    <xf numFmtId="0" fontId="48" fillId="24" borderId="355" applyNumberFormat="0" applyAlignment="0" applyProtection="0"/>
    <xf numFmtId="0" fontId="48" fillId="24" borderId="355" applyNumberFormat="0" applyAlignment="0" applyProtection="0"/>
    <xf numFmtId="0" fontId="48" fillId="24" borderId="355" applyNumberFormat="0" applyAlignment="0" applyProtection="0"/>
    <xf numFmtId="0" fontId="48" fillId="24" borderId="355" applyNumberFormat="0" applyAlignment="0" applyProtection="0"/>
    <xf numFmtId="0" fontId="48" fillId="24" borderId="355" applyNumberFormat="0" applyAlignment="0" applyProtection="0"/>
    <xf numFmtId="0" fontId="48" fillId="24" borderId="355" applyNumberFormat="0" applyAlignment="0" applyProtection="0"/>
    <xf numFmtId="0" fontId="48" fillId="24" borderId="355" applyNumberFormat="0" applyAlignment="0" applyProtection="0"/>
    <xf numFmtId="0" fontId="48" fillId="24" borderId="355" applyNumberFormat="0" applyAlignment="0" applyProtection="0"/>
    <xf numFmtId="0" fontId="48" fillId="24" borderId="355" applyNumberFormat="0" applyAlignment="0" applyProtection="0"/>
    <xf numFmtId="0" fontId="48" fillId="24" borderId="355" applyNumberFormat="0" applyAlignment="0" applyProtection="0"/>
    <xf numFmtId="0" fontId="48" fillId="24" borderId="355" applyNumberFormat="0" applyAlignment="0" applyProtection="0"/>
    <xf numFmtId="0" fontId="48" fillId="24" borderId="355" applyNumberFormat="0" applyAlignment="0" applyProtection="0"/>
    <xf numFmtId="0" fontId="48" fillId="24" borderId="355" applyNumberFormat="0" applyAlignment="0" applyProtection="0"/>
    <xf numFmtId="0" fontId="48" fillId="24" borderId="355" applyNumberFormat="0" applyAlignment="0" applyProtection="0"/>
    <xf numFmtId="0" fontId="48" fillId="24" borderId="355" applyNumberFormat="0" applyAlignment="0" applyProtection="0"/>
    <xf numFmtId="0" fontId="48" fillId="24" borderId="355" applyNumberFormat="0" applyAlignment="0" applyProtection="0"/>
    <xf numFmtId="0" fontId="48" fillId="24" borderId="355" applyNumberFormat="0" applyAlignment="0" applyProtection="0"/>
    <xf numFmtId="0" fontId="48" fillId="24" borderId="355" applyNumberFormat="0" applyAlignment="0" applyProtection="0"/>
    <xf numFmtId="0" fontId="48" fillId="24" borderId="355" applyNumberFormat="0" applyAlignment="0" applyProtection="0"/>
    <xf numFmtId="0" fontId="48" fillId="24" borderId="355" applyNumberFormat="0" applyAlignment="0" applyProtection="0"/>
    <xf numFmtId="0" fontId="48" fillId="24" borderId="355" applyNumberFormat="0" applyAlignment="0" applyProtection="0"/>
    <xf numFmtId="0" fontId="48" fillId="24" borderId="355" applyNumberFormat="0" applyAlignment="0" applyProtection="0"/>
    <xf numFmtId="0" fontId="48" fillId="12" borderId="355" applyNumberFormat="0" applyAlignment="0" applyProtection="0"/>
    <xf numFmtId="0" fontId="48" fillId="12" borderId="355" applyNumberFormat="0" applyAlignment="0" applyProtection="0"/>
    <xf numFmtId="0" fontId="48" fillId="12" borderId="355" applyNumberFormat="0" applyAlignment="0" applyProtection="0"/>
    <xf numFmtId="0" fontId="48" fillId="12" borderId="355" applyNumberFormat="0" applyAlignment="0" applyProtection="0"/>
    <xf numFmtId="0" fontId="48" fillId="12" borderId="355" applyNumberFormat="0" applyAlignment="0" applyProtection="0"/>
    <xf numFmtId="0" fontId="48" fillId="12" borderId="355" applyNumberFormat="0" applyAlignment="0" applyProtection="0"/>
    <xf numFmtId="0" fontId="48" fillId="12" borderId="355" applyNumberFormat="0" applyAlignment="0" applyProtection="0"/>
    <xf numFmtId="0" fontId="48" fillId="12" borderId="355" applyNumberFormat="0" applyAlignment="0" applyProtection="0"/>
    <xf numFmtId="0" fontId="48" fillId="12" borderId="355" applyNumberFormat="0" applyAlignment="0" applyProtection="0"/>
    <xf numFmtId="0" fontId="48" fillId="12" borderId="355" applyNumberFormat="0" applyAlignment="0" applyProtection="0"/>
    <xf numFmtId="0" fontId="48" fillId="12" borderId="355" applyNumberFormat="0" applyAlignment="0" applyProtection="0"/>
    <xf numFmtId="0" fontId="48" fillId="12" borderId="355" applyNumberFormat="0" applyAlignment="0" applyProtection="0"/>
    <xf numFmtId="0" fontId="48" fillId="12" borderId="355" applyNumberFormat="0" applyAlignment="0" applyProtection="0"/>
    <xf numFmtId="0" fontId="48" fillId="12" borderId="355" applyNumberFormat="0" applyAlignment="0" applyProtection="0"/>
    <xf numFmtId="0" fontId="48" fillId="12" borderId="355" applyNumberFormat="0" applyAlignment="0" applyProtection="0"/>
    <xf numFmtId="0" fontId="48" fillId="12" borderId="355" applyNumberFormat="0" applyAlignment="0" applyProtection="0"/>
    <xf numFmtId="0" fontId="48" fillId="12" borderId="355" applyNumberFormat="0" applyAlignment="0" applyProtection="0"/>
    <xf numFmtId="0" fontId="48" fillId="12" borderId="355" applyNumberFormat="0" applyAlignment="0" applyProtection="0"/>
    <xf numFmtId="0" fontId="48" fillId="12" borderId="355" applyNumberFormat="0" applyAlignment="0" applyProtection="0"/>
    <xf numFmtId="0" fontId="48" fillId="12" borderId="355" applyNumberFormat="0" applyAlignment="0" applyProtection="0"/>
    <xf numFmtId="0" fontId="48" fillId="12" borderId="355" applyNumberFormat="0" applyAlignment="0" applyProtection="0"/>
    <xf numFmtId="0" fontId="48" fillId="12" borderId="355" applyNumberFormat="0" applyAlignment="0" applyProtection="0"/>
    <xf numFmtId="0" fontId="48" fillId="12" borderId="355" applyNumberFormat="0" applyAlignment="0" applyProtection="0"/>
    <xf numFmtId="0" fontId="48" fillId="12" borderId="355" applyNumberFormat="0" applyAlignment="0" applyProtection="0"/>
    <xf numFmtId="0" fontId="48" fillId="12" borderId="355" applyNumberFormat="0" applyAlignment="0" applyProtection="0"/>
    <xf numFmtId="0" fontId="48" fillId="12" borderId="355" applyNumberFormat="0" applyAlignment="0" applyProtection="0"/>
    <xf numFmtId="0" fontId="48" fillId="12" borderId="355" applyNumberFormat="0" applyAlignment="0" applyProtection="0"/>
    <xf numFmtId="0" fontId="48" fillId="12" borderId="355" applyNumberFormat="0" applyAlignment="0" applyProtection="0"/>
    <xf numFmtId="0" fontId="48" fillId="12" borderId="355" applyNumberFormat="0" applyAlignment="0" applyProtection="0"/>
    <xf numFmtId="0" fontId="48" fillId="12" borderId="355" applyNumberFormat="0" applyAlignment="0" applyProtection="0"/>
    <xf numFmtId="0" fontId="48" fillId="12" borderId="355" applyNumberFormat="0" applyAlignment="0" applyProtection="0"/>
    <xf numFmtId="0" fontId="48" fillId="12" borderId="355" applyNumberFormat="0" applyAlignment="0" applyProtection="0"/>
    <xf numFmtId="0" fontId="48" fillId="12" borderId="355" applyNumberFormat="0" applyAlignment="0" applyProtection="0"/>
    <xf numFmtId="0" fontId="48" fillId="12" borderId="355" applyNumberFormat="0" applyAlignment="0" applyProtection="0"/>
    <xf numFmtId="0" fontId="48" fillId="12" borderId="355" applyNumberFormat="0" applyAlignment="0" applyProtection="0"/>
    <xf numFmtId="0" fontId="48" fillId="12" borderId="355" applyNumberFormat="0" applyAlignment="0" applyProtection="0"/>
    <xf numFmtId="0" fontId="48" fillId="12" borderId="355" applyNumberFormat="0" applyAlignment="0" applyProtection="0"/>
    <xf numFmtId="0" fontId="48" fillId="12" borderId="355" applyNumberFormat="0" applyAlignment="0" applyProtection="0"/>
    <xf numFmtId="0" fontId="48" fillId="12" borderId="355" applyNumberFormat="0" applyAlignment="0" applyProtection="0"/>
    <xf numFmtId="0" fontId="48" fillId="12" borderId="355" applyNumberFormat="0" applyAlignment="0" applyProtection="0"/>
    <xf numFmtId="0" fontId="48" fillId="12" borderId="355" applyNumberFormat="0" applyAlignment="0" applyProtection="0"/>
    <xf numFmtId="0" fontId="48" fillId="12" borderId="355" applyNumberFormat="0" applyAlignment="0" applyProtection="0"/>
    <xf numFmtId="0" fontId="48" fillId="12" borderId="355" applyNumberFormat="0" applyAlignment="0" applyProtection="0"/>
    <xf numFmtId="0" fontId="48" fillId="12" borderId="355" applyNumberFormat="0" applyAlignment="0" applyProtection="0"/>
    <xf numFmtId="0" fontId="48" fillId="12" borderId="355" applyNumberFormat="0" applyAlignment="0" applyProtection="0"/>
    <xf numFmtId="0" fontId="48" fillId="12" borderId="355" applyNumberFormat="0" applyAlignment="0" applyProtection="0"/>
    <xf numFmtId="0" fontId="48" fillId="12" borderId="355" applyNumberFormat="0" applyAlignment="0" applyProtection="0"/>
    <xf numFmtId="0" fontId="48" fillId="12" borderId="355" applyNumberFormat="0" applyAlignment="0" applyProtection="0"/>
    <xf numFmtId="0" fontId="48" fillId="12" borderId="355" applyNumberFormat="0" applyAlignment="0" applyProtection="0"/>
    <xf numFmtId="0" fontId="48" fillId="12" borderId="355" applyNumberFormat="0" applyAlignment="0" applyProtection="0"/>
    <xf numFmtId="0" fontId="48" fillId="12" borderId="355" applyNumberFormat="0" applyAlignment="0" applyProtection="0"/>
    <xf numFmtId="0" fontId="48" fillId="12" borderId="355" applyNumberFormat="0" applyAlignment="0" applyProtection="0"/>
    <xf numFmtId="0" fontId="48" fillId="12" borderId="355" applyNumberFormat="0" applyAlignment="0" applyProtection="0"/>
    <xf numFmtId="0" fontId="48" fillId="12" borderId="355" applyNumberFormat="0" applyAlignment="0" applyProtection="0"/>
    <xf numFmtId="0" fontId="48" fillId="12" borderId="355" applyNumberFormat="0" applyAlignment="0" applyProtection="0"/>
    <xf numFmtId="0" fontId="48" fillId="12" borderId="355" applyNumberFormat="0" applyAlignment="0" applyProtection="0"/>
    <xf numFmtId="0" fontId="48" fillId="12" borderId="355" applyNumberFormat="0" applyAlignment="0" applyProtection="0"/>
    <xf numFmtId="0" fontId="48" fillId="12" borderId="355" applyNumberFormat="0" applyAlignment="0" applyProtection="0"/>
    <xf numFmtId="0" fontId="48" fillId="12" borderId="355" applyNumberFormat="0" applyAlignment="0" applyProtection="0"/>
    <xf numFmtId="0" fontId="48" fillId="12" borderId="355" applyNumberFormat="0" applyAlignment="0" applyProtection="0"/>
    <xf numFmtId="0" fontId="48" fillId="12" borderId="355" applyNumberFormat="0" applyAlignment="0" applyProtection="0"/>
    <xf numFmtId="0" fontId="48" fillId="12" borderId="355" applyNumberFormat="0" applyAlignment="0" applyProtection="0"/>
    <xf numFmtId="0" fontId="48" fillId="12" borderId="355" applyNumberFormat="0" applyAlignment="0" applyProtection="0"/>
    <xf numFmtId="0" fontId="48" fillId="12" borderId="355" applyNumberFormat="0" applyAlignment="0" applyProtection="0"/>
    <xf numFmtId="0" fontId="48" fillId="12" borderId="355" applyNumberFormat="0" applyAlignment="0" applyProtection="0"/>
    <xf numFmtId="0" fontId="48" fillId="12" borderId="355" applyNumberFormat="0" applyAlignment="0" applyProtection="0"/>
    <xf numFmtId="0" fontId="48" fillId="12" borderId="355" applyNumberFormat="0" applyAlignment="0" applyProtection="0"/>
    <xf numFmtId="0" fontId="48" fillId="12" borderId="355" applyNumberFormat="0" applyAlignment="0" applyProtection="0"/>
    <xf numFmtId="0" fontId="48" fillId="12" borderId="355" applyNumberFormat="0" applyAlignment="0" applyProtection="0"/>
    <xf numFmtId="0" fontId="48" fillId="12" borderId="355" applyNumberFormat="0" applyAlignment="0" applyProtection="0"/>
    <xf numFmtId="0" fontId="48" fillId="12" borderId="355" applyNumberFormat="0" applyAlignment="0" applyProtection="0"/>
    <xf numFmtId="0" fontId="48" fillId="12" borderId="355" applyNumberFormat="0" applyAlignment="0" applyProtection="0"/>
    <xf numFmtId="0" fontId="48" fillId="12" borderId="355" applyNumberFormat="0" applyAlignment="0" applyProtection="0"/>
    <xf numFmtId="0" fontId="48" fillId="12" borderId="355" applyNumberFormat="0" applyAlignment="0" applyProtection="0"/>
    <xf numFmtId="0" fontId="48" fillId="12" borderId="355" applyNumberFormat="0" applyAlignment="0" applyProtection="0"/>
    <xf numFmtId="0" fontId="48" fillId="12" borderId="355" applyNumberFormat="0" applyAlignment="0" applyProtection="0"/>
    <xf numFmtId="0" fontId="48" fillId="12" borderId="355" applyNumberFormat="0" applyAlignment="0" applyProtection="0"/>
    <xf numFmtId="0" fontId="16" fillId="24" borderId="355" applyNumberFormat="0" applyAlignment="0" applyProtection="0"/>
    <xf numFmtId="0" fontId="16" fillId="24" borderId="355" applyNumberFormat="0" applyAlignment="0" applyProtection="0"/>
    <xf numFmtId="0" fontId="16" fillId="24" borderId="355" applyNumberFormat="0" applyAlignment="0" applyProtection="0"/>
    <xf numFmtId="0" fontId="16" fillId="24" borderId="355" applyNumberFormat="0" applyAlignment="0" applyProtection="0"/>
    <xf numFmtId="0" fontId="16" fillId="24" borderId="355" applyNumberFormat="0" applyAlignment="0" applyProtection="0"/>
    <xf numFmtId="0" fontId="16" fillId="24" borderId="355" applyNumberFormat="0" applyAlignment="0" applyProtection="0"/>
    <xf numFmtId="0" fontId="16" fillId="24" borderId="355" applyNumberFormat="0" applyAlignment="0" applyProtection="0"/>
    <xf numFmtId="0" fontId="16" fillId="24" borderId="355" applyNumberFormat="0" applyAlignment="0" applyProtection="0"/>
    <xf numFmtId="0" fontId="16" fillId="24" borderId="355" applyNumberFormat="0" applyAlignment="0" applyProtection="0"/>
    <xf numFmtId="0" fontId="16" fillId="24" borderId="355" applyNumberFormat="0" applyAlignment="0" applyProtection="0"/>
    <xf numFmtId="0" fontId="16" fillId="24" borderId="355" applyNumberFormat="0" applyAlignment="0" applyProtection="0"/>
    <xf numFmtId="0" fontId="16" fillId="24" borderId="355" applyNumberFormat="0" applyAlignment="0" applyProtection="0"/>
    <xf numFmtId="0" fontId="16" fillId="24" borderId="355" applyNumberFormat="0" applyAlignment="0" applyProtection="0"/>
    <xf numFmtId="0" fontId="16" fillId="24" borderId="355" applyNumberFormat="0" applyAlignment="0" applyProtection="0"/>
    <xf numFmtId="0" fontId="16" fillId="24" borderId="355" applyNumberFormat="0" applyAlignment="0" applyProtection="0"/>
    <xf numFmtId="0" fontId="16" fillId="24" borderId="355" applyNumberFormat="0" applyAlignment="0" applyProtection="0"/>
    <xf numFmtId="0" fontId="16" fillId="24" borderId="355" applyNumberFormat="0" applyAlignment="0" applyProtection="0"/>
    <xf numFmtId="0" fontId="16" fillId="24" borderId="355" applyNumberFormat="0" applyAlignment="0" applyProtection="0"/>
    <xf numFmtId="0" fontId="16" fillId="24" borderId="355" applyNumberFormat="0" applyAlignment="0" applyProtection="0"/>
    <xf numFmtId="0" fontId="16" fillId="24" borderId="355" applyNumberFormat="0" applyAlignment="0" applyProtection="0"/>
    <xf numFmtId="0" fontId="16" fillId="24" borderId="355" applyNumberFormat="0" applyAlignment="0" applyProtection="0"/>
    <xf numFmtId="0" fontId="16" fillId="24" borderId="355" applyNumberFormat="0" applyAlignment="0" applyProtection="0"/>
    <xf numFmtId="0" fontId="16" fillId="24" borderId="355" applyNumberFormat="0" applyAlignment="0" applyProtection="0"/>
    <xf numFmtId="0" fontId="16" fillId="24" borderId="355" applyNumberFormat="0" applyAlignment="0" applyProtection="0"/>
    <xf numFmtId="0" fontId="16" fillId="24" borderId="355" applyNumberFormat="0" applyAlignment="0" applyProtection="0"/>
    <xf numFmtId="0" fontId="16" fillId="24" borderId="355" applyNumberFormat="0" applyAlignment="0" applyProtection="0"/>
    <xf numFmtId="0" fontId="16" fillId="24" borderId="355" applyNumberFormat="0" applyAlignment="0" applyProtection="0"/>
    <xf numFmtId="0" fontId="16" fillId="24" borderId="355" applyNumberFormat="0" applyAlignment="0" applyProtection="0"/>
    <xf numFmtId="0" fontId="16" fillId="24" borderId="355" applyNumberFormat="0" applyAlignment="0" applyProtection="0"/>
    <xf numFmtId="0" fontId="16" fillId="24" borderId="355" applyNumberFormat="0" applyAlignment="0" applyProtection="0"/>
    <xf numFmtId="0" fontId="16" fillId="24" borderId="355" applyNumberFormat="0" applyAlignment="0" applyProtection="0"/>
    <xf numFmtId="0" fontId="16" fillId="24" borderId="355" applyNumberFormat="0" applyAlignment="0" applyProtection="0"/>
    <xf numFmtId="0" fontId="16" fillId="24" borderId="355" applyNumberFormat="0" applyAlignment="0" applyProtection="0"/>
    <xf numFmtId="0" fontId="16" fillId="24" borderId="355" applyNumberFormat="0" applyAlignment="0" applyProtection="0"/>
    <xf numFmtId="0" fontId="16" fillId="24" borderId="355" applyNumberFormat="0" applyAlignment="0" applyProtection="0"/>
    <xf numFmtId="0" fontId="16" fillId="24" borderId="355" applyNumberFormat="0" applyAlignment="0" applyProtection="0"/>
    <xf numFmtId="0" fontId="16" fillId="24" borderId="355" applyNumberFormat="0" applyAlignment="0" applyProtection="0"/>
    <xf numFmtId="0" fontId="16" fillId="24" borderId="355" applyNumberFormat="0" applyAlignment="0" applyProtection="0"/>
    <xf numFmtId="0" fontId="16" fillId="24" borderId="355" applyNumberFormat="0" applyAlignment="0" applyProtection="0"/>
    <xf numFmtId="0" fontId="16" fillId="24" borderId="355" applyNumberFormat="0" applyAlignment="0" applyProtection="0"/>
    <xf numFmtId="0" fontId="16" fillId="24" borderId="355" applyNumberFormat="0" applyAlignment="0" applyProtection="0"/>
    <xf numFmtId="0" fontId="16" fillId="24" borderId="355" applyNumberFormat="0" applyAlignment="0" applyProtection="0"/>
    <xf numFmtId="0" fontId="16" fillId="24" borderId="355" applyNumberFormat="0" applyAlignment="0" applyProtection="0"/>
    <xf numFmtId="0" fontId="16" fillId="24" borderId="355" applyNumberFormat="0" applyAlignment="0" applyProtection="0"/>
    <xf numFmtId="0" fontId="16" fillId="24" borderId="355" applyNumberFormat="0" applyAlignment="0" applyProtection="0"/>
    <xf numFmtId="0" fontId="16" fillId="24" borderId="355" applyNumberFormat="0" applyAlignment="0" applyProtection="0"/>
    <xf numFmtId="0" fontId="16" fillId="24" borderId="355" applyNumberFormat="0" applyAlignment="0" applyProtection="0"/>
    <xf numFmtId="0" fontId="16" fillId="24" borderId="355" applyNumberFormat="0" applyAlignment="0" applyProtection="0"/>
    <xf numFmtId="0" fontId="16" fillId="24" borderId="355" applyNumberFormat="0" applyAlignment="0" applyProtection="0"/>
    <xf numFmtId="0" fontId="48" fillId="12" borderId="355" applyNumberFormat="0" applyAlignment="0" applyProtection="0"/>
    <xf numFmtId="0" fontId="48" fillId="12" borderId="355" applyNumberFormat="0" applyAlignment="0" applyProtection="0"/>
    <xf numFmtId="0" fontId="48" fillId="12" borderId="355" applyNumberFormat="0" applyAlignment="0" applyProtection="0"/>
    <xf numFmtId="0" fontId="48" fillId="12" borderId="355" applyNumberFormat="0" applyAlignment="0" applyProtection="0"/>
    <xf numFmtId="0" fontId="48" fillId="12" borderId="355" applyNumberFormat="0" applyAlignment="0" applyProtection="0"/>
    <xf numFmtId="0" fontId="48" fillId="12" borderId="355" applyNumberFormat="0" applyAlignment="0" applyProtection="0"/>
    <xf numFmtId="0" fontId="48" fillId="12" borderId="355" applyNumberFormat="0" applyAlignment="0" applyProtection="0"/>
    <xf numFmtId="0" fontId="48" fillId="12" borderId="355" applyNumberFormat="0" applyAlignment="0" applyProtection="0"/>
    <xf numFmtId="0" fontId="48" fillId="12" borderId="355" applyNumberFormat="0" applyAlignment="0" applyProtection="0"/>
    <xf numFmtId="0" fontId="48" fillId="12" borderId="355" applyNumberFormat="0" applyAlignment="0" applyProtection="0"/>
    <xf numFmtId="0" fontId="48" fillId="12" borderId="355" applyNumberFormat="0" applyAlignment="0" applyProtection="0"/>
    <xf numFmtId="0" fontId="48" fillId="12" borderId="355" applyNumberFormat="0" applyAlignment="0" applyProtection="0"/>
    <xf numFmtId="0" fontId="48" fillId="12" borderId="355" applyNumberFormat="0" applyAlignment="0" applyProtection="0"/>
    <xf numFmtId="0" fontId="48" fillId="12" borderId="355" applyNumberFormat="0" applyAlignment="0" applyProtection="0"/>
    <xf numFmtId="0" fontId="48" fillId="12" borderId="355" applyNumberFormat="0" applyAlignment="0" applyProtection="0"/>
    <xf numFmtId="0" fontId="48" fillId="12" borderId="355" applyNumberFormat="0" applyAlignment="0" applyProtection="0"/>
    <xf numFmtId="0" fontId="48" fillId="12" borderId="355" applyNumberFormat="0" applyAlignment="0" applyProtection="0"/>
    <xf numFmtId="0" fontId="48" fillId="12" borderId="355" applyNumberFormat="0" applyAlignment="0" applyProtection="0"/>
    <xf numFmtId="0" fontId="48" fillId="12" borderId="355" applyNumberFormat="0" applyAlignment="0" applyProtection="0"/>
    <xf numFmtId="0" fontId="48" fillId="12" borderId="355" applyNumberFormat="0" applyAlignment="0" applyProtection="0"/>
    <xf numFmtId="0" fontId="48" fillId="12" borderId="355" applyNumberFormat="0" applyAlignment="0" applyProtection="0"/>
    <xf numFmtId="0" fontId="48" fillId="12" borderId="355" applyNumberFormat="0" applyAlignment="0" applyProtection="0"/>
    <xf numFmtId="0" fontId="48" fillId="12" borderId="355" applyNumberFormat="0" applyAlignment="0" applyProtection="0"/>
    <xf numFmtId="0" fontId="48" fillId="12" borderId="355" applyNumberFormat="0" applyAlignment="0" applyProtection="0"/>
    <xf numFmtId="0" fontId="48" fillId="12" borderId="355" applyNumberFormat="0" applyAlignment="0" applyProtection="0"/>
    <xf numFmtId="0" fontId="48" fillId="12" borderId="355" applyNumberFormat="0" applyAlignment="0" applyProtection="0"/>
    <xf numFmtId="0" fontId="48" fillId="12" borderId="355" applyNumberFormat="0" applyAlignment="0" applyProtection="0"/>
    <xf numFmtId="0" fontId="48" fillId="12" borderId="355" applyNumberFormat="0" applyAlignment="0" applyProtection="0"/>
    <xf numFmtId="0" fontId="48" fillId="12" borderId="355" applyNumberFormat="0" applyAlignment="0" applyProtection="0"/>
    <xf numFmtId="0" fontId="48" fillId="12" borderId="355" applyNumberFormat="0" applyAlignment="0" applyProtection="0"/>
    <xf numFmtId="0" fontId="48" fillId="12" borderId="355" applyNumberFormat="0" applyAlignment="0" applyProtection="0"/>
    <xf numFmtId="0" fontId="48" fillId="12" borderId="355" applyNumberFormat="0" applyAlignment="0" applyProtection="0"/>
    <xf numFmtId="0" fontId="48" fillId="12" borderId="355" applyNumberFormat="0" applyAlignment="0" applyProtection="0"/>
    <xf numFmtId="0" fontId="48" fillId="12" borderId="355" applyNumberFormat="0" applyAlignment="0" applyProtection="0"/>
    <xf numFmtId="0" fontId="48" fillId="12" borderId="355" applyNumberFormat="0" applyAlignment="0" applyProtection="0"/>
    <xf numFmtId="0" fontId="48" fillId="12" borderId="355" applyNumberFormat="0" applyAlignment="0" applyProtection="0"/>
    <xf numFmtId="0" fontId="48" fillId="12" borderId="355" applyNumberFormat="0" applyAlignment="0" applyProtection="0"/>
    <xf numFmtId="0" fontId="48" fillId="12" borderId="355" applyNumberFormat="0" applyAlignment="0" applyProtection="0"/>
    <xf numFmtId="0" fontId="48" fillId="12" borderId="355" applyNumberFormat="0" applyAlignment="0" applyProtection="0"/>
    <xf numFmtId="0" fontId="48" fillId="12" borderId="355" applyNumberFormat="0" applyAlignment="0" applyProtection="0"/>
    <xf numFmtId="0" fontId="48" fillId="12" borderId="355" applyNumberFormat="0" applyAlignment="0" applyProtection="0"/>
    <xf numFmtId="0" fontId="48" fillId="12" borderId="355" applyNumberFormat="0" applyAlignment="0" applyProtection="0"/>
    <xf numFmtId="0" fontId="48" fillId="12" borderId="355" applyNumberFormat="0" applyAlignment="0" applyProtection="0"/>
    <xf numFmtId="0" fontId="48" fillId="12" borderId="355" applyNumberFormat="0" applyAlignment="0" applyProtection="0"/>
    <xf numFmtId="0" fontId="48" fillId="12" borderId="355" applyNumberFormat="0" applyAlignment="0" applyProtection="0"/>
    <xf numFmtId="0" fontId="48" fillId="12" borderId="355" applyNumberFormat="0" applyAlignment="0" applyProtection="0"/>
    <xf numFmtId="0" fontId="48" fillId="12" borderId="355" applyNumberFormat="0" applyAlignment="0" applyProtection="0"/>
    <xf numFmtId="0" fontId="48" fillId="12" borderId="355" applyNumberFormat="0" applyAlignment="0" applyProtection="0"/>
    <xf numFmtId="0" fontId="48" fillId="12" borderId="355" applyNumberFormat="0" applyAlignment="0" applyProtection="0"/>
    <xf numFmtId="0" fontId="48" fillId="12" borderId="355" applyNumberFormat="0" applyAlignment="0" applyProtection="0"/>
    <xf numFmtId="0" fontId="48" fillId="12" borderId="355" applyNumberFormat="0" applyAlignment="0" applyProtection="0"/>
    <xf numFmtId="0" fontId="48" fillId="12" borderId="355" applyNumberFormat="0" applyAlignment="0" applyProtection="0"/>
    <xf numFmtId="0" fontId="48" fillId="12" borderId="355" applyNumberFormat="0" applyAlignment="0" applyProtection="0"/>
    <xf numFmtId="0" fontId="48" fillId="12" borderId="355" applyNumberFormat="0" applyAlignment="0" applyProtection="0"/>
    <xf numFmtId="0" fontId="48" fillId="12" borderId="355" applyNumberFormat="0" applyAlignment="0" applyProtection="0"/>
    <xf numFmtId="0" fontId="48" fillId="12" borderId="355" applyNumberFormat="0" applyAlignment="0" applyProtection="0"/>
    <xf numFmtId="0" fontId="48" fillId="12" borderId="355" applyNumberFormat="0" applyAlignment="0" applyProtection="0"/>
    <xf numFmtId="0" fontId="48" fillId="12" borderId="355" applyNumberFormat="0" applyAlignment="0" applyProtection="0"/>
    <xf numFmtId="0" fontId="48" fillId="12" borderId="355" applyNumberFormat="0" applyAlignment="0" applyProtection="0"/>
    <xf numFmtId="0" fontId="48" fillId="12" borderId="355" applyNumberFormat="0" applyAlignment="0" applyProtection="0"/>
    <xf numFmtId="0" fontId="48" fillId="12" borderId="355" applyNumberFormat="0" applyAlignment="0" applyProtection="0"/>
    <xf numFmtId="0" fontId="48" fillId="12" borderId="355" applyNumberFormat="0" applyAlignment="0" applyProtection="0"/>
    <xf numFmtId="0" fontId="48" fillId="12" borderId="355" applyNumberFormat="0" applyAlignment="0" applyProtection="0"/>
    <xf numFmtId="0" fontId="48" fillId="12" borderId="355" applyNumberFormat="0" applyAlignment="0" applyProtection="0"/>
    <xf numFmtId="0" fontId="48" fillId="12" borderId="355" applyNumberFormat="0" applyAlignment="0" applyProtection="0"/>
    <xf numFmtId="0" fontId="48" fillId="12" borderId="355" applyNumberFormat="0" applyAlignment="0" applyProtection="0"/>
    <xf numFmtId="0" fontId="48" fillId="12" borderId="355" applyNumberFormat="0" applyAlignment="0" applyProtection="0"/>
    <xf numFmtId="0" fontId="48" fillId="12" borderId="355" applyNumberFormat="0" applyAlignment="0" applyProtection="0"/>
    <xf numFmtId="0" fontId="48" fillId="12" borderId="355" applyNumberFormat="0" applyAlignment="0" applyProtection="0"/>
    <xf numFmtId="0" fontId="48" fillId="12" borderId="355" applyNumberFormat="0" applyAlignment="0" applyProtection="0"/>
    <xf numFmtId="0" fontId="48" fillId="12" borderId="355" applyNumberFormat="0" applyAlignment="0" applyProtection="0"/>
    <xf numFmtId="0" fontId="48" fillId="12" borderId="355" applyNumberFormat="0" applyAlignment="0" applyProtection="0"/>
    <xf numFmtId="0" fontId="48" fillId="12" borderId="355" applyNumberFormat="0" applyAlignment="0" applyProtection="0"/>
    <xf numFmtId="0" fontId="48" fillId="12" borderId="355" applyNumberFormat="0" applyAlignment="0" applyProtection="0"/>
    <xf numFmtId="0" fontId="48" fillId="12" borderId="355" applyNumberFormat="0" applyAlignment="0" applyProtection="0"/>
    <xf numFmtId="0" fontId="48" fillId="12" borderId="355" applyNumberFormat="0" applyAlignment="0" applyProtection="0"/>
    <xf numFmtId="0" fontId="48" fillId="12" borderId="355" applyNumberFormat="0" applyAlignment="0" applyProtection="0"/>
    <xf numFmtId="0" fontId="16" fillId="24" borderId="355" applyNumberFormat="0" applyAlignment="0" applyProtection="0"/>
    <xf numFmtId="0" fontId="16" fillId="24" borderId="355" applyNumberFormat="0" applyAlignment="0" applyProtection="0"/>
    <xf numFmtId="0" fontId="16" fillId="24" borderId="355" applyNumberFormat="0" applyAlignment="0" applyProtection="0"/>
    <xf numFmtId="0" fontId="16" fillId="24" borderId="355" applyNumberFormat="0" applyAlignment="0" applyProtection="0"/>
    <xf numFmtId="0" fontId="16" fillId="24" borderId="355" applyNumberFormat="0" applyAlignment="0" applyProtection="0"/>
    <xf numFmtId="0" fontId="16" fillId="24" borderId="355" applyNumberFormat="0" applyAlignment="0" applyProtection="0"/>
    <xf numFmtId="0" fontId="16" fillId="24" borderId="355" applyNumberFormat="0" applyAlignment="0" applyProtection="0"/>
    <xf numFmtId="0" fontId="16" fillId="24" borderId="355" applyNumberFormat="0" applyAlignment="0" applyProtection="0"/>
    <xf numFmtId="0" fontId="16" fillId="24" borderId="355" applyNumberFormat="0" applyAlignment="0" applyProtection="0"/>
    <xf numFmtId="0" fontId="16" fillId="24" borderId="355" applyNumberFormat="0" applyAlignment="0" applyProtection="0"/>
    <xf numFmtId="0" fontId="16" fillId="24" borderId="355" applyNumberFormat="0" applyAlignment="0" applyProtection="0"/>
    <xf numFmtId="0" fontId="16" fillId="24" borderId="355" applyNumberFormat="0" applyAlignment="0" applyProtection="0"/>
    <xf numFmtId="0" fontId="16" fillId="24" borderId="355" applyNumberFormat="0" applyAlignment="0" applyProtection="0"/>
    <xf numFmtId="0" fontId="16" fillId="24" borderId="355" applyNumberFormat="0" applyAlignment="0" applyProtection="0"/>
    <xf numFmtId="0" fontId="16" fillId="24" borderId="355" applyNumberFormat="0" applyAlignment="0" applyProtection="0"/>
    <xf numFmtId="0" fontId="16" fillId="24" borderId="355" applyNumberFormat="0" applyAlignment="0" applyProtection="0"/>
    <xf numFmtId="0" fontId="16" fillId="24" borderId="355" applyNumberFormat="0" applyAlignment="0" applyProtection="0"/>
    <xf numFmtId="0" fontId="16" fillId="24" borderId="355" applyNumberFormat="0" applyAlignment="0" applyProtection="0"/>
    <xf numFmtId="0" fontId="16" fillId="24" borderId="355" applyNumberFormat="0" applyAlignment="0" applyProtection="0"/>
    <xf numFmtId="0" fontId="16" fillId="24" borderId="355" applyNumberFormat="0" applyAlignment="0" applyProtection="0"/>
    <xf numFmtId="0" fontId="16" fillId="24" borderId="355" applyNumberFormat="0" applyAlignment="0" applyProtection="0"/>
    <xf numFmtId="0" fontId="16" fillId="24" borderId="355" applyNumberFormat="0" applyAlignment="0" applyProtection="0"/>
    <xf numFmtId="0" fontId="16" fillId="24" borderId="355" applyNumberFormat="0" applyAlignment="0" applyProtection="0"/>
    <xf numFmtId="0" fontId="16" fillId="24" borderId="355" applyNumberFormat="0" applyAlignment="0" applyProtection="0"/>
    <xf numFmtId="0" fontId="16" fillId="24" borderId="355" applyNumberFormat="0" applyAlignment="0" applyProtection="0"/>
    <xf numFmtId="0" fontId="16" fillId="24" borderId="355" applyNumberFormat="0" applyAlignment="0" applyProtection="0"/>
    <xf numFmtId="0" fontId="16" fillId="24" borderId="355" applyNumberFormat="0" applyAlignment="0" applyProtection="0"/>
    <xf numFmtId="0" fontId="16" fillId="24" borderId="355" applyNumberFormat="0" applyAlignment="0" applyProtection="0"/>
    <xf numFmtId="0" fontId="16" fillId="24" borderId="355" applyNumberFormat="0" applyAlignment="0" applyProtection="0"/>
    <xf numFmtId="0" fontId="16" fillId="24" borderId="355" applyNumberFormat="0" applyAlignment="0" applyProtection="0"/>
    <xf numFmtId="0" fontId="16" fillId="24" borderId="355" applyNumberFormat="0" applyAlignment="0" applyProtection="0"/>
    <xf numFmtId="0" fontId="16" fillId="24" borderId="355" applyNumberFormat="0" applyAlignment="0" applyProtection="0"/>
    <xf numFmtId="0" fontId="16" fillId="24" borderId="355" applyNumberFormat="0" applyAlignment="0" applyProtection="0"/>
    <xf numFmtId="0" fontId="16" fillId="24" borderId="355" applyNumberFormat="0" applyAlignment="0" applyProtection="0"/>
    <xf numFmtId="0" fontId="16" fillId="24" borderId="355" applyNumberFormat="0" applyAlignment="0" applyProtection="0"/>
    <xf numFmtId="0" fontId="16" fillId="24" borderId="355" applyNumberFormat="0" applyAlignment="0" applyProtection="0"/>
    <xf numFmtId="0" fontId="16" fillId="24" borderId="355" applyNumberFormat="0" applyAlignment="0" applyProtection="0"/>
    <xf numFmtId="0" fontId="16" fillId="24" borderId="355" applyNumberFormat="0" applyAlignment="0" applyProtection="0"/>
    <xf numFmtId="0" fontId="16" fillId="24" borderId="355" applyNumberFormat="0" applyAlignment="0" applyProtection="0"/>
    <xf numFmtId="0" fontId="16" fillId="24" borderId="355" applyNumberFormat="0" applyAlignment="0" applyProtection="0"/>
    <xf numFmtId="0" fontId="16" fillId="24" borderId="355" applyNumberFormat="0" applyAlignment="0" applyProtection="0"/>
    <xf numFmtId="0" fontId="16" fillId="24" borderId="355" applyNumberFormat="0" applyAlignment="0" applyProtection="0"/>
    <xf numFmtId="0" fontId="16" fillId="24" borderId="355" applyNumberFormat="0" applyAlignment="0" applyProtection="0"/>
    <xf numFmtId="0" fontId="16" fillId="24" borderId="355" applyNumberFormat="0" applyAlignment="0" applyProtection="0"/>
    <xf numFmtId="0" fontId="16" fillId="24" borderId="355" applyNumberFormat="0" applyAlignment="0" applyProtection="0"/>
    <xf numFmtId="0" fontId="16" fillId="24" borderId="355" applyNumberFormat="0" applyAlignment="0" applyProtection="0"/>
    <xf numFmtId="0" fontId="16" fillId="24" borderId="355" applyNumberFormat="0" applyAlignment="0" applyProtection="0"/>
    <xf numFmtId="0" fontId="16" fillId="24" borderId="355" applyNumberFormat="0" applyAlignment="0" applyProtection="0"/>
    <xf numFmtId="0" fontId="16" fillId="24" borderId="355" applyNumberFormat="0" applyAlignment="0" applyProtection="0"/>
    <xf numFmtId="0" fontId="28" fillId="0" borderId="359"/>
    <xf numFmtId="0" fontId="28" fillId="0" borderId="359"/>
    <xf numFmtId="0" fontId="28" fillId="0" borderId="359"/>
    <xf numFmtId="0" fontId="28" fillId="0" borderId="359"/>
    <xf numFmtId="0" fontId="28" fillId="0" borderId="359"/>
    <xf numFmtId="0" fontId="28" fillId="0" borderId="359"/>
    <xf numFmtId="0" fontId="28" fillId="0" borderId="359"/>
    <xf numFmtId="0" fontId="28" fillId="0" borderId="359"/>
    <xf numFmtId="0" fontId="28" fillId="0" borderId="359"/>
    <xf numFmtId="0" fontId="28" fillId="0" borderId="359"/>
    <xf numFmtId="0" fontId="28" fillId="0" borderId="359"/>
    <xf numFmtId="0" fontId="28" fillId="0" borderId="359"/>
    <xf numFmtId="0" fontId="28" fillId="0" borderId="359"/>
    <xf numFmtId="0" fontId="28" fillId="0" borderId="359"/>
    <xf numFmtId="0" fontId="28" fillId="0" borderId="359"/>
    <xf numFmtId="0" fontId="28" fillId="0" borderId="359"/>
    <xf numFmtId="0" fontId="28" fillId="0" borderId="359"/>
    <xf numFmtId="0" fontId="28" fillId="0" borderId="359"/>
    <xf numFmtId="0" fontId="28" fillId="0" borderId="359"/>
    <xf numFmtId="0" fontId="28" fillId="0" borderId="359"/>
    <xf numFmtId="0" fontId="28" fillId="0" borderId="359"/>
    <xf numFmtId="0" fontId="28" fillId="0" borderId="359"/>
    <xf numFmtId="0" fontId="28" fillId="0" borderId="359"/>
    <xf numFmtId="0" fontId="28" fillId="0" borderId="359"/>
    <xf numFmtId="0" fontId="28" fillId="0" borderId="359"/>
    <xf numFmtId="0" fontId="28" fillId="0" borderId="359"/>
    <xf numFmtId="0" fontId="28" fillId="0" borderId="359"/>
    <xf numFmtId="0" fontId="28" fillId="0" borderId="359"/>
    <xf numFmtId="0" fontId="28" fillId="0" borderId="359"/>
    <xf numFmtId="0" fontId="28" fillId="0" borderId="359"/>
    <xf numFmtId="0" fontId="28" fillId="0" borderId="359"/>
    <xf numFmtId="0" fontId="28" fillId="0" borderId="359"/>
    <xf numFmtId="0" fontId="28" fillId="0" borderId="359"/>
    <xf numFmtId="0" fontId="28" fillId="0" borderId="359"/>
    <xf numFmtId="0" fontId="28" fillId="0" borderId="359"/>
    <xf numFmtId="0" fontId="28" fillId="0" borderId="359"/>
    <xf numFmtId="0" fontId="28" fillId="0" borderId="359"/>
    <xf numFmtId="0" fontId="28" fillId="0" borderId="359"/>
    <xf numFmtId="0" fontId="28" fillId="0" borderId="359"/>
    <xf numFmtId="0" fontId="28" fillId="0" borderId="359"/>
    <xf numFmtId="0" fontId="28" fillId="0" borderId="359"/>
    <xf numFmtId="0" fontId="28" fillId="0" borderId="359"/>
    <xf numFmtId="0" fontId="28" fillId="0" borderId="359"/>
    <xf numFmtId="0" fontId="28" fillId="0" borderId="359"/>
    <xf numFmtId="0" fontId="28" fillId="0" borderId="359"/>
    <xf numFmtId="0" fontId="25" fillId="13" borderId="355" applyNumberFormat="0" applyAlignment="0" applyProtection="0"/>
    <xf numFmtId="0" fontId="25" fillId="13" borderId="355" applyNumberFormat="0" applyAlignment="0" applyProtection="0"/>
    <xf numFmtId="0" fontId="25" fillId="13" borderId="355" applyNumberFormat="0" applyAlignment="0" applyProtection="0"/>
    <xf numFmtId="0" fontId="25" fillId="13" borderId="355" applyNumberFormat="0" applyAlignment="0" applyProtection="0"/>
    <xf numFmtId="0" fontId="25" fillId="13" borderId="355" applyNumberFormat="0" applyAlignment="0" applyProtection="0"/>
    <xf numFmtId="0" fontId="25" fillId="13" borderId="355" applyNumberFormat="0" applyAlignment="0" applyProtection="0"/>
    <xf numFmtId="0" fontId="25" fillId="13" borderId="355" applyNumberFormat="0" applyAlignment="0" applyProtection="0"/>
    <xf numFmtId="0" fontId="25" fillId="13" borderId="355" applyNumberFormat="0" applyAlignment="0" applyProtection="0"/>
    <xf numFmtId="0" fontId="25" fillId="13" borderId="355" applyNumberFormat="0" applyAlignment="0" applyProtection="0"/>
    <xf numFmtId="0" fontId="25" fillId="13" borderId="355" applyNumberFormat="0" applyAlignment="0" applyProtection="0"/>
    <xf numFmtId="0" fontId="25" fillId="13" borderId="355" applyNumberFormat="0" applyAlignment="0" applyProtection="0"/>
    <xf numFmtId="0" fontId="25" fillId="13" borderId="355" applyNumberFormat="0" applyAlignment="0" applyProtection="0"/>
    <xf numFmtId="0" fontId="25" fillId="13" borderId="355" applyNumberFormat="0" applyAlignment="0" applyProtection="0"/>
    <xf numFmtId="0" fontId="25" fillId="13" borderId="355" applyNumberFormat="0" applyAlignment="0" applyProtection="0"/>
    <xf numFmtId="0" fontId="25" fillId="13" borderId="355" applyNumberFormat="0" applyAlignment="0" applyProtection="0"/>
    <xf numFmtId="0" fontId="25" fillId="13" borderId="355" applyNumberFormat="0" applyAlignment="0" applyProtection="0"/>
    <xf numFmtId="0" fontId="25" fillId="13" borderId="355" applyNumberFormat="0" applyAlignment="0" applyProtection="0"/>
    <xf numFmtId="0" fontId="25" fillId="13" borderId="355" applyNumberFormat="0" applyAlignment="0" applyProtection="0"/>
    <xf numFmtId="0" fontId="25" fillId="13" borderId="355" applyNumberFormat="0" applyAlignment="0" applyProtection="0"/>
    <xf numFmtId="0" fontId="25" fillId="13" borderId="355" applyNumberFormat="0" applyAlignment="0" applyProtection="0"/>
    <xf numFmtId="0" fontId="25" fillId="13" borderId="355" applyNumberFormat="0" applyAlignment="0" applyProtection="0"/>
    <xf numFmtId="0" fontId="25" fillId="13" borderId="355" applyNumberFormat="0" applyAlignment="0" applyProtection="0"/>
    <xf numFmtId="0" fontId="25" fillId="13" borderId="355" applyNumberFormat="0" applyAlignment="0" applyProtection="0"/>
    <xf numFmtId="0" fontId="25" fillId="13" borderId="355" applyNumberFormat="0" applyAlignment="0" applyProtection="0"/>
    <xf numFmtId="0" fontId="25" fillId="13" borderId="355" applyNumberFormat="0" applyAlignment="0" applyProtection="0"/>
    <xf numFmtId="0" fontId="25" fillId="13" borderId="355" applyNumberFormat="0" applyAlignment="0" applyProtection="0"/>
    <xf numFmtId="0" fontId="25" fillId="13" borderId="355" applyNumberFormat="0" applyAlignment="0" applyProtection="0"/>
    <xf numFmtId="0" fontId="25" fillId="13" borderId="355" applyNumberFormat="0" applyAlignment="0" applyProtection="0"/>
    <xf numFmtId="0" fontId="25" fillId="13" borderId="355" applyNumberFormat="0" applyAlignment="0" applyProtection="0"/>
    <xf numFmtId="0" fontId="25" fillId="13" borderId="355" applyNumberFormat="0" applyAlignment="0" applyProtection="0"/>
    <xf numFmtId="0" fontId="25" fillId="13" borderId="355" applyNumberFormat="0" applyAlignment="0" applyProtection="0"/>
    <xf numFmtId="0" fontId="25" fillId="13" borderId="355" applyNumberFormat="0" applyAlignment="0" applyProtection="0"/>
    <xf numFmtId="0" fontId="25" fillId="13" borderId="355" applyNumberFormat="0" applyAlignment="0" applyProtection="0"/>
    <xf numFmtId="0" fontId="25" fillId="13" borderId="355" applyNumberFormat="0" applyAlignment="0" applyProtection="0"/>
    <xf numFmtId="0" fontId="25" fillId="13" borderId="355" applyNumberFormat="0" applyAlignment="0" applyProtection="0"/>
    <xf numFmtId="0" fontId="25" fillId="13" borderId="355" applyNumberFormat="0" applyAlignment="0" applyProtection="0"/>
    <xf numFmtId="0" fontId="25" fillId="13" borderId="355" applyNumberFormat="0" applyAlignment="0" applyProtection="0"/>
    <xf numFmtId="0" fontId="25" fillId="13" borderId="355" applyNumberFormat="0" applyAlignment="0" applyProtection="0"/>
    <xf numFmtId="0" fontId="25" fillId="13" borderId="355" applyNumberFormat="0" applyAlignment="0" applyProtection="0"/>
    <xf numFmtId="0" fontId="25" fillId="13" borderId="355" applyNumberFormat="0" applyAlignment="0" applyProtection="0"/>
    <xf numFmtId="0" fontId="25" fillId="13" borderId="355" applyNumberFormat="0" applyAlignment="0" applyProtection="0"/>
    <xf numFmtId="0" fontId="25" fillId="13" borderId="355" applyNumberFormat="0" applyAlignment="0" applyProtection="0"/>
    <xf numFmtId="0" fontId="25" fillId="13" borderId="355" applyNumberFormat="0" applyAlignment="0" applyProtection="0"/>
    <xf numFmtId="0" fontId="25" fillId="13" borderId="355" applyNumberFormat="0" applyAlignment="0" applyProtection="0"/>
    <xf numFmtId="0" fontId="25" fillId="13" borderId="355" applyNumberFormat="0" applyAlignment="0" applyProtection="0"/>
    <xf numFmtId="0" fontId="25" fillId="13" borderId="355" applyNumberFormat="0" applyAlignment="0" applyProtection="0"/>
    <xf numFmtId="0" fontId="25" fillId="13" borderId="355" applyNumberFormat="0" applyAlignment="0" applyProtection="0"/>
    <xf numFmtId="0" fontId="25" fillId="13" borderId="355" applyNumberFormat="0" applyAlignment="0" applyProtection="0"/>
    <xf numFmtId="0" fontId="25" fillId="13" borderId="355" applyNumberFormat="0" applyAlignment="0" applyProtection="0"/>
    <xf numFmtId="0" fontId="41" fillId="13" borderId="355" applyNumberFormat="0" applyAlignment="0" applyProtection="0"/>
    <xf numFmtId="0" fontId="41" fillId="13" borderId="355" applyNumberFormat="0" applyAlignment="0" applyProtection="0"/>
    <xf numFmtId="0" fontId="41" fillId="13" borderId="355" applyNumberFormat="0" applyAlignment="0" applyProtection="0"/>
    <xf numFmtId="0" fontId="41" fillId="13" borderId="355" applyNumberFormat="0" applyAlignment="0" applyProtection="0"/>
    <xf numFmtId="0" fontId="41" fillId="13" borderId="355" applyNumberFormat="0" applyAlignment="0" applyProtection="0"/>
    <xf numFmtId="0" fontId="41" fillId="13" borderId="355" applyNumberFormat="0" applyAlignment="0" applyProtection="0"/>
    <xf numFmtId="0" fontId="41" fillId="13" borderId="355" applyNumberFormat="0" applyAlignment="0" applyProtection="0"/>
    <xf numFmtId="0" fontId="41" fillId="13" borderId="355" applyNumberFormat="0" applyAlignment="0" applyProtection="0"/>
    <xf numFmtId="0" fontId="41" fillId="13" borderId="355" applyNumberFormat="0" applyAlignment="0" applyProtection="0"/>
    <xf numFmtId="0" fontId="41" fillId="13" borderId="355" applyNumberFormat="0" applyAlignment="0" applyProtection="0"/>
    <xf numFmtId="0" fontId="41" fillId="13" borderId="355" applyNumberFormat="0" applyAlignment="0" applyProtection="0"/>
    <xf numFmtId="0" fontId="41" fillId="13" borderId="355" applyNumberFormat="0" applyAlignment="0" applyProtection="0"/>
    <xf numFmtId="0" fontId="41" fillId="13" borderId="355" applyNumberFormat="0" applyAlignment="0" applyProtection="0"/>
    <xf numFmtId="0" fontId="41" fillId="13" borderId="355" applyNumberFormat="0" applyAlignment="0" applyProtection="0"/>
    <xf numFmtId="0" fontId="41" fillId="13" borderId="355" applyNumberFormat="0" applyAlignment="0" applyProtection="0"/>
    <xf numFmtId="0" fontId="41" fillId="13" borderId="355" applyNumberFormat="0" applyAlignment="0" applyProtection="0"/>
    <xf numFmtId="0" fontId="41" fillId="13" borderId="355" applyNumberFormat="0" applyAlignment="0" applyProtection="0"/>
    <xf numFmtId="0" fontId="41" fillId="13" borderId="355" applyNumberFormat="0" applyAlignment="0" applyProtection="0"/>
    <xf numFmtId="0" fontId="41" fillId="13" borderId="355" applyNumberFormat="0" applyAlignment="0" applyProtection="0"/>
    <xf numFmtId="0" fontId="41" fillId="13" borderId="355" applyNumberFormat="0" applyAlignment="0" applyProtection="0"/>
    <xf numFmtId="0" fontId="41" fillId="13" borderId="355" applyNumberFormat="0" applyAlignment="0" applyProtection="0"/>
    <xf numFmtId="0" fontId="41" fillId="13" borderId="355" applyNumberFormat="0" applyAlignment="0" applyProtection="0"/>
    <xf numFmtId="0" fontId="41" fillId="13" borderId="355" applyNumberFormat="0" applyAlignment="0" applyProtection="0"/>
    <xf numFmtId="0" fontId="41" fillId="13" borderId="355" applyNumberFormat="0" applyAlignment="0" applyProtection="0"/>
    <xf numFmtId="0" fontId="41" fillId="13" borderId="355" applyNumberFormat="0" applyAlignment="0" applyProtection="0"/>
    <xf numFmtId="0" fontId="41" fillId="13" borderId="355" applyNumberFormat="0" applyAlignment="0" applyProtection="0"/>
    <xf numFmtId="0" fontId="41" fillId="13" borderId="355" applyNumberFormat="0" applyAlignment="0" applyProtection="0"/>
    <xf numFmtId="0" fontId="41" fillId="13" borderId="355" applyNumberFormat="0" applyAlignment="0" applyProtection="0"/>
    <xf numFmtId="0" fontId="41" fillId="13" borderId="355" applyNumberFormat="0" applyAlignment="0" applyProtection="0"/>
    <xf numFmtId="0" fontId="41" fillId="13" borderId="355" applyNumberFormat="0" applyAlignment="0" applyProtection="0"/>
    <xf numFmtId="0" fontId="41" fillId="13" borderId="355" applyNumberFormat="0" applyAlignment="0" applyProtection="0"/>
    <xf numFmtId="0" fontId="41" fillId="13" borderId="355" applyNumberFormat="0" applyAlignment="0" applyProtection="0"/>
    <xf numFmtId="0" fontId="41" fillId="13" borderId="355" applyNumberFormat="0" applyAlignment="0" applyProtection="0"/>
    <xf numFmtId="0" fontId="41" fillId="13" borderId="355" applyNumberFormat="0" applyAlignment="0" applyProtection="0"/>
    <xf numFmtId="0" fontId="41" fillId="13" borderId="355" applyNumberFormat="0" applyAlignment="0" applyProtection="0"/>
    <xf numFmtId="0" fontId="41" fillId="13" borderId="355" applyNumberFormat="0" applyAlignment="0" applyProtection="0"/>
    <xf numFmtId="0" fontId="41" fillId="13" borderId="355" applyNumberFormat="0" applyAlignment="0" applyProtection="0"/>
    <xf numFmtId="0" fontId="41" fillId="13" borderId="355" applyNumberFormat="0" applyAlignment="0" applyProtection="0"/>
    <xf numFmtId="0" fontId="41" fillId="13" borderId="355" applyNumberFormat="0" applyAlignment="0" applyProtection="0"/>
    <xf numFmtId="0" fontId="41" fillId="13" borderId="355" applyNumberFormat="0" applyAlignment="0" applyProtection="0"/>
    <xf numFmtId="0" fontId="41" fillId="13" borderId="355" applyNumberFormat="0" applyAlignment="0" applyProtection="0"/>
    <xf numFmtId="0" fontId="41" fillId="13" borderId="355" applyNumberFormat="0" applyAlignment="0" applyProtection="0"/>
    <xf numFmtId="0" fontId="41" fillId="13" borderId="355" applyNumberFormat="0" applyAlignment="0" applyProtection="0"/>
    <xf numFmtId="0" fontId="41" fillId="13" borderId="355" applyNumberFormat="0" applyAlignment="0" applyProtection="0"/>
    <xf numFmtId="0" fontId="41" fillId="13" borderId="355" applyNumberFormat="0" applyAlignment="0" applyProtection="0"/>
    <xf numFmtId="0" fontId="41" fillId="13" borderId="355" applyNumberFormat="0" applyAlignment="0" applyProtection="0"/>
    <xf numFmtId="0" fontId="41" fillId="13" borderId="355" applyNumberFormat="0" applyAlignment="0" applyProtection="0"/>
    <xf numFmtId="0" fontId="41" fillId="13" borderId="355" applyNumberFormat="0" applyAlignment="0" applyProtection="0"/>
    <xf numFmtId="0" fontId="41" fillId="13" borderId="355" applyNumberFormat="0" applyAlignment="0" applyProtection="0"/>
    <xf numFmtId="0" fontId="25" fillId="13" borderId="355" applyNumberFormat="0" applyAlignment="0" applyProtection="0"/>
    <xf numFmtId="0" fontId="25" fillId="13" borderId="355" applyNumberFormat="0" applyAlignment="0" applyProtection="0"/>
    <xf numFmtId="0" fontId="25" fillId="13" borderId="355" applyNumberFormat="0" applyAlignment="0" applyProtection="0"/>
    <xf numFmtId="0" fontId="25" fillId="13" borderId="355" applyNumberFormat="0" applyAlignment="0" applyProtection="0"/>
    <xf numFmtId="0" fontId="25" fillId="13" borderId="355" applyNumberFormat="0" applyAlignment="0" applyProtection="0"/>
    <xf numFmtId="0" fontId="25" fillId="13" borderId="355" applyNumberFormat="0" applyAlignment="0" applyProtection="0"/>
    <xf numFmtId="0" fontId="25" fillId="13" borderId="355" applyNumberFormat="0" applyAlignment="0" applyProtection="0"/>
    <xf numFmtId="0" fontId="25" fillId="13" borderId="355" applyNumberFormat="0" applyAlignment="0" applyProtection="0"/>
    <xf numFmtId="0" fontId="25" fillId="13" borderId="355" applyNumberFormat="0" applyAlignment="0" applyProtection="0"/>
    <xf numFmtId="0" fontId="25" fillId="13" borderId="355" applyNumberFormat="0" applyAlignment="0" applyProtection="0"/>
    <xf numFmtId="0" fontId="25" fillId="13" borderId="355" applyNumberFormat="0" applyAlignment="0" applyProtection="0"/>
    <xf numFmtId="0" fontId="25" fillId="13" borderId="355" applyNumberFormat="0" applyAlignment="0" applyProtection="0"/>
    <xf numFmtId="0" fontId="25" fillId="13" borderId="355" applyNumberFormat="0" applyAlignment="0" applyProtection="0"/>
    <xf numFmtId="0" fontId="25" fillId="13" borderId="355" applyNumberFormat="0" applyAlignment="0" applyProtection="0"/>
    <xf numFmtId="0" fontId="25" fillId="13" borderId="355" applyNumberFormat="0" applyAlignment="0" applyProtection="0"/>
    <xf numFmtId="0" fontId="25" fillId="13" borderId="355" applyNumberFormat="0" applyAlignment="0" applyProtection="0"/>
    <xf numFmtId="0" fontId="25" fillId="13" borderId="355" applyNumberFormat="0" applyAlignment="0" applyProtection="0"/>
    <xf numFmtId="0" fontId="25" fillId="13" borderId="355" applyNumberFormat="0" applyAlignment="0" applyProtection="0"/>
    <xf numFmtId="0" fontId="25" fillId="13" borderId="355" applyNumberFormat="0" applyAlignment="0" applyProtection="0"/>
    <xf numFmtId="0" fontId="25" fillId="13" borderId="355" applyNumberFormat="0" applyAlignment="0" applyProtection="0"/>
    <xf numFmtId="0" fontId="25" fillId="13" borderId="355" applyNumberFormat="0" applyAlignment="0" applyProtection="0"/>
    <xf numFmtId="0" fontId="25" fillId="13" borderId="355" applyNumberFormat="0" applyAlignment="0" applyProtection="0"/>
    <xf numFmtId="0" fontId="25" fillId="13" borderId="355" applyNumberFormat="0" applyAlignment="0" applyProtection="0"/>
    <xf numFmtId="0" fontId="25" fillId="13" borderId="355" applyNumberFormat="0" applyAlignment="0" applyProtection="0"/>
    <xf numFmtId="0" fontId="25" fillId="13" borderId="355" applyNumberFormat="0" applyAlignment="0" applyProtection="0"/>
    <xf numFmtId="0" fontId="25" fillId="13" borderId="355" applyNumberFormat="0" applyAlignment="0" applyProtection="0"/>
    <xf numFmtId="0" fontId="25" fillId="13" borderId="355" applyNumberFormat="0" applyAlignment="0" applyProtection="0"/>
    <xf numFmtId="0" fontId="25" fillId="13" borderId="355" applyNumberFormat="0" applyAlignment="0" applyProtection="0"/>
    <xf numFmtId="0" fontId="25" fillId="13" borderId="355" applyNumberFormat="0" applyAlignment="0" applyProtection="0"/>
    <xf numFmtId="0" fontId="25" fillId="13" borderId="355" applyNumberFormat="0" applyAlignment="0" applyProtection="0"/>
    <xf numFmtId="0" fontId="25" fillId="13" borderId="355" applyNumberFormat="0" applyAlignment="0" applyProtection="0"/>
    <xf numFmtId="0" fontId="25" fillId="13" borderId="355" applyNumberFormat="0" applyAlignment="0" applyProtection="0"/>
    <xf numFmtId="0" fontId="25" fillId="13" borderId="355" applyNumberFormat="0" applyAlignment="0" applyProtection="0"/>
    <xf numFmtId="0" fontId="25" fillId="13" borderId="355" applyNumberFormat="0" applyAlignment="0" applyProtection="0"/>
    <xf numFmtId="0" fontId="25" fillId="13" borderId="355" applyNumberFormat="0" applyAlignment="0" applyProtection="0"/>
    <xf numFmtId="0" fontId="25" fillId="13" borderId="355" applyNumberFormat="0" applyAlignment="0" applyProtection="0"/>
    <xf numFmtId="0" fontId="25" fillId="13" borderId="355" applyNumberFormat="0" applyAlignment="0" applyProtection="0"/>
    <xf numFmtId="0" fontId="25" fillId="13" borderId="355" applyNumberFormat="0" applyAlignment="0" applyProtection="0"/>
    <xf numFmtId="0" fontId="25" fillId="13" borderId="355" applyNumberFormat="0" applyAlignment="0" applyProtection="0"/>
    <xf numFmtId="0" fontId="25" fillId="13" borderId="355" applyNumberFormat="0" applyAlignment="0" applyProtection="0"/>
    <xf numFmtId="0" fontId="25" fillId="13" borderId="355" applyNumberFormat="0" applyAlignment="0" applyProtection="0"/>
    <xf numFmtId="0" fontId="25" fillId="13" borderId="355" applyNumberFormat="0" applyAlignment="0" applyProtection="0"/>
    <xf numFmtId="0" fontId="25" fillId="13" borderId="355" applyNumberFormat="0" applyAlignment="0" applyProtection="0"/>
    <xf numFmtId="0" fontId="25" fillId="13" borderId="355" applyNumberFormat="0" applyAlignment="0" applyProtection="0"/>
    <xf numFmtId="0" fontId="25" fillId="13" borderId="355" applyNumberFormat="0" applyAlignment="0" applyProtection="0"/>
    <xf numFmtId="0" fontId="25" fillId="13" borderId="355" applyNumberFormat="0" applyAlignment="0" applyProtection="0"/>
    <xf numFmtId="0" fontId="25" fillId="13" borderId="355" applyNumberFormat="0" applyAlignment="0" applyProtection="0"/>
    <xf numFmtId="0" fontId="25" fillId="13" borderId="355" applyNumberFormat="0" applyAlignment="0" applyProtection="0"/>
    <xf numFmtId="0" fontId="25" fillId="13" borderId="355" applyNumberFormat="0" applyAlignment="0" applyProtection="0"/>
    <xf numFmtId="0" fontId="41" fillId="13" borderId="355" applyNumberFormat="0" applyAlignment="0" applyProtection="0"/>
    <xf numFmtId="0" fontId="41" fillId="13" borderId="355" applyNumberFormat="0" applyAlignment="0" applyProtection="0"/>
    <xf numFmtId="0" fontId="41" fillId="13" borderId="355" applyNumberFormat="0" applyAlignment="0" applyProtection="0"/>
    <xf numFmtId="0" fontId="41" fillId="13" borderId="355" applyNumberFormat="0" applyAlignment="0" applyProtection="0"/>
    <xf numFmtId="0" fontId="41" fillId="13" borderId="355" applyNumberFormat="0" applyAlignment="0" applyProtection="0"/>
    <xf numFmtId="0" fontId="41" fillId="13" borderId="355" applyNumberFormat="0" applyAlignment="0" applyProtection="0"/>
    <xf numFmtId="0" fontId="41" fillId="13" borderId="355" applyNumberFormat="0" applyAlignment="0" applyProtection="0"/>
    <xf numFmtId="0" fontId="41" fillId="13" borderId="355" applyNumberFormat="0" applyAlignment="0" applyProtection="0"/>
    <xf numFmtId="0" fontId="41" fillId="13" borderId="355" applyNumberFormat="0" applyAlignment="0" applyProtection="0"/>
    <xf numFmtId="0" fontId="41" fillId="13" borderId="355" applyNumberFormat="0" applyAlignment="0" applyProtection="0"/>
    <xf numFmtId="0" fontId="41" fillId="13" borderId="355" applyNumberFormat="0" applyAlignment="0" applyProtection="0"/>
    <xf numFmtId="0" fontId="41" fillId="13" borderId="355" applyNumberFormat="0" applyAlignment="0" applyProtection="0"/>
    <xf numFmtId="0" fontId="41" fillId="13" borderId="355" applyNumberFormat="0" applyAlignment="0" applyProtection="0"/>
    <xf numFmtId="0" fontId="41" fillId="13" borderId="355" applyNumberFormat="0" applyAlignment="0" applyProtection="0"/>
    <xf numFmtId="0" fontId="41" fillId="13" borderId="355" applyNumberFormat="0" applyAlignment="0" applyProtection="0"/>
    <xf numFmtId="0" fontId="41" fillId="13" borderId="355" applyNumberFormat="0" applyAlignment="0" applyProtection="0"/>
    <xf numFmtId="0" fontId="41" fillId="13" borderId="355" applyNumberFormat="0" applyAlignment="0" applyProtection="0"/>
    <xf numFmtId="0" fontId="41" fillId="13" borderId="355" applyNumberFormat="0" applyAlignment="0" applyProtection="0"/>
    <xf numFmtId="0" fontId="41" fillId="13" borderId="355" applyNumberFormat="0" applyAlignment="0" applyProtection="0"/>
    <xf numFmtId="0" fontId="41" fillId="13" borderId="355" applyNumberFormat="0" applyAlignment="0" applyProtection="0"/>
    <xf numFmtId="0" fontId="41" fillId="13" borderId="355" applyNumberFormat="0" applyAlignment="0" applyProtection="0"/>
    <xf numFmtId="0" fontId="41" fillId="13" borderId="355" applyNumberFormat="0" applyAlignment="0" applyProtection="0"/>
    <xf numFmtId="0" fontId="41" fillId="13" borderId="355" applyNumberFormat="0" applyAlignment="0" applyProtection="0"/>
    <xf numFmtId="0" fontId="41" fillId="13" borderId="355" applyNumberFormat="0" applyAlignment="0" applyProtection="0"/>
    <xf numFmtId="0" fontId="41" fillId="13" borderId="355" applyNumberFormat="0" applyAlignment="0" applyProtection="0"/>
    <xf numFmtId="0" fontId="41" fillId="13" borderId="355" applyNumberFormat="0" applyAlignment="0" applyProtection="0"/>
    <xf numFmtId="0" fontId="41" fillId="13" borderId="355" applyNumberFormat="0" applyAlignment="0" applyProtection="0"/>
    <xf numFmtId="0" fontId="41" fillId="13" borderId="355" applyNumberFormat="0" applyAlignment="0" applyProtection="0"/>
    <xf numFmtId="0" fontId="41" fillId="13" borderId="355" applyNumberFormat="0" applyAlignment="0" applyProtection="0"/>
    <xf numFmtId="0" fontId="41" fillId="13" borderId="355" applyNumberFormat="0" applyAlignment="0" applyProtection="0"/>
    <xf numFmtId="0" fontId="41" fillId="13" borderId="355" applyNumberFormat="0" applyAlignment="0" applyProtection="0"/>
    <xf numFmtId="0" fontId="41" fillId="13" borderId="355" applyNumberFormat="0" applyAlignment="0" applyProtection="0"/>
    <xf numFmtId="0" fontId="41" fillId="13" borderId="355" applyNumberFormat="0" applyAlignment="0" applyProtection="0"/>
    <xf numFmtId="0" fontId="41" fillId="13" borderId="355" applyNumberFormat="0" applyAlignment="0" applyProtection="0"/>
    <xf numFmtId="0" fontId="41" fillId="13" borderId="355" applyNumberFormat="0" applyAlignment="0" applyProtection="0"/>
    <xf numFmtId="0" fontId="41" fillId="13" borderId="355" applyNumberFormat="0" applyAlignment="0" applyProtection="0"/>
    <xf numFmtId="0" fontId="41" fillId="13" borderId="355" applyNumberFormat="0" applyAlignment="0" applyProtection="0"/>
    <xf numFmtId="0" fontId="41" fillId="13" borderId="355" applyNumberFormat="0" applyAlignment="0" applyProtection="0"/>
    <xf numFmtId="0" fontId="41" fillId="13" borderId="355" applyNumberFormat="0" applyAlignment="0" applyProtection="0"/>
    <xf numFmtId="0" fontId="41" fillId="13" borderId="355" applyNumberFormat="0" applyAlignment="0" applyProtection="0"/>
    <xf numFmtId="0" fontId="41" fillId="13" borderId="355" applyNumberFormat="0" applyAlignment="0" applyProtection="0"/>
    <xf numFmtId="0" fontId="41" fillId="13" borderId="355" applyNumberFormat="0" applyAlignment="0" applyProtection="0"/>
    <xf numFmtId="0" fontId="41" fillId="13" borderId="355" applyNumberFormat="0" applyAlignment="0" applyProtection="0"/>
    <xf numFmtId="0" fontId="41" fillId="13" borderId="355" applyNumberFormat="0" applyAlignment="0" applyProtection="0"/>
    <xf numFmtId="0" fontId="41" fillId="13" borderId="355" applyNumberFormat="0" applyAlignment="0" applyProtection="0"/>
    <xf numFmtId="0" fontId="41" fillId="13" borderId="355" applyNumberFormat="0" applyAlignment="0" applyProtection="0"/>
    <xf numFmtId="0" fontId="41" fillId="13" borderId="355" applyNumberFormat="0" applyAlignment="0" applyProtection="0"/>
    <xf numFmtId="0" fontId="41" fillId="13" borderId="355" applyNumberFormat="0" applyAlignment="0" applyProtection="0"/>
    <xf numFmtId="0" fontId="41" fillId="13" borderId="355" applyNumberFormat="0" applyAlignment="0" applyProtection="0"/>
    <xf numFmtId="0" fontId="25" fillId="13" borderId="355" applyNumberFormat="0" applyAlignment="0" applyProtection="0"/>
    <xf numFmtId="0" fontId="25" fillId="13" borderId="355" applyNumberFormat="0" applyAlignment="0" applyProtection="0"/>
    <xf numFmtId="0" fontId="25" fillId="13" borderId="355" applyNumberFormat="0" applyAlignment="0" applyProtection="0"/>
    <xf numFmtId="0" fontId="25" fillId="13" borderId="355" applyNumberFormat="0" applyAlignment="0" applyProtection="0"/>
    <xf numFmtId="0" fontId="25" fillId="13" borderId="355" applyNumberFormat="0" applyAlignment="0" applyProtection="0"/>
    <xf numFmtId="0" fontId="25" fillId="13" borderId="355" applyNumberFormat="0" applyAlignment="0" applyProtection="0"/>
    <xf numFmtId="0" fontId="25" fillId="13" borderId="355" applyNumberFormat="0" applyAlignment="0" applyProtection="0"/>
    <xf numFmtId="0" fontId="25" fillId="13" borderId="355" applyNumberFormat="0" applyAlignment="0" applyProtection="0"/>
    <xf numFmtId="0" fontId="25" fillId="13" borderId="355" applyNumberFormat="0" applyAlignment="0" applyProtection="0"/>
    <xf numFmtId="0" fontId="25" fillId="13" borderId="355" applyNumberFormat="0" applyAlignment="0" applyProtection="0"/>
    <xf numFmtId="0" fontId="25" fillId="13" borderId="355" applyNumberFormat="0" applyAlignment="0" applyProtection="0"/>
    <xf numFmtId="0" fontId="25" fillId="13" borderId="355" applyNumberFormat="0" applyAlignment="0" applyProtection="0"/>
    <xf numFmtId="0" fontId="25" fillId="13" borderId="355" applyNumberFormat="0" applyAlignment="0" applyProtection="0"/>
    <xf numFmtId="0" fontId="25" fillId="13" borderId="355" applyNumberFormat="0" applyAlignment="0" applyProtection="0"/>
    <xf numFmtId="0" fontId="25" fillId="13" borderId="355" applyNumberFormat="0" applyAlignment="0" applyProtection="0"/>
    <xf numFmtId="0" fontId="25" fillId="13" borderId="355" applyNumberFormat="0" applyAlignment="0" applyProtection="0"/>
    <xf numFmtId="0" fontId="25" fillId="13" borderId="355" applyNumberFormat="0" applyAlignment="0" applyProtection="0"/>
    <xf numFmtId="0" fontId="25" fillId="13" borderId="355" applyNumberFormat="0" applyAlignment="0" applyProtection="0"/>
    <xf numFmtId="0" fontId="25" fillId="13" borderId="355" applyNumberFormat="0" applyAlignment="0" applyProtection="0"/>
    <xf numFmtId="0" fontId="25" fillId="13" borderId="355" applyNumberFormat="0" applyAlignment="0" applyProtection="0"/>
    <xf numFmtId="0" fontId="25" fillId="13" borderId="355" applyNumberFormat="0" applyAlignment="0" applyProtection="0"/>
    <xf numFmtId="0" fontId="25" fillId="13" borderId="355" applyNumberFormat="0" applyAlignment="0" applyProtection="0"/>
    <xf numFmtId="0" fontId="25" fillId="13" borderId="355" applyNumberFormat="0" applyAlignment="0" applyProtection="0"/>
    <xf numFmtId="0" fontId="25" fillId="13" borderId="355" applyNumberFormat="0" applyAlignment="0" applyProtection="0"/>
    <xf numFmtId="0" fontId="25" fillId="13" borderId="355" applyNumberFormat="0" applyAlignment="0" applyProtection="0"/>
    <xf numFmtId="0" fontId="25" fillId="13" borderId="355" applyNumberFormat="0" applyAlignment="0" applyProtection="0"/>
    <xf numFmtId="0" fontId="25" fillId="13" borderId="355" applyNumberFormat="0" applyAlignment="0" applyProtection="0"/>
    <xf numFmtId="0" fontId="25" fillId="13" borderId="355" applyNumberFormat="0" applyAlignment="0" applyProtection="0"/>
    <xf numFmtId="0" fontId="25" fillId="13" borderId="355" applyNumberFormat="0" applyAlignment="0" applyProtection="0"/>
    <xf numFmtId="0" fontId="25" fillId="13" borderId="355" applyNumberFormat="0" applyAlignment="0" applyProtection="0"/>
    <xf numFmtId="0" fontId="25" fillId="13" borderId="355" applyNumberFormat="0" applyAlignment="0" applyProtection="0"/>
    <xf numFmtId="0" fontId="25" fillId="13" borderId="355" applyNumberFormat="0" applyAlignment="0" applyProtection="0"/>
    <xf numFmtId="0" fontId="25" fillId="13" borderId="355" applyNumberFormat="0" applyAlignment="0" applyProtection="0"/>
    <xf numFmtId="0" fontId="25" fillId="13" borderId="355" applyNumberFormat="0" applyAlignment="0" applyProtection="0"/>
    <xf numFmtId="0" fontId="25" fillId="13" borderId="355" applyNumberFormat="0" applyAlignment="0" applyProtection="0"/>
    <xf numFmtId="0" fontId="25" fillId="13" borderId="355" applyNumberFormat="0" applyAlignment="0" applyProtection="0"/>
    <xf numFmtId="0" fontId="25" fillId="13" borderId="355" applyNumberFormat="0" applyAlignment="0" applyProtection="0"/>
    <xf numFmtId="0" fontId="25" fillId="13" borderId="355" applyNumberFormat="0" applyAlignment="0" applyProtection="0"/>
    <xf numFmtId="0" fontId="25" fillId="13" borderId="355" applyNumberFormat="0" applyAlignment="0" applyProtection="0"/>
    <xf numFmtId="0" fontId="25" fillId="13" borderId="355" applyNumberFormat="0" applyAlignment="0" applyProtection="0"/>
    <xf numFmtId="0" fontId="25" fillId="13" borderId="355" applyNumberFormat="0" applyAlignment="0" applyProtection="0"/>
    <xf numFmtId="0" fontId="25" fillId="13" borderId="355" applyNumberFormat="0" applyAlignment="0" applyProtection="0"/>
    <xf numFmtId="0" fontId="25" fillId="13" borderId="355" applyNumberFormat="0" applyAlignment="0" applyProtection="0"/>
    <xf numFmtId="0" fontId="25" fillId="13" borderId="355" applyNumberFormat="0" applyAlignment="0" applyProtection="0"/>
    <xf numFmtId="0" fontId="25" fillId="13" borderId="355" applyNumberFormat="0" applyAlignment="0" applyProtection="0"/>
    <xf numFmtId="0" fontId="25" fillId="13" borderId="355" applyNumberFormat="0" applyAlignment="0" applyProtection="0"/>
    <xf numFmtId="0" fontId="25" fillId="13" borderId="355" applyNumberFormat="0" applyAlignment="0" applyProtection="0"/>
    <xf numFmtId="0" fontId="25" fillId="13" borderId="355" applyNumberFormat="0" applyAlignment="0" applyProtection="0"/>
    <xf numFmtId="0" fontId="25" fillId="13" borderId="355" applyNumberFormat="0" applyAlignment="0" applyProtection="0"/>
    <xf numFmtId="0" fontId="25" fillId="8" borderId="355" applyNumberFormat="0" applyAlignment="0" applyProtection="0"/>
    <xf numFmtId="0" fontId="25" fillId="8" borderId="355" applyNumberFormat="0" applyAlignment="0" applyProtection="0"/>
    <xf numFmtId="0" fontId="25" fillId="8" borderId="355" applyNumberFormat="0" applyAlignment="0" applyProtection="0"/>
    <xf numFmtId="0" fontId="25" fillId="8" borderId="355" applyNumberFormat="0" applyAlignment="0" applyProtection="0"/>
    <xf numFmtId="0" fontId="25" fillId="8" borderId="355" applyNumberFormat="0" applyAlignment="0" applyProtection="0"/>
    <xf numFmtId="0" fontId="25" fillId="8" borderId="355" applyNumberFormat="0" applyAlignment="0" applyProtection="0"/>
    <xf numFmtId="0" fontId="25" fillId="8" borderId="355" applyNumberFormat="0" applyAlignment="0" applyProtection="0"/>
    <xf numFmtId="0" fontId="25" fillId="8" borderId="355" applyNumberFormat="0" applyAlignment="0" applyProtection="0"/>
    <xf numFmtId="0" fontId="25" fillId="8" borderId="355" applyNumberFormat="0" applyAlignment="0" applyProtection="0"/>
    <xf numFmtId="0" fontId="25" fillId="8" borderId="355" applyNumberFormat="0" applyAlignment="0" applyProtection="0"/>
    <xf numFmtId="0" fontId="25" fillId="8" borderId="355" applyNumberFormat="0" applyAlignment="0" applyProtection="0"/>
    <xf numFmtId="0" fontId="25" fillId="8" borderId="355" applyNumberFormat="0" applyAlignment="0" applyProtection="0"/>
    <xf numFmtId="0" fontId="25" fillId="8" borderId="355" applyNumberFormat="0" applyAlignment="0" applyProtection="0"/>
    <xf numFmtId="0" fontId="25" fillId="8" borderId="355" applyNumberFormat="0" applyAlignment="0" applyProtection="0"/>
    <xf numFmtId="0" fontId="25" fillId="8" borderId="355" applyNumberFormat="0" applyAlignment="0" applyProtection="0"/>
    <xf numFmtId="0" fontId="25" fillId="8" borderId="355" applyNumberFormat="0" applyAlignment="0" applyProtection="0"/>
    <xf numFmtId="0" fontId="25" fillId="8" borderId="355" applyNumberFormat="0" applyAlignment="0" applyProtection="0"/>
    <xf numFmtId="0" fontId="25" fillId="8" borderId="355" applyNumberFormat="0" applyAlignment="0" applyProtection="0"/>
    <xf numFmtId="0" fontId="25" fillId="8" borderId="355" applyNumberFormat="0" applyAlignment="0" applyProtection="0"/>
    <xf numFmtId="0" fontId="25" fillId="8" borderId="355" applyNumberFormat="0" applyAlignment="0" applyProtection="0"/>
    <xf numFmtId="0" fontId="25" fillId="8" borderId="355" applyNumberFormat="0" applyAlignment="0" applyProtection="0"/>
    <xf numFmtId="0" fontId="25" fillId="8" borderId="355" applyNumberFormat="0" applyAlignment="0" applyProtection="0"/>
    <xf numFmtId="0" fontId="25" fillId="8" borderId="355" applyNumberFormat="0" applyAlignment="0" applyProtection="0"/>
    <xf numFmtId="0" fontId="25" fillId="8" borderId="355" applyNumberFormat="0" applyAlignment="0" applyProtection="0"/>
    <xf numFmtId="0" fontId="25" fillId="8" borderId="355" applyNumberFormat="0" applyAlignment="0" applyProtection="0"/>
    <xf numFmtId="0" fontId="25" fillId="8" borderId="355" applyNumberFormat="0" applyAlignment="0" applyProtection="0"/>
    <xf numFmtId="0" fontId="25" fillId="8" borderId="355" applyNumberFormat="0" applyAlignment="0" applyProtection="0"/>
    <xf numFmtId="0" fontId="25" fillId="8" borderId="355" applyNumberFormat="0" applyAlignment="0" applyProtection="0"/>
    <xf numFmtId="0" fontId="25" fillId="8" borderId="355" applyNumberFormat="0" applyAlignment="0" applyProtection="0"/>
    <xf numFmtId="0" fontId="25" fillId="8" borderId="355" applyNumberFormat="0" applyAlignment="0" applyProtection="0"/>
    <xf numFmtId="0" fontId="25" fillId="8" borderId="355" applyNumberFormat="0" applyAlignment="0" applyProtection="0"/>
    <xf numFmtId="0" fontId="25" fillId="8" borderId="355" applyNumberFormat="0" applyAlignment="0" applyProtection="0"/>
    <xf numFmtId="0" fontId="25" fillId="8" borderId="355" applyNumberFormat="0" applyAlignment="0" applyProtection="0"/>
    <xf numFmtId="0" fontId="25" fillId="8" borderId="355" applyNumberFormat="0" applyAlignment="0" applyProtection="0"/>
    <xf numFmtId="0" fontId="25" fillId="8" borderId="355" applyNumberFormat="0" applyAlignment="0" applyProtection="0"/>
    <xf numFmtId="0" fontId="25" fillId="8" borderId="355" applyNumberFormat="0" applyAlignment="0" applyProtection="0"/>
    <xf numFmtId="0" fontId="25" fillId="8" borderId="355" applyNumberFormat="0" applyAlignment="0" applyProtection="0"/>
    <xf numFmtId="0" fontId="25" fillId="8" borderId="355" applyNumberFormat="0" applyAlignment="0" applyProtection="0"/>
    <xf numFmtId="0" fontId="25" fillId="8" borderId="355" applyNumberFormat="0" applyAlignment="0" applyProtection="0"/>
    <xf numFmtId="0" fontId="25" fillId="8" borderId="355" applyNumberFormat="0" applyAlignment="0" applyProtection="0"/>
    <xf numFmtId="0" fontId="25" fillId="8" borderId="355" applyNumberFormat="0" applyAlignment="0" applyProtection="0"/>
    <xf numFmtId="0" fontId="25" fillId="8" borderId="355" applyNumberFormat="0" applyAlignment="0" applyProtection="0"/>
    <xf numFmtId="0" fontId="25" fillId="8" borderId="355" applyNumberFormat="0" applyAlignment="0" applyProtection="0"/>
    <xf numFmtId="0" fontId="25" fillId="8" borderId="355" applyNumberFormat="0" applyAlignment="0" applyProtection="0"/>
    <xf numFmtId="0" fontId="25" fillId="8" borderId="355" applyNumberFormat="0" applyAlignment="0" applyProtection="0"/>
    <xf numFmtId="0" fontId="25" fillId="8" borderId="355" applyNumberFormat="0" applyAlignment="0" applyProtection="0"/>
    <xf numFmtId="0" fontId="25" fillId="8" borderId="355" applyNumberFormat="0" applyAlignment="0" applyProtection="0"/>
    <xf numFmtId="0" fontId="25" fillId="8" borderId="355" applyNumberFormat="0" applyAlignment="0" applyProtection="0"/>
    <xf numFmtId="0" fontId="25" fillId="8" borderId="355" applyNumberFormat="0" applyAlignment="0" applyProtection="0"/>
    <xf numFmtId="0" fontId="25" fillId="8" borderId="355" applyNumberFormat="0" applyAlignment="0" applyProtection="0"/>
    <xf numFmtId="0" fontId="25" fillId="8" borderId="355" applyNumberFormat="0" applyAlignment="0" applyProtection="0"/>
    <xf numFmtId="0" fontId="25" fillId="8" borderId="355" applyNumberFormat="0" applyAlignment="0" applyProtection="0"/>
    <xf numFmtId="0" fontId="25" fillId="8" borderId="355" applyNumberFormat="0" applyAlignment="0" applyProtection="0"/>
    <xf numFmtId="0" fontId="25" fillId="8" borderId="355" applyNumberFormat="0" applyAlignment="0" applyProtection="0"/>
    <xf numFmtId="0" fontId="25" fillId="8" borderId="355" applyNumberFormat="0" applyAlignment="0" applyProtection="0"/>
    <xf numFmtId="0" fontId="25" fillId="8" borderId="355" applyNumberFormat="0" applyAlignment="0" applyProtection="0"/>
    <xf numFmtId="0" fontId="25" fillId="8" borderId="355" applyNumberFormat="0" applyAlignment="0" applyProtection="0"/>
    <xf numFmtId="0" fontId="25" fillId="8" borderId="355" applyNumberFormat="0" applyAlignment="0" applyProtection="0"/>
    <xf numFmtId="0" fontId="25" fillId="8" borderId="355" applyNumberFormat="0" applyAlignment="0" applyProtection="0"/>
    <xf numFmtId="0" fontId="25" fillId="8" borderId="355" applyNumberFormat="0" applyAlignment="0" applyProtection="0"/>
    <xf numFmtId="0" fontId="25" fillId="8" borderId="355" applyNumberFormat="0" applyAlignment="0" applyProtection="0"/>
    <xf numFmtId="0" fontId="25" fillId="8" borderId="355" applyNumberFormat="0" applyAlignment="0" applyProtection="0"/>
    <xf numFmtId="0" fontId="25" fillId="8" borderId="355" applyNumberFormat="0" applyAlignment="0" applyProtection="0"/>
    <xf numFmtId="0" fontId="25" fillId="8" borderId="355" applyNumberFormat="0" applyAlignment="0" applyProtection="0"/>
    <xf numFmtId="0" fontId="25" fillId="8" borderId="355" applyNumberFormat="0" applyAlignment="0" applyProtection="0"/>
    <xf numFmtId="0" fontId="25" fillId="8" borderId="355" applyNumberFormat="0" applyAlignment="0" applyProtection="0"/>
    <xf numFmtId="0" fontId="25" fillId="8" borderId="355" applyNumberFormat="0" applyAlignment="0" applyProtection="0"/>
    <xf numFmtId="0" fontId="25" fillId="8" borderId="355" applyNumberFormat="0" applyAlignment="0" applyProtection="0"/>
    <xf numFmtId="0" fontId="25" fillId="8" borderId="355" applyNumberFormat="0" applyAlignment="0" applyProtection="0"/>
    <xf numFmtId="0" fontId="25" fillId="8" borderId="355" applyNumberFormat="0" applyAlignment="0" applyProtection="0"/>
    <xf numFmtId="0" fontId="25" fillId="8" borderId="355" applyNumberFormat="0" applyAlignment="0" applyProtection="0"/>
    <xf numFmtId="0" fontId="25" fillId="8" borderId="355" applyNumberFormat="0" applyAlignment="0" applyProtection="0"/>
    <xf numFmtId="0" fontId="25" fillId="8" borderId="355" applyNumberFormat="0" applyAlignment="0" applyProtection="0"/>
    <xf numFmtId="0" fontId="25" fillId="8" borderId="355" applyNumberFormat="0" applyAlignment="0" applyProtection="0"/>
    <xf numFmtId="0" fontId="25" fillId="8" borderId="355" applyNumberFormat="0" applyAlignment="0" applyProtection="0"/>
    <xf numFmtId="0" fontId="25" fillId="8" borderId="355" applyNumberFormat="0" applyAlignment="0" applyProtection="0"/>
    <xf numFmtId="0" fontId="25" fillId="8" borderId="355" applyNumberFormat="0" applyAlignment="0" applyProtection="0"/>
    <xf numFmtId="0" fontId="84" fillId="73" borderId="359"/>
    <xf numFmtId="0" fontId="84" fillId="73" borderId="359"/>
    <xf numFmtId="0" fontId="84" fillId="73" borderId="359"/>
    <xf numFmtId="0" fontId="84" fillId="73" borderId="359"/>
    <xf numFmtId="0" fontId="84" fillId="73" borderId="359"/>
    <xf numFmtId="0" fontId="84" fillId="73" borderId="359"/>
    <xf numFmtId="0" fontId="84" fillId="73" borderId="359"/>
    <xf numFmtId="0" fontId="84" fillId="73" borderId="359"/>
    <xf numFmtId="0" fontId="84" fillId="73" borderId="359"/>
    <xf numFmtId="0" fontId="84" fillId="73" borderId="359"/>
    <xf numFmtId="0" fontId="84" fillId="73" borderId="359"/>
    <xf numFmtId="0" fontId="84" fillId="73" borderId="359"/>
    <xf numFmtId="0" fontId="84" fillId="73" borderId="359"/>
    <xf numFmtId="0" fontId="84" fillId="73" borderId="359"/>
    <xf numFmtId="0" fontId="84" fillId="73" borderId="359"/>
    <xf numFmtId="0" fontId="84" fillId="73" borderId="359"/>
    <xf numFmtId="0" fontId="84" fillId="73" borderId="359"/>
    <xf numFmtId="0" fontId="84" fillId="73" borderId="359"/>
    <xf numFmtId="0" fontId="84" fillId="73" borderId="359"/>
    <xf numFmtId="0" fontId="84" fillId="73" borderId="359"/>
    <xf numFmtId="0" fontId="84" fillId="73" borderId="359"/>
    <xf numFmtId="0" fontId="84" fillId="73" borderId="359"/>
    <xf numFmtId="0" fontId="84" fillId="73" borderId="359"/>
    <xf numFmtId="0" fontId="84" fillId="73" borderId="359"/>
    <xf numFmtId="0" fontId="84" fillId="73" borderId="359"/>
    <xf numFmtId="0" fontId="84" fillId="73" borderId="359"/>
    <xf numFmtId="0" fontId="84" fillId="73" borderId="359"/>
    <xf numFmtId="0" fontId="84" fillId="73" borderId="359"/>
    <xf numFmtId="0" fontId="84" fillId="73" borderId="359"/>
    <xf numFmtId="0" fontId="84" fillId="73" borderId="359"/>
    <xf numFmtId="0" fontId="84" fillId="73" borderId="359"/>
    <xf numFmtId="0" fontId="84" fillId="73" borderId="359"/>
    <xf numFmtId="0" fontId="84" fillId="73" borderId="359"/>
    <xf numFmtId="0" fontId="84" fillId="73" borderId="359"/>
    <xf numFmtId="0" fontId="84" fillId="73" borderId="359"/>
    <xf numFmtId="0" fontId="84" fillId="73" borderId="359"/>
    <xf numFmtId="0" fontId="84" fillId="73" borderId="359"/>
    <xf numFmtId="0" fontId="84" fillId="73" borderId="359"/>
    <xf numFmtId="0" fontId="84" fillId="73" borderId="359"/>
    <xf numFmtId="0" fontId="84" fillId="73" borderId="359"/>
    <xf numFmtId="0" fontId="84" fillId="73" borderId="359"/>
    <xf numFmtId="0" fontId="84" fillId="73" borderId="359"/>
    <xf numFmtId="0" fontId="84" fillId="73" borderId="359"/>
    <xf numFmtId="0" fontId="84" fillId="73" borderId="359"/>
    <xf numFmtId="0" fontId="84" fillId="73" borderId="359"/>
    <xf numFmtId="0" fontId="72" fillId="0" borderId="353" applyBorder="0">
      <alignment horizontal="center" vertical="center" wrapText="1"/>
    </xf>
    <xf numFmtId="0" fontId="72" fillId="0" borderId="353" applyBorder="0">
      <alignment horizontal="center" vertical="center" wrapText="1"/>
    </xf>
    <xf numFmtId="0" fontId="72" fillId="0" borderId="353" applyBorder="0">
      <alignment horizontal="center" vertical="center" wrapText="1"/>
    </xf>
    <xf numFmtId="0" fontId="72" fillId="0" borderId="353" applyBorder="0">
      <alignment horizontal="center" vertical="center" wrapText="1"/>
    </xf>
    <xf numFmtId="0" fontId="72" fillId="0" borderId="353" applyBorder="0">
      <alignment horizontal="center" vertical="center" wrapText="1"/>
    </xf>
    <xf numFmtId="0" fontId="72" fillId="0" borderId="353" applyBorder="0">
      <alignment horizontal="center" vertical="center" wrapText="1"/>
    </xf>
    <xf numFmtId="0" fontId="72" fillId="0" borderId="353" applyBorder="0">
      <alignment horizontal="center" vertical="center" wrapText="1"/>
    </xf>
    <xf numFmtId="0" fontId="72" fillId="0" borderId="353" applyBorder="0">
      <alignment horizontal="center" vertical="center" wrapText="1"/>
    </xf>
    <xf numFmtId="0" fontId="72" fillId="0" borderId="353" applyBorder="0">
      <alignment horizontal="center" vertical="center" wrapText="1"/>
    </xf>
    <xf numFmtId="0" fontId="72" fillId="0" borderId="353" applyBorder="0">
      <alignment horizontal="center" vertical="center" wrapText="1"/>
    </xf>
    <xf numFmtId="0" fontId="72" fillId="0" borderId="353" applyBorder="0">
      <alignment horizontal="center" vertical="center" wrapText="1"/>
    </xf>
    <xf numFmtId="0" fontId="72" fillId="0" borderId="353" applyBorder="0">
      <alignment horizontal="center" vertical="center" wrapText="1"/>
    </xf>
    <xf numFmtId="0" fontId="72" fillId="0" borderId="353" applyBorder="0">
      <alignment horizontal="center" vertical="center" wrapText="1"/>
    </xf>
    <xf numFmtId="0" fontId="72" fillId="0" borderId="353" applyBorder="0">
      <alignment horizontal="center" vertical="center" wrapText="1"/>
    </xf>
    <xf numFmtId="0" fontId="72" fillId="0" borderId="353" applyBorder="0">
      <alignment horizontal="center" vertical="center" wrapText="1"/>
    </xf>
    <xf numFmtId="0" fontId="72" fillId="0" borderId="353" applyBorder="0">
      <alignment horizontal="center" vertical="center" wrapText="1"/>
    </xf>
    <xf numFmtId="0" fontId="72" fillId="0" borderId="353" applyBorder="0">
      <alignment horizontal="center" vertical="center" wrapText="1"/>
    </xf>
    <xf numFmtId="0" fontId="72" fillId="0" borderId="353" applyBorder="0">
      <alignment horizontal="center" vertical="center" wrapText="1"/>
    </xf>
    <xf numFmtId="0" fontId="72" fillId="0" borderId="353" applyBorder="0">
      <alignment horizontal="center" vertical="center" wrapText="1"/>
    </xf>
    <xf numFmtId="0" fontId="72" fillId="0" borderId="353" applyBorder="0">
      <alignment horizontal="center" vertical="center" wrapText="1"/>
    </xf>
    <xf numFmtId="0" fontId="72" fillId="0" borderId="353" applyBorder="0">
      <alignment horizontal="center" vertical="center" wrapText="1"/>
    </xf>
    <xf numFmtId="0" fontId="72" fillId="0" borderId="353" applyBorder="0">
      <alignment horizontal="center" vertical="center" wrapText="1"/>
    </xf>
    <xf numFmtId="0" fontId="72" fillId="0" borderId="353" applyBorder="0">
      <alignment horizontal="center" vertical="center" wrapText="1"/>
    </xf>
    <xf numFmtId="0" fontId="72" fillId="0" borderId="353" applyBorder="0">
      <alignment horizontal="center" vertical="center" wrapText="1"/>
    </xf>
    <xf numFmtId="0" fontId="72" fillId="0" borderId="353" applyBorder="0">
      <alignment horizontal="center" vertical="center" wrapText="1"/>
    </xf>
    <xf numFmtId="0" fontId="72" fillId="0" borderId="353" applyBorder="0">
      <alignment horizontal="center" vertical="center" wrapText="1"/>
    </xf>
    <xf numFmtId="0" fontId="72" fillId="0" borderId="353" applyBorder="0">
      <alignment horizontal="center" vertical="center" wrapText="1"/>
    </xf>
    <xf numFmtId="0" fontId="72" fillId="0" borderId="353" applyBorder="0">
      <alignment horizontal="center" vertical="center" wrapText="1"/>
    </xf>
    <xf numFmtId="0" fontId="72" fillId="0" borderId="353" applyBorder="0">
      <alignment horizontal="center" vertical="center" wrapText="1"/>
    </xf>
    <xf numFmtId="0" fontId="72" fillId="0" borderId="353" applyBorder="0">
      <alignment horizontal="center" vertical="center" wrapText="1"/>
    </xf>
    <xf numFmtId="0" fontId="72" fillId="0" borderId="353" applyBorder="0">
      <alignment horizontal="center" vertical="center" wrapText="1"/>
    </xf>
    <xf numFmtId="0" fontId="72" fillId="0" borderId="353" applyBorder="0">
      <alignment horizontal="center" vertical="center" wrapText="1"/>
    </xf>
    <xf numFmtId="0" fontId="72" fillId="0" borderId="353" applyBorder="0">
      <alignment horizontal="center" vertical="center" wrapText="1"/>
    </xf>
    <xf numFmtId="0" fontId="72" fillId="0" borderId="353" applyBorder="0">
      <alignment horizontal="center" vertical="center" wrapText="1"/>
    </xf>
    <xf numFmtId="0" fontId="72" fillId="0" borderId="353" applyBorder="0">
      <alignment horizontal="center" vertical="center" wrapText="1"/>
    </xf>
    <xf numFmtId="0" fontId="72" fillId="0" borderId="353" applyBorder="0">
      <alignment horizontal="center" vertical="center" wrapText="1"/>
    </xf>
    <xf numFmtId="0" fontId="72" fillId="0" borderId="353" applyBorder="0">
      <alignment horizontal="center" vertical="center" wrapText="1"/>
    </xf>
    <xf numFmtId="0" fontId="72" fillId="0" borderId="353" applyBorder="0">
      <alignment horizontal="center" vertical="center" wrapText="1"/>
    </xf>
    <xf numFmtId="0" fontId="72" fillId="0" borderId="353" applyBorder="0">
      <alignment horizontal="center" vertical="center" wrapText="1"/>
    </xf>
    <xf numFmtId="0" fontId="72" fillId="0" borderId="353" applyBorder="0">
      <alignment horizontal="center" vertical="center" wrapText="1"/>
    </xf>
    <xf numFmtId="0" fontId="72" fillId="0" borderId="353" applyBorder="0">
      <alignment horizontal="center" vertical="center" wrapText="1"/>
    </xf>
    <xf numFmtId="0" fontId="72" fillId="0" borderId="353" applyBorder="0">
      <alignment horizontal="center" vertical="center" wrapText="1"/>
    </xf>
    <xf numFmtId="0" fontId="72" fillId="0" borderId="353" applyBorder="0">
      <alignment horizontal="center" vertical="center" wrapText="1"/>
    </xf>
    <xf numFmtId="0" fontId="72" fillId="0" borderId="353" applyBorder="0">
      <alignment horizontal="center" vertical="center" wrapText="1"/>
    </xf>
    <xf numFmtId="0" fontId="72" fillId="0" borderId="353" applyBorder="0">
      <alignment horizontal="center" vertical="center" wrapText="1"/>
    </xf>
    <xf numFmtId="0" fontId="72" fillId="0" borderId="353" applyBorder="0">
      <alignment horizontal="center" vertical="center" wrapText="1"/>
    </xf>
    <xf numFmtId="0" fontId="72" fillId="0" borderId="353" applyBorder="0">
      <alignment horizontal="center" vertical="center" wrapText="1"/>
    </xf>
    <xf numFmtId="0" fontId="72" fillId="0" borderId="353" applyBorder="0">
      <alignment horizontal="center" vertical="center" wrapText="1"/>
    </xf>
    <xf numFmtId="0" fontId="72" fillId="0" borderId="353" applyBorder="0">
      <alignment horizontal="center" vertical="center" wrapText="1"/>
    </xf>
    <xf numFmtId="0" fontId="72" fillId="0" borderId="353" applyBorder="0">
      <alignment horizontal="center" vertical="center" wrapText="1"/>
    </xf>
    <xf numFmtId="0" fontId="72" fillId="0" borderId="353" applyBorder="0">
      <alignment horizontal="center" vertical="center" wrapText="1"/>
    </xf>
    <xf numFmtId="0" fontId="72" fillId="0" borderId="353" applyBorder="0">
      <alignment horizontal="center" vertical="center" wrapText="1"/>
    </xf>
    <xf numFmtId="0" fontId="72" fillId="0" borderId="353" applyBorder="0">
      <alignment horizontal="center" vertical="center" wrapText="1"/>
    </xf>
    <xf numFmtId="0" fontId="72" fillId="0" borderId="353" applyBorder="0">
      <alignment horizontal="center" vertical="center" wrapText="1"/>
    </xf>
    <xf numFmtId="0" fontId="72" fillId="0" borderId="353" applyBorder="0">
      <alignment horizontal="center" vertical="center" wrapText="1"/>
    </xf>
    <xf numFmtId="0" fontId="72" fillId="0" borderId="353" applyBorder="0">
      <alignment horizontal="center" vertical="center" wrapText="1"/>
    </xf>
    <xf numFmtId="0" fontId="72" fillId="0" borderId="353" applyBorder="0">
      <alignment horizontal="center" vertical="center" wrapText="1"/>
    </xf>
    <xf numFmtId="0" fontId="72" fillId="0" borderId="353" applyBorder="0">
      <alignment horizontal="center" vertical="center" wrapText="1"/>
    </xf>
    <xf numFmtId="0" fontId="72" fillId="0" borderId="353" applyBorder="0">
      <alignment horizontal="center" vertical="center" wrapText="1"/>
    </xf>
    <xf numFmtId="0" fontId="72" fillId="0" borderId="353" applyBorder="0">
      <alignment horizontal="center" vertical="center" wrapText="1"/>
    </xf>
    <xf numFmtId="0" fontId="49" fillId="10" borderId="363" applyNumberFormat="0" applyFont="0" applyAlignment="0" applyProtection="0"/>
    <xf numFmtId="0" fontId="48" fillId="12" borderId="362" applyNumberFormat="0" applyAlignment="0" applyProtection="0"/>
    <xf numFmtId="0" fontId="25" fillId="8" borderId="362" applyNumberFormat="0" applyAlignment="0" applyProtection="0"/>
    <xf numFmtId="0" fontId="31" fillId="0" borderId="360" applyNumberFormat="0" applyFill="0" applyAlignment="0" applyProtection="0"/>
    <xf numFmtId="0" fontId="31" fillId="0" borderId="365" applyNumberFormat="0" applyFill="0" applyAlignment="0" applyProtection="0"/>
    <xf numFmtId="0" fontId="24" fillId="24" borderId="364" applyNumberFormat="0" applyAlignment="0" applyProtection="0"/>
    <xf numFmtId="0" fontId="8" fillId="10" borderId="363" applyNumberFormat="0" applyFont="0" applyAlignment="0" applyProtection="0"/>
    <xf numFmtId="0" fontId="41" fillId="13" borderId="362" applyNumberFormat="0" applyAlignment="0" applyProtection="0"/>
    <xf numFmtId="0" fontId="48" fillId="12" borderId="362" applyNumberFormat="0" applyAlignment="0" applyProtection="0"/>
    <xf numFmtId="0" fontId="48" fillId="24" borderId="362" applyNumberFormat="0" applyAlignment="0" applyProtection="0"/>
    <xf numFmtId="0" fontId="31" fillId="0" borderId="360" applyNumberFormat="0" applyFill="0" applyAlignment="0" applyProtection="0"/>
    <xf numFmtId="0" fontId="48" fillId="24" borderId="362" applyNumberFormat="0" applyAlignment="0" applyProtection="0"/>
    <xf numFmtId="0" fontId="49" fillId="10" borderId="363" applyNumberFormat="0" applyFont="0" applyAlignment="0" applyProtection="0"/>
    <xf numFmtId="0" fontId="29" fillId="12" borderId="361" applyNumberFormat="0" applyAlignment="0" applyProtection="0"/>
    <xf numFmtId="0" fontId="8" fillId="10" borderId="363" applyNumberFormat="0" applyFont="0" applyAlignment="0" applyProtection="0"/>
    <xf numFmtId="0" fontId="8" fillId="10" borderId="356" applyNumberFormat="0" applyFont="0" applyAlignment="0" applyProtection="0"/>
    <xf numFmtId="0" fontId="49" fillId="10" borderId="356" applyNumberFormat="0" applyFont="0" applyAlignment="0" applyProtection="0"/>
    <xf numFmtId="0" fontId="31" fillId="0" borderId="358" applyNumberFormat="0" applyFill="0" applyAlignment="0" applyProtection="0"/>
    <xf numFmtId="0" fontId="31" fillId="0" borderId="360" applyNumberFormat="0" applyFill="0" applyAlignment="0" applyProtection="0"/>
    <xf numFmtId="0" fontId="31" fillId="0" borderId="365" applyNumberFormat="0" applyFill="0" applyAlignment="0" applyProtection="0"/>
    <xf numFmtId="0" fontId="31" fillId="0" borderId="360" applyNumberFormat="0" applyFill="0" applyAlignment="0" applyProtection="0"/>
    <xf numFmtId="0" fontId="101" fillId="0" borderId="0" applyNumberFormat="0" applyFill="0" applyBorder="0" applyAlignment="0" applyProtection="0"/>
    <xf numFmtId="0" fontId="16" fillId="24" borderId="362" applyNumberFormat="0" applyAlignment="0" applyProtection="0"/>
    <xf numFmtId="0" fontId="32" fillId="24" borderId="362" applyNumberFormat="0" applyAlignment="0" applyProtection="0"/>
    <xf numFmtId="0" fontId="25" fillId="13" borderId="362" applyNumberFormat="0" applyAlignment="0" applyProtection="0"/>
    <xf numFmtId="0" fontId="28" fillId="10" borderId="363" applyNumberFormat="0" applyFont="0" applyAlignment="0" applyProtection="0"/>
    <xf numFmtId="0" fontId="18" fillId="10" borderId="363" applyNumberFormat="0" applyFont="0" applyAlignment="0" applyProtection="0"/>
    <xf numFmtId="0" fontId="29" fillId="24" borderId="361" applyNumberFormat="0" applyAlignment="0" applyProtection="0"/>
    <xf numFmtId="0" fontId="2" fillId="0" borderId="0"/>
    <xf numFmtId="0" fontId="46" fillId="0" borderId="0"/>
    <xf numFmtId="0" fontId="8" fillId="0" borderId="0"/>
  </cellStyleXfs>
  <cellXfs count="499">
    <xf numFmtId="0" fontId="0" fillId="0" borderId="0" xfId="0"/>
    <xf numFmtId="43" fontId="0" fillId="0" borderId="0" xfId="1" applyFont="1"/>
    <xf numFmtId="0" fontId="3" fillId="0" borderId="0" xfId="0" applyFont="1"/>
    <xf numFmtId="167" fontId="0" fillId="0" borderId="0" xfId="1" applyNumberFormat="1" applyFont="1"/>
    <xf numFmtId="167" fontId="0" fillId="0" borderId="0" xfId="1" applyNumberFormat="1" applyFont="1" applyBorder="1"/>
    <xf numFmtId="167" fontId="0" fillId="0" borderId="1" xfId="1" applyNumberFormat="1" applyFont="1" applyBorder="1"/>
    <xf numFmtId="166" fontId="0" fillId="0" borderId="0" xfId="1" applyNumberFormat="1" applyFont="1"/>
    <xf numFmtId="0" fontId="9" fillId="0" borderId="0" xfId="0" applyFont="1"/>
    <xf numFmtId="0" fontId="9" fillId="0" borderId="0" xfId="0" applyFont="1" applyAlignment="1">
      <alignment horizontal="center"/>
    </xf>
    <xf numFmtId="0" fontId="0" fillId="0" borderId="1" xfId="0" applyBorder="1" applyAlignment="1">
      <alignment horizontal="center"/>
    </xf>
    <xf numFmtId="43" fontId="0" fillId="0" borderId="0" xfId="0" applyNumberFormat="1" applyAlignment="1">
      <alignment horizontal="center"/>
    </xf>
    <xf numFmtId="43" fontId="0" fillId="0" borderId="0" xfId="0" applyNumberFormat="1"/>
    <xf numFmtId="0" fontId="0" fillId="0" borderId="0" xfId="0" applyAlignment="1">
      <alignment horizontal="left" indent="1"/>
    </xf>
    <xf numFmtId="0" fontId="0" fillId="5" borderId="0" xfId="0" applyFill="1" applyAlignment="1">
      <alignment horizontal="center"/>
    </xf>
    <xf numFmtId="0" fontId="0" fillId="0" borderId="0" xfId="0" applyAlignment="1">
      <alignment horizontal="left"/>
    </xf>
    <xf numFmtId="168" fontId="0" fillId="0" borderId="0" xfId="0" applyNumberFormat="1"/>
    <xf numFmtId="44" fontId="0" fillId="0" borderId="0" xfId="0" applyNumberFormat="1"/>
    <xf numFmtId="170" fontId="0" fillId="0" borderId="0" xfId="0" applyNumberFormat="1"/>
    <xf numFmtId="0" fontId="0" fillId="6" borderId="1" xfId="0" applyFill="1" applyBorder="1" applyAlignment="1">
      <alignment horizontal="center"/>
    </xf>
    <xf numFmtId="0" fontId="0" fillId="6" borderId="1" xfId="0" applyFill="1" applyBorder="1"/>
    <xf numFmtId="0" fontId="3" fillId="6" borderId="1" xfId="0" applyFont="1" applyFill="1" applyBorder="1"/>
    <xf numFmtId="43" fontId="0" fillId="0" borderId="0" xfId="1" applyFont="1" applyAlignment="1">
      <alignment horizontal="center"/>
    </xf>
    <xf numFmtId="43" fontId="0" fillId="0" borderId="0" xfId="1" applyFont="1" applyFill="1" applyBorder="1"/>
    <xf numFmtId="43" fontId="0" fillId="0" borderId="0" xfId="1" applyFont="1" applyBorder="1"/>
    <xf numFmtId="44" fontId="0" fillId="0" borderId="0" xfId="2" applyFont="1" applyBorder="1" applyAlignment="1">
      <alignment horizontal="right"/>
    </xf>
    <xf numFmtId="10" fontId="0" fillId="0" borderId="0" xfId="3" applyNumberFormat="1" applyFont="1" applyBorder="1" applyAlignment="1">
      <alignment horizontal="right"/>
    </xf>
    <xf numFmtId="166" fontId="0" fillId="0" borderId="0" xfId="1" applyNumberFormat="1" applyFont="1" applyBorder="1" applyAlignment="1">
      <alignment horizontal="right"/>
    </xf>
    <xf numFmtId="0" fontId="0" fillId="0" borderId="0" xfId="0" applyAlignment="1">
      <alignment horizontal="center" wrapText="1"/>
    </xf>
    <xf numFmtId="166" fontId="0" fillId="0" borderId="0" xfId="1" applyNumberFormat="1" applyFont="1" applyFill="1" applyBorder="1" applyAlignment="1">
      <alignment horizontal="center" wrapText="1"/>
    </xf>
    <xf numFmtId="0" fontId="0" fillId="0" borderId="0" xfId="0" applyAlignment="1">
      <alignment horizontal="center" vertical="center"/>
    </xf>
    <xf numFmtId="0" fontId="12" fillId="6" borderId="1" xfId="4" applyFont="1" applyFill="1" applyBorder="1" applyAlignment="1">
      <alignment horizontal="left"/>
    </xf>
    <xf numFmtId="3" fontId="3" fillId="6" borderId="1" xfId="0" applyNumberFormat="1" applyFont="1" applyFill="1" applyBorder="1" applyAlignment="1">
      <alignment horizontal="right"/>
    </xf>
    <xf numFmtId="43" fontId="0" fillId="6" borderId="1" xfId="0" applyNumberFormat="1" applyFill="1" applyBorder="1"/>
    <xf numFmtId="44" fontId="0" fillId="0" borderId="0" xfId="1" applyNumberFormat="1" applyFont="1" applyFill="1" applyBorder="1"/>
    <xf numFmtId="166" fontId="0" fillId="0" borderId="0" xfId="1" applyNumberFormat="1" applyFont="1" applyBorder="1"/>
    <xf numFmtId="0" fontId="0" fillId="0" borderId="0" xfId="0" applyAlignment="1">
      <alignment horizontal="right"/>
    </xf>
    <xf numFmtId="164" fontId="0" fillId="0" borderId="0" xfId="0" applyNumberFormat="1"/>
    <xf numFmtId="0" fontId="0" fillId="0" borderId="0" xfId="0" applyAlignment="1">
      <alignment horizontal="center"/>
    </xf>
    <xf numFmtId="44" fontId="0" fillId="0" borderId="0" xfId="2" applyFont="1" applyFill="1" applyBorder="1"/>
    <xf numFmtId="0" fontId="3" fillId="0" borderId="19" xfId="0" applyFont="1" applyBorder="1"/>
    <xf numFmtId="0" fontId="0" fillId="0" borderId="20" xfId="0" applyBorder="1"/>
    <xf numFmtId="0" fontId="11" fillId="0" borderId="0" xfId="296" applyFont="1"/>
    <xf numFmtId="166" fontId="11" fillId="0" borderId="0" xfId="1" applyNumberFormat="1" applyFont="1" applyFill="1" applyBorder="1"/>
    <xf numFmtId="3" fontId="0" fillId="0" borderId="0" xfId="0" applyNumberFormat="1"/>
    <xf numFmtId="3" fontId="0" fillId="0" borderId="0" xfId="2" applyNumberFormat="1" applyFont="1" applyFill="1" applyBorder="1"/>
    <xf numFmtId="3" fontId="0" fillId="0" borderId="0" xfId="0" applyNumberFormat="1" applyAlignment="1">
      <alignment horizontal="right"/>
    </xf>
    <xf numFmtId="167" fontId="0" fillId="0" borderId="0" xfId="0" applyNumberFormat="1"/>
    <xf numFmtId="169" fontId="0" fillId="0" borderId="0" xfId="0" applyNumberFormat="1"/>
    <xf numFmtId="0" fontId="11" fillId="0" borderId="0" xfId="0" applyFont="1"/>
    <xf numFmtId="10" fontId="0" fillId="0" borderId="0" xfId="0" applyNumberFormat="1"/>
    <xf numFmtId="44" fontId="0" fillId="0" borderId="0" xfId="2" applyFont="1" applyFill="1"/>
    <xf numFmtId="165" fontId="0" fillId="0" borderId="0" xfId="2" applyNumberFormat="1" applyFont="1" applyFill="1"/>
    <xf numFmtId="165" fontId="0" fillId="0" borderId="1" xfId="2" applyNumberFormat="1" applyFont="1" applyFill="1" applyBorder="1"/>
    <xf numFmtId="169" fontId="0" fillId="0" borderId="0" xfId="2" applyNumberFormat="1" applyFont="1" applyFill="1"/>
    <xf numFmtId="43" fontId="3" fillId="0" borderId="0" xfId="0" applyNumberFormat="1" applyFont="1"/>
    <xf numFmtId="0" fontId="3" fillId="0" borderId="0" xfId="0" applyFont="1" applyAlignment="1">
      <alignment horizontal="left" indent="1"/>
    </xf>
    <xf numFmtId="0" fontId="3" fillId="0" borderId="31" xfId="0" applyFont="1" applyBorder="1"/>
    <xf numFmtId="41" fontId="0" fillId="0" borderId="0" xfId="1" applyNumberFormat="1" applyFont="1"/>
    <xf numFmtId="0" fontId="11" fillId="38" borderId="0" xfId="0" applyFont="1" applyFill="1" applyAlignment="1">
      <alignment horizontal="right"/>
    </xf>
    <xf numFmtId="0" fontId="0" fillId="6" borderId="34" xfId="0" applyFill="1" applyBorder="1" applyAlignment="1">
      <alignment horizontal="center"/>
    </xf>
    <xf numFmtId="10" fontId="0" fillId="0" borderId="0" xfId="3" applyNumberFormat="1" applyFont="1" applyFill="1" applyBorder="1"/>
    <xf numFmtId="3" fontId="3" fillId="6" borderId="32" xfId="0" applyNumberFormat="1" applyFont="1" applyFill="1" applyBorder="1" applyAlignment="1">
      <alignment horizontal="right"/>
    </xf>
    <xf numFmtId="42" fontId="3" fillId="0" borderId="0" xfId="0" applyNumberFormat="1" applyFont="1"/>
    <xf numFmtId="0" fontId="0" fillId="0" borderId="22" xfId="0" applyBorder="1"/>
    <xf numFmtId="42" fontId="0" fillId="0" borderId="0" xfId="0" applyNumberFormat="1" applyAlignment="1">
      <alignment horizontal="right"/>
    </xf>
    <xf numFmtId="0" fontId="0" fillId="0" borderId="2" xfId="0" applyBorder="1"/>
    <xf numFmtId="0" fontId="0" fillId="0" borderId="23" xfId="0" applyBorder="1"/>
    <xf numFmtId="0" fontId="0" fillId="6" borderId="32" xfId="0" applyFill="1" applyBorder="1" applyAlignment="1">
      <alignment horizontal="center" vertical="center"/>
    </xf>
    <xf numFmtId="0" fontId="12" fillId="6" borderId="32" xfId="4" applyFont="1" applyFill="1" applyBorder="1" applyAlignment="1">
      <alignment horizontal="left"/>
    </xf>
    <xf numFmtId="43" fontId="0" fillId="6" borderId="32" xfId="0" applyNumberFormat="1" applyFill="1" applyBorder="1"/>
    <xf numFmtId="4" fontId="0" fillId="0" borderId="0" xfId="2" applyNumberFormat="1" applyFont="1" applyFill="1" applyBorder="1"/>
    <xf numFmtId="166" fontId="3" fillId="0" borderId="0" xfId="1" applyNumberFormat="1" applyFont="1" applyFill="1" applyBorder="1"/>
    <xf numFmtId="0" fontId="96" fillId="0" borderId="0" xfId="0" applyFont="1"/>
    <xf numFmtId="0" fontId="96" fillId="0" borderId="0" xfId="0" applyFont="1" applyAlignment="1">
      <alignment horizontal="right"/>
    </xf>
    <xf numFmtId="43" fontId="0" fillId="0" borderId="0" xfId="1" applyFont="1" applyFill="1" applyAlignment="1">
      <alignment horizontal="right"/>
    </xf>
    <xf numFmtId="166" fontId="0" fillId="0" borderId="0" xfId="1" applyNumberFormat="1" applyFont="1" applyFill="1" applyBorder="1"/>
    <xf numFmtId="0" fontId="0" fillId="6" borderId="366" xfId="0" applyFill="1" applyBorder="1" applyAlignment="1">
      <alignment horizontal="center" vertical="center"/>
    </xf>
    <xf numFmtId="166" fontId="0" fillId="0" borderId="0" xfId="1" applyNumberFormat="1" applyFont="1" applyFill="1"/>
    <xf numFmtId="0" fontId="0" fillId="0" borderId="0" xfId="0" applyAlignment="1">
      <alignment horizontal="left" vertical="center"/>
    </xf>
    <xf numFmtId="0" fontId="95" fillId="0" borderId="0" xfId="6089" applyFont="1"/>
    <xf numFmtId="164" fontId="0" fillId="0" borderId="0" xfId="2" applyNumberFormat="1" applyFont="1" applyFill="1" applyBorder="1"/>
    <xf numFmtId="0" fontId="3" fillId="6" borderId="367" xfId="0" applyFont="1" applyFill="1" applyBorder="1" applyAlignment="1">
      <alignment horizontal="center" vertical="center" wrapText="1"/>
    </xf>
    <xf numFmtId="166" fontId="3" fillId="6" borderId="367" xfId="1" applyNumberFormat="1" applyFont="1" applyFill="1" applyBorder="1" applyAlignment="1">
      <alignment horizontal="center" vertical="center" wrapText="1"/>
    </xf>
    <xf numFmtId="3" fontId="3" fillId="6" borderId="367" xfId="0" applyNumberFormat="1" applyFont="1" applyFill="1" applyBorder="1" applyAlignment="1">
      <alignment horizontal="center" vertical="center" wrapText="1"/>
    </xf>
    <xf numFmtId="0" fontId="3" fillId="2" borderId="367" xfId="0" applyFont="1" applyFill="1" applyBorder="1" applyAlignment="1">
      <alignment horizontal="center" vertical="center" wrapText="1"/>
    </xf>
    <xf numFmtId="166" fontId="0" fillId="0" borderId="0" xfId="1" applyNumberFormat="1" applyFont="1" applyFill="1" applyAlignment="1">
      <alignment horizontal="right"/>
    </xf>
    <xf numFmtId="43" fontId="3" fillId="2" borderId="367" xfId="1" applyFont="1" applyFill="1" applyBorder="1" applyAlignment="1">
      <alignment horizontal="center" vertical="center" wrapText="1"/>
    </xf>
    <xf numFmtId="0" fontId="3" fillId="2" borderId="0" xfId="0" applyFont="1" applyFill="1" applyAlignment="1">
      <alignment horizontal="center" vertical="center" wrapText="1"/>
    </xf>
    <xf numFmtId="166" fontId="3" fillId="2" borderId="367" xfId="1" applyNumberFormat="1" applyFont="1" applyFill="1" applyBorder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3" fillId="6" borderId="334" xfId="0" applyFont="1" applyFill="1" applyBorder="1" applyAlignment="1">
      <alignment vertical="center" textRotation="90"/>
    </xf>
    <xf numFmtId="0" fontId="3" fillId="6" borderId="1" xfId="0" applyFont="1" applyFill="1" applyBorder="1" applyAlignment="1">
      <alignment vertical="center" textRotation="90"/>
    </xf>
    <xf numFmtId="0" fontId="3" fillId="0" borderId="0" xfId="0" applyFont="1" applyAlignment="1">
      <alignment horizontal="center" vertical="center" textRotation="90"/>
    </xf>
    <xf numFmtId="0" fontId="11" fillId="0" borderId="0" xfId="366" applyFont="1"/>
    <xf numFmtId="0" fontId="97" fillId="0" borderId="0" xfId="6089" applyFont="1"/>
    <xf numFmtId="166" fontId="95" fillId="0" borderId="0" xfId="6089" applyNumberFormat="1" applyFont="1"/>
    <xf numFmtId="0" fontId="9" fillId="0" borderId="0" xfId="6089" applyFont="1" applyAlignment="1">
      <alignment horizontal="right"/>
    </xf>
    <xf numFmtId="0" fontId="97" fillId="0" borderId="0" xfId="6089" applyFont="1" applyAlignment="1">
      <alignment horizontal="center" wrapText="1"/>
    </xf>
    <xf numFmtId="0" fontId="97" fillId="0" borderId="0" xfId="6089" applyFont="1" applyAlignment="1">
      <alignment horizontal="center"/>
    </xf>
    <xf numFmtId="17" fontId="97" fillId="0" borderId="0" xfId="6089" applyNumberFormat="1" applyFont="1" applyAlignment="1">
      <alignment horizontal="center" wrapText="1"/>
    </xf>
    <xf numFmtId="0" fontId="98" fillId="0" borderId="0" xfId="6089" applyFont="1" applyAlignment="1">
      <alignment horizontal="left"/>
    </xf>
    <xf numFmtId="0" fontId="98" fillId="0" borderId="0" xfId="6089" applyFont="1" applyAlignment="1">
      <alignment horizontal="center"/>
    </xf>
    <xf numFmtId="0" fontId="99" fillId="0" borderId="0" xfId="6089" applyFont="1" applyAlignment="1">
      <alignment horizontal="center"/>
    </xf>
    <xf numFmtId="0" fontId="97" fillId="0" borderId="0" xfId="6089" applyFont="1" applyAlignment="1">
      <alignment horizontal="left"/>
    </xf>
    <xf numFmtId="43" fontId="95" fillId="0" borderId="0" xfId="1311" applyFont="1" applyFill="1"/>
    <xf numFmtId="166" fontId="95" fillId="0" borderId="0" xfId="1311" applyNumberFormat="1" applyFont="1" applyFill="1"/>
    <xf numFmtId="166" fontId="95" fillId="0" borderId="0" xfId="1311" applyNumberFormat="1" applyFont="1"/>
    <xf numFmtId="0" fontId="97" fillId="0" borderId="0" xfId="6089" applyFont="1" applyAlignment="1">
      <alignment horizontal="right"/>
    </xf>
    <xf numFmtId="43" fontId="95" fillId="0" borderId="0" xfId="6089" applyNumberFormat="1" applyFont="1"/>
    <xf numFmtId="166" fontId="95" fillId="0" borderId="368" xfId="1311" applyNumberFormat="1" applyFont="1" applyFill="1" applyBorder="1"/>
    <xf numFmtId="166" fontId="95" fillId="0" borderId="0" xfId="1311" applyNumberFormat="1" applyFont="1" applyFill="1" applyBorder="1"/>
    <xf numFmtId="166" fontId="97" fillId="0" borderId="0" xfId="1311" applyNumberFormat="1" applyFont="1" applyFill="1"/>
    <xf numFmtId="0" fontId="1" fillId="0" borderId="0" xfId="6089" applyFont="1" applyAlignment="1">
      <alignment horizontal="left" indent="1"/>
    </xf>
    <xf numFmtId="166" fontId="97" fillId="0" borderId="0" xfId="1311" applyNumberFormat="1" applyFont="1"/>
    <xf numFmtId="166" fontId="97" fillId="0" borderId="0" xfId="6089" applyNumberFormat="1" applyFont="1" applyAlignment="1">
      <alignment horizontal="right"/>
    </xf>
    <xf numFmtId="166" fontId="85" fillId="0" borderId="0" xfId="6089" applyNumberFormat="1"/>
    <xf numFmtId="166" fontId="97" fillId="0" borderId="370" xfId="6089" applyNumberFormat="1" applyFont="1" applyBorder="1"/>
    <xf numFmtId="0" fontId="96" fillId="0" borderId="0" xfId="6089" applyFont="1" applyAlignment="1">
      <alignment horizontal="center"/>
    </xf>
    <xf numFmtId="0" fontId="0" fillId="76" borderId="0" xfId="0" applyFill="1" applyAlignment="1">
      <alignment horizontal="left"/>
    </xf>
    <xf numFmtId="43" fontId="0" fillId="76" borderId="0" xfId="1" applyFont="1" applyFill="1" applyAlignment="1">
      <alignment horizontal="right"/>
    </xf>
    <xf numFmtId="0" fontId="0" fillId="76" borderId="0" xfId="0" applyFill="1" applyAlignment="1">
      <alignment horizontal="right"/>
    </xf>
    <xf numFmtId="43" fontId="0" fillId="76" borderId="0" xfId="0" applyNumberFormat="1" applyFill="1" applyAlignment="1">
      <alignment horizontal="right"/>
    </xf>
    <xf numFmtId="166" fontId="0" fillId="76" borderId="0" xfId="1" applyNumberFormat="1" applyFont="1" applyFill="1" applyAlignment="1">
      <alignment horizontal="right"/>
    </xf>
    <xf numFmtId="0" fontId="95" fillId="76" borderId="0" xfId="6089" applyFont="1" applyFill="1" applyAlignment="1">
      <alignment horizontal="left"/>
    </xf>
    <xf numFmtId="0" fontId="0" fillId="77" borderId="0" xfId="0" applyFill="1" applyAlignment="1">
      <alignment horizontal="left"/>
    </xf>
    <xf numFmtId="43" fontId="0" fillId="77" borderId="0" xfId="1" applyFont="1" applyFill="1" applyAlignment="1">
      <alignment horizontal="right"/>
    </xf>
    <xf numFmtId="0" fontId="0" fillId="77" borderId="0" xfId="0" applyFill="1" applyAlignment="1">
      <alignment horizontal="right"/>
    </xf>
    <xf numFmtId="43" fontId="0" fillId="77" borderId="0" xfId="0" applyNumberFormat="1" applyFill="1" applyAlignment="1">
      <alignment horizontal="right"/>
    </xf>
    <xf numFmtId="166" fontId="0" fillId="77" borderId="0" xfId="1" applyNumberFormat="1" applyFont="1" applyFill="1" applyAlignment="1">
      <alignment horizontal="right"/>
    </xf>
    <xf numFmtId="0" fontId="0" fillId="78" borderId="0" xfId="0" applyFill="1" applyAlignment="1">
      <alignment horizontal="left"/>
    </xf>
    <xf numFmtId="43" fontId="0" fillId="78" borderId="0" xfId="1" applyFont="1" applyFill="1" applyAlignment="1">
      <alignment horizontal="right"/>
    </xf>
    <xf numFmtId="0" fontId="0" fillId="78" borderId="0" xfId="0" applyFill="1" applyAlignment="1">
      <alignment horizontal="right"/>
    </xf>
    <xf numFmtId="43" fontId="0" fillId="78" borderId="0" xfId="0" applyNumberFormat="1" applyFill="1" applyAlignment="1">
      <alignment horizontal="right"/>
    </xf>
    <xf numFmtId="166" fontId="0" fillId="78" borderId="0" xfId="1" applyNumberFormat="1" applyFont="1" applyFill="1" applyAlignment="1">
      <alignment horizontal="right"/>
    </xf>
    <xf numFmtId="166" fontId="3" fillId="6" borderId="32" xfId="1" applyNumberFormat="1" applyFont="1" applyFill="1" applyBorder="1" applyAlignment="1">
      <alignment horizontal="right"/>
    </xf>
    <xf numFmtId="166" fontId="3" fillId="6" borderId="1" xfId="1" applyNumberFormat="1" applyFont="1" applyFill="1" applyBorder="1" applyAlignment="1">
      <alignment horizontal="right"/>
    </xf>
    <xf numFmtId="10" fontId="0" fillId="2" borderId="0" xfId="3" applyNumberFormat="1" applyFont="1" applyFill="1" applyBorder="1"/>
    <xf numFmtId="166" fontId="3" fillId="0" borderId="0" xfId="1" applyNumberFormat="1" applyFont="1" applyFill="1" applyBorder="1" applyAlignment="1">
      <alignment horizontal="right"/>
    </xf>
    <xf numFmtId="166" fontId="0" fillId="0" borderId="369" xfId="1" applyNumberFormat="1" applyFont="1" applyFill="1" applyBorder="1"/>
    <xf numFmtId="44" fontId="101" fillId="0" borderId="0" xfId="37398" applyNumberFormat="1" applyBorder="1"/>
    <xf numFmtId="42" fontId="0" fillId="0" borderId="21" xfId="2" applyNumberFormat="1" applyFont="1" applyFill="1" applyBorder="1"/>
    <xf numFmtId="166" fontId="0" fillId="0" borderId="1" xfId="1" applyNumberFormat="1" applyFont="1" applyFill="1" applyBorder="1"/>
    <xf numFmtId="0" fontId="102" fillId="0" borderId="0" xfId="0" applyFont="1"/>
    <xf numFmtId="0" fontId="3" fillId="70" borderId="0" xfId="0" applyFont="1" applyFill="1" applyAlignment="1">
      <alignment horizontal="center"/>
    </xf>
    <xf numFmtId="166" fontId="3" fillId="0" borderId="0" xfId="0" applyNumberFormat="1" applyFont="1" applyAlignment="1">
      <alignment horizontal="center" vertical="center" wrapText="1"/>
    </xf>
    <xf numFmtId="0" fontId="103" fillId="0" borderId="0" xfId="0" applyFont="1" applyAlignment="1">
      <alignment horizontal="center" vertical="center" wrapText="1"/>
    </xf>
    <xf numFmtId="166" fontId="3" fillId="70" borderId="0" xfId="1" applyNumberFormat="1" applyFont="1" applyFill="1" applyAlignment="1">
      <alignment horizontal="center" vertical="center" wrapText="1"/>
    </xf>
    <xf numFmtId="179" fontId="3" fillId="0" borderId="0" xfId="3" applyNumberFormat="1" applyFont="1" applyFill="1" applyAlignment="1">
      <alignment horizontal="center" vertical="center" wrapText="1"/>
    </xf>
    <xf numFmtId="3" fontId="3" fillId="6" borderId="33" xfId="0" applyNumberFormat="1" applyFont="1" applyFill="1" applyBorder="1" applyAlignment="1">
      <alignment horizontal="right"/>
    </xf>
    <xf numFmtId="0" fontId="0" fillId="6" borderId="368" xfId="0" applyFill="1" applyBorder="1" applyAlignment="1">
      <alignment horizontal="center"/>
    </xf>
    <xf numFmtId="0" fontId="12" fillId="6" borderId="368" xfId="4" applyFont="1" applyFill="1" applyBorder="1" applyAlignment="1">
      <alignment horizontal="left"/>
    </xf>
    <xf numFmtId="3" fontId="3" fillId="6" borderId="368" xfId="0" applyNumberFormat="1" applyFont="1" applyFill="1" applyBorder="1" applyAlignment="1">
      <alignment horizontal="right"/>
    </xf>
    <xf numFmtId="43" fontId="0" fillId="6" borderId="368" xfId="0" applyNumberFormat="1" applyFill="1" applyBorder="1"/>
    <xf numFmtId="166" fontId="3" fillId="6" borderId="368" xfId="1" applyNumberFormat="1" applyFont="1" applyFill="1" applyBorder="1" applyAlignment="1">
      <alignment horizontal="right"/>
    </xf>
    <xf numFmtId="166" fontId="3" fillId="0" borderId="0" xfId="1" applyNumberFormat="1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/>
    </xf>
    <xf numFmtId="166" fontId="0" fillId="80" borderId="0" xfId="1" applyNumberFormat="1" applyFont="1" applyFill="1" applyAlignment="1">
      <alignment horizontal="right"/>
    </xf>
    <xf numFmtId="43" fontId="0" fillId="0" borderId="0" xfId="1" applyFont="1" applyFill="1" applyBorder="1" applyAlignment="1">
      <alignment horizontal="left"/>
    </xf>
    <xf numFmtId="0" fontId="3" fillId="6" borderId="371" xfId="0" applyFont="1" applyFill="1" applyBorder="1" applyAlignment="1">
      <alignment vertical="center"/>
    </xf>
    <xf numFmtId="178" fontId="3" fillId="0" borderId="0" xfId="2" applyNumberFormat="1" applyFont="1" applyBorder="1"/>
    <xf numFmtId="0" fontId="3" fillId="6" borderId="373" xfId="0" applyFont="1" applyFill="1" applyBorder="1" applyAlignment="1">
      <alignment vertical="center" textRotation="90"/>
    </xf>
    <xf numFmtId="0" fontId="3" fillId="78" borderId="0" xfId="0" applyFont="1" applyFill="1" applyAlignment="1">
      <alignment horizontal="right"/>
    </xf>
    <xf numFmtId="0" fontId="3" fillId="77" borderId="0" xfId="0" applyFont="1" applyFill="1" applyAlignment="1">
      <alignment horizontal="right"/>
    </xf>
    <xf numFmtId="0" fontId="3" fillId="76" borderId="0" xfId="0" applyFont="1" applyFill="1" applyAlignment="1">
      <alignment horizontal="right"/>
    </xf>
    <xf numFmtId="0" fontId="3" fillId="80" borderId="0" xfId="0" applyFont="1" applyFill="1" applyAlignment="1">
      <alignment horizontal="center"/>
    </xf>
    <xf numFmtId="0" fontId="3" fillId="79" borderId="0" xfId="0" applyFont="1" applyFill="1" applyAlignment="1">
      <alignment horizontal="center"/>
    </xf>
    <xf numFmtId="0" fontId="3" fillId="82" borderId="0" xfId="0" applyFont="1" applyFill="1" applyAlignment="1">
      <alignment horizontal="center"/>
    </xf>
    <xf numFmtId="44" fontId="0" fillId="81" borderId="0" xfId="2" applyFont="1" applyFill="1" applyBorder="1"/>
    <xf numFmtId="0" fontId="3" fillId="83" borderId="367" xfId="0" applyFont="1" applyFill="1" applyBorder="1" applyAlignment="1">
      <alignment horizontal="center" vertical="center" wrapText="1"/>
    </xf>
    <xf numFmtId="0" fontId="3" fillId="84" borderId="367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166" fontId="0" fillId="0" borderId="0" xfId="1" applyNumberFormat="1" applyFont="1" applyFill="1" applyBorder="1" applyAlignment="1">
      <alignment horizontal="center" vertical="center" wrapText="1"/>
    </xf>
    <xf numFmtId="44" fontId="0" fillId="0" borderId="0" xfId="2" applyFont="1" applyFill="1" applyBorder="1" applyAlignment="1">
      <alignment horizontal="center" vertical="center" wrapText="1"/>
    </xf>
    <xf numFmtId="3" fontId="0" fillId="0" borderId="0" xfId="2" applyNumberFormat="1" applyFont="1" applyFill="1" applyBorder="1" applyAlignment="1">
      <alignment horizontal="center" vertical="center" wrapText="1"/>
    </xf>
    <xf numFmtId="43" fontId="0" fillId="0" borderId="0" xfId="1" applyFont="1" applyFill="1" applyBorder="1" applyAlignment="1">
      <alignment horizontal="center" vertical="center" wrapText="1"/>
    </xf>
    <xf numFmtId="0" fontId="100" fillId="2" borderId="367" xfId="0" applyFont="1" applyFill="1" applyBorder="1" applyAlignment="1">
      <alignment horizontal="center" vertical="center" wrapText="1"/>
    </xf>
    <xf numFmtId="43" fontId="100" fillId="2" borderId="367" xfId="0" applyNumberFormat="1" applyFont="1" applyFill="1" applyBorder="1" applyAlignment="1">
      <alignment horizontal="center" vertical="center" wrapText="1"/>
    </xf>
    <xf numFmtId="9" fontId="0" fillId="0" borderId="0" xfId="3" applyFont="1" applyFill="1" applyBorder="1"/>
    <xf numFmtId="3" fontId="95" fillId="0" borderId="0" xfId="6089" applyNumberFormat="1" applyFont="1"/>
    <xf numFmtId="3" fontId="104" fillId="6" borderId="367" xfId="0" applyNumberFormat="1" applyFont="1" applyFill="1" applyBorder="1" applyAlignment="1">
      <alignment horizontal="center" vertical="center" wrapText="1"/>
    </xf>
    <xf numFmtId="0" fontId="3" fillId="81" borderId="0" xfId="0" applyFont="1" applyFill="1" applyAlignment="1">
      <alignment horizontal="center"/>
    </xf>
    <xf numFmtId="0" fontId="0" fillId="79" borderId="0" xfId="0" applyFill="1" applyAlignment="1">
      <alignment horizontal="center" vertical="center"/>
    </xf>
    <xf numFmtId="0" fontId="0" fillId="79" borderId="0" xfId="0" applyFill="1" applyAlignment="1">
      <alignment horizontal="left" vertical="center"/>
    </xf>
    <xf numFmtId="0" fontId="0" fillId="80" borderId="0" xfId="0" applyFill="1" applyAlignment="1">
      <alignment horizontal="center" vertical="center"/>
    </xf>
    <xf numFmtId="0" fontId="0" fillId="80" borderId="0" xfId="0" applyFill="1" applyAlignment="1">
      <alignment horizontal="left" vertical="center"/>
    </xf>
    <xf numFmtId="0" fontId="0" fillId="81" borderId="0" xfId="0" applyFill="1" applyAlignment="1">
      <alignment horizontal="center" vertical="center"/>
    </xf>
    <xf numFmtId="0" fontId="0" fillId="82" borderId="0" xfId="0" applyFill="1" applyAlignment="1">
      <alignment horizontal="center" vertical="center"/>
    </xf>
    <xf numFmtId="0" fontId="11" fillId="82" borderId="0" xfId="296" applyFont="1" applyFill="1"/>
    <xf numFmtId="43" fontId="0" fillId="0" borderId="0" xfId="1" applyFont="1" applyFill="1" applyBorder="1" applyAlignment="1">
      <alignment vertical="center"/>
    </xf>
    <xf numFmtId="0" fontId="0" fillId="0" borderId="0" xfId="0" applyAlignment="1">
      <alignment vertical="center"/>
    </xf>
    <xf numFmtId="0" fontId="0" fillId="81" borderId="0" xfId="0" applyFill="1" applyAlignment="1">
      <alignment horizontal="left" vertical="center"/>
    </xf>
    <xf numFmtId="0" fontId="0" fillId="82" borderId="0" xfId="0" applyFill="1" applyAlignment="1">
      <alignment horizontal="left" vertical="center"/>
    </xf>
    <xf numFmtId="0" fontId="0" fillId="70" borderId="0" xfId="0" applyFill="1" applyAlignment="1">
      <alignment horizontal="center" vertical="center"/>
    </xf>
    <xf numFmtId="0" fontId="0" fillId="70" borderId="0" xfId="0" applyFill="1" applyAlignment="1">
      <alignment horizontal="left" vertical="center"/>
    </xf>
    <xf numFmtId="43" fontId="0" fillId="70" borderId="0" xfId="1" applyFont="1" applyFill="1" applyBorder="1" applyAlignment="1">
      <alignment horizontal="left"/>
    </xf>
    <xf numFmtId="43" fontId="0" fillId="79" borderId="0" xfId="1" applyFont="1" applyFill="1" applyBorder="1" applyAlignment="1">
      <alignment horizontal="left"/>
    </xf>
    <xf numFmtId="43" fontId="0" fillId="81" borderId="0" xfId="1" applyFont="1" applyFill="1" applyBorder="1" applyAlignment="1">
      <alignment horizontal="left"/>
    </xf>
    <xf numFmtId="0" fontId="105" fillId="0" borderId="0" xfId="0" applyFont="1" applyAlignment="1">
      <alignment horizontal="left"/>
    </xf>
    <xf numFmtId="0" fontId="0" fillId="5" borderId="0" xfId="0" applyFill="1" applyAlignment="1">
      <alignment horizontal="center" vertical="center"/>
    </xf>
    <xf numFmtId="0" fontId="11" fillId="5" borderId="0" xfId="296" applyFont="1" applyFill="1"/>
    <xf numFmtId="10" fontId="0" fillId="0" borderId="0" xfId="3" applyNumberFormat="1" applyFont="1" applyBorder="1"/>
    <xf numFmtId="10" fontId="106" fillId="0" borderId="0" xfId="3" applyNumberFormat="1" applyFont="1" applyFill="1" applyBorder="1"/>
    <xf numFmtId="43" fontId="0" fillId="78" borderId="0" xfId="1" applyFont="1" applyFill="1" applyAlignment="1">
      <alignment horizontal="left"/>
    </xf>
    <xf numFmtId="43" fontId="0" fillId="80" borderId="0" xfId="1" applyFont="1" applyFill="1"/>
    <xf numFmtId="43" fontId="0" fillId="79" borderId="0" xfId="1" applyFont="1" applyFill="1"/>
    <xf numFmtId="43" fontId="0" fillId="81" borderId="0" xfId="1" applyFont="1" applyFill="1"/>
    <xf numFmtId="43" fontId="0" fillId="82" borderId="0" xfId="1" applyFont="1" applyFill="1"/>
    <xf numFmtId="43" fontId="0" fillId="70" borderId="0" xfId="1" applyFont="1" applyFill="1"/>
    <xf numFmtId="43" fontId="0" fillId="5" borderId="0" xfId="1" applyFont="1" applyFill="1"/>
    <xf numFmtId="0" fontId="107" fillId="0" borderId="0" xfId="296" applyFont="1"/>
    <xf numFmtId="166" fontId="0" fillId="0" borderId="0" xfId="0" applyNumberFormat="1"/>
    <xf numFmtId="44" fontId="0" fillId="84" borderId="0" xfId="2" applyFont="1" applyFill="1" applyBorder="1"/>
    <xf numFmtId="44" fontId="11" fillId="84" borderId="0" xfId="2" applyFont="1" applyFill="1" applyBorder="1"/>
    <xf numFmtId="44" fontId="0" fillId="84" borderId="1" xfId="2" applyFont="1" applyFill="1" applyBorder="1"/>
    <xf numFmtId="180" fontId="0" fillId="80" borderId="0" xfId="1" applyNumberFormat="1" applyFont="1" applyFill="1" applyAlignment="1">
      <alignment horizontal="center"/>
    </xf>
    <xf numFmtId="43" fontId="0" fillId="80" borderId="0" xfId="1" applyFont="1" applyFill="1" applyAlignment="1">
      <alignment horizontal="center"/>
    </xf>
    <xf numFmtId="43" fontId="0" fillId="79" borderId="0" xfId="1" applyFont="1" applyFill="1" applyAlignment="1">
      <alignment horizontal="center"/>
    </xf>
    <xf numFmtId="43" fontId="0" fillId="81" borderId="0" xfId="1" applyFont="1" applyFill="1" applyAlignment="1">
      <alignment horizontal="center"/>
    </xf>
    <xf numFmtId="43" fontId="0" fillId="82" borderId="0" xfId="1" applyFont="1" applyFill="1" applyAlignment="1">
      <alignment horizontal="center"/>
    </xf>
    <xf numFmtId="43" fontId="0" fillId="70" borderId="0" xfId="1" applyFont="1" applyFill="1" applyAlignment="1">
      <alignment horizontal="center"/>
    </xf>
    <xf numFmtId="43" fontId="0" fillId="5" borderId="0" xfId="1" applyFont="1" applyFill="1" applyAlignment="1">
      <alignment horizontal="center"/>
    </xf>
    <xf numFmtId="3" fontId="0" fillId="70" borderId="0" xfId="1" applyNumberFormat="1" applyFont="1" applyFill="1" applyBorder="1" applyAlignment="1">
      <alignment horizontal="right"/>
    </xf>
    <xf numFmtId="43" fontId="0" fillId="70" borderId="0" xfId="0" applyNumberFormat="1" applyFill="1"/>
    <xf numFmtId="0" fontId="3" fillId="0" borderId="1" xfId="0" applyFont="1" applyBorder="1" applyAlignment="1">
      <alignment horizontal="center" wrapText="1"/>
    </xf>
    <xf numFmtId="3" fontId="0" fillId="0" borderId="1" xfId="0" applyNumberFormat="1" applyBorder="1"/>
    <xf numFmtId="166" fontId="0" fillId="0" borderId="1" xfId="0" applyNumberFormat="1" applyBorder="1"/>
    <xf numFmtId="0" fontId="0" fillId="85" borderId="0" xfId="0" applyFill="1" applyAlignment="1">
      <alignment horizontal="left"/>
    </xf>
    <xf numFmtId="0" fontId="0" fillId="85" borderId="0" xfId="0" applyFill="1"/>
    <xf numFmtId="166" fontId="9" fillId="0" borderId="0" xfId="1" applyNumberFormat="1" applyFont="1" applyFill="1" applyAlignment="1">
      <alignment horizontal="right"/>
    </xf>
    <xf numFmtId="166" fontId="108" fillId="0" borderId="0" xfId="1" applyNumberFormat="1" applyFont="1" applyFill="1" applyAlignment="1">
      <alignment horizontal="right"/>
    </xf>
    <xf numFmtId="166" fontId="109" fillId="0" borderId="0" xfId="1" applyNumberFormat="1" applyFont="1" applyFill="1" applyAlignment="1">
      <alignment horizontal="right"/>
    </xf>
    <xf numFmtId="43" fontId="0" fillId="85" borderId="0" xfId="1" applyFont="1" applyFill="1" applyBorder="1"/>
    <xf numFmtId="166" fontId="107" fillId="0" borderId="0" xfId="1" applyNumberFormat="1" applyFont="1" applyFill="1" applyBorder="1"/>
    <xf numFmtId="43" fontId="0" fillId="75" borderId="0" xfId="1" applyFont="1" applyFill="1"/>
    <xf numFmtId="0" fontId="97" fillId="2" borderId="0" xfId="6089" applyFont="1" applyFill="1" applyAlignment="1">
      <alignment horizontal="center"/>
    </xf>
    <xf numFmtId="0" fontId="3" fillId="6" borderId="350" xfId="0" applyFont="1" applyFill="1" applyBorder="1" applyAlignment="1">
      <alignment horizontal="centerContinuous"/>
    </xf>
    <xf numFmtId="0" fontId="3" fillId="6" borderId="368" xfId="0" applyFont="1" applyFill="1" applyBorder="1" applyAlignment="1">
      <alignment horizontal="centerContinuous"/>
    </xf>
    <xf numFmtId="0" fontId="3" fillId="6" borderId="33" xfId="0" applyFont="1" applyFill="1" applyBorder="1" applyAlignment="1">
      <alignment horizontal="centerContinuous"/>
    </xf>
    <xf numFmtId="0" fontId="85" fillId="0" borderId="0" xfId="6089"/>
    <xf numFmtId="43" fontId="95" fillId="0" borderId="0" xfId="1311" applyFont="1" applyFill="1" applyAlignment="1">
      <alignment horizontal="right"/>
    </xf>
    <xf numFmtId="0" fontId="1" fillId="0" borderId="0" xfId="6089" applyFont="1"/>
    <xf numFmtId="0" fontId="9" fillId="0" borderId="0" xfId="6089" applyFont="1"/>
    <xf numFmtId="43" fontId="95" fillId="0" borderId="0" xfId="1311" applyFont="1"/>
    <xf numFmtId="43" fontId="97" fillId="0" borderId="0" xfId="1311" applyFont="1" applyFill="1"/>
    <xf numFmtId="43" fontId="97" fillId="0" borderId="0" xfId="1311" applyFont="1" applyFill="1" applyAlignment="1">
      <alignment horizontal="right"/>
    </xf>
    <xf numFmtId="166" fontId="97" fillId="0" borderId="0" xfId="6089" applyNumberFormat="1" applyFont="1"/>
    <xf numFmtId="43" fontId="97" fillId="0" borderId="0" xfId="1311" applyFont="1"/>
    <xf numFmtId="43" fontId="9" fillId="0" borderId="0" xfId="1311" applyFont="1" applyFill="1"/>
    <xf numFmtId="43" fontId="97" fillId="0" borderId="0" xfId="1311" applyFont="1" applyAlignment="1">
      <alignment horizontal="right"/>
    </xf>
    <xf numFmtId="166" fontId="1" fillId="0" borderId="0" xfId="6089" applyNumberFormat="1" applyFont="1"/>
    <xf numFmtId="43" fontId="112" fillId="0" borderId="0" xfId="6089" applyNumberFormat="1" applyFont="1"/>
    <xf numFmtId="0" fontId="112" fillId="0" borderId="0" xfId="6089" applyFont="1"/>
    <xf numFmtId="166" fontId="95" fillId="0" borderId="368" xfId="1311" applyNumberFormat="1" applyFont="1" applyFill="1" applyBorder="1" applyAlignment="1">
      <alignment horizontal="right"/>
    </xf>
    <xf numFmtId="43" fontId="95" fillId="87" borderId="0" xfId="1311" applyFont="1" applyFill="1"/>
    <xf numFmtId="166" fontId="95" fillId="70" borderId="0" xfId="1311" applyNumberFormat="1" applyFont="1" applyFill="1"/>
    <xf numFmtId="180" fontId="1" fillId="0" borderId="0" xfId="6089" applyNumberFormat="1" applyFont="1"/>
    <xf numFmtId="43" fontId="98" fillId="0" borderId="0" xfId="1311" applyFont="1" applyFill="1" applyAlignment="1">
      <alignment horizontal="center"/>
    </xf>
    <xf numFmtId="43" fontId="98" fillId="0" borderId="0" xfId="1311" applyFont="1" applyAlignment="1">
      <alignment horizontal="center"/>
    </xf>
    <xf numFmtId="166" fontId="12" fillId="0" borderId="0" xfId="1311" applyNumberFormat="1" applyFont="1" applyFill="1"/>
    <xf numFmtId="166" fontId="11" fillId="0" borderId="368" xfId="1311" applyNumberFormat="1" applyFont="1" applyFill="1" applyBorder="1"/>
    <xf numFmtId="166" fontId="9" fillId="0" borderId="368" xfId="1311" applyNumberFormat="1" applyFont="1" applyFill="1" applyBorder="1"/>
    <xf numFmtId="166" fontId="9" fillId="0" borderId="368" xfId="1311" applyNumberFormat="1" applyFont="1" applyFill="1" applyBorder="1" applyAlignment="1">
      <alignment horizontal="right"/>
    </xf>
    <xf numFmtId="180" fontId="95" fillId="0" borderId="0" xfId="6089" applyNumberFormat="1" applyFont="1"/>
    <xf numFmtId="166" fontId="97" fillId="0" borderId="368" xfId="6089" applyNumberFormat="1" applyFont="1" applyBorder="1"/>
    <xf numFmtId="166" fontId="97" fillId="0" borderId="0" xfId="1311" applyNumberFormat="1" applyFont="1" applyFill="1" applyBorder="1"/>
    <xf numFmtId="166" fontId="97" fillId="0" borderId="369" xfId="1311" applyNumberFormat="1" applyFont="1" applyFill="1" applyBorder="1"/>
    <xf numFmtId="166" fontId="95" fillId="86" borderId="0" xfId="1311" applyNumberFormat="1" applyFont="1" applyFill="1"/>
    <xf numFmtId="166" fontId="95" fillId="76" borderId="0" xfId="1311" applyNumberFormat="1" applyFont="1" applyFill="1"/>
    <xf numFmtId="166" fontId="97" fillId="0" borderId="369" xfId="1311" applyNumberFormat="1" applyFont="1" applyBorder="1"/>
    <xf numFmtId="166" fontId="95" fillId="88" borderId="1" xfId="1311" applyNumberFormat="1" applyFont="1" applyFill="1" applyBorder="1"/>
    <xf numFmtId="43" fontId="95" fillId="88" borderId="0" xfId="1311" applyFont="1" applyFill="1"/>
    <xf numFmtId="43" fontId="95" fillId="88" borderId="0" xfId="6089" applyNumberFormat="1" applyFont="1" applyFill="1"/>
    <xf numFmtId="43" fontId="95" fillId="88" borderId="0" xfId="1294" applyFont="1" applyFill="1"/>
    <xf numFmtId="166" fontId="95" fillId="76" borderId="1" xfId="1311" applyNumberFormat="1" applyFont="1" applyFill="1" applyBorder="1"/>
    <xf numFmtId="166" fontId="95" fillId="88" borderId="0" xfId="1311" applyNumberFormat="1" applyFont="1" applyFill="1"/>
    <xf numFmtId="43" fontId="95" fillId="89" borderId="23" xfId="1311" applyFont="1" applyFill="1" applyBorder="1"/>
    <xf numFmtId="43" fontId="95" fillId="89" borderId="22" xfId="1311" applyFont="1" applyFill="1" applyBorder="1"/>
    <xf numFmtId="43" fontId="95" fillId="89" borderId="21" xfId="1311" applyFont="1" applyFill="1" applyBorder="1"/>
    <xf numFmtId="43" fontId="95" fillId="89" borderId="20" xfId="1311" applyFont="1" applyFill="1" applyBorder="1"/>
    <xf numFmtId="0" fontId="98" fillId="89" borderId="21" xfId="6089" applyFont="1" applyFill="1" applyBorder="1" applyAlignment="1">
      <alignment horizontal="center"/>
    </xf>
    <xf numFmtId="0" fontId="98" fillId="89" borderId="20" xfId="6089" applyFont="1" applyFill="1" applyBorder="1" applyAlignment="1">
      <alignment horizontal="center"/>
    </xf>
    <xf numFmtId="0" fontId="95" fillId="89" borderId="21" xfId="6089" applyFont="1" applyFill="1" applyBorder="1"/>
    <xf numFmtId="0" fontId="95" fillId="89" borderId="20" xfId="6089" applyFont="1" applyFill="1" applyBorder="1"/>
    <xf numFmtId="43" fontId="95" fillId="38" borderId="34" xfId="1311" applyFont="1" applyFill="1" applyBorder="1"/>
    <xf numFmtId="0" fontId="97" fillId="89" borderId="19" xfId="6089" applyFont="1" applyFill="1" applyBorder="1"/>
    <xf numFmtId="0" fontId="97" fillId="88" borderId="1" xfId="6089" applyFont="1" applyFill="1" applyBorder="1" applyAlignment="1">
      <alignment horizontal="center" wrapText="1"/>
    </xf>
    <xf numFmtId="0" fontId="11" fillId="0" borderId="0" xfId="6089" applyFont="1"/>
    <xf numFmtId="44" fontId="95" fillId="38" borderId="34" xfId="2" applyFont="1" applyFill="1" applyBorder="1"/>
    <xf numFmtId="43" fontId="11" fillId="0" borderId="0" xfId="1311" applyFont="1" applyFill="1"/>
    <xf numFmtId="166" fontId="11" fillId="0" borderId="0" xfId="1311" applyNumberFormat="1" applyFont="1"/>
    <xf numFmtId="166" fontId="11" fillId="0" borderId="0" xfId="6089" applyNumberFormat="1" applyFont="1"/>
    <xf numFmtId="166" fontId="11" fillId="0" borderId="0" xfId="1311" applyNumberFormat="1" applyFont="1" applyFill="1"/>
    <xf numFmtId="43" fontId="11" fillId="0" borderId="0" xfId="1311" applyFont="1"/>
    <xf numFmtId="43" fontId="11" fillId="0" borderId="0" xfId="6089" applyNumberFormat="1" applyFont="1"/>
    <xf numFmtId="0" fontId="11" fillId="76" borderId="0" xfId="6089" applyFont="1" applyFill="1"/>
    <xf numFmtId="166" fontId="11" fillId="70" borderId="0" xfId="1311" applyNumberFormat="1" applyFont="1" applyFill="1"/>
    <xf numFmtId="0" fontId="11" fillId="0" borderId="0" xfId="6089" applyFont="1" applyAlignment="1">
      <alignment horizontal="right"/>
    </xf>
    <xf numFmtId="43" fontId="95" fillId="0" borderId="368" xfId="1311" applyFont="1" applyFill="1" applyBorder="1"/>
    <xf numFmtId="43" fontId="95" fillId="0" borderId="368" xfId="1311" applyFont="1" applyFill="1" applyBorder="1" applyAlignment="1">
      <alignment horizontal="right"/>
    </xf>
    <xf numFmtId="166" fontId="95" fillId="79" borderId="0" xfId="1311" applyNumberFormat="1" applyFont="1" applyFill="1"/>
    <xf numFmtId="166" fontId="1" fillId="79" borderId="0" xfId="6089" applyNumberFormat="1" applyFont="1" applyFill="1"/>
    <xf numFmtId="43" fontId="95" fillId="79" borderId="0" xfId="1311" applyFont="1" applyFill="1"/>
    <xf numFmtId="0" fontId="95" fillId="79" borderId="0" xfId="6089" applyFont="1" applyFill="1"/>
    <xf numFmtId="0" fontId="3" fillId="0" borderId="0" xfId="6089" applyFont="1" applyAlignment="1">
      <alignment horizontal="right"/>
    </xf>
    <xf numFmtId="43" fontId="95" fillId="5" borderId="0" xfId="1311" applyFont="1" applyFill="1"/>
    <xf numFmtId="0" fontId="113" fillId="0" borderId="0" xfId="6089" applyFont="1"/>
    <xf numFmtId="180" fontId="9" fillId="0" borderId="0" xfId="6089" applyNumberFormat="1" applyFont="1"/>
    <xf numFmtId="43" fontId="9" fillId="0" borderId="0" xfId="6089" applyNumberFormat="1" applyFont="1"/>
    <xf numFmtId="43" fontId="9" fillId="0" borderId="0" xfId="1311" applyFont="1" applyFill="1" applyAlignment="1">
      <alignment horizontal="right"/>
    </xf>
    <xf numFmtId="166" fontId="9" fillId="0" borderId="0" xfId="1311" applyNumberFormat="1" applyFont="1"/>
    <xf numFmtId="166" fontId="9" fillId="70" borderId="0" xfId="1311" applyNumberFormat="1" applyFont="1" applyFill="1"/>
    <xf numFmtId="166" fontId="9" fillId="0" borderId="0" xfId="6089" applyNumberFormat="1" applyFont="1"/>
    <xf numFmtId="166" fontId="9" fillId="0" borderId="0" xfId="1311" applyNumberFormat="1" applyFont="1" applyFill="1"/>
    <xf numFmtId="43" fontId="9" fillId="0" borderId="0" xfId="1311" applyFont="1"/>
    <xf numFmtId="43" fontId="97" fillId="0" borderId="0" xfId="1311" applyFont="1" applyFill="1" applyAlignment="1">
      <alignment horizontal="center" wrapText="1"/>
    </xf>
    <xf numFmtId="166" fontId="114" fillId="0" borderId="1" xfId="1311" applyNumberFormat="1" applyFont="1" applyFill="1" applyBorder="1" applyAlignment="1">
      <alignment horizontal="center" wrapText="1"/>
    </xf>
    <xf numFmtId="0" fontId="114" fillId="0" borderId="1" xfId="6089" applyFont="1" applyBorder="1" applyAlignment="1">
      <alignment horizontal="center" wrapText="1"/>
    </xf>
    <xf numFmtId="43" fontId="97" fillId="0" borderId="0" xfId="1311" applyFont="1" applyFill="1" applyAlignment="1">
      <alignment horizontal="center"/>
    </xf>
    <xf numFmtId="0" fontId="3" fillId="0" borderId="0" xfId="6089" applyFont="1"/>
    <xf numFmtId="43" fontId="97" fillId="0" borderId="0" xfId="1311" applyFont="1" applyAlignment="1">
      <alignment horizontal="center" wrapText="1"/>
    </xf>
    <xf numFmtId="43" fontId="115" fillId="0" borderId="0" xfId="6090" applyNumberFormat="1" applyFont="1"/>
    <xf numFmtId="41" fontId="115" fillId="70" borderId="0" xfId="6090" applyNumberFormat="1" applyFont="1" applyFill="1"/>
    <xf numFmtId="43" fontId="115" fillId="70" borderId="0" xfId="6090" applyNumberFormat="1" applyFont="1" applyFill="1"/>
    <xf numFmtId="10" fontId="115" fillId="0" borderId="0" xfId="6090" applyNumberFormat="1" applyFont="1"/>
    <xf numFmtId="10" fontId="115" fillId="0" borderId="0" xfId="12980" applyNumberFormat="1" applyFont="1"/>
    <xf numFmtId="10" fontId="115" fillId="70" borderId="0" xfId="6090" applyNumberFormat="1" applyFont="1" applyFill="1"/>
    <xf numFmtId="0" fontId="114" fillId="0" borderId="0" xfId="6089" applyFont="1" applyAlignment="1">
      <alignment horizontal="right"/>
    </xf>
    <xf numFmtId="0" fontId="97" fillId="2" borderId="0" xfId="6089" applyFont="1" applyFill="1"/>
    <xf numFmtId="166" fontId="115" fillId="70" borderId="0" xfId="1294" applyNumberFormat="1" applyFont="1" applyFill="1" applyBorder="1"/>
    <xf numFmtId="166" fontId="115" fillId="70" borderId="0" xfId="1294" applyNumberFormat="1" applyFont="1" applyFill="1"/>
    <xf numFmtId="0" fontId="95" fillId="70" borderId="0" xfId="6089" applyFont="1" applyFill="1"/>
    <xf numFmtId="0" fontId="114" fillId="0" borderId="1" xfId="6090" applyFont="1" applyBorder="1" applyAlignment="1">
      <alignment horizontal="center" wrapText="1"/>
    </xf>
    <xf numFmtId="0" fontId="115" fillId="0" borderId="0" xfId="6090" applyFont="1"/>
    <xf numFmtId="0" fontId="0" fillId="0" borderId="0" xfId="1" applyNumberFormat="1" applyFont="1" applyFill="1" applyBorder="1" applyAlignment="1">
      <alignment horizontal="center" wrapText="1"/>
    </xf>
    <xf numFmtId="0" fontId="95" fillId="90" borderId="0" xfId="6089" applyFont="1" applyFill="1"/>
    <xf numFmtId="0" fontId="97" fillId="90" borderId="0" xfId="6089" applyFont="1" applyFill="1" applyAlignment="1">
      <alignment horizontal="center"/>
    </xf>
    <xf numFmtId="17" fontId="97" fillId="90" borderId="0" xfId="6089" applyNumberFormat="1" applyFont="1" applyFill="1" applyAlignment="1">
      <alignment horizontal="center" wrapText="1"/>
    </xf>
    <xf numFmtId="166" fontId="95" fillId="90" borderId="0" xfId="1311" applyNumberFormat="1" applyFont="1" applyFill="1"/>
    <xf numFmtId="166" fontId="95" fillId="90" borderId="0" xfId="1311" applyNumberFormat="1" applyFont="1" applyFill="1" applyBorder="1"/>
    <xf numFmtId="166" fontId="97" fillId="90" borderId="0" xfId="1311" applyNumberFormat="1" applyFont="1" applyFill="1"/>
    <xf numFmtId="166" fontId="11" fillId="90" borderId="0" xfId="1311" applyNumberFormat="1" applyFont="1" applyFill="1"/>
    <xf numFmtId="166" fontId="12" fillId="90" borderId="0" xfId="1311" applyNumberFormat="1" applyFont="1" applyFill="1"/>
    <xf numFmtId="166" fontId="95" fillId="90" borderId="0" xfId="6089" applyNumberFormat="1" applyFont="1" applyFill="1"/>
    <xf numFmtId="166" fontId="85" fillId="90" borderId="0" xfId="6089" applyNumberFormat="1" applyFill="1"/>
    <xf numFmtId="166" fontId="97" fillId="90" borderId="0" xfId="6089" applyNumberFormat="1" applyFont="1" applyFill="1"/>
    <xf numFmtId="181" fontId="11" fillId="70" borderId="0" xfId="1311" applyNumberFormat="1" applyFont="1" applyFill="1"/>
    <xf numFmtId="0" fontId="95" fillId="5" borderId="0" xfId="6089" applyFont="1" applyFill="1"/>
    <xf numFmtId="166" fontId="95" fillId="5" borderId="0" xfId="1311" applyNumberFormat="1" applyFont="1" applyFill="1"/>
    <xf numFmtId="166" fontId="1" fillId="5" borderId="0" xfId="6089" applyNumberFormat="1" applyFont="1" applyFill="1"/>
    <xf numFmtId="43" fontId="9" fillId="5" borderId="0" xfId="1311" applyFont="1" applyFill="1"/>
    <xf numFmtId="0" fontId="9" fillId="5" borderId="0" xfId="6089" applyFont="1" applyFill="1"/>
    <xf numFmtId="0" fontId="0" fillId="80" borderId="0" xfId="0" applyFill="1" applyAlignment="1">
      <alignment horizontal="left"/>
    </xf>
    <xf numFmtId="0" fontId="0" fillId="80" borderId="0" xfId="0" applyFill="1" applyAlignment="1">
      <alignment horizontal="right"/>
    </xf>
    <xf numFmtId="43" fontId="0" fillId="80" borderId="0" xfId="0" applyNumberFormat="1" applyFill="1" applyAlignment="1">
      <alignment horizontal="right"/>
    </xf>
    <xf numFmtId="10" fontId="3" fillId="91" borderId="0" xfId="3" applyNumberFormat="1" applyFont="1" applyFill="1" applyBorder="1" applyAlignment="1">
      <alignment horizontal="right"/>
    </xf>
    <xf numFmtId="0" fontId="117" fillId="0" borderId="0" xfId="37405" applyFont="1"/>
    <xf numFmtId="0" fontId="75" fillId="0" borderId="0" xfId="0" applyFont="1"/>
    <xf numFmtId="0" fontId="118" fillId="0" borderId="0" xfId="37405" applyFont="1"/>
    <xf numFmtId="0" fontId="119" fillId="0" borderId="0" xfId="0" applyFont="1"/>
    <xf numFmtId="0" fontId="120" fillId="0" borderId="0" xfId="156" applyFont="1"/>
    <xf numFmtId="0" fontId="120" fillId="0" borderId="0" xfId="156" applyFont="1" applyAlignment="1">
      <alignment horizontal="center"/>
    </xf>
    <xf numFmtId="0" fontId="118" fillId="89" borderId="367" xfId="156" applyFont="1" applyFill="1" applyBorder="1" applyAlignment="1">
      <alignment horizontal="center"/>
    </xf>
    <xf numFmtId="0" fontId="118" fillId="0" borderId="0" xfId="156" applyFont="1" applyAlignment="1">
      <alignment horizontal="center"/>
    </xf>
    <xf numFmtId="0" fontId="120" fillId="0" borderId="0" xfId="156" applyFont="1" applyAlignment="1">
      <alignment horizontal="center" vertical="center"/>
    </xf>
    <xf numFmtId="0" fontId="119" fillId="0" borderId="0" xfId="0" applyFont="1" applyAlignment="1">
      <alignment horizontal="center" vertical="center"/>
    </xf>
    <xf numFmtId="17" fontId="120" fillId="0" borderId="0" xfId="156" applyNumberFormat="1" applyFont="1"/>
    <xf numFmtId="3" fontId="120" fillId="76" borderId="0" xfId="156" applyNumberFormat="1" applyFont="1" applyFill="1"/>
    <xf numFmtId="3" fontId="119" fillId="76" borderId="0" xfId="0" applyNumberFormat="1" applyFont="1" applyFill="1"/>
    <xf numFmtId="3" fontId="119" fillId="0" borderId="0" xfId="0" applyNumberFormat="1" applyFont="1"/>
    <xf numFmtId="3" fontId="120" fillId="0" borderId="0" xfId="156" applyNumberFormat="1" applyFont="1"/>
    <xf numFmtId="0" fontId="120" fillId="0" borderId="0" xfId="156" applyFont="1" applyAlignment="1">
      <alignment horizontal="right"/>
    </xf>
    <xf numFmtId="3" fontId="120" fillId="0" borderId="1" xfId="156" applyNumberFormat="1" applyFont="1" applyBorder="1"/>
    <xf numFmtId="0" fontId="118" fillId="0" borderId="0" xfId="156" applyFont="1" applyAlignment="1">
      <alignment horizontal="right"/>
    </xf>
    <xf numFmtId="3" fontId="118" fillId="0" borderId="0" xfId="156" applyNumberFormat="1" applyFont="1"/>
    <xf numFmtId="3" fontId="118" fillId="0" borderId="369" xfId="156" applyNumberFormat="1" applyFont="1" applyBorder="1"/>
    <xf numFmtId="9" fontId="119" fillId="0" borderId="0" xfId="12521" applyFont="1"/>
    <xf numFmtId="9" fontId="119" fillId="0" borderId="0" xfId="12521" applyFont="1" applyFill="1" applyBorder="1"/>
    <xf numFmtId="0" fontId="121" fillId="0" borderId="0" xfId="156" applyFont="1"/>
    <xf numFmtId="182" fontId="120" fillId="76" borderId="0" xfId="156" applyNumberFormat="1" applyFont="1" applyFill="1"/>
    <xf numFmtId="182" fontId="120" fillId="0" borderId="0" xfId="156" applyNumberFormat="1" applyFont="1"/>
    <xf numFmtId="171" fontId="119" fillId="0" borderId="0" xfId="12521" applyNumberFormat="1" applyFont="1" applyAlignment="1">
      <alignment horizontal="left"/>
    </xf>
    <xf numFmtId="171" fontId="119" fillId="0" borderId="0" xfId="12521" applyNumberFormat="1" applyFont="1" applyFill="1" applyBorder="1"/>
    <xf numFmtId="0" fontId="118" fillId="0" borderId="0" xfId="156" applyFont="1"/>
    <xf numFmtId="182" fontId="118" fillId="76" borderId="0" xfId="156" applyNumberFormat="1" applyFont="1" applyFill="1"/>
    <xf numFmtId="182" fontId="118" fillId="0" borderId="0" xfId="156" applyNumberFormat="1" applyFont="1"/>
    <xf numFmtId="182" fontId="119" fillId="0" borderId="0" xfId="0" applyNumberFormat="1" applyFont="1"/>
    <xf numFmtId="166" fontId="119" fillId="0" borderId="0" xfId="1294" applyNumberFormat="1" applyFont="1"/>
    <xf numFmtId="166" fontId="119" fillId="0" borderId="0" xfId="1" applyNumberFormat="1" applyFont="1"/>
    <xf numFmtId="0" fontId="122" fillId="92" borderId="0" xfId="0" applyFont="1" applyFill="1"/>
    <xf numFmtId="0" fontId="123" fillId="92" borderId="0" xfId="37406" applyFont="1" applyFill="1"/>
    <xf numFmtId="0" fontId="0" fillId="92" borderId="0" xfId="0" applyFill="1"/>
    <xf numFmtId="43" fontId="0" fillId="92" borderId="0" xfId="1" applyFont="1" applyFill="1"/>
    <xf numFmtId="166" fontId="0" fillId="92" borderId="0" xfId="1" applyNumberFormat="1" applyFont="1" applyFill="1"/>
    <xf numFmtId="0" fontId="124" fillId="92" borderId="0" xfId="37406" applyFont="1" applyFill="1"/>
    <xf numFmtId="0" fontId="0" fillId="92" borderId="0" xfId="0" applyFill="1" applyAlignment="1">
      <alignment horizontal="center"/>
    </xf>
    <xf numFmtId="43" fontId="0" fillId="92" borderId="0" xfId="1" applyFont="1" applyFill="1" applyAlignment="1">
      <alignment horizontal="center"/>
    </xf>
    <xf numFmtId="166" fontId="0" fillId="92" borderId="0" xfId="1" applyNumberFormat="1" applyFont="1" applyFill="1" applyAlignment="1">
      <alignment horizontal="center"/>
    </xf>
    <xf numFmtId="0" fontId="125" fillId="92" borderId="0" xfId="37406" applyFont="1" applyFill="1" applyAlignment="1">
      <alignment horizontal="left"/>
    </xf>
    <xf numFmtId="0" fontId="125" fillId="92" borderId="0" xfId="37406" applyFont="1" applyFill="1" applyAlignment="1">
      <alignment horizontal="center"/>
    </xf>
    <xf numFmtId="0" fontId="0" fillId="92" borderId="368" xfId="0" applyFill="1" applyBorder="1" applyAlignment="1">
      <alignment horizontal="center" wrapText="1"/>
    </xf>
    <xf numFmtId="43" fontId="0" fillId="92" borderId="368" xfId="1" applyFont="1" applyFill="1" applyBorder="1" applyAlignment="1">
      <alignment horizontal="center" wrapText="1"/>
    </xf>
    <xf numFmtId="166" fontId="0" fillId="92" borderId="368" xfId="1" applyNumberFormat="1" applyFont="1" applyFill="1" applyBorder="1" applyAlignment="1">
      <alignment horizontal="center" wrapText="1"/>
    </xf>
    <xf numFmtId="0" fontId="0" fillId="92" borderId="0" xfId="0" applyFill="1" applyAlignment="1">
      <alignment horizontal="center" wrapText="1"/>
    </xf>
    <xf numFmtId="0" fontId="0" fillId="92" borderId="368" xfId="0" applyFill="1" applyBorder="1" applyAlignment="1">
      <alignment horizontal="center"/>
    </xf>
    <xf numFmtId="0" fontId="126" fillId="93" borderId="0" xfId="37406" applyFont="1" applyFill="1" applyAlignment="1">
      <alignment horizontal="left"/>
    </xf>
    <xf numFmtId="0" fontId="127" fillId="93" borderId="0" xfId="37406" applyFont="1" applyFill="1" applyAlignment="1">
      <alignment horizontal="left"/>
    </xf>
    <xf numFmtId="0" fontId="128" fillId="2" borderId="0" xfId="37406" applyFont="1" applyFill="1"/>
    <xf numFmtId="166" fontId="0" fillId="92" borderId="0" xfId="0" applyNumberFormat="1" applyFill="1"/>
    <xf numFmtId="0" fontId="120" fillId="92" borderId="0" xfId="0" applyFont="1" applyFill="1"/>
    <xf numFmtId="182" fontId="0" fillId="92" borderId="0" xfId="1" applyNumberFormat="1" applyFont="1" applyFill="1"/>
    <xf numFmtId="43" fontId="0" fillId="92" borderId="0" xfId="0" applyNumberFormat="1" applyFill="1"/>
    <xf numFmtId="0" fontId="120" fillId="0" borderId="0" xfId="0" applyFont="1"/>
    <xf numFmtId="0" fontId="123" fillId="92" borderId="0" xfId="37407" applyFont="1" applyFill="1"/>
    <xf numFmtId="0" fontId="129" fillId="92" borderId="0" xfId="37406" applyFont="1" applyFill="1" applyAlignment="1">
      <alignment horizontal="right"/>
    </xf>
    <xf numFmtId="43" fontId="0" fillId="92" borderId="368" xfId="0" applyNumberFormat="1" applyFill="1" applyBorder="1"/>
    <xf numFmtId="0" fontId="0" fillId="92" borderId="368" xfId="0" applyFill="1" applyBorder="1"/>
    <xf numFmtId="166" fontId="0" fillId="92" borderId="368" xfId="1" applyNumberFormat="1" applyFont="1" applyFill="1" applyBorder="1"/>
    <xf numFmtId="182" fontId="0" fillId="92" borderId="368" xfId="0" applyNumberFormat="1" applyFill="1" applyBorder="1"/>
    <xf numFmtId="166" fontId="0" fillId="70" borderId="0" xfId="0" applyNumberFormat="1" applyFill="1"/>
    <xf numFmtId="166" fontId="0" fillId="70" borderId="0" xfId="1" applyNumberFormat="1" applyFont="1" applyFill="1"/>
    <xf numFmtId="43" fontId="119" fillId="92" borderId="0" xfId="1" applyFont="1" applyFill="1"/>
    <xf numFmtId="43" fontId="0" fillId="92" borderId="368" xfId="1" applyFont="1" applyFill="1" applyBorder="1"/>
    <xf numFmtId="183" fontId="0" fillId="92" borderId="368" xfId="0" applyNumberFormat="1" applyFill="1" applyBorder="1"/>
    <xf numFmtId="166" fontId="0" fillId="92" borderId="368" xfId="0" applyNumberFormat="1" applyFill="1" applyBorder="1"/>
    <xf numFmtId="43" fontId="0" fillId="70" borderId="0" xfId="1" applyFont="1" applyFill="1" applyBorder="1"/>
    <xf numFmtId="166" fontId="0" fillId="70" borderId="0" xfId="1" applyNumberFormat="1" applyFont="1" applyFill="1" applyBorder="1"/>
    <xf numFmtId="183" fontId="0" fillId="92" borderId="0" xfId="0" applyNumberFormat="1" applyFill="1"/>
    <xf numFmtId="43" fontId="0" fillId="92" borderId="370" xfId="0" applyNumberFormat="1" applyFill="1" applyBorder="1"/>
    <xf numFmtId="183" fontId="0" fillId="92" borderId="370" xfId="0" applyNumberFormat="1" applyFill="1" applyBorder="1"/>
    <xf numFmtId="43" fontId="0" fillId="92" borderId="370" xfId="1" applyFont="1" applyFill="1" applyBorder="1"/>
    <xf numFmtId="166" fontId="0" fillId="92" borderId="370" xfId="1" applyNumberFormat="1" applyFont="1" applyFill="1" applyBorder="1"/>
    <xf numFmtId="166" fontId="0" fillId="92" borderId="370" xfId="0" applyNumberFormat="1" applyFill="1" applyBorder="1"/>
    <xf numFmtId="41" fontId="0" fillId="92" borderId="0" xfId="0" applyNumberFormat="1" applyFill="1"/>
    <xf numFmtId="166" fontId="0" fillId="92" borderId="0" xfId="1" applyNumberFormat="1" applyFont="1" applyFill="1" applyBorder="1"/>
    <xf numFmtId="9" fontId="0" fillId="92" borderId="0" xfId="3" applyFont="1" applyFill="1"/>
    <xf numFmtId="0" fontId="3" fillId="92" borderId="0" xfId="0" applyFont="1" applyFill="1" applyAlignment="1">
      <alignment horizontal="center"/>
    </xf>
    <xf numFmtId="166" fontId="3" fillId="92" borderId="1" xfId="1" applyNumberFormat="1" applyFont="1" applyFill="1" applyBorder="1" applyAlignment="1">
      <alignment horizontal="center"/>
    </xf>
    <xf numFmtId="3" fontId="0" fillId="92" borderId="0" xfId="0" applyNumberFormat="1" applyFill="1"/>
    <xf numFmtId="10" fontId="0" fillId="92" borderId="0" xfId="0" applyNumberFormat="1" applyFill="1"/>
    <xf numFmtId="166" fontId="3" fillId="76" borderId="0" xfId="1" applyNumberFormat="1" applyFont="1" applyFill="1" applyBorder="1" applyAlignment="1">
      <alignment horizontal="right"/>
    </xf>
    <xf numFmtId="166" fontId="0" fillId="92" borderId="0" xfId="1" applyNumberFormat="1" applyFont="1" applyFill="1" applyBorder="1" applyAlignment="1">
      <alignment horizontal="right"/>
    </xf>
    <xf numFmtId="3" fontId="3" fillId="92" borderId="0" xfId="0" applyNumberFormat="1" applyFont="1" applyFill="1"/>
    <xf numFmtId="10" fontId="3" fillId="92" borderId="0" xfId="0" applyNumberFormat="1" applyFont="1" applyFill="1"/>
    <xf numFmtId="0" fontId="0" fillId="92" borderId="0" xfId="0" applyFill="1" applyAlignment="1">
      <alignment horizontal="left"/>
    </xf>
    <xf numFmtId="10" fontId="0" fillId="92" borderId="0" xfId="3" applyNumberFormat="1" applyFont="1" applyFill="1" applyBorder="1" applyAlignment="1">
      <alignment horizontal="right"/>
    </xf>
    <xf numFmtId="9" fontId="0" fillId="92" borderId="0" xfId="3" applyFont="1" applyFill="1" applyBorder="1" applyAlignment="1">
      <alignment horizontal="right"/>
    </xf>
    <xf numFmtId="44" fontId="0" fillId="92" borderId="0" xfId="2" applyFont="1" applyFill="1" applyBorder="1" applyAlignment="1">
      <alignment horizontal="right"/>
    </xf>
    <xf numFmtId="0" fontId="3" fillId="92" borderId="0" xfId="0" applyFont="1" applyFill="1" applyAlignment="1">
      <alignment horizontal="right"/>
    </xf>
    <xf numFmtId="166" fontId="3" fillId="92" borderId="0" xfId="1" applyNumberFormat="1" applyFont="1" applyFill="1" applyBorder="1"/>
    <xf numFmtId="10" fontId="0" fillId="92" borderId="0" xfId="3" applyNumberFormat="1" applyFont="1" applyFill="1"/>
    <xf numFmtId="44" fontId="119" fillId="0" borderId="0" xfId="2" applyFont="1"/>
    <xf numFmtId="164" fontId="119" fillId="0" borderId="0" xfId="2" applyNumberFormat="1" applyFont="1"/>
    <xf numFmtId="166" fontId="119" fillId="0" borderId="368" xfId="1" applyNumberFormat="1" applyFont="1" applyBorder="1"/>
    <xf numFmtId="0" fontId="100" fillId="0" borderId="0" xfId="0" applyFont="1" applyAlignment="1">
      <alignment horizontal="center"/>
    </xf>
    <xf numFmtId="0" fontId="100" fillId="0" borderId="0" xfId="0" applyFont="1"/>
    <xf numFmtId="171" fontId="119" fillId="0" borderId="0" xfId="3" applyNumberFormat="1" applyFont="1"/>
    <xf numFmtId="166" fontId="119" fillId="0" borderId="370" xfId="1" applyNumberFormat="1" applyFont="1" applyBorder="1"/>
    <xf numFmtId="164" fontId="119" fillId="0" borderId="0" xfId="0" applyNumberFormat="1" applyFont="1"/>
    <xf numFmtId="184" fontId="0" fillId="0" borderId="0" xfId="1" applyNumberFormat="1" applyFont="1"/>
    <xf numFmtId="0" fontId="119" fillId="70" borderId="374" xfId="0" applyFont="1" applyFill="1" applyBorder="1"/>
    <xf numFmtId="0" fontId="100" fillId="70" borderId="375" xfId="0" applyFont="1" applyFill="1" applyBorder="1" applyAlignment="1">
      <alignment horizontal="center"/>
    </xf>
    <xf numFmtId="0" fontId="100" fillId="70" borderId="376" xfId="0" applyFont="1" applyFill="1" applyBorder="1" applyAlignment="1">
      <alignment horizontal="center"/>
    </xf>
    <xf numFmtId="0" fontId="119" fillId="70" borderId="375" xfId="0" applyFont="1" applyFill="1" applyBorder="1"/>
    <xf numFmtId="0" fontId="119" fillId="70" borderId="376" xfId="0" applyFont="1" applyFill="1" applyBorder="1"/>
    <xf numFmtId="0" fontId="95" fillId="0" borderId="0" xfId="0" applyFont="1"/>
    <xf numFmtId="0" fontId="0" fillId="6" borderId="0" xfId="0" applyFill="1" applyAlignment="1">
      <alignment horizontal="center"/>
    </xf>
    <xf numFmtId="0" fontId="3" fillId="6" borderId="1" xfId="0" applyFont="1" applyFill="1" applyBorder="1" applyAlignment="1">
      <alignment horizontal="center"/>
    </xf>
    <xf numFmtId="0" fontId="0" fillId="0" borderId="0" xfId="0" applyAlignment="1">
      <alignment horizontal="left"/>
    </xf>
    <xf numFmtId="0" fontId="3" fillId="82" borderId="337" xfId="0" applyFont="1" applyFill="1" applyBorder="1" applyAlignment="1">
      <alignment horizontal="center" vertical="center" textRotation="90"/>
    </xf>
    <xf numFmtId="0" fontId="3" fillId="82" borderId="338" xfId="0" applyFont="1" applyFill="1" applyBorder="1" applyAlignment="1">
      <alignment horizontal="center" vertical="center" textRotation="90"/>
    </xf>
    <xf numFmtId="0" fontId="3" fillId="82" borderId="372" xfId="0" applyFont="1" applyFill="1" applyBorder="1" applyAlignment="1">
      <alignment horizontal="center" vertical="center" textRotation="90"/>
    </xf>
    <xf numFmtId="0" fontId="3" fillId="80" borderId="337" xfId="0" applyFont="1" applyFill="1" applyBorder="1" applyAlignment="1">
      <alignment horizontal="center" vertical="center" textRotation="90"/>
    </xf>
    <xf numFmtId="0" fontId="3" fillId="80" borderId="372" xfId="0" applyFont="1" applyFill="1" applyBorder="1" applyAlignment="1">
      <alignment horizontal="center" vertical="center" textRotation="90"/>
    </xf>
    <xf numFmtId="0" fontId="3" fillId="80" borderId="338" xfId="0" applyFont="1" applyFill="1" applyBorder="1" applyAlignment="1">
      <alignment horizontal="center" vertical="center" textRotation="90"/>
    </xf>
    <xf numFmtId="0" fontId="3" fillId="6" borderId="350" xfId="0" applyFont="1" applyFill="1" applyBorder="1" applyAlignment="1">
      <alignment horizontal="center"/>
    </xf>
    <xf numFmtId="0" fontId="3" fillId="6" borderId="368" xfId="0" applyFont="1" applyFill="1" applyBorder="1" applyAlignment="1">
      <alignment horizontal="center"/>
    </xf>
    <xf numFmtId="0" fontId="3" fillId="6" borderId="33" xfId="0" applyFont="1" applyFill="1" applyBorder="1" applyAlignment="1">
      <alignment horizontal="center"/>
    </xf>
    <xf numFmtId="0" fontId="3" fillId="79" borderId="338" xfId="0" applyFont="1" applyFill="1" applyBorder="1" applyAlignment="1">
      <alignment horizontal="center" vertical="center" textRotation="90"/>
    </xf>
    <xf numFmtId="0" fontId="3" fillId="79" borderId="372" xfId="0" applyFont="1" applyFill="1" applyBorder="1" applyAlignment="1">
      <alignment horizontal="center" vertical="center" textRotation="90"/>
    </xf>
    <xf numFmtId="0" fontId="3" fillId="79" borderId="337" xfId="0" applyFont="1" applyFill="1" applyBorder="1" applyAlignment="1">
      <alignment horizontal="center" vertical="center" textRotation="90"/>
    </xf>
    <xf numFmtId="0" fontId="97" fillId="2" borderId="0" xfId="6089" applyFont="1" applyFill="1" applyAlignment="1">
      <alignment horizontal="center"/>
    </xf>
    <xf numFmtId="0" fontId="118" fillId="2" borderId="350" xfId="156" applyFont="1" applyFill="1" applyBorder="1" applyAlignment="1">
      <alignment horizontal="center" vertical="center"/>
    </xf>
    <xf numFmtId="0" fontId="118" fillId="2" borderId="368" xfId="156" applyFont="1" applyFill="1" applyBorder="1" applyAlignment="1">
      <alignment horizontal="center" vertical="center"/>
    </xf>
    <xf numFmtId="0" fontId="118" fillId="2" borderId="33" xfId="156" applyFont="1" applyFill="1" applyBorder="1" applyAlignment="1">
      <alignment horizontal="center" vertical="center"/>
    </xf>
    <xf numFmtId="0" fontId="118" fillId="0" borderId="0" xfId="156" applyFont="1" applyAlignment="1">
      <alignment horizontal="center" vertical="center"/>
    </xf>
    <xf numFmtId="43" fontId="0" fillId="0" borderId="0" xfId="1" applyFont="1" applyFill="1"/>
    <xf numFmtId="166" fontId="0" fillId="70" borderId="23" xfId="0" applyNumberFormat="1" applyFill="1" applyBorder="1"/>
    <xf numFmtId="166" fontId="0" fillId="70" borderId="2" xfId="0" applyNumberFormat="1" applyFill="1" applyBorder="1"/>
    <xf numFmtId="0" fontId="0" fillId="70" borderId="22" xfId="0" applyFill="1" applyBorder="1"/>
    <xf numFmtId="166" fontId="0" fillId="92" borderId="377" xfId="1" applyNumberFormat="1" applyFont="1" applyFill="1" applyBorder="1"/>
    <xf numFmtId="166" fontId="0" fillId="92" borderId="1" xfId="1" applyNumberFormat="1" applyFont="1" applyFill="1" applyBorder="1"/>
    <xf numFmtId="166" fontId="0" fillId="92" borderId="1" xfId="0" applyNumberFormat="1" applyFill="1" applyBorder="1"/>
    <xf numFmtId="0" fontId="0" fillId="92" borderId="378" xfId="0" applyFill="1" applyBorder="1"/>
    <xf numFmtId="166" fontId="0" fillId="92" borderId="21" xfId="0" applyNumberFormat="1" applyFill="1" applyBorder="1"/>
    <xf numFmtId="0" fontId="0" fillId="92" borderId="20" xfId="0" applyFill="1" applyBorder="1"/>
    <xf numFmtId="166" fontId="0" fillId="92" borderId="34" xfId="0" applyNumberFormat="1" applyFill="1" applyBorder="1"/>
    <xf numFmtId="166" fontId="0" fillId="92" borderId="31" xfId="1" applyNumberFormat="1" applyFont="1" applyFill="1" applyBorder="1"/>
    <xf numFmtId="166" fontId="0" fillId="92" borderId="31" xfId="0" applyNumberFormat="1" applyFill="1" applyBorder="1"/>
    <xf numFmtId="0" fontId="0" fillId="92" borderId="19" xfId="0" applyFill="1" applyBorder="1"/>
  </cellXfs>
  <cellStyles count="37408">
    <cellStyle name="20% - Accent1" xfId="13370" builtinId="30" customBuiltin="1"/>
    <cellStyle name="20% - Accent1 2" xfId="40" xr:uid="{00000000-0005-0000-0000-000001000000}"/>
    <cellStyle name="20% - Accent1 2 2" xfId="297" xr:uid="{00000000-0005-0000-0000-000002000000}"/>
    <cellStyle name="20% - Accent1 2 2 2" xfId="371" xr:uid="{00000000-0005-0000-0000-000003000000}"/>
    <cellStyle name="20% - Accent1 2 3" xfId="372" xr:uid="{00000000-0005-0000-0000-000004000000}"/>
    <cellStyle name="20% - Accent1 2 4" xfId="373" xr:uid="{00000000-0005-0000-0000-000005000000}"/>
    <cellStyle name="20% - Accent1 2 5" xfId="374" xr:uid="{00000000-0005-0000-0000-000006000000}"/>
    <cellStyle name="20% - Accent1 3" xfId="39" xr:uid="{00000000-0005-0000-0000-000007000000}"/>
    <cellStyle name="20% - Accent1 3 2" xfId="298" xr:uid="{00000000-0005-0000-0000-000008000000}"/>
    <cellStyle name="20% - Accent1 3 2 2" xfId="375" xr:uid="{00000000-0005-0000-0000-000009000000}"/>
    <cellStyle name="20% - Accent1 3 3" xfId="376" xr:uid="{00000000-0005-0000-0000-00000A000000}"/>
    <cellStyle name="20% - Accent1 4" xfId="377" xr:uid="{00000000-0005-0000-0000-00000B000000}"/>
    <cellStyle name="20% - Accent1 4 2" xfId="378" xr:uid="{00000000-0005-0000-0000-00000C000000}"/>
    <cellStyle name="20% - Accent1 4 3" xfId="379" xr:uid="{00000000-0005-0000-0000-00000D000000}"/>
    <cellStyle name="20% - Accent1 5" xfId="380" xr:uid="{00000000-0005-0000-0000-00000E000000}"/>
    <cellStyle name="20% - Accent1 6" xfId="381" xr:uid="{00000000-0005-0000-0000-00000F000000}"/>
    <cellStyle name="20% - Accent2" xfId="13374" builtinId="34" customBuiltin="1"/>
    <cellStyle name="20% - Accent2 2" xfId="42" xr:uid="{00000000-0005-0000-0000-000011000000}"/>
    <cellStyle name="20% - Accent2 2 2" xfId="382" xr:uid="{00000000-0005-0000-0000-000012000000}"/>
    <cellStyle name="20% - Accent2 2 3" xfId="383" xr:uid="{00000000-0005-0000-0000-000013000000}"/>
    <cellStyle name="20% - Accent2 3" xfId="41" xr:uid="{00000000-0005-0000-0000-000014000000}"/>
    <cellStyle name="20% - Accent2 3 2" xfId="385" xr:uid="{00000000-0005-0000-0000-000015000000}"/>
    <cellStyle name="20% - Accent2 3 3" xfId="386" xr:uid="{00000000-0005-0000-0000-000016000000}"/>
    <cellStyle name="20% - Accent2 3 4" xfId="384" xr:uid="{00000000-0005-0000-0000-000017000000}"/>
    <cellStyle name="20% - Accent2 4" xfId="387" xr:uid="{00000000-0005-0000-0000-000018000000}"/>
    <cellStyle name="20% - Accent2 4 2" xfId="388" xr:uid="{00000000-0005-0000-0000-000019000000}"/>
    <cellStyle name="20% - Accent2 5" xfId="389" xr:uid="{00000000-0005-0000-0000-00001A000000}"/>
    <cellStyle name="20% - Accent2 6" xfId="390" xr:uid="{00000000-0005-0000-0000-00001B000000}"/>
    <cellStyle name="20% - Accent3" xfId="13378" builtinId="38" customBuiltin="1"/>
    <cellStyle name="20% - Accent3 2" xfId="44" xr:uid="{00000000-0005-0000-0000-00001D000000}"/>
    <cellStyle name="20% - Accent3 2 2" xfId="391" xr:uid="{00000000-0005-0000-0000-00001E000000}"/>
    <cellStyle name="20% - Accent3 3" xfId="43" xr:uid="{00000000-0005-0000-0000-00001F000000}"/>
    <cellStyle name="20% - Accent3 3 2" xfId="393" xr:uid="{00000000-0005-0000-0000-000020000000}"/>
    <cellStyle name="20% - Accent3 3 3" xfId="394" xr:uid="{00000000-0005-0000-0000-000021000000}"/>
    <cellStyle name="20% - Accent3 3 4" xfId="392" xr:uid="{00000000-0005-0000-0000-000022000000}"/>
    <cellStyle name="20% - Accent3 4" xfId="395" xr:uid="{00000000-0005-0000-0000-000023000000}"/>
    <cellStyle name="20% - Accent3 4 2" xfId="396" xr:uid="{00000000-0005-0000-0000-000024000000}"/>
    <cellStyle name="20% - Accent3 5" xfId="397" xr:uid="{00000000-0005-0000-0000-000025000000}"/>
    <cellStyle name="20% - Accent3 6" xfId="398" xr:uid="{00000000-0005-0000-0000-000026000000}"/>
    <cellStyle name="20% - Accent4" xfId="13382" builtinId="42" customBuiltin="1"/>
    <cellStyle name="20% - Accent4 2" xfId="46" xr:uid="{00000000-0005-0000-0000-000028000000}"/>
    <cellStyle name="20% - Accent4 2 2" xfId="299" xr:uid="{00000000-0005-0000-0000-000029000000}"/>
    <cellStyle name="20% - Accent4 2 2 2" xfId="399" xr:uid="{00000000-0005-0000-0000-00002A000000}"/>
    <cellStyle name="20% - Accent4 2 3" xfId="400" xr:uid="{00000000-0005-0000-0000-00002B000000}"/>
    <cellStyle name="20% - Accent4 3" xfId="45" xr:uid="{00000000-0005-0000-0000-00002C000000}"/>
    <cellStyle name="20% - Accent4 3 2" xfId="300" xr:uid="{00000000-0005-0000-0000-00002D000000}"/>
    <cellStyle name="20% - Accent4 3 2 2" xfId="401" xr:uid="{00000000-0005-0000-0000-00002E000000}"/>
    <cellStyle name="20% - Accent4 3 3" xfId="402" xr:uid="{00000000-0005-0000-0000-00002F000000}"/>
    <cellStyle name="20% - Accent4 4" xfId="403" xr:uid="{00000000-0005-0000-0000-000030000000}"/>
    <cellStyle name="20% - Accent4 4 2" xfId="404" xr:uid="{00000000-0005-0000-0000-000031000000}"/>
    <cellStyle name="20% - Accent4 4 3" xfId="405" xr:uid="{00000000-0005-0000-0000-000032000000}"/>
    <cellStyle name="20% - Accent4 5" xfId="406" xr:uid="{00000000-0005-0000-0000-000033000000}"/>
    <cellStyle name="20% - Accent4 6" xfId="407" xr:uid="{00000000-0005-0000-0000-000034000000}"/>
    <cellStyle name="20% - Accent5" xfId="13386" builtinId="46" customBuiltin="1"/>
    <cellStyle name="20% - Accent5 2" xfId="48" xr:uid="{00000000-0005-0000-0000-000036000000}"/>
    <cellStyle name="20% - Accent5 2 2" xfId="408" xr:uid="{00000000-0005-0000-0000-000037000000}"/>
    <cellStyle name="20% - Accent5 3" xfId="47" xr:uid="{00000000-0005-0000-0000-000038000000}"/>
    <cellStyle name="20% - Accent5 3 2" xfId="409" xr:uid="{00000000-0005-0000-0000-000039000000}"/>
    <cellStyle name="20% - Accent5 3 3" xfId="410" xr:uid="{00000000-0005-0000-0000-00003A000000}"/>
    <cellStyle name="20% - Accent5 4" xfId="411" xr:uid="{00000000-0005-0000-0000-00003B000000}"/>
    <cellStyle name="20% - Accent5 4 2" xfId="412" xr:uid="{00000000-0005-0000-0000-00003C000000}"/>
    <cellStyle name="20% - Accent5 5" xfId="413" xr:uid="{00000000-0005-0000-0000-00003D000000}"/>
    <cellStyle name="20% - Accent6" xfId="13390" builtinId="50" customBuiltin="1"/>
    <cellStyle name="20% - Accent6 2" xfId="50" xr:uid="{00000000-0005-0000-0000-00003F000000}"/>
    <cellStyle name="20% - Accent6 2 2" xfId="414" xr:uid="{00000000-0005-0000-0000-000040000000}"/>
    <cellStyle name="20% - Accent6 2 3" xfId="415" xr:uid="{00000000-0005-0000-0000-000041000000}"/>
    <cellStyle name="20% - Accent6 3" xfId="49" xr:uid="{00000000-0005-0000-0000-000042000000}"/>
    <cellStyle name="20% - Accent6 3 2" xfId="417" xr:uid="{00000000-0005-0000-0000-000043000000}"/>
    <cellStyle name="20% - Accent6 3 3" xfId="418" xr:uid="{00000000-0005-0000-0000-000044000000}"/>
    <cellStyle name="20% - Accent6 3 4" xfId="416" xr:uid="{00000000-0005-0000-0000-000045000000}"/>
    <cellStyle name="20% - Accent6 4" xfId="419" xr:uid="{00000000-0005-0000-0000-000046000000}"/>
    <cellStyle name="20% - Accent6 4 2" xfId="420" xr:uid="{00000000-0005-0000-0000-000047000000}"/>
    <cellStyle name="20% - Accent6 5" xfId="421" xr:uid="{00000000-0005-0000-0000-000048000000}"/>
    <cellStyle name="40% - Accent1" xfId="13371" builtinId="31" customBuiltin="1"/>
    <cellStyle name="40% - Accent1 2" xfId="52" xr:uid="{00000000-0005-0000-0000-00004A000000}"/>
    <cellStyle name="40% - Accent1 2 2" xfId="422" xr:uid="{00000000-0005-0000-0000-00004B000000}"/>
    <cellStyle name="40% - Accent1 2 3" xfId="423" xr:uid="{00000000-0005-0000-0000-00004C000000}"/>
    <cellStyle name="40% - Accent1 3" xfId="51" xr:uid="{00000000-0005-0000-0000-00004D000000}"/>
    <cellStyle name="40% - Accent1 3 2" xfId="301" xr:uid="{00000000-0005-0000-0000-00004E000000}"/>
    <cellStyle name="40% - Accent1 3 2 2" xfId="424" xr:uid="{00000000-0005-0000-0000-00004F000000}"/>
    <cellStyle name="40% - Accent1 3 3" xfId="425" xr:uid="{00000000-0005-0000-0000-000050000000}"/>
    <cellStyle name="40% - Accent1 4" xfId="426" xr:uid="{00000000-0005-0000-0000-000051000000}"/>
    <cellStyle name="40% - Accent1 4 2" xfId="427" xr:uid="{00000000-0005-0000-0000-000052000000}"/>
    <cellStyle name="40% - Accent1 5" xfId="428" xr:uid="{00000000-0005-0000-0000-000053000000}"/>
    <cellStyle name="40% - Accent1 6" xfId="429" xr:uid="{00000000-0005-0000-0000-000054000000}"/>
    <cellStyle name="40% - Accent2" xfId="13375" builtinId="35" customBuiltin="1"/>
    <cellStyle name="40% - Accent2 2" xfId="54" xr:uid="{00000000-0005-0000-0000-000056000000}"/>
    <cellStyle name="40% - Accent2 2 2" xfId="430" xr:uid="{00000000-0005-0000-0000-000057000000}"/>
    <cellStyle name="40% - Accent2 3" xfId="53" xr:uid="{00000000-0005-0000-0000-000058000000}"/>
    <cellStyle name="40% - Accent2 3 2" xfId="431" xr:uid="{00000000-0005-0000-0000-000059000000}"/>
    <cellStyle name="40% - Accent2 3 3" xfId="432" xr:uid="{00000000-0005-0000-0000-00005A000000}"/>
    <cellStyle name="40% - Accent2 4" xfId="433" xr:uid="{00000000-0005-0000-0000-00005B000000}"/>
    <cellStyle name="40% - Accent2 4 2" xfId="434" xr:uid="{00000000-0005-0000-0000-00005C000000}"/>
    <cellStyle name="40% - Accent2 5" xfId="435" xr:uid="{00000000-0005-0000-0000-00005D000000}"/>
    <cellStyle name="40% - Accent3" xfId="13379" builtinId="39" customBuiltin="1"/>
    <cellStyle name="40% - Accent3 2" xfId="56" xr:uid="{00000000-0005-0000-0000-00005F000000}"/>
    <cellStyle name="40% - Accent3 2 2" xfId="436" xr:uid="{00000000-0005-0000-0000-000060000000}"/>
    <cellStyle name="40% - Accent3 2 3" xfId="437" xr:uid="{00000000-0005-0000-0000-000061000000}"/>
    <cellStyle name="40% - Accent3 3" xfId="55" xr:uid="{00000000-0005-0000-0000-000062000000}"/>
    <cellStyle name="40% - Accent3 3 2" xfId="439" xr:uid="{00000000-0005-0000-0000-000063000000}"/>
    <cellStyle name="40% - Accent3 3 3" xfId="440" xr:uid="{00000000-0005-0000-0000-000064000000}"/>
    <cellStyle name="40% - Accent3 3 4" xfId="438" xr:uid="{00000000-0005-0000-0000-000065000000}"/>
    <cellStyle name="40% - Accent3 4" xfId="441" xr:uid="{00000000-0005-0000-0000-000066000000}"/>
    <cellStyle name="40% - Accent3 4 2" xfId="442" xr:uid="{00000000-0005-0000-0000-000067000000}"/>
    <cellStyle name="40% - Accent3 5" xfId="443" xr:uid="{00000000-0005-0000-0000-000068000000}"/>
    <cellStyle name="40% - Accent3 6" xfId="444" xr:uid="{00000000-0005-0000-0000-000069000000}"/>
    <cellStyle name="40% - Accent4" xfId="13383" builtinId="43" customBuiltin="1"/>
    <cellStyle name="40% - Accent4 2" xfId="58" xr:uid="{00000000-0005-0000-0000-00006B000000}"/>
    <cellStyle name="40% - Accent4 2 2" xfId="445" xr:uid="{00000000-0005-0000-0000-00006C000000}"/>
    <cellStyle name="40% - Accent4 2 3" xfId="446" xr:uid="{00000000-0005-0000-0000-00006D000000}"/>
    <cellStyle name="40% - Accent4 3" xfId="57" xr:uid="{00000000-0005-0000-0000-00006E000000}"/>
    <cellStyle name="40% - Accent4 3 2" xfId="302" xr:uid="{00000000-0005-0000-0000-00006F000000}"/>
    <cellStyle name="40% - Accent4 3 2 2" xfId="447" xr:uid="{00000000-0005-0000-0000-000070000000}"/>
    <cellStyle name="40% - Accent4 3 3" xfId="448" xr:uid="{00000000-0005-0000-0000-000071000000}"/>
    <cellStyle name="40% - Accent4 4" xfId="449" xr:uid="{00000000-0005-0000-0000-000072000000}"/>
    <cellStyle name="40% - Accent4 4 2" xfId="450" xr:uid="{00000000-0005-0000-0000-000073000000}"/>
    <cellStyle name="40% - Accent4 5" xfId="451" xr:uid="{00000000-0005-0000-0000-000074000000}"/>
    <cellStyle name="40% - Accent4 6" xfId="452" xr:uid="{00000000-0005-0000-0000-000075000000}"/>
    <cellStyle name="40% - Accent5" xfId="13387" builtinId="47" customBuiltin="1"/>
    <cellStyle name="40% - Accent5 2" xfId="60" xr:uid="{00000000-0005-0000-0000-000077000000}"/>
    <cellStyle name="40% - Accent5 2 2" xfId="453" xr:uid="{00000000-0005-0000-0000-000078000000}"/>
    <cellStyle name="40% - Accent5 2 3" xfId="454" xr:uid="{00000000-0005-0000-0000-000079000000}"/>
    <cellStyle name="40% - Accent5 3" xfId="59" xr:uid="{00000000-0005-0000-0000-00007A000000}"/>
    <cellStyle name="40% - Accent5 3 2" xfId="456" xr:uid="{00000000-0005-0000-0000-00007B000000}"/>
    <cellStyle name="40% - Accent5 3 3" xfId="457" xr:uid="{00000000-0005-0000-0000-00007C000000}"/>
    <cellStyle name="40% - Accent5 3 4" xfId="455" xr:uid="{00000000-0005-0000-0000-00007D000000}"/>
    <cellStyle name="40% - Accent5 4" xfId="458" xr:uid="{00000000-0005-0000-0000-00007E000000}"/>
    <cellStyle name="40% - Accent5 4 2" xfId="459" xr:uid="{00000000-0005-0000-0000-00007F000000}"/>
    <cellStyle name="40% - Accent5 5" xfId="460" xr:uid="{00000000-0005-0000-0000-000080000000}"/>
    <cellStyle name="40% - Accent6" xfId="13391" builtinId="51" customBuiltin="1"/>
    <cellStyle name="40% - Accent6 2" xfId="62" xr:uid="{00000000-0005-0000-0000-000082000000}"/>
    <cellStyle name="40% - Accent6 2 2" xfId="461" xr:uid="{00000000-0005-0000-0000-000083000000}"/>
    <cellStyle name="40% - Accent6 2 2 2" xfId="462" xr:uid="{00000000-0005-0000-0000-000084000000}"/>
    <cellStyle name="40% - Accent6 2 3" xfId="463" xr:uid="{00000000-0005-0000-0000-000085000000}"/>
    <cellStyle name="40% - Accent6 3" xfId="61" xr:uid="{00000000-0005-0000-0000-000086000000}"/>
    <cellStyle name="40% - Accent6 3 2" xfId="303" xr:uid="{00000000-0005-0000-0000-000087000000}"/>
    <cellStyle name="40% - Accent6 3 2 2" xfId="464" xr:uid="{00000000-0005-0000-0000-000088000000}"/>
    <cellStyle name="40% - Accent6 3 3" xfId="465" xr:uid="{00000000-0005-0000-0000-000089000000}"/>
    <cellStyle name="40% - Accent6 4" xfId="466" xr:uid="{00000000-0005-0000-0000-00008A000000}"/>
    <cellStyle name="40% - Accent6 4 2" xfId="467" xr:uid="{00000000-0005-0000-0000-00008B000000}"/>
    <cellStyle name="40% - Accent6 5" xfId="468" xr:uid="{00000000-0005-0000-0000-00008C000000}"/>
    <cellStyle name="40% - Accent6 6" xfId="469" xr:uid="{00000000-0005-0000-0000-00008D000000}"/>
    <cellStyle name="60% - Accent1" xfId="13372" builtinId="32" customBuiltin="1"/>
    <cellStyle name="60% - Accent1 2" xfId="64" xr:uid="{00000000-0005-0000-0000-00008F000000}"/>
    <cellStyle name="60% - Accent1 2 2" xfId="304" xr:uid="{00000000-0005-0000-0000-000090000000}"/>
    <cellStyle name="60% - Accent1 2 2 2" xfId="470" xr:uid="{00000000-0005-0000-0000-000091000000}"/>
    <cellStyle name="60% - Accent1 2 3" xfId="471" xr:uid="{00000000-0005-0000-0000-000092000000}"/>
    <cellStyle name="60% - Accent1 2 4" xfId="472" xr:uid="{00000000-0005-0000-0000-000093000000}"/>
    <cellStyle name="60% - Accent1 3" xfId="63" xr:uid="{00000000-0005-0000-0000-000094000000}"/>
    <cellStyle name="60% - Accent1 3 2" xfId="305" xr:uid="{00000000-0005-0000-0000-000095000000}"/>
    <cellStyle name="60% - Accent1 3 3" xfId="473" xr:uid="{00000000-0005-0000-0000-000096000000}"/>
    <cellStyle name="60% - Accent1 4" xfId="474" xr:uid="{00000000-0005-0000-0000-000097000000}"/>
    <cellStyle name="60% - Accent1 4 2" xfId="475" xr:uid="{00000000-0005-0000-0000-000098000000}"/>
    <cellStyle name="60% - Accent2" xfId="13376" builtinId="36" customBuiltin="1"/>
    <cellStyle name="60% - Accent2 2" xfId="66" xr:uid="{00000000-0005-0000-0000-00009A000000}"/>
    <cellStyle name="60% - Accent2 2 2" xfId="476" xr:uid="{00000000-0005-0000-0000-00009B000000}"/>
    <cellStyle name="60% - Accent2 2 3" xfId="477" xr:uid="{00000000-0005-0000-0000-00009C000000}"/>
    <cellStyle name="60% - Accent2 3" xfId="65" xr:uid="{00000000-0005-0000-0000-00009D000000}"/>
    <cellStyle name="60% - Accent2 3 2" xfId="479" xr:uid="{00000000-0005-0000-0000-00009E000000}"/>
    <cellStyle name="60% - Accent2 3 3" xfId="478" xr:uid="{00000000-0005-0000-0000-00009F000000}"/>
    <cellStyle name="60% - Accent2 4" xfId="480" xr:uid="{00000000-0005-0000-0000-0000A0000000}"/>
    <cellStyle name="60% - Accent3" xfId="13380" builtinId="40" customBuiltin="1"/>
    <cellStyle name="60% - Accent3 2" xfId="68" xr:uid="{00000000-0005-0000-0000-0000A2000000}"/>
    <cellStyle name="60% - Accent3 2 2" xfId="481" xr:uid="{00000000-0005-0000-0000-0000A3000000}"/>
    <cellStyle name="60% - Accent3 2 3" xfId="482" xr:uid="{00000000-0005-0000-0000-0000A4000000}"/>
    <cellStyle name="60% - Accent3 3" xfId="67" xr:uid="{00000000-0005-0000-0000-0000A5000000}"/>
    <cellStyle name="60% - Accent3 3 2" xfId="306" xr:uid="{00000000-0005-0000-0000-0000A6000000}"/>
    <cellStyle name="60% - Accent3 3 3" xfId="483" xr:uid="{00000000-0005-0000-0000-0000A7000000}"/>
    <cellStyle name="60% - Accent3 4" xfId="484" xr:uid="{00000000-0005-0000-0000-0000A8000000}"/>
    <cellStyle name="60% - Accent3 4 2" xfId="485" xr:uid="{00000000-0005-0000-0000-0000A9000000}"/>
    <cellStyle name="60% - Accent3 4 3" xfId="486" xr:uid="{00000000-0005-0000-0000-0000AA000000}"/>
    <cellStyle name="60% - Accent4" xfId="13384" builtinId="44" customBuiltin="1"/>
    <cellStyle name="60% - Accent4 2" xfId="70" xr:uid="{00000000-0005-0000-0000-0000AC000000}"/>
    <cellStyle name="60% - Accent4 2 2" xfId="487" xr:uid="{00000000-0005-0000-0000-0000AD000000}"/>
    <cellStyle name="60% - Accent4 2 3" xfId="488" xr:uid="{00000000-0005-0000-0000-0000AE000000}"/>
    <cellStyle name="60% - Accent4 3" xfId="69" xr:uid="{00000000-0005-0000-0000-0000AF000000}"/>
    <cellStyle name="60% - Accent4 3 2" xfId="307" xr:uid="{00000000-0005-0000-0000-0000B0000000}"/>
    <cellStyle name="60% - Accent4 3 3" xfId="489" xr:uid="{00000000-0005-0000-0000-0000B1000000}"/>
    <cellStyle name="60% - Accent4 4" xfId="490" xr:uid="{00000000-0005-0000-0000-0000B2000000}"/>
    <cellStyle name="60% - Accent4 4 2" xfId="491" xr:uid="{00000000-0005-0000-0000-0000B3000000}"/>
    <cellStyle name="60% - Accent4 4 3" xfId="492" xr:uid="{00000000-0005-0000-0000-0000B4000000}"/>
    <cellStyle name="60% - Accent5" xfId="13388" builtinId="48" customBuiltin="1"/>
    <cellStyle name="60% - Accent5 2" xfId="72" xr:uid="{00000000-0005-0000-0000-0000B6000000}"/>
    <cellStyle name="60% - Accent5 2 2" xfId="308" xr:uid="{00000000-0005-0000-0000-0000B7000000}"/>
    <cellStyle name="60% - Accent5 2 2 2" xfId="493" xr:uid="{00000000-0005-0000-0000-0000B8000000}"/>
    <cellStyle name="60% - Accent5 2 3" xfId="494" xr:uid="{00000000-0005-0000-0000-0000B9000000}"/>
    <cellStyle name="60% - Accent5 2 4" xfId="495" xr:uid="{00000000-0005-0000-0000-0000BA000000}"/>
    <cellStyle name="60% - Accent5 3" xfId="71" xr:uid="{00000000-0005-0000-0000-0000BB000000}"/>
    <cellStyle name="60% - Accent5 3 2" xfId="497" xr:uid="{00000000-0005-0000-0000-0000BC000000}"/>
    <cellStyle name="60% - Accent5 3 3" xfId="496" xr:uid="{00000000-0005-0000-0000-0000BD000000}"/>
    <cellStyle name="60% - Accent5 4" xfId="498" xr:uid="{00000000-0005-0000-0000-0000BE000000}"/>
    <cellStyle name="60% - Accent6" xfId="13392" builtinId="52" customBuiltin="1"/>
    <cellStyle name="60% - Accent6 2" xfId="74" xr:uid="{00000000-0005-0000-0000-0000C0000000}"/>
    <cellStyle name="60% - Accent6 2 2" xfId="499" xr:uid="{00000000-0005-0000-0000-0000C1000000}"/>
    <cellStyle name="60% - Accent6 2 3" xfId="500" xr:uid="{00000000-0005-0000-0000-0000C2000000}"/>
    <cellStyle name="60% - Accent6 3" xfId="73" xr:uid="{00000000-0005-0000-0000-0000C3000000}"/>
    <cellStyle name="60% - Accent6 3 2" xfId="502" xr:uid="{00000000-0005-0000-0000-0000C4000000}"/>
    <cellStyle name="60% - Accent6 3 3" xfId="501" xr:uid="{00000000-0005-0000-0000-0000C5000000}"/>
    <cellStyle name="60% - Accent6 4" xfId="503" xr:uid="{00000000-0005-0000-0000-0000C6000000}"/>
    <cellStyle name="Accent1" xfId="13369" builtinId="29" customBuiltin="1"/>
    <cellStyle name="Accent1 2" xfId="76" xr:uid="{00000000-0005-0000-0000-0000C8000000}"/>
    <cellStyle name="Accent1 2 2" xfId="309" xr:uid="{00000000-0005-0000-0000-0000C9000000}"/>
    <cellStyle name="Accent1 2 2 2" xfId="504" xr:uid="{00000000-0005-0000-0000-0000CA000000}"/>
    <cellStyle name="Accent1 2 3" xfId="505" xr:uid="{00000000-0005-0000-0000-0000CB000000}"/>
    <cellStyle name="Accent1 2 4" xfId="506" xr:uid="{00000000-0005-0000-0000-0000CC000000}"/>
    <cellStyle name="Accent1 3" xfId="75" xr:uid="{00000000-0005-0000-0000-0000CD000000}"/>
    <cellStyle name="Accent1 3 2" xfId="310" xr:uid="{00000000-0005-0000-0000-0000CE000000}"/>
    <cellStyle name="Accent1 3 3" xfId="507" xr:uid="{00000000-0005-0000-0000-0000CF000000}"/>
    <cellStyle name="Accent1 4" xfId="508" xr:uid="{00000000-0005-0000-0000-0000D0000000}"/>
    <cellStyle name="Accent1 4 2" xfId="509" xr:uid="{00000000-0005-0000-0000-0000D1000000}"/>
    <cellStyle name="Accent2" xfId="13373" builtinId="33" customBuiltin="1"/>
    <cellStyle name="Accent2 2" xfId="78" xr:uid="{00000000-0005-0000-0000-0000D3000000}"/>
    <cellStyle name="Accent2 2 2" xfId="510" xr:uid="{00000000-0005-0000-0000-0000D4000000}"/>
    <cellStyle name="Accent2 2 3" xfId="511" xr:uid="{00000000-0005-0000-0000-0000D5000000}"/>
    <cellStyle name="Accent2 3" xfId="77" xr:uid="{00000000-0005-0000-0000-0000D6000000}"/>
    <cellStyle name="Accent2 3 2" xfId="513" xr:uid="{00000000-0005-0000-0000-0000D7000000}"/>
    <cellStyle name="Accent2 3 3" xfId="512" xr:uid="{00000000-0005-0000-0000-0000D8000000}"/>
    <cellStyle name="Accent2 4" xfId="514" xr:uid="{00000000-0005-0000-0000-0000D9000000}"/>
    <cellStyle name="Accent3" xfId="13377" builtinId="37" customBuiltin="1"/>
    <cellStyle name="Accent3 2" xfId="80" xr:uid="{00000000-0005-0000-0000-0000DB000000}"/>
    <cellStyle name="Accent3 2 2" xfId="311" xr:uid="{00000000-0005-0000-0000-0000DC000000}"/>
    <cellStyle name="Accent3 2 3" xfId="515" xr:uid="{00000000-0005-0000-0000-0000DD000000}"/>
    <cellStyle name="Accent3 2 4" xfId="516" xr:uid="{00000000-0005-0000-0000-0000DE000000}"/>
    <cellStyle name="Accent3 3" xfId="79" xr:uid="{00000000-0005-0000-0000-0000DF000000}"/>
    <cellStyle name="Accent3 3 2" xfId="518" xr:uid="{00000000-0005-0000-0000-0000E0000000}"/>
    <cellStyle name="Accent3 3 3" xfId="517" xr:uid="{00000000-0005-0000-0000-0000E1000000}"/>
    <cellStyle name="Accent3 4" xfId="519" xr:uid="{00000000-0005-0000-0000-0000E2000000}"/>
    <cellStyle name="Accent4" xfId="13381" builtinId="41" customBuiltin="1"/>
    <cellStyle name="Accent4 2" xfId="82" xr:uid="{00000000-0005-0000-0000-0000E4000000}"/>
    <cellStyle name="Accent4 2 2" xfId="520" xr:uid="{00000000-0005-0000-0000-0000E5000000}"/>
    <cellStyle name="Accent4 2 2 2" xfId="521" xr:uid="{00000000-0005-0000-0000-0000E6000000}"/>
    <cellStyle name="Accent4 2 3" xfId="522" xr:uid="{00000000-0005-0000-0000-0000E7000000}"/>
    <cellStyle name="Accent4 3" xfId="81" xr:uid="{00000000-0005-0000-0000-0000E8000000}"/>
    <cellStyle name="Accent4 3 2" xfId="524" xr:uid="{00000000-0005-0000-0000-0000E9000000}"/>
    <cellStyle name="Accent4 3 3" xfId="523" xr:uid="{00000000-0005-0000-0000-0000EA000000}"/>
    <cellStyle name="Accent4 4" xfId="525" xr:uid="{00000000-0005-0000-0000-0000EB000000}"/>
    <cellStyle name="Accent5" xfId="13385" builtinId="45" customBuiltin="1"/>
    <cellStyle name="Accent5 2" xfId="84" xr:uid="{00000000-0005-0000-0000-0000ED000000}"/>
    <cellStyle name="Accent5 2 2" xfId="526" xr:uid="{00000000-0005-0000-0000-0000EE000000}"/>
    <cellStyle name="Accent5 2 2 2" xfId="527" xr:uid="{00000000-0005-0000-0000-0000EF000000}"/>
    <cellStyle name="Accent5 2 3" xfId="528" xr:uid="{00000000-0005-0000-0000-0000F0000000}"/>
    <cellStyle name="Accent5 2 3 2" xfId="529" xr:uid="{00000000-0005-0000-0000-0000F1000000}"/>
    <cellStyle name="Accent5 2 4" xfId="530" xr:uid="{00000000-0005-0000-0000-0000F2000000}"/>
    <cellStyle name="Accent5 3" xfId="83" xr:uid="{00000000-0005-0000-0000-0000F3000000}"/>
    <cellStyle name="Accent5 4" xfId="531" xr:uid="{00000000-0005-0000-0000-0000F4000000}"/>
    <cellStyle name="Accent6" xfId="13389" builtinId="49" customBuiltin="1"/>
    <cellStyle name="Accent6 2" xfId="86" xr:uid="{00000000-0005-0000-0000-0000F6000000}"/>
    <cellStyle name="Accent6 2 2" xfId="312" xr:uid="{00000000-0005-0000-0000-0000F7000000}"/>
    <cellStyle name="Accent6 2 3" xfId="532" xr:uid="{00000000-0005-0000-0000-0000F8000000}"/>
    <cellStyle name="Accent6 2 4" xfId="533" xr:uid="{00000000-0005-0000-0000-0000F9000000}"/>
    <cellStyle name="Accent6 3" xfId="85" xr:uid="{00000000-0005-0000-0000-0000FA000000}"/>
    <cellStyle name="Accent6 3 2" xfId="535" xr:uid="{00000000-0005-0000-0000-0000FB000000}"/>
    <cellStyle name="Accent6 3 3" xfId="534" xr:uid="{00000000-0005-0000-0000-0000FC000000}"/>
    <cellStyle name="Accent6 4" xfId="536" xr:uid="{00000000-0005-0000-0000-0000FD000000}"/>
    <cellStyle name="Accounting" xfId="87" xr:uid="{00000000-0005-0000-0000-0000FE000000}"/>
    <cellStyle name="Accounting 2" xfId="88" xr:uid="{00000000-0005-0000-0000-0000FF000000}"/>
    <cellStyle name="Accounting 2 2" xfId="537" xr:uid="{00000000-0005-0000-0000-000000010000}"/>
    <cellStyle name="Accounting 3" xfId="89" xr:uid="{00000000-0005-0000-0000-000001010000}"/>
    <cellStyle name="Accounting 3 2" xfId="538" xr:uid="{00000000-0005-0000-0000-000002010000}"/>
    <cellStyle name="Accounting 4" xfId="539" xr:uid="{00000000-0005-0000-0000-000003010000}"/>
    <cellStyle name="Accounting_2011-11" xfId="90" xr:uid="{00000000-0005-0000-0000-000004010000}"/>
    <cellStyle name="APS" xfId="540" xr:uid="{00000000-0005-0000-0000-000005010000}"/>
    <cellStyle name="APSLabels" xfId="541" xr:uid="{00000000-0005-0000-0000-000006010000}"/>
    <cellStyle name="APSLabels 10" xfId="13452" xr:uid="{00000000-0005-0000-0000-000007010000}"/>
    <cellStyle name="APSLabels 11" xfId="15302" xr:uid="{00000000-0005-0000-0000-000008010000}"/>
    <cellStyle name="APSLabels 12" xfId="15480" xr:uid="{00000000-0005-0000-0000-000009010000}"/>
    <cellStyle name="APSLabels 13" xfId="17829" xr:uid="{00000000-0005-0000-0000-00000A010000}"/>
    <cellStyle name="APSLabels 14" xfId="14959" xr:uid="{00000000-0005-0000-0000-00000B010000}"/>
    <cellStyle name="APSLabels 15" xfId="15725" xr:uid="{00000000-0005-0000-0000-00000C010000}"/>
    <cellStyle name="APSLabels 16" xfId="27818" xr:uid="{00000000-0005-0000-0000-00000D010000}"/>
    <cellStyle name="APSLabels 17" xfId="26676" xr:uid="{00000000-0005-0000-0000-00000E010000}"/>
    <cellStyle name="APSLabels 18" xfId="26692" xr:uid="{00000000-0005-0000-0000-00000F010000}"/>
    <cellStyle name="APSLabels 19" xfId="26899" xr:uid="{00000000-0005-0000-0000-000010010000}"/>
    <cellStyle name="APSLabels 2" xfId="542" xr:uid="{00000000-0005-0000-0000-000011010000}"/>
    <cellStyle name="APSLabels 2 10" xfId="15238" xr:uid="{00000000-0005-0000-0000-000012010000}"/>
    <cellStyle name="APSLabels 2 11" xfId="21861" xr:uid="{00000000-0005-0000-0000-000013010000}"/>
    <cellStyle name="APSLabels 2 12" xfId="21872" xr:uid="{00000000-0005-0000-0000-000014010000}"/>
    <cellStyle name="APSLabels 2 13" xfId="27783" xr:uid="{00000000-0005-0000-0000-000015010000}"/>
    <cellStyle name="APSLabels 2 14" xfId="28756" xr:uid="{00000000-0005-0000-0000-000016010000}"/>
    <cellStyle name="APSLabels 2 15" xfId="26734" xr:uid="{00000000-0005-0000-0000-000017010000}"/>
    <cellStyle name="APSLabels 2 16" xfId="25988" xr:uid="{00000000-0005-0000-0000-000018010000}"/>
    <cellStyle name="APSLabels 2 17" xfId="30838" xr:uid="{00000000-0005-0000-0000-000019010000}"/>
    <cellStyle name="APSLabels 2 18" xfId="35370" xr:uid="{00000000-0005-0000-0000-00001A010000}"/>
    <cellStyle name="APSLabels 2 2" xfId="543" xr:uid="{00000000-0005-0000-0000-00001B010000}"/>
    <cellStyle name="APSLabels 2 2 10" xfId="13580" xr:uid="{00000000-0005-0000-0000-00001C010000}"/>
    <cellStyle name="APSLabels 2 2 11" xfId="14284" xr:uid="{00000000-0005-0000-0000-00001D010000}"/>
    <cellStyle name="APSLabels 2 2 12" xfId="27094" xr:uid="{00000000-0005-0000-0000-00001E010000}"/>
    <cellStyle name="APSLabels 2 2 13" xfId="26165" xr:uid="{00000000-0005-0000-0000-00001F010000}"/>
    <cellStyle name="APSLabels 2 2 14" xfId="27842" xr:uid="{00000000-0005-0000-0000-000020010000}"/>
    <cellStyle name="APSLabels 2 2 15" xfId="27316" xr:uid="{00000000-0005-0000-0000-000021010000}"/>
    <cellStyle name="APSLabels 2 2 16" xfId="26882" xr:uid="{00000000-0005-0000-0000-000022010000}"/>
    <cellStyle name="APSLabels 2 2 17" xfId="35249" xr:uid="{00000000-0005-0000-0000-000023010000}"/>
    <cellStyle name="APSLabels 2 2 2" xfId="544" xr:uid="{00000000-0005-0000-0000-000024010000}"/>
    <cellStyle name="APSLabels 2 2 2 10" xfId="29835" xr:uid="{00000000-0005-0000-0000-000025010000}"/>
    <cellStyle name="APSLabels 2 2 2 11" xfId="31837" xr:uid="{00000000-0005-0000-0000-000026010000}"/>
    <cellStyle name="APSLabels 2 2 2 12" xfId="32840" xr:uid="{00000000-0005-0000-0000-000027010000}"/>
    <cellStyle name="APSLabels 2 2 2 13" xfId="33839" xr:uid="{00000000-0005-0000-0000-000028010000}"/>
    <cellStyle name="APSLabels 2 2 2 14" xfId="36399" xr:uid="{00000000-0005-0000-0000-000029010000}"/>
    <cellStyle name="APSLabels 2 2 2 2" xfId="545" xr:uid="{00000000-0005-0000-0000-00002A010000}"/>
    <cellStyle name="APSLabels 2 2 2 2 10" xfId="31838" xr:uid="{00000000-0005-0000-0000-00002B010000}"/>
    <cellStyle name="APSLabels 2 2 2 2 11" xfId="32841" xr:uid="{00000000-0005-0000-0000-00002C010000}"/>
    <cellStyle name="APSLabels 2 2 2 2 12" xfId="33840" xr:uid="{00000000-0005-0000-0000-00002D010000}"/>
    <cellStyle name="APSLabels 2 2 2 2 13" xfId="36400" xr:uid="{00000000-0005-0000-0000-00002E010000}"/>
    <cellStyle name="APSLabels 2 2 2 2 2" xfId="15864" xr:uid="{00000000-0005-0000-0000-00002F010000}"/>
    <cellStyle name="APSLabels 2 2 2 2 3" xfId="17870" xr:uid="{00000000-0005-0000-0000-000030010000}"/>
    <cellStyle name="APSLabels 2 2 2 2 4" xfId="19924" xr:uid="{00000000-0005-0000-0000-000031010000}"/>
    <cellStyle name="APSLabels 2 2 2 2 5" xfId="21907" xr:uid="{00000000-0005-0000-0000-000032010000}"/>
    <cellStyle name="APSLabels 2 2 2 2 6" xfId="22912" xr:uid="{00000000-0005-0000-0000-000033010000}"/>
    <cellStyle name="APSLabels 2 2 2 2 7" xfId="24883" xr:uid="{00000000-0005-0000-0000-000034010000}"/>
    <cellStyle name="APSLabels 2 2 2 2 8" xfId="28797" xr:uid="{00000000-0005-0000-0000-000035010000}"/>
    <cellStyle name="APSLabels 2 2 2 2 9" xfId="29836" xr:uid="{00000000-0005-0000-0000-000036010000}"/>
    <cellStyle name="APSLabels 2 2 2 3" xfId="15863" xr:uid="{00000000-0005-0000-0000-000037010000}"/>
    <cellStyle name="APSLabels 2 2 2 4" xfId="17869" xr:uid="{00000000-0005-0000-0000-000038010000}"/>
    <cellStyle name="APSLabels 2 2 2 5" xfId="19923" xr:uid="{00000000-0005-0000-0000-000039010000}"/>
    <cellStyle name="APSLabels 2 2 2 6" xfId="21906" xr:uid="{00000000-0005-0000-0000-00003A010000}"/>
    <cellStyle name="APSLabels 2 2 2 7" xfId="22911" xr:uid="{00000000-0005-0000-0000-00003B010000}"/>
    <cellStyle name="APSLabels 2 2 2 8" xfId="24882" xr:uid="{00000000-0005-0000-0000-00003C010000}"/>
    <cellStyle name="APSLabels 2 2 2 9" xfId="28796" xr:uid="{00000000-0005-0000-0000-00003D010000}"/>
    <cellStyle name="APSLabels 2 2 3" xfId="546" xr:uid="{00000000-0005-0000-0000-00003E010000}"/>
    <cellStyle name="APSLabels 2 2 3 10" xfId="29837" xr:uid="{00000000-0005-0000-0000-00003F010000}"/>
    <cellStyle name="APSLabels 2 2 3 11" xfId="31839" xr:uid="{00000000-0005-0000-0000-000040010000}"/>
    <cellStyle name="APSLabels 2 2 3 12" xfId="32842" xr:uid="{00000000-0005-0000-0000-000041010000}"/>
    <cellStyle name="APSLabels 2 2 3 13" xfId="33841" xr:uid="{00000000-0005-0000-0000-000042010000}"/>
    <cellStyle name="APSLabels 2 2 3 14" xfId="36401" xr:uid="{00000000-0005-0000-0000-000043010000}"/>
    <cellStyle name="APSLabels 2 2 3 2" xfId="547" xr:uid="{00000000-0005-0000-0000-000044010000}"/>
    <cellStyle name="APSLabels 2 2 3 2 10" xfId="31840" xr:uid="{00000000-0005-0000-0000-000045010000}"/>
    <cellStyle name="APSLabels 2 2 3 2 11" xfId="32843" xr:uid="{00000000-0005-0000-0000-000046010000}"/>
    <cellStyle name="APSLabels 2 2 3 2 12" xfId="33842" xr:uid="{00000000-0005-0000-0000-000047010000}"/>
    <cellStyle name="APSLabels 2 2 3 2 13" xfId="36402" xr:uid="{00000000-0005-0000-0000-000048010000}"/>
    <cellStyle name="APSLabels 2 2 3 2 2" xfId="15866" xr:uid="{00000000-0005-0000-0000-000049010000}"/>
    <cellStyle name="APSLabels 2 2 3 2 3" xfId="17872" xr:uid="{00000000-0005-0000-0000-00004A010000}"/>
    <cellStyle name="APSLabels 2 2 3 2 4" xfId="19926" xr:uid="{00000000-0005-0000-0000-00004B010000}"/>
    <cellStyle name="APSLabels 2 2 3 2 5" xfId="21909" xr:uid="{00000000-0005-0000-0000-00004C010000}"/>
    <cellStyle name="APSLabels 2 2 3 2 6" xfId="22914" xr:uid="{00000000-0005-0000-0000-00004D010000}"/>
    <cellStyle name="APSLabels 2 2 3 2 7" xfId="24885" xr:uid="{00000000-0005-0000-0000-00004E010000}"/>
    <cellStyle name="APSLabels 2 2 3 2 8" xfId="28799" xr:uid="{00000000-0005-0000-0000-00004F010000}"/>
    <cellStyle name="APSLabels 2 2 3 2 9" xfId="29838" xr:uid="{00000000-0005-0000-0000-000050010000}"/>
    <cellStyle name="APSLabels 2 2 3 3" xfId="15865" xr:uid="{00000000-0005-0000-0000-000051010000}"/>
    <cellStyle name="APSLabels 2 2 3 4" xfId="17871" xr:uid="{00000000-0005-0000-0000-000052010000}"/>
    <cellStyle name="APSLabels 2 2 3 5" xfId="19925" xr:uid="{00000000-0005-0000-0000-000053010000}"/>
    <cellStyle name="APSLabels 2 2 3 6" xfId="21908" xr:uid="{00000000-0005-0000-0000-000054010000}"/>
    <cellStyle name="APSLabels 2 2 3 7" xfId="22913" xr:uid="{00000000-0005-0000-0000-000055010000}"/>
    <cellStyle name="APSLabels 2 2 3 8" xfId="24884" xr:uid="{00000000-0005-0000-0000-000056010000}"/>
    <cellStyle name="APSLabels 2 2 3 9" xfId="28798" xr:uid="{00000000-0005-0000-0000-000057010000}"/>
    <cellStyle name="APSLabels 2 2 4" xfId="548" xr:uid="{00000000-0005-0000-0000-000058010000}"/>
    <cellStyle name="APSLabels 2 2 4 10" xfId="31841" xr:uid="{00000000-0005-0000-0000-000059010000}"/>
    <cellStyle name="APSLabels 2 2 4 11" xfId="32844" xr:uid="{00000000-0005-0000-0000-00005A010000}"/>
    <cellStyle name="APSLabels 2 2 4 12" xfId="33843" xr:uid="{00000000-0005-0000-0000-00005B010000}"/>
    <cellStyle name="APSLabels 2 2 4 13" xfId="36403" xr:uid="{00000000-0005-0000-0000-00005C010000}"/>
    <cellStyle name="APSLabels 2 2 4 2" xfId="15867" xr:uid="{00000000-0005-0000-0000-00005D010000}"/>
    <cellStyle name="APSLabels 2 2 4 3" xfId="17873" xr:uid="{00000000-0005-0000-0000-00005E010000}"/>
    <cellStyle name="APSLabels 2 2 4 4" xfId="19927" xr:uid="{00000000-0005-0000-0000-00005F010000}"/>
    <cellStyle name="APSLabels 2 2 4 5" xfId="21910" xr:uid="{00000000-0005-0000-0000-000060010000}"/>
    <cellStyle name="APSLabels 2 2 4 6" xfId="22915" xr:uid="{00000000-0005-0000-0000-000061010000}"/>
    <cellStyle name="APSLabels 2 2 4 7" xfId="24886" xr:uid="{00000000-0005-0000-0000-000062010000}"/>
    <cellStyle name="APSLabels 2 2 4 8" xfId="28800" xr:uid="{00000000-0005-0000-0000-000063010000}"/>
    <cellStyle name="APSLabels 2 2 4 9" xfId="29839" xr:uid="{00000000-0005-0000-0000-000064010000}"/>
    <cellStyle name="APSLabels 2 2 5" xfId="549" xr:uid="{00000000-0005-0000-0000-000065010000}"/>
    <cellStyle name="APSLabels 2 2 5 10" xfId="31842" xr:uid="{00000000-0005-0000-0000-000066010000}"/>
    <cellStyle name="APSLabels 2 2 5 11" xfId="32845" xr:uid="{00000000-0005-0000-0000-000067010000}"/>
    <cellStyle name="APSLabels 2 2 5 12" xfId="33844" xr:uid="{00000000-0005-0000-0000-000068010000}"/>
    <cellStyle name="APSLabels 2 2 5 13" xfId="36404" xr:uid="{00000000-0005-0000-0000-000069010000}"/>
    <cellStyle name="APSLabels 2 2 5 2" xfId="15868" xr:uid="{00000000-0005-0000-0000-00006A010000}"/>
    <cellStyle name="APSLabels 2 2 5 3" xfId="17874" xr:uid="{00000000-0005-0000-0000-00006B010000}"/>
    <cellStyle name="APSLabels 2 2 5 4" xfId="19928" xr:uid="{00000000-0005-0000-0000-00006C010000}"/>
    <cellStyle name="APSLabels 2 2 5 5" xfId="21911" xr:uid="{00000000-0005-0000-0000-00006D010000}"/>
    <cellStyle name="APSLabels 2 2 5 6" xfId="22916" xr:uid="{00000000-0005-0000-0000-00006E010000}"/>
    <cellStyle name="APSLabels 2 2 5 7" xfId="24887" xr:uid="{00000000-0005-0000-0000-00006F010000}"/>
    <cellStyle name="APSLabels 2 2 5 8" xfId="28801" xr:uid="{00000000-0005-0000-0000-000070010000}"/>
    <cellStyle name="APSLabels 2 2 5 9" xfId="29840" xr:uid="{00000000-0005-0000-0000-000071010000}"/>
    <cellStyle name="APSLabels 2 2 6" xfId="13932" xr:uid="{00000000-0005-0000-0000-000072010000}"/>
    <cellStyle name="APSLabels 2 2 7" xfId="13557" xr:uid="{00000000-0005-0000-0000-000073010000}"/>
    <cellStyle name="APSLabels 2 2 8" xfId="15391" xr:uid="{00000000-0005-0000-0000-000074010000}"/>
    <cellStyle name="APSLabels 2 2 9" xfId="14293" xr:uid="{00000000-0005-0000-0000-000075010000}"/>
    <cellStyle name="APSLabels 2 3" xfId="550" xr:uid="{00000000-0005-0000-0000-000076010000}"/>
    <cellStyle name="APSLabels 2 3 10" xfId="29841" xr:uid="{00000000-0005-0000-0000-000077010000}"/>
    <cellStyle name="APSLabels 2 3 11" xfId="31843" xr:uid="{00000000-0005-0000-0000-000078010000}"/>
    <cellStyle name="APSLabels 2 3 12" xfId="32846" xr:uid="{00000000-0005-0000-0000-000079010000}"/>
    <cellStyle name="APSLabels 2 3 13" xfId="33845" xr:uid="{00000000-0005-0000-0000-00007A010000}"/>
    <cellStyle name="APSLabels 2 3 14" xfId="36405" xr:uid="{00000000-0005-0000-0000-00007B010000}"/>
    <cellStyle name="APSLabels 2 3 2" xfId="551" xr:uid="{00000000-0005-0000-0000-00007C010000}"/>
    <cellStyle name="APSLabels 2 3 2 10" xfId="31844" xr:uid="{00000000-0005-0000-0000-00007D010000}"/>
    <cellStyle name="APSLabels 2 3 2 11" xfId="32847" xr:uid="{00000000-0005-0000-0000-00007E010000}"/>
    <cellStyle name="APSLabels 2 3 2 12" xfId="33846" xr:uid="{00000000-0005-0000-0000-00007F010000}"/>
    <cellStyle name="APSLabels 2 3 2 13" xfId="36406" xr:uid="{00000000-0005-0000-0000-000080010000}"/>
    <cellStyle name="APSLabels 2 3 2 2" xfId="15870" xr:uid="{00000000-0005-0000-0000-000081010000}"/>
    <cellStyle name="APSLabels 2 3 2 3" xfId="17876" xr:uid="{00000000-0005-0000-0000-000082010000}"/>
    <cellStyle name="APSLabels 2 3 2 4" xfId="19930" xr:uid="{00000000-0005-0000-0000-000083010000}"/>
    <cellStyle name="APSLabels 2 3 2 5" xfId="21913" xr:uid="{00000000-0005-0000-0000-000084010000}"/>
    <cellStyle name="APSLabels 2 3 2 6" xfId="22918" xr:uid="{00000000-0005-0000-0000-000085010000}"/>
    <cellStyle name="APSLabels 2 3 2 7" xfId="24889" xr:uid="{00000000-0005-0000-0000-000086010000}"/>
    <cellStyle name="APSLabels 2 3 2 8" xfId="28803" xr:uid="{00000000-0005-0000-0000-000087010000}"/>
    <cellStyle name="APSLabels 2 3 2 9" xfId="29842" xr:uid="{00000000-0005-0000-0000-000088010000}"/>
    <cellStyle name="APSLabels 2 3 3" xfId="15869" xr:uid="{00000000-0005-0000-0000-000089010000}"/>
    <cellStyle name="APSLabels 2 3 4" xfId="17875" xr:uid="{00000000-0005-0000-0000-00008A010000}"/>
    <cellStyle name="APSLabels 2 3 5" xfId="19929" xr:uid="{00000000-0005-0000-0000-00008B010000}"/>
    <cellStyle name="APSLabels 2 3 6" xfId="21912" xr:uid="{00000000-0005-0000-0000-00008C010000}"/>
    <cellStyle name="APSLabels 2 3 7" xfId="22917" xr:uid="{00000000-0005-0000-0000-00008D010000}"/>
    <cellStyle name="APSLabels 2 3 8" xfId="24888" xr:uid="{00000000-0005-0000-0000-00008E010000}"/>
    <cellStyle name="APSLabels 2 3 9" xfId="28802" xr:uid="{00000000-0005-0000-0000-00008F010000}"/>
    <cellStyle name="APSLabels 2 4" xfId="552" xr:uid="{00000000-0005-0000-0000-000090010000}"/>
    <cellStyle name="APSLabels 2 4 10" xfId="29843" xr:uid="{00000000-0005-0000-0000-000091010000}"/>
    <cellStyle name="APSLabels 2 4 11" xfId="31845" xr:uid="{00000000-0005-0000-0000-000092010000}"/>
    <cellStyle name="APSLabels 2 4 12" xfId="32848" xr:uid="{00000000-0005-0000-0000-000093010000}"/>
    <cellStyle name="APSLabels 2 4 13" xfId="33847" xr:uid="{00000000-0005-0000-0000-000094010000}"/>
    <cellStyle name="APSLabels 2 4 14" xfId="36407" xr:uid="{00000000-0005-0000-0000-000095010000}"/>
    <cellStyle name="APSLabels 2 4 2" xfId="553" xr:uid="{00000000-0005-0000-0000-000096010000}"/>
    <cellStyle name="APSLabels 2 4 2 10" xfId="31846" xr:uid="{00000000-0005-0000-0000-000097010000}"/>
    <cellStyle name="APSLabels 2 4 2 11" xfId="32849" xr:uid="{00000000-0005-0000-0000-000098010000}"/>
    <cellStyle name="APSLabels 2 4 2 12" xfId="33848" xr:uid="{00000000-0005-0000-0000-000099010000}"/>
    <cellStyle name="APSLabels 2 4 2 13" xfId="36408" xr:uid="{00000000-0005-0000-0000-00009A010000}"/>
    <cellStyle name="APSLabels 2 4 2 2" xfId="15872" xr:uid="{00000000-0005-0000-0000-00009B010000}"/>
    <cellStyle name="APSLabels 2 4 2 3" xfId="17878" xr:uid="{00000000-0005-0000-0000-00009C010000}"/>
    <cellStyle name="APSLabels 2 4 2 4" xfId="19932" xr:uid="{00000000-0005-0000-0000-00009D010000}"/>
    <cellStyle name="APSLabels 2 4 2 5" xfId="21915" xr:uid="{00000000-0005-0000-0000-00009E010000}"/>
    <cellStyle name="APSLabels 2 4 2 6" xfId="22920" xr:uid="{00000000-0005-0000-0000-00009F010000}"/>
    <cellStyle name="APSLabels 2 4 2 7" xfId="24891" xr:uid="{00000000-0005-0000-0000-0000A0010000}"/>
    <cellStyle name="APSLabels 2 4 2 8" xfId="28805" xr:uid="{00000000-0005-0000-0000-0000A1010000}"/>
    <cellStyle name="APSLabels 2 4 2 9" xfId="29844" xr:uid="{00000000-0005-0000-0000-0000A2010000}"/>
    <cellStyle name="APSLabels 2 4 3" xfId="15871" xr:uid="{00000000-0005-0000-0000-0000A3010000}"/>
    <cellStyle name="APSLabels 2 4 4" xfId="17877" xr:uid="{00000000-0005-0000-0000-0000A4010000}"/>
    <cellStyle name="APSLabels 2 4 5" xfId="19931" xr:uid="{00000000-0005-0000-0000-0000A5010000}"/>
    <cellStyle name="APSLabels 2 4 6" xfId="21914" xr:uid="{00000000-0005-0000-0000-0000A6010000}"/>
    <cellStyle name="APSLabels 2 4 7" xfId="22919" xr:uid="{00000000-0005-0000-0000-0000A7010000}"/>
    <cellStyle name="APSLabels 2 4 8" xfId="24890" xr:uid="{00000000-0005-0000-0000-0000A8010000}"/>
    <cellStyle name="APSLabels 2 4 9" xfId="28804" xr:uid="{00000000-0005-0000-0000-0000A9010000}"/>
    <cellStyle name="APSLabels 2 5" xfId="554" xr:uid="{00000000-0005-0000-0000-0000AA010000}"/>
    <cellStyle name="APSLabels 2 5 10" xfId="31847" xr:uid="{00000000-0005-0000-0000-0000AB010000}"/>
    <cellStyle name="APSLabels 2 5 11" xfId="32850" xr:uid="{00000000-0005-0000-0000-0000AC010000}"/>
    <cellStyle name="APSLabels 2 5 12" xfId="33849" xr:uid="{00000000-0005-0000-0000-0000AD010000}"/>
    <cellStyle name="APSLabels 2 5 13" xfId="36409" xr:uid="{00000000-0005-0000-0000-0000AE010000}"/>
    <cellStyle name="APSLabels 2 5 2" xfId="15873" xr:uid="{00000000-0005-0000-0000-0000AF010000}"/>
    <cellStyle name="APSLabels 2 5 3" xfId="17879" xr:uid="{00000000-0005-0000-0000-0000B0010000}"/>
    <cellStyle name="APSLabels 2 5 4" xfId="19933" xr:uid="{00000000-0005-0000-0000-0000B1010000}"/>
    <cellStyle name="APSLabels 2 5 5" xfId="21916" xr:uid="{00000000-0005-0000-0000-0000B2010000}"/>
    <cellStyle name="APSLabels 2 5 6" xfId="22921" xr:uid="{00000000-0005-0000-0000-0000B3010000}"/>
    <cellStyle name="APSLabels 2 5 7" xfId="24892" xr:uid="{00000000-0005-0000-0000-0000B4010000}"/>
    <cellStyle name="APSLabels 2 5 8" xfId="28806" xr:uid="{00000000-0005-0000-0000-0000B5010000}"/>
    <cellStyle name="APSLabels 2 5 9" xfId="29845" xr:uid="{00000000-0005-0000-0000-0000B6010000}"/>
    <cellStyle name="APSLabels 2 6" xfId="555" xr:uid="{00000000-0005-0000-0000-0000B7010000}"/>
    <cellStyle name="APSLabels 2 6 10" xfId="31848" xr:uid="{00000000-0005-0000-0000-0000B8010000}"/>
    <cellStyle name="APSLabels 2 6 11" xfId="32851" xr:uid="{00000000-0005-0000-0000-0000B9010000}"/>
    <cellStyle name="APSLabels 2 6 12" xfId="33850" xr:uid="{00000000-0005-0000-0000-0000BA010000}"/>
    <cellStyle name="APSLabels 2 6 13" xfId="36410" xr:uid="{00000000-0005-0000-0000-0000BB010000}"/>
    <cellStyle name="APSLabels 2 6 2" xfId="15874" xr:uid="{00000000-0005-0000-0000-0000BC010000}"/>
    <cellStyle name="APSLabels 2 6 3" xfId="17880" xr:uid="{00000000-0005-0000-0000-0000BD010000}"/>
    <cellStyle name="APSLabels 2 6 4" xfId="19934" xr:uid="{00000000-0005-0000-0000-0000BE010000}"/>
    <cellStyle name="APSLabels 2 6 5" xfId="21917" xr:uid="{00000000-0005-0000-0000-0000BF010000}"/>
    <cellStyle name="APSLabels 2 6 6" xfId="22922" xr:uid="{00000000-0005-0000-0000-0000C0010000}"/>
    <cellStyle name="APSLabels 2 6 7" xfId="24893" xr:uid="{00000000-0005-0000-0000-0000C1010000}"/>
    <cellStyle name="APSLabels 2 6 8" xfId="28807" xr:uid="{00000000-0005-0000-0000-0000C2010000}"/>
    <cellStyle name="APSLabels 2 6 9" xfId="29846" xr:uid="{00000000-0005-0000-0000-0000C3010000}"/>
    <cellStyle name="APSLabels 2 7" xfId="13649" xr:uid="{00000000-0005-0000-0000-0000C4010000}"/>
    <cellStyle name="APSLabels 2 8" xfId="13994" xr:uid="{00000000-0005-0000-0000-0000C5010000}"/>
    <cellStyle name="APSLabels 2 9" xfId="14941" xr:uid="{00000000-0005-0000-0000-0000C6010000}"/>
    <cellStyle name="APSLabels 20" xfId="32838" xr:uid="{00000000-0005-0000-0000-0000C7010000}"/>
    <cellStyle name="APSLabels 21" xfId="35489" xr:uid="{00000000-0005-0000-0000-0000C8010000}"/>
    <cellStyle name="APSLabels 3" xfId="556" xr:uid="{00000000-0005-0000-0000-0000C9010000}"/>
    <cellStyle name="APSLabels 3 10" xfId="14577" xr:uid="{00000000-0005-0000-0000-0000CA010000}"/>
    <cellStyle name="APSLabels 3 11" xfId="14101" xr:uid="{00000000-0005-0000-0000-0000CB010000}"/>
    <cellStyle name="APSLabels 3 12" xfId="15275" xr:uid="{00000000-0005-0000-0000-0000CC010000}"/>
    <cellStyle name="APSLabels 3 13" xfId="13438" xr:uid="{00000000-0005-0000-0000-0000CD010000}"/>
    <cellStyle name="APSLabels 3 14" xfId="26035" xr:uid="{00000000-0005-0000-0000-0000CE010000}"/>
    <cellStyle name="APSLabels 3 15" xfId="27241" xr:uid="{00000000-0005-0000-0000-0000CF010000}"/>
    <cellStyle name="APSLabels 3 16" xfId="25970" xr:uid="{00000000-0005-0000-0000-0000D0010000}"/>
    <cellStyle name="APSLabels 3 17" xfId="25921" xr:uid="{00000000-0005-0000-0000-0000D1010000}"/>
    <cellStyle name="APSLabels 3 18" xfId="27540" xr:uid="{00000000-0005-0000-0000-0000D2010000}"/>
    <cellStyle name="APSLabels 3 19" xfId="34845" xr:uid="{00000000-0005-0000-0000-0000D3010000}"/>
    <cellStyle name="APSLabels 3 2" xfId="557" xr:uid="{00000000-0005-0000-0000-0000D4010000}"/>
    <cellStyle name="APSLabels 3 2 10" xfId="29847" xr:uid="{00000000-0005-0000-0000-0000D5010000}"/>
    <cellStyle name="APSLabels 3 2 11" xfId="31849" xr:uid="{00000000-0005-0000-0000-0000D6010000}"/>
    <cellStyle name="APSLabels 3 2 12" xfId="32852" xr:uid="{00000000-0005-0000-0000-0000D7010000}"/>
    <cellStyle name="APSLabels 3 2 13" xfId="33851" xr:uid="{00000000-0005-0000-0000-0000D8010000}"/>
    <cellStyle name="APSLabels 3 2 14" xfId="36411" xr:uid="{00000000-0005-0000-0000-0000D9010000}"/>
    <cellStyle name="APSLabels 3 2 2" xfId="558" xr:uid="{00000000-0005-0000-0000-0000DA010000}"/>
    <cellStyle name="APSLabels 3 2 2 10" xfId="31850" xr:uid="{00000000-0005-0000-0000-0000DB010000}"/>
    <cellStyle name="APSLabels 3 2 2 11" xfId="32853" xr:uid="{00000000-0005-0000-0000-0000DC010000}"/>
    <cellStyle name="APSLabels 3 2 2 12" xfId="33852" xr:uid="{00000000-0005-0000-0000-0000DD010000}"/>
    <cellStyle name="APSLabels 3 2 2 13" xfId="36412" xr:uid="{00000000-0005-0000-0000-0000DE010000}"/>
    <cellStyle name="APSLabels 3 2 2 2" xfId="15876" xr:uid="{00000000-0005-0000-0000-0000DF010000}"/>
    <cellStyle name="APSLabels 3 2 2 3" xfId="17882" xr:uid="{00000000-0005-0000-0000-0000E0010000}"/>
    <cellStyle name="APSLabels 3 2 2 4" xfId="19936" xr:uid="{00000000-0005-0000-0000-0000E1010000}"/>
    <cellStyle name="APSLabels 3 2 2 5" xfId="21919" xr:uid="{00000000-0005-0000-0000-0000E2010000}"/>
    <cellStyle name="APSLabels 3 2 2 6" xfId="22924" xr:uid="{00000000-0005-0000-0000-0000E3010000}"/>
    <cellStyle name="APSLabels 3 2 2 7" xfId="24895" xr:uid="{00000000-0005-0000-0000-0000E4010000}"/>
    <cellStyle name="APSLabels 3 2 2 8" xfId="28809" xr:uid="{00000000-0005-0000-0000-0000E5010000}"/>
    <cellStyle name="APSLabels 3 2 2 9" xfId="29848" xr:uid="{00000000-0005-0000-0000-0000E6010000}"/>
    <cellStyle name="APSLabels 3 2 3" xfId="15875" xr:uid="{00000000-0005-0000-0000-0000E7010000}"/>
    <cellStyle name="APSLabels 3 2 4" xfId="17881" xr:uid="{00000000-0005-0000-0000-0000E8010000}"/>
    <cellStyle name="APSLabels 3 2 5" xfId="19935" xr:uid="{00000000-0005-0000-0000-0000E9010000}"/>
    <cellStyle name="APSLabels 3 2 6" xfId="21918" xr:uid="{00000000-0005-0000-0000-0000EA010000}"/>
    <cellStyle name="APSLabels 3 2 7" xfId="22923" xr:uid="{00000000-0005-0000-0000-0000EB010000}"/>
    <cellStyle name="APSLabels 3 2 8" xfId="24894" xr:uid="{00000000-0005-0000-0000-0000EC010000}"/>
    <cellStyle name="APSLabels 3 2 9" xfId="28808" xr:uid="{00000000-0005-0000-0000-0000ED010000}"/>
    <cellStyle name="APSLabels 3 3" xfId="559" xr:uid="{00000000-0005-0000-0000-0000EE010000}"/>
    <cellStyle name="APSLabels 3 3 10" xfId="29849" xr:uid="{00000000-0005-0000-0000-0000EF010000}"/>
    <cellStyle name="APSLabels 3 3 11" xfId="31851" xr:uid="{00000000-0005-0000-0000-0000F0010000}"/>
    <cellStyle name="APSLabels 3 3 12" xfId="32854" xr:uid="{00000000-0005-0000-0000-0000F1010000}"/>
    <cellStyle name="APSLabels 3 3 13" xfId="33853" xr:uid="{00000000-0005-0000-0000-0000F2010000}"/>
    <cellStyle name="APSLabels 3 3 14" xfId="36413" xr:uid="{00000000-0005-0000-0000-0000F3010000}"/>
    <cellStyle name="APSLabels 3 3 2" xfId="560" xr:uid="{00000000-0005-0000-0000-0000F4010000}"/>
    <cellStyle name="APSLabels 3 3 2 10" xfId="31852" xr:uid="{00000000-0005-0000-0000-0000F5010000}"/>
    <cellStyle name="APSLabels 3 3 2 11" xfId="32855" xr:uid="{00000000-0005-0000-0000-0000F6010000}"/>
    <cellStyle name="APSLabels 3 3 2 12" xfId="33854" xr:uid="{00000000-0005-0000-0000-0000F7010000}"/>
    <cellStyle name="APSLabels 3 3 2 13" xfId="36414" xr:uid="{00000000-0005-0000-0000-0000F8010000}"/>
    <cellStyle name="APSLabels 3 3 2 2" xfId="15878" xr:uid="{00000000-0005-0000-0000-0000F9010000}"/>
    <cellStyle name="APSLabels 3 3 2 3" xfId="17884" xr:uid="{00000000-0005-0000-0000-0000FA010000}"/>
    <cellStyle name="APSLabels 3 3 2 4" xfId="19938" xr:uid="{00000000-0005-0000-0000-0000FB010000}"/>
    <cellStyle name="APSLabels 3 3 2 5" xfId="21921" xr:uid="{00000000-0005-0000-0000-0000FC010000}"/>
    <cellStyle name="APSLabels 3 3 2 6" xfId="22926" xr:uid="{00000000-0005-0000-0000-0000FD010000}"/>
    <cellStyle name="APSLabels 3 3 2 7" xfId="24897" xr:uid="{00000000-0005-0000-0000-0000FE010000}"/>
    <cellStyle name="APSLabels 3 3 2 8" xfId="28811" xr:uid="{00000000-0005-0000-0000-0000FF010000}"/>
    <cellStyle name="APSLabels 3 3 2 9" xfId="29850" xr:uid="{00000000-0005-0000-0000-000000020000}"/>
    <cellStyle name="APSLabels 3 3 3" xfId="15877" xr:uid="{00000000-0005-0000-0000-000001020000}"/>
    <cellStyle name="APSLabels 3 3 4" xfId="17883" xr:uid="{00000000-0005-0000-0000-000002020000}"/>
    <cellStyle name="APSLabels 3 3 5" xfId="19937" xr:uid="{00000000-0005-0000-0000-000003020000}"/>
    <cellStyle name="APSLabels 3 3 6" xfId="21920" xr:uid="{00000000-0005-0000-0000-000004020000}"/>
    <cellStyle name="APSLabels 3 3 7" xfId="22925" xr:uid="{00000000-0005-0000-0000-000005020000}"/>
    <cellStyle name="APSLabels 3 3 8" xfId="24896" xr:uid="{00000000-0005-0000-0000-000006020000}"/>
    <cellStyle name="APSLabels 3 3 9" xfId="28810" xr:uid="{00000000-0005-0000-0000-000007020000}"/>
    <cellStyle name="APSLabels 3 4" xfId="561" xr:uid="{00000000-0005-0000-0000-000008020000}"/>
    <cellStyle name="APSLabels 3 4 10" xfId="31853" xr:uid="{00000000-0005-0000-0000-000009020000}"/>
    <cellStyle name="APSLabels 3 4 11" xfId="32856" xr:uid="{00000000-0005-0000-0000-00000A020000}"/>
    <cellStyle name="APSLabels 3 4 12" xfId="33855" xr:uid="{00000000-0005-0000-0000-00000B020000}"/>
    <cellStyle name="APSLabels 3 4 13" xfId="36415" xr:uid="{00000000-0005-0000-0000-00000C020000}"/>
    <cellStyle name="APSLabels 3 4 2" xfId="15879" xr:uid="{00000000-0005-0000-0000-00000D020000}"/>
    <cellStyle name="APSLabels 3 4 3" xfId="17885" xr:uid="{00000000-0005-0000-0000-00000E020000}"/>
    <cellStyle name="APSLabels 3 4 4" xfId="19939" xr:uid="{00000000-0005-0000-0000-00000F020000}"/>
    <cellStyle name="APSLabels 3 4 5" xfId="21922" xr:uid="{00000000-0005-0000-0000-000010020000}"/>
    <cellStyle name="APSLabels 3 4 6" xfId="22927" xr:uid="{00000000-0005-0000-0000-000011020000}"/>
    <cellStyle name="APSLabels 3 4 7" xfId="24898" xr:uid="{00000000-0005-0000-0000-000012020000}"/>
    <cellStyle name="APSLabels 3 4 8" xfId="28812" xr:uid="{00000000-0005-0000-0000-000013020000}"/>
    <cellStyle name="APSLabels 3 4 9" xfId="29851" xr:uid="{00000000-0005-0000-0000-000014020000}"/>
    <cellStyle name="APSLabels 3 5" xfId="562" xr:uid="{00000000-0005-0000-0000-000015020000}"/>
    <cellStyle name="APSLabels 3 5 10" xfId="31854" xr:uid="{00000000-0005-0000-0000-000016020000}"/>
    <cellStyle name="APSLabels 3 5 11" xfId="32857" xr:uid="{00000000-0005-0000-0000-000017020000}"/>
    <cellStyle name="APSLabels 3 5 12" xfId="33856" xr:uid="{00000000-0005-0000-0000-000018020000}"/>
    <cellStyle name="APSLabels 3 5 13" xfId="36416" xr:uid="{00000000-0005-0000-0000-000019020000}"/>
    <cellStyle name="APSLabels 3 5 2" xfId="15880" xr:uid="{00000000-0005-0000-0000-00001A020000}"/>
    <cellStyle name="APSLabels 3 5 3" xfId="17886" xr:uid="{00000000-0005-0000-0000-00001B020000}"/>
    <cellStyle name="APSLabels 3 5 4" xfId="19940" xr:uid="{00000000-0005-0000-0000-00001C020000}"/>
    <cellStyle name="APSLabels 3 5 5" xfId="21923" xr:uid="{00000000-0005-0000-0000-00001D020000}"/>
    <cellStyle name="APSLabels 3 5 6" xfId="22928" xr:uid="{00000000-0005-0000-0000-00001E020000}"/>
    <cellStyle name="APSLabels 3 5 7" xfId="24899" xr:uid="{00000000-0005-0000-0000-00001F020000}"/>
    <cellStyle name="APSLabels 3 5 8" xfId="28813" xr:uid="{00000000-0005-0000-0000-000020020000}"/>
    <cellStyle name="APSLabels 3 5 9" xfId="29852" xr:uid="{00000000-0005-0000-0000-000021020000}"/>
    <cellStyle name="APSLabels 3 6" xfId="15689" xr:uid="{00000000-0005-0000-0000-000022020000}"/>
    <cellStyle name="APSLabels 3 7" xfId="13763" xr:uid="{00000000-0005-0000-0000-000023020000}"/>
    <cellStyle name="APSLabels 3 8" xfId="13625" xr:uid="{00000000-0005-0000-0000-000024020000}"/>
    <cellStyle name="APSLabels 3 9" xfId="14385" xr:uid="{00000000-0005-0000-0000-000025020000}"/>
    <cellStyle name="APSLabels 4" xfId="563" xr:uid="{00000000-0005-0000-0000-000026020000}"/>
    <cellStyle name="APSLabels 4 10" xfId="14280" xr:uid="{00000000-0005-0000-0000-000027020000}"/>
    <cellStyle name="APSLabels 4 11" xfId="14956" xr:uid="{00000000-0005-0000-0000-000028020000}"/>
    <cellStyle name="APSLabels 4 12" xfId="13693" xr:uid="{00000000-0005-0000-0000-000029020000}"/>
    <cellStyle name="APSLabels 4 13" xfId="13859" xr:uid="{00000000-0005-0000-0000-00002A020000}"/>
    <cellStyle name="APSLabels 4 14" xfId="26031" xr:uid="{00000000-0005-0000-0000-00002B020000}"/>
    <cellStyle name="APSLabels 4 15" xfId="27209" xr:uid="{00000000-0005-0000-0000-00002C020000}"/>
    <cellStyle name="APSLabels 4 16" xfId="26785" xr:uid="{00000000-0005-0000-0000-00002D020000}"/>
    <cellStyle name="APSLabels 4 17" xfId="27566" xr:uid="{00000000-0005-0000-0000-00002E020000}"/>
    <cellStyle name="APSLabels 4 18" xfId="26996" xr:uid="{00000000-0005-0000-0000-00002F020000}"/>
    <cellStyle name="APSLabels 4 19" xfId="35255" xr:uid="{00000000-0005-0000-0000-000030020000}"/>
    <cellStyle name="APSLabels 4 2" xfId="564" xr:uid="{00000000-0005-0000-0000-000031020000}"/>
    <cellStyle name="APSLabels 4 2 10" xfId="29853" xr:uid="{00000000-0005-0000-0000-000032020000}"/>
    <cellStyle name="APSLabels 4 2 11" xfId="31855" xr:uid="{00000000-0005-0000-0000-000033020000}"/>
    <cellStyle name="APSLabels 4 2 12" xfId="32858" xr:uid="{00000000-0005-0000-0000-000034020000}"/>
    <cellStyle name="APSLabels 4 2 13" xfId="33857" xr:uid="{00000000-0005-0000-0000-000035020000}"/>
    <cellStyle name="APSLabels 4 2 14" xfId="36417" xr:uid="{00000000-0005-0000-0000-000036020000}"/>
    <cellStyle name="APSLabels 4 2 2" xfId="565" xr:uid="{00000000-0005-0000-0000-000037020000}"/>
    <cellStyle name="APSLabels 4 2 2 10" xfId="31856" xr:uid="{00000000-0005-0000-0000-000038020000}"/>
    <cellStyle name="APSLabels 4 2 2 11" xfId="32859" xr:uid="{00000000-0005-0000-0000-000039020000}"/>
    <cellStyle name="APSLabels 4 2 2 12" xfId="33858" xr:uid="{00000000-0005-0000-0000-00003A020000}"/>
    <cellStyle name="APSLabels 4 2 2 13" xfId="36418" xr:uid="{00000000-0005-0000-0000-00003B020000}"/>
    <cellStyle name="APSLabels 4 2 2 2" xfId="15882" xr:uid="{00000000-0005-0000-0000-00003C020000}"/>
    <cellStyle name="APSLabels 4 2 2 3" xfId="17888" xr:uid="{00000000-0005-0000-0000-00003D020000}"/>
    <cellStyle name="APSLabels 4 2 2 4" xfId="19942" xr:uid="{00000000-0005-0000-0000-00003E020000}"/>
    <cellStyle name="APSLabels 4 2 2 5" xfId="21925" xr:uid="{00000000-0005-0000-0000-00003F020000}"/>
    <cellStyle name="APSLabels 4 2 2 6" xfId="22930" xr:uid="{00000000-0005-0000-0000-000040020000}"/>
    <cellStyle name="APSLabels 4 2 2 7" xfId="24901" xr:uid="{00000000-0005-0000-0000-000041020000}"/>
    <cellStyle name="APSLabels 4 2 2 8" xfId="28815" xr:uid="{00000000-0005-0000-0000-000042020000}"/>
    <cellStyle name="APSLabels 4 2 2 9" xfId="29854" xr:uid="{00000000-0005-0000-0000-000043020000}"/>
    <cellStyle name="APSLabels 4 2 3" xfId="15881" xr:uid="{00000000-0005-0000-0000-000044020000}"/>
    <cellStyle name="APSLabels 4 2 4" xfId="17887" xr:uid="{00000000-0005-0000-0000-000045020000}"/>
    <cellStyle name="APSLabels 4 2 5" xfId="19941" xr:uid="{00000000-0005-0000-0000-000046020000}"/>
    <cellStyle name="APSLabels 4 2 6" xfId="21924" xr:uid="{00000000-0005-0000-0000-000047020000}"/>
    <cellStyle name="APSLabels 4 2 7" xfId="22929" xr:uid="{00000000-0005-0000-0000-000048020000}"/>
    <cellStyle name="APSLabels 4 2 8" xfId="24900" xr:uid="{00000000-0005-0000-0000-000049020000}"/>
    <cellStyle name="APSLabels 4 2 9" xfId="28814" xr:uid="{00000000-0005-0000-0000-00004A020000}"/>
    <cellStyle name="APSLabels 4 3" xfId="566" xr:uid="{00000000-0005-0000-0000-00004B020000}"/>
    <cellStyle name="APSLabels 4 3 10" xfId="29855" xr:uid="{00000000-0005-0000-0000-00004C020000}"/>
    <cellStyle name="APSLabels 4 3 11" xfId="31857" xr:uid="{00000000-0005-0000-0000-00004D020000}"/>
    <cellStyle name="APSLabels 4 3 12" xfId="32860" xr:uid="{00000000-0005-0000-0000-00004E020000}"/>
    <cellStyle name="APSLabels 4 3 13" xfId="33859" xr:uid="{00000000-0005-0000-0000-00004F020000}"/>
    <cellStyle name="APSLabels 4 3 14" xfId="36419" xr:uid="{00000000-0005-0000-0000-000050020000}"/>
    <cellStyle name="APSLabels 4 3 2" xfId="567" xr:uid="{00000000-0005-0000-0000-000051020000}"/>
    <cellStyle name="APSLabels 4 3 2 10" xfId="31858" xr:uid="{00000000-0005-0000-0000-000052020000}"/>
    <cellStyle name="APSLabels 4 3 2 11" xfId="32861" xr:uid="{00000000-0005-0000-0000-000053020000}"/>
    <cellStyle name="APSLabels 4 3 2 12" xfId="33860" xr:uid="{00000000-0005-0000-0000-000054020000}"/>
    <cellStyle name="APSLabels 4 3 2 13" xfId="36420" xr:uid="{00000000-0005-0000-0000-000055020000}"/>
    <cellStyle name="APSLabels 4 3 2 2" xfId="15884" xr:uid="{00000000-0005-0000-0000-000056020000}"/>
    <cellStyle name="APSLabels 4 3 2 3" xfId="17890" xr:uid="{00000000-0005-0000-0000-000057020000}"/>
    <cellStyle name="APSLabels 4 3 2 4" xfId="19944" xr:uid="{00000000-0005-0000-0000-000058020000}"/>
    <cellStyle name="APSLabels 4 3 2 5" xfId="21927" xr:uid="{00000000-0005-0000-0000-000059020000}"/>
    <cellStyle name="APSLabels 4 3 2 6" xfId="22932" xr:uid="{00000000-0005-0000-0000-00005A020000}"/>
    <cellStyle name="APSLabels 4 3 2 7" xfId="24903" xr:uid="{00000000-0005-0000-0000-00005B020000}"/>
    <cellStyle name="APSLabels 4 3 2 8" xfId="28817" xr:uid="{00000000-0005-0000-0000-00005C020000}"/>
    <cellStyle name="APSLabels 4 3 2 9" xfId="29856" xr:uid="{00000000-0005-0000-0000-00005D020000}"/>
    <cellStyle name="APSLabels 4 3 3" xfId="15883" xr:uid="{00000000-0005-0000-0000-00005E020000}"/>
    <cellStyle name="APSLabels 4 3 4" xfId="17889" xr:uid="{00000000-0005-0000-0000-00005F020000}"/>
    <cellStyle name="APSLabels 4 3 5" xfId="19943" xr:uid="{00000000-0005-0000-0000-000060020000}"/>
    <cellStyle name="APSLabels 4 3 6" xfId="21926" xr:uid="{00000000-0005-0000-0000-000061020000}"/>
    <cellStyle name="APSLabels 4 3 7" xfId="22931" xr:uid="{00000000-0005-0000-0000-000062020000}"/>
    <cellStyle name="APSLabels 4 3 8" xfId="24902" xr:uid="{00000000-0005-0000-0000-000063020000}"/>
    <cellStyle name="APSLabels 4 3 9" xfId="28816" xr:uid="{00000000-0005-0000-0000-000064020000}"/>
    <cellStyle name="APSLabels 4 4" xfId="568" xr:uid="{00000000-0005-0000-0000-000065020000}"/>
    <cellStyle name="APSLabels 4 4 10" xfId="31859" xr:uid="{00000000-0005-0000-0000-000066020000}"/>
    <cellStyle name="APSLabels 4 4 11" xfId="32862" xr:uid="{00000000-0005-0000-0000-000067020000}"/>
    <cellStyle name="APSLabels 4 4 12" xfId="33861" xr:uid="{00000000-0005-0000-0000-000068020000}"/>
    <cellStyle name="APSLabels 4 4 13" xfId="36421" xr:uid="{00000000-0005-0000-0000-000069020000}"/>
    <cellStyle name="APSLabels 4 4 2" xfId="15885" xr:uid="{00000000-0005-0000-0000-00006A020000}"/>
    <cellStyle name="APSLabels 4 4 3" xfId="17891" xr:uid="{00000000-0005-0000-0000-00006B020000}"/>
    <cellStyle name="APSLabels 4 4 4" xfId="19945" xr:uid="{00000000-0005-0000-0000-00006C020000}"/>
    <cellStyle name="APSLabels 4 4 5" xfId="21928" xr:uid="{00000000-0005-0000-0000-00006D020000}"/>
    <cellStyle name="APSLabels 4 4 6" xfId="22933" xr:uid="{00000000-0005-0000-0000-00006E020000}"/>
    <cellStyle name="APSLabels 4 4 7" xfId="24904" xr:uid="{00000000-0005-0000-0000-00006F020000}"/>
    <cellStyle name="APSLabels 4 4 8" xfId="28818" xr:uid="{00000000-0005-0000-0000-000070020000}"/>
    <cellStyle name="APSLabels 4 4 9" xfId="29857" xr:uid="{00000000-0005-0000-0000-000071020000}"/>
    <cellStyle name="APSLabels 4 5" xfId="569" xr:uid="{00000000-0005-0000-0000-000072020000}"/>
    <cellStyle name="APSLabels 4 5 10" xfId="31860" xr:uid="{00000000-0005-0000-0000-000073020000}"/>
    <cellStyle name="APSLabels 4 5 11" xfId="32863" xr:uid="{00000000-0005-0000-0000-000074020000}"/>
    <cellStyle name="APSLabels 4 5 12" xfId="33862" xr:uid="{00000000-0005-0000-0000-000075020000}"/>
    <cellStyle name="APSLabels 4 5 13" xfId="36422" xr:uid="{00000000-0005-0000-0000-000076020000}"/>
    <cellStyle name="APSLabels 4 5 2" xfId="15886" xr:uid="{00000000-0005-0000-0000-000077020000}"/>
    <cellStyle name="APSLabels 4 5 3" xfId="17892" xr:uid="{00000000-0005-0000-0000-000078020000}"/>
    <cellStyle name="APSLabels 4 5 4" xfId="19946" xr:uid="{00000000-0005-0000-0000-000079020000}"/>
    <cellStyle name="APSLabels 4 5 5" xfId="21929" xr:uid="{00000000-0005-0000-0000-00007A020000}"/>
    <cellStyle name="APSLabels 4 5 6" xfId="22934" xr:uid="{00000000-0005-0000-0000-00007B020000}"/>
    <cellStyle name="APSLabels 4 5 7" xfId="24905" xr:uid="{00000000-0005-0000-0000-00007C020000}"/>
    <cellStyle name="APSLabels 4 5 8" xfId="28819" xr:uid="{00000000-0005-0000-0000-00007D020000}"/>
    <cellStyle name="APSLabels 4 5 9" xfId="29858" xr:uid="{00000000-0005-0000-0000-00007E020000}"/>
    <cellStyle name="APSLabels 4 6" xfId="14859" xr:uid="{00000000-0005-0000-0000-00007F020000}"/>
    <cellStyle name="APSLabels 4 7" xfId="13550" xr:uid="{00000000-0005-0000-0000-000080020000}"/>
    <cellStyle name="APSLabels 4 8" xfId="15770" xr:uid="{00000000-0005-0000-0000-000081020000}"/>
    <cellStyle name="APSLabels 4 9" xfId="14388" xr:uid="{00000000-0005-0000-0000-000082020000}"/>
    <cellStyle name="APSLabels 5" xfId="570" xr:uid="{00000000-0005-0000-0000-000083020000}"/>
    <cellStyle name="APSLabels 5 10" xfId="29859" xr:uid="{00000000-0005-0000-0000-000084020000}"/>
    <cellStyle name="APSLabels 5 11" xfId="31861" xr:uid="{00000000-0005-0000-0000-000085020000}"/>
    <cellStyle name="APSLabels 5 12" xfId="32864" xr:uid="{00000000-0005-0000-0000-000086020000}"/>
    <cellStyle name="APSLabels 5 13" xfId="33863" xr:uid="{00000000-0005-0000-0000-000087020000}"/>
    <cellStyle name="APSLabels 5 14" xfId="36423" xr:uid="{00000000-0005-0000-0000-000088020000}"/>
    <cellStyle name="APSLabels 5 2" xfId="571" xr:uid="{00000000-0005-0000-0000-000089020000}"/>
    <cellStyle name="APSLabels 5 2 10" xfId="31862" xr:uid="{00000000-0005-0000-0000-00008A020000}"/>
    <cellStyle name="APSLabels 5 2 11" xfId="32865" xr:uid="{00000000-0005-0000-0000-00008B020000}"/>
    <cellStyle name="APSLabels 5 2 12" xfId="33864" xr:uid="{00000000-0005-0000-0000-00008C020000}"/>
    <cellStyle name="APSLabels 5 2 13" xfId="36424" xr:uid="{00000000-0005-0000-0000-00008D020000}"/>
    <cellStyle name="APSLabels 5 2 2" xfId="15888" xr:uid="{00000000-0005-0000-0000-00008E020000}"/>
    <cellStyle name="APSLabels 5 2 3" xfId="17894" xr:uid="{00000000-0005-0000-0000-00008F020000}"/>
    <cellStyle name="APSLabels 5 2 4" xfId="19948" xr:uid="{00000000-0005-0000-0000-000090020000}"/>
    <cellStyle name="APSLabels 5 2 5" xfId="21931" xr:uid="{00000000-0005-0000-0000-000091020000}"/>
    <cellStyle name="APSLabels 5 2 6" xfId="22936" xr:uid="{00000000-0005-0000-0000-000092020000}"/>
    <cellStyle name="APSLabels 5 2 7" xfId="24907" xr:uid="{00000000-0005-0000-0000-000093020000}"/>
    <cellStyle name="APSLabels 5 2 8" xfId="28821" xr:uid="{00000000-0005-0000-0000-000094020000}"/>
    <cellStyle name="APSLabels 5 2 9" xfId="29860" xr:uid="{00000000-0005-0000-0000-000095020000}"/>
    <cellStyle name="APSLabels 5 3" xfId="15887" xr:uid="{00000000-0005-0000-0000-000096020000}"/>
    <cellStyle name="APSLabels 5 4" xfId="17893" xr:uid="{00000000-0005-0000-0000-000097020000}"/>
    <cellStyle name="APSLabels 5 5" xfId="19947" xr:uid="{00000000-0005-0000-0000-000098020000}"/>
    <cellStyle name="APSLabels 5 6" xfId="21930" xr:uid="{00000000-0005-0000-0000-000099020000}"/>
    <cellStyle name="APSLabels 5 7" xfId="22935" xr:uid="{00000000-0005-0000-0000-00009A020000}"/>
    <cellStyle name="APSLabels 5 8" xfId="24906" xr:uid="{00000000-0005-0000-0000-00009B020000}"/>
    <cellStyle name="APSLabels 5 9" xfId="28820" xr:uid="{00000000-0005-0000-0000-00009C020000}"/>
    <cellStyle name="APSLabels 6" xfId="572" xr:uid="{00000000-0005-0000-0000-00009D020000}"/>
    <cellStyle name="APSLabels 6 10" xfId="29861" xr:uid="{00000000-0005-0000-0000-00009E020000}"/>
    <cellStyle name="APSLabels 6 11" xfId="31863" xr:uid="{00000000-0005-0000-0000-00009F020000}"/>
    <cellStyle name="APSLabels 6 12" xfId="32866" xr:uid="{00000000-0005-0000-0000-0000A0020000}"/>
    <cellStyle name="APSLabels 6 13" xfId="33865" xr:uid="{00000000-0005-0000-0000-0000A1020000}"/>
    <cellStyle name="APSLabels 6 14" xfId="36425" xr:uid="{00000000-0005-0000-0000-0000A2020000}"/>
    <cellStyle name="APSLabels 6 2" xfId="573" xr:uid="{00000000-0005-0000-0000-0000A3020000}"/>
    <cellStyle name="APSLabels 6 2 10" xfId="31864" xr:uid="{00000000-0005-0000-0000-0000A4020000}"/>
    <cellStyle name="APSLabels 6 2 11" xfId="32867" xr:uid="{00000000-0005-0000-0000-0000A5020000}"/>
    <cellStyle name="APSLabels 6 2 12" xfId="33866" xr:uid="{00000000-0005-0000-0000-0000A6020000}"/>
    <cellStyle name="APSLabels 6 2 13" xfId="36426" xr:uid="{00000000-0005-0000-0000-0000A7020000}"/>
    <cellStyle name="APSLabels 6 2 2" xfId="15890" xr:uid="{00000000-0005-0000-0000-0000A8020000}"/>
    <cellStyle name="APSLabels 6 2 3" xfId="17896" xr:uid="{00000000-0005-0000-0000-0000A9020000}"/>
    <cellStyle name="APSLabels 6 2 4" xfId="19950" xr:uid="{00000000-0005-0000-0000-0000AA020000}"/>
    <cellStyle name="APSLabels 6 2 5" xfId="21933" xr:uid="{00000000-0005-0000-0000-0000AB020000}"/>
    <cellStyle name="APSLabels 6 2 6" xfId="22938" xr:uid="{00000000-0005-0000-0000-0000AC020000}"/>
    <cellStyle name="APSLabels 6 2 7" xfId="24909" xr:uid="{00000000-0005-0000-0000-0000AD020000}"/>
    <cellStyle name="APSLabels 6 2 8" xfId="28823" xr:uid="{00000000-0005-0000-0000-0000AE020000}"/>
    <cellStyle name="APSLabels 6 2 9" xfId="29862" xr:uid="{00000000-0005-0000-0000-0000AF020000}"/>
    <cellStyle name="APSLabels 6 3" xfId="15889" xr:uid="{00000000-0005-0000-0000-0000B0020000}"/>
    <cellStyle name="APSLabels 6 4" xfId="17895" xr:uid="{00000000-0005-0000-0000-0000B1020000}"/>
    <cellStyle name="APSLabels 6 5" xfId="19949" xr:uid="{00000000-0005-0000-0000-0000B2020000}"/>
    <cellStyle name="APSLabels 6 6" xfId="21932" xr:uid="{00000000-0005-0000-0000-0000B3020000}"/>
    <cellStyle name="APSLabels 6 7" xfId="22937" xr:uid="{00000000-0005-0000-0000-0000B4020000}"/>
    <cellStyle name="APSLabels 6 8" xfId="24908" xr:uid="{00000000-0005-0000-0000-0000B5020000}"/>
    <cellStyle name="APSLabels 6 9" xfId="28822" xr:uid="{00000000-0005-0000-0000-0000B6020000}"/>
    <cellStyle name="APSLabels 7" xfId="574" xr:uid="{00000000-0005-0000-0000-0000B7020000}"/>
    <cellStyle name="APSLabels 7 10" xfId="31865" xr:uid="{00000000-0005-0000-0000-0000B8020000}"/>
    <cellStyle name="APSLabels 7 11" xfId="32868" xr:uid="{00000000-0005-0000-0000-0000B9020000}"/>
    <cellStyle name="APSLabels 7 12" xfId="33867" xr:uid="{00000000-0005-0000-0000-0000BA020000}"/>
    <cellStyle name="APSLabels 7 13" xfId="36427" xr:uid="{00000000-0005-0000-0000-0000BB020000}"/>
    <cellStyle name="APSLabels 7 2" xfId="15891" xr:uid="{00000000-0005-0000-0000-0000BC020000}"/>
    <cellStyle name="APSLabels 7 3" xfId="17897" xr:uid="{00000000-0005-0000-0000-0000BD020000}"/>
    <cellStyle name="APSLabels 7 4" xfId="19951" xr:uid="{00000000-0005-0000-0000-0000BE020000}"/>
    <cellStyle name="APSLabels 7 5" xfId="21934" xr:uid="{00000000-0005-0000-0000-0000BF020000}"/>
    <cellStyle name="APSLabels 7 6" xfId="22939" xr:uid="{00000000-0005-0000-0000-0000C0020000}"/>
    <cellStyle name="APSLabels 7 7" xfId="24910" xr:uid="{00000000-0005-0000-0000-0000C1020000}"/>
    <cellStyle name="APSLabels 7 8" xfId="28824" xr:uid="{00000000-0005-0000-0000-0000C2020000}"/>
    <cellStyle name="APSLabels 7 9" xfId="29863" xr:uid="{00000000-0005-0000-0000-0000C3020000}"/>
    <cellStyle name="APSLabels 8" xfId="575" xr:uid="{00000000-0005-0000-0000-0000C4020000}"/>
    <cellStyle name="APSLabels 8 10" xfId="31866" xr:uid="{00000000-0005-0000-0000-0000C5020000}"/>
    <cellStyle name="APSLabels 8 11" xfId="32869" xr:uid="{00000000-0005-0000-0000-0000C6020000}"/>
    <cellStyle name="APSLabels 8 12" xfId="33868" xr:uid="{00000000-0005-0000-0000-0000C7020000}"/>
    <cellStyle name="APSLabels 8 13" xfId="36428" xr:uid="{00000000-0005-0000-0000-0000C8020000}"/>
    <cellStyle name="APSLabels 8 2" xfId="15892" xr:uid="{00000000-0005-0000-0000-0000C9020000}"/>
    <cellStyle name="APSLabels 8 3" xfId="17898" xr:uid="{00000000-0005-0000-0000-0000CA020000}"/>
    <cellStyle name="APSLabels 8 4" xfId="19952" xr:uid="{00000000-0005-0000-0000-0000CB020000}"/>
    <cellStyle name="APSLabels 8 5" xfId="21935" xr:uid="{00000000-0005-0000-0000-0000CC020000}"/>
    <cellStyle name="APSLabels 8 6" xfId="22940" xr:uid="{00000000-0005-0000-0000-0000CD020000}"/>
    <cellStyle name="APSLabels 8 7" xfId="24911" xr:uid="{00000000-0005-0000-0000-0000CE020000}"/>
    <cellStyle name="APSLabels 8 8" xfId="28825" xr:uid="{00000000-0005-0000-0000-0000CF020000}"/>
    <cellStyle name="APSLabels 8 9" xfId="29864" xr:uid="{00000000-0005-0000-0000-0000D0020000}"/>
    <cellStyle name="APSLabels 9" xfId="15121" xr:uid="{00000000-0005-0000-0000-0000D1020000}"/>
    <cellStyle name="Bad" xfId="13358" builtinId="27" customBuiltin="1"/>
    <cellStyle name="Bad 2" xfId="92" xr:uid="{00000000-0005-0000-0000-0000D3020000}"/>
    <cellStyle name="Bad 2 2" xfId="576" xr:uid="{00000000-0005-0000-0000-0000D4020000}"/>
    <cellStyle name="Bad 2 3" xfId="577" xr:uid="{00000000-0005-0000-0000-0000D5020000}"/>
    <cellStyle name="Bad 3" xfId="91" xr:uid="{00000000-0005-0000-0000-0000D6020000}"/>
    <cellStyle name="Bad 3 2" xfId="579" xr:uid="{00000000-0005-0000-0000-0000D7020000}"/>
    <cellStyle name="Bad 3 3" xfId="578" xr:uid="{00000000-0005-0000-0000-0000D8020000}"/>
    <cellStyle name="Bad 4" xfId="580" xr:uid="{00000000-0005-0000-0000-0000D9020000}"/>
    <cellStyle name="Budget" xfId="93" xr:uid="{00000000-0005-0000-0000-0000DA020000}"/>
    <cellStyle name="Budget 2" xfId="94" xr:uid="{00000000-0005-0000-0000-0000DB020000}"/>
    <cellStyle name="Budget 3" xfId="95" xr:uid="{00000000-0005-0000-0000-0000DC020000}"/>
    <cellStyle name="Budget_2011-11" xfId="96" xr:uid="{00000000-0005-0000-0000-0000DD020000}"/>
    <cellStyle name="Calculation" xfId="13362" builtinId="22" customBuiltin="1"/>
    <cellStyle name="Calculation 2" xfId="98" xr:uid="{00000000-0005-0000-0000-0000DF020000}"/>
    <cellStyle name="Calculation 2 10" xfId="581" xr:uid="{00000000-0005-0000-0000-0000E0020000}"/>
    <cellStyle name="Calculation 2 10 10" xfId="23913" xr:uid="{00000000-0005-0000-0000-0000E1020000}"/>
    <cellStyle name="Calculation 2 10 11" xfId="24912" xr:uid="{00000000-0005-0000-0000-0000E2020000}"/>
    <cellStyle name="Calculation 2 10 12" xfId="27857" xr:uid="{00000000-0005-0000-0000-0000E3020000}"/>
    <cellStyle name="Calculation 2 10 13" xfId="28826" xr:uid="{00000000-0005-0000-0000-0000E4020000}"/>
    <cellStyle name="Calculation 2 10 14" xfId="29865" xr:uid="{00000000-0005-0000-0000-0000E5020000}"/>
    <cellStyle name="Calculation 2 10 15" xfId="30858" xr:uid="{00000000-0005-0000-0000-0000E6020000}"/>
    <cellStyle name="Calculation 2 10 16" xfId="31867" xr:uid="{00000000-0005-0000-0000-0000E7020000}"/>
    <cellStyle name="Calculation 2 10 17" xfId="32870" xr:uid="{00000000-0005-0000-0000-0000E8020000}"/>
    <cellStyle name="Calculation 2 10 18" xfId="33869" xr:uid="{00000000-0005-0000-0000-0000E9020000}"/>
    <cellStyle name="Calculation 2 10 19" xfId="35490" xr:uid="{00000000-0005-0000-0000-0000EA020000}"/>
    <cellStyle name="Calculation 2 10 2" xfId="15893" xr:uid="{00000000-0005-0000-0000-0000EB020000}"/>
    <cellStyle name="Calculation 2 10 20" xfId="36429" xr:uid="{00000000-0005-0000-0000-0000EC020000}"/>
    <cellStyle name="Calculation 2 10 3" xfId="13453" xr:uid="{00000000-0005-0000-0000-0000ED020000}"/>
    <cellStyle name="Calculation 2 10 4" xfId="17899" xr:uid="{00000000-0005-0000-0000-0000EE020000}"/>
    <cellStyle name="Calculation 2 10 5" xfId="18931" xr:uid="{00000000-0005-0000-0000-0000EF020000}"/>
    <cellStyle name="Calculation 2 10 6" xfId="19953" xr:uid="{00000000-0005-0000-0000-0000F0020000}"/>
    <cellStyle name="Calculation 2 10 7" xfId="20962" xr:uid="{00000000-0005-0000-0000-0000F1020000}"/>
    <cellStyle name="Calculation 2 10 8" xfId="21936" xr:uid="{00000000-0005-0000-0000-0000F2020000}"/>
    <cellStyle name="Calculation 2 10 9" xfId="22941" xr:uid="{00000000-0005-0000-0000-0000F3020000}"/>
    <cellStyle name="Calculation 2 11" xfId="582" xr:uid="{00000000-0005-0000-0000-0000F4020000}"/>
    <cellStyle name="Calculation 2 11 10" xfId="24870" xr:uid="{00000000-0005-0000-0000-0000F5020000}"/>
    <cellStyle name="Calculation 2 11 11" xfId="25869" xr:uid="{00000000-0005-0000-0000-0000F6020000}"/>
    <cellStyle name="Calculation 2 11 12" xfId="28775" xr:uid="{00000000-0005-0000-0000-0000F7020000}"/>
    <cellStyle name="Calculation 2 11 13" xfId="29792" xr:uid="{00000000-0005-0000-0000-0000F8020000}"/>
    <cellStyle name="Calculation 2 11 14" xfId="30825" xr:uid="{00000000-0005-0000-0000-0000F9020000}"/>
    <cellStyle name="Calculation 2 11 15" xfId="31820" xr:uid="{00000000-0005-0000-0000-0000FA020000}"/>
    <cellStyle name="Calculation 2 11 16" xfId="32824" xr:uid="{00000000-0005-0000-0000-0000FB020000}"/>
    <cellStyle name="Calculation 2 11 17" xfId="33827" xr:uid="{00000000-0005-0000-0000-0000FC020000}"/>
    <cellStyle name="Calculation 2 11 18" xfId="34826" xr:uid="{00000000-0005-0000-0000-0000FD020000}"/>
    <cellStyle name="Calculation 2 11 19" xfId="36387" xr:uid="{00000000-0005-0000-0000-0000FE020000}"/>
    <cellStyle name="Calculation 2 11 2" xfId="16859" xr:uid="{00000000-0005-0000-0000-0000FF020000}"/>
    <cellStyle name="Calculation 2 11 20" xfId="37386" xr:uid="{00000000-0005-0000-0000-000000030000}"/>
    <cellStyle name="Calculation 2 11 3" xfId="17839" xr:uid="{00000000-0005-0000-0000-000001030000}"/>
    <cellStyle name="Calculation 2 11 4" xfId="18864" xr:uid="{00000000-0005-0000-0000-000002030000}"/>
    <cellStyle name="Calculation 2 11 5" xfId="19898" xr:uid="{00000000-0005-0000-0000-000003030000}"/>
    <cellStyle name="Calculation 2 11 6" xfId="20923" xr:uid="{00000000-0005-0000-0000-000004030000}"/>
    <cellStyle name="Calculation 2 11 7" xfId="21883" xr:uid="{00000000-0005-0000-0000-000005030000}"/>
    <cellStyle name="Calculation 2 11 8" xfId="22895" xr:uid="{00000000-0005-0000-0000-000006030000}"/>
    <cellStyle name="Calculation 2 11 9" xfId="23898" xr:uid="{00000000-0005-0000-0000-000007030000}"/>
    <cellStyle name="Calculation 2 12" xfId="34910" xr:uid="{00000000-0005-0000-0000-000008030000}"/>
    <cellStyle name="Calculation 2 13" xfId="37400" xr:uid="{00000000-0005-0000-0000-000009030000}"/>
    <cellStyle name="Calculation 2 2" xfId="313" xr:uid="{00000000-0005-0000-0000-00000A030000}"/>
    <cellStyle name="Calculation 2 2 2" xfId="583" xr:uid="{00000000-0005-0000-0000-00000B030000}"/>
    <cellStyle name="Calculation 2 2 2 10" xfId="14368" xr:uid="{00000000-0005-0000-0000-00000C030000}"/>
    <cellStyle name="Calculation 2 2 2 11" xfId="15063" xr:uid="{00000000-0005-0000-0000-00000D030000}"/>
    <cellStyle name="Calculation 2 2 2 12" xfId="14208" xr:uid="{00000000-0005-0000-0000-00000E030000}"/>
    <cellStyle name="Calculation 2 2 2 13" xfId="14337" xr:uid="{00000000-0005-0000-0000-00000F030000}"/>
    <cellStyle name="Calculation 2 2 2 14" xfId="14153" xr:uid="{00000000-0005-0000-0000-000010030000}"/>
    <cellStyle name="Calculation 2 2 2 15" xfId="15347" xr:uid="{00000000-0005-0000-0000-000011030000}"/>
    <cellStyle name="Calculation 2 2 2 16" xfId="26117" xr:uid="{00000000-0005-0000-0000-000012030000}"/>
    <cellStyle name="Calculation 2 2 2 17" xfId="27250" xr:uid="{00000000-0005-0000-0000-000013030000}"/>
    <cellStyle name="Calculation 2 2 2 18" xfId="26249" xr:uid="{00000000-0005-0000-0000-000014030000}"/>
    <cellStyle name="Calculation 2 2 2 19" xfId="26015" xr:uid="{00000000-0005-0000-0000-000015030000}"/>
    <cellStyle name="Calculation 2 2 2 2" xfId="584" xr:uid="{00000000-0005-0000-0000-000016030000}"/>
    <cellStyle name="Calculation 2 2 2 2 10" xfId="13910" xr:uid="{00000000-0005-0000-0000-000017030000}"/>
    <cellStyle name="Calculation 2 2 2 2 11" xfId="15724" xr:uid="{00000000-0005-0000-0000-000018030000}"/>
    <cellStyle name="Calculation 2 2 2 2 12" xfId="26332" xr:uid="{00000000-0005-0000-0000-000019030000}"/>
    <cellStyle name="Calculation 2 2 2 2 13" xfId="27728" xr:uid="{00000000-0005-0000-0000-00001A030000}"/>
    <cellStyle name="Calculation 2 2 2 2 14" xfId="26256" xr:uid="{00000000-0005-0000-0000-00001B030000}"/>
    <cellStyle name="Calculation 2 2 2 2 15" xfId="26763" xr:uid="{00000000-0005-0000-0000-00001C030000}"/>
    <cellStyle name="Calculation 2 2 2 2 16" xfId="27309" xr:uid="{00000000-0005-0000-0000-00001D030000}"/>
    <cellStyle name="Calculation 2 2 2 2 17" xfId="27231" xr:uid="{00000000-0005-0000-0000-00001E030000}"/>
    <cellStyle name="Calculation 2 2 2 2 18" xfId="35027" xr:uid="{00000000-0005-0000-0000-00001F030000}"/>
    <cellStyle name="Calculation 2 2 2 2 19" xfId="35319" xr:uid="{00000000-0005-0000-0000-000020030000}"/>
    <cellStyle name="Calculation 2 2 2 2 2" xfId="585" xr:uid="{00000000-0005-0000-0000-000021030000}"/>
    <cellStyle name="Calculation 2 2 2 2 2 10" xfId="22942" xr:uid="{00000000-0005-0000-0000-000022030000}"/>
    <cellStyle name="Calculation 2 2 2 2 2 11" xfId="23914" xr:uid="{00000000-0005-0000-0000-000023030000}"/>
    <cellStyle name="Calculation 2 2 2 2 2 12" xfId="24913" xr:uid="{00000000-0005-0000-0000-000024030000}"/>
    <cellStyle name="Calculation 2 2 2 2 2 13" xfId="27858" xr:uid="{00000000-0005-0000-0000-000025030000}"/>
    <cellStyle name="Calculation 2 2 2 2 2 14" xfId="28827" xr:uid="{00000000-0005-0000-0000-000026030000}"/>
    <cellStyle name="Calculation 2 2 2 2 2 15" xfId="29866" xr:uid="{00000000-0005-0000-0000-000027030000}"/>
    <cellStyle name="Calculation 2 2 2 2 2 16" xfId="30859" xr:uid="{00000000-0005-0000-0000-000028030000}"/>
    <cellStyle name="Calculation 2 2 2 2 2 17" xfId="31868" xr:uid="{00000000-0005-0000-0000-000029030000}"/>
    <cellStyle name="Calculation 2 2 2 2 2 18" xfId="32871" xr:uid="{00000000-0005-0000-0000-00002A030000}"/>
    <cellStyle name="Calculation 2 2 2 2 2 19" xfId="33870" xr:uid="{00000000-0005-0000-0000-00002B030000}"/>
    <cellStyle name="Calculation 2 2 2 2 2 2" xfId="586" xr:uid="{00000000-0005-0000-0000-00002C030000}"/>
    <cellStyle name="Calculation 2 2 2 2 2 2 10" xfId="23915" xr:uid="{00000000-0005-0000-0000-00002D030000}"/>
    <cellStyle name="Calculation 2 2 2 2 2 2 11" xfId="24914" xr:uid="{00000000-0005-0000-0000-00002E030000}"/>
    <cellStyle name="Calculation 2 2 2 2 2 2 12" xfId="27859" xr:uid="{00000000-0005-0000-0000-00002F030000}"/>
    <cellStyle name="Calculation 2 2 2 2 2 2 13" xfId="28828" xr:uid="{00000000-0005-0000-0000-000030030000}"/>
    <cellStyle name="Calculation 2 2 2 2 2 2 14" xfId="29867" xr:uid="{00000000-0005-0000-0000-000031030000}"/>
    <cellStyle name="Calculation 2 2 2 2 2 2 15" xfId="30860" xr:uid="{00000000-0005-0000-0000-000032030000}"/>
    <cellStyle name="Calculation 2 2 2 2 2 2 16" xfId="31869" xr:uid="{00000000-0005-0000-0000-000033030000}"/>
    <cellStyle name="Calculation 2 2 2 2 2 2 17" xfId="32872" xr:uid="{00000000-0005-0000-0000-000034030000}"/>
    <cellStyle name="Calculation 2 2 2 2 2 2 18" xfId="33871" xr:uid="{00000000-0005-0000-0000-000035030000}"/>
    <cellStyle name="Calculation 2 2 2 2 2 2 19" xfId="35492" xr:uid="{00000000-0005-0000-0000-000036030000}"/>
    <cellStyle name="Calculation 2 2 2 2 2 2 2" xfId="15895" xr:uid="{00000000-0005-0000-0000-000037030000}"/>
    <cellStyle name="Calculation 2 2 2 2 2 2 20" xfId="36431" xr:uid="{00000000-0005-0000-0000-000038030000}"/>
    <cellStyle name="Calculation 2 2 2 2 2 2 3" xfId="16873" xr:uid="{00000000-0005-0000-0000-000039030000}"/>
    <cellStyle name="Calculation 2 2 2 2 2 2 4" xfId="17901" xr:uid="{00000000-0005-0000-0000-00003A030000}"/>
    <cellStyle name="Calculation 2 2 2 2 2 2 5" xfId="18933" xr:uid="{00000000-0005-0000-0000-00003B030000}"/>
    <cellStyle name="Calculation 2 2 2 2 2 2 6" xfId="19955" xr:uid="{00000000-0005-0000-0000-00003C030000}"/>
    <cellStyle name="Calculation 2 2 2 2 2 2 7" xfId="20964" xr:uid="{00000000-0005-0000-0000-00003D030000}"/>
    <cellStyle name="Calculation 2 2 2 2 2 2 8" xfId="21938" xr:uid="{00000000-0005-0000-0000-00003E030000}"/>
    <cellStyle name="Calculation 2 2 2 2 2 2 9" xfId="22943" xr:uid="{00000000-0005-0000-0000-00003F030000}"/>
    <cellStyle name="Calculation 2 2 2 2 2 20" xfId="35491" xr:uid="{00000000-0005-0000-0000-000040030000}"/>
    <cellStyle name="Calculation 2 2 2 2 2 21" xfId="36430" xr:uid="{00000000-0005-0000-0000-000041030000}"/>
    <cellStyle name="Calculation 2 2 2 2 2 3" xfId="15894" xr:uid="{00000000-0005-0000-0000-000042030000}"/>
    <cellStyle name="Calculation 2 2 2 2 2 4" xfId="16872" xr:uid="{00000000-0005-0000-0000-000043030000}"/>
    <cellStyle name="Calculation 2 2 2 2 2 5" xfId="17900" xr:uid="{00000000-0005-0000-0000-000044030000}"/>
    <cellStyle name="Calculation 2 2 2 2 2 6" xfId="18932" xr:uid="{00000000-0005-0000-0000-000045030000}"/>
    <cellStyle name="Calculation 2 2 2 2 2 7" xfId="19954" xr:uid="{00000000-0005-0000-0000-000046030000}"/>
    <cellStyle name="Calculation 2 2 2 2 2 8" xfId="20963" xr:uid="{00000000-0005-0000-0000-000047030000}"/>
    <cellStyle name="Calculation 2 2 2 2 2 9" xfId="21937" xr:uid="{00000000-0005-0000-0000-000048030000}"/>
    <cellStyle name="Calculation 2 2 2 2 3" xfId="587" xr:uid="{00000000-0005-0000-0000-000049030000}"/>
    <cellStyle name="Calculation 2 2 2 2 3 10" xfId="22944" xr:uid="{00000000-0005-0000-0000-00004A030000}"/>
    <cellStyle name="Calculation 2 2 2 2 3 11" xfId="23916" xr:uid="{00000000-0005-0000-0000-00004B030000}"/>
    <cellStyle name="Calculation 2 2 2 2 3 12" xfId="24915" xr:uid="{00000000-0005-0000-0000-00004C030000}"/>
    <cellStyle name="Calculation 2 2 2 2 3 13" xfId="27860" xr:uid="{00000000-0005-0000-0000-00004D030000}"/>
    <cellStyle name="Calculation 2 2 2 2 3 14" xfId="28829" xr:uid="{00000000-0005-0000-0000-00004E030000}"/>
    <cellStyle name="Calculation 2 2 2 2 3 15" xfId="29868" xr:uid="{00000000-0005-0000-0000-00004F030000}"/>
    <cellStyle name="Calculation 2 2 2 2 3 16" xfId="30861" xr:uid="{00000000-0005-0000-0000-000050030000}"/>
    <cellStyle name="Calculation 2 2 2 2 3 17" xfId="31870" xr:uid="{00000000-0005-0000-0000-000051030000}"/>
    <cellStyle name="Calculation 2 2 2 2 3 18" xfId="32873" xr:uid="{00000000-0005-0000-0000-000052030000}"/>
    <cellStyle name="Calculation 2 2 2 2 3 19" xfId="33872" xr:uid="{00000000-0005-0000-0000-000053030000}"/>
    <cellStyle name="Calculation 2 2 2 2 3 2" xfId="588" xr:uid="{00000000-0005-0000-0000-000054030000}"/>
    <cellStyle name="Calculation 2 2 2 2 3 2 10" xfId="23917" xr:uid="{00000000-0005-0000-0000-000055030000}"/>
    <cellStyle name="Calculation 2 2 2 2 3 2 11" xfId="24916" xr:uid="{00000000-0005-0000-0000-000056030000}"/>
    <cellStyle name="Calculation 2 2 2 2 3 2 12" xfId="27861" xr:uid="{00000000-0005-0000-0000-000057030000}"/>
    <cellStyle name="Calculation 2 2 2 2 3 2 13" xfId="28830" xr:uid="{00000000-0005-0000-0000-000058030000}"/>
    <cellStyle name="Calculation 2 2 2 2 3 2 14" xfId="29869" xr:uid="{00000000-0005-0000-0000-000059030000}"/>
    <cellStyle name="Calculation 2 2 2 2 3 2 15" xfId="30862" xr:uid="{00000000-0005-0000-0000-00005A030000}"/>
    <cellStyle name="Calculation 2 2 2 2 3 2 16" xfId="31871" xr:uid="{00000000-0005-0000-0000-00005B030000}"/>
    <cellStyle name="Calculation 2 2 2 2 3 2 17" xfId="32874" xr:uid="{00000000-0005-0000-0000-00005C030000}"/>
    <cellStyle name="Calculation 2 2 2 2 3 2 18" xfId="33873" xr:uid="{00000000-0005-0000-0000-00005D030000}"/>
    <cellStyle name="Calculation 2 2 2 2 3 2 19" xfId="35494" xr:uid="{00000000-0005-0000-0000-00005E030000}"/>
    <cellStyle name="Calculation 2 2 2 2 3 2 2" xfId="15897" xr:uid="{00000000-0005-0000-0000-00005F030000}"/>
    <cellStyle name="Calculation 2 2 2 2 3 2 20" xfId="36433" xr:uid="{00000000-0005-0000-0000-000060030000}"/>
    <cellStyle name="Calculation 2 2 2 2 3 2 3" xfId="16875" xr:uid="{00000000-0005-0000-0000-000061030000}"/>
    <cellStyle name="Calculation 2 2 2 2 3 2 4" xfId="17903" xr:uid="{00000000-0005-0000-0000-000062030000}"/>
    <cellStyle name="Calculation 2 2 2 2 3 2 5" xfId="18935" xr:uid="{00000000-0005-0000-0000-000063030000}"/>
    <cellStyle name="Calculation 2 2 2 2 3 2 6" xfId="19957" xr:uid="{00000000-0005-0000-0000-000064030000}"/>
    <cellStyle name="Calculation 2 2 2 2 3 2 7" xfId="20966" xr:uid="{00000000-0005-0000-0000-000065030000}"/>
    <cellStyle name="Calculation 2 2 2 2 3 2 8" xfId="21940" xr:uid="{00000000-0005-0000-0000-000066030000}"/>
    <cellStyle name="Calculation 2 2 2 2 3 2 9" xfId="22945" xr:uid="{00000000-0005-0000-0000-000067030000}"/>
    <cellStyle name="Calculation 2 2 2 2 3 20" xfId="35493" xr:uid="{00000000-0005-0000-0000-000068030000}"/>
    <cellStyle name="Calculation 2 2 2 2 3 21" xfId="36432" xr:uid="{00000000-0005-0000-0000-000069030000}"/>
    <cellStyle name="Calculation 2 2 2 2 3 3" xfId="15896" xr:uid="{00000000-0005-0000-0000-00006A030000}"/>
    <cellStyle name="Calculation 2 2 2 2 3 4" xfId="16874" xr:uid="{00000000-0005-0000-0000-00006B030000}"/>
    <cellStyle name="Calculation 2 2 2 2 3 5" xfId="17902" xr:uid="{00000000-0005-0000-0000-00006C030000}"/>
    <cellStyle name="Calculation 2 2 2 2 3 6" xfId="18934" xr:uid="{00000000-0005-0000-0000-00006D030000}"/>
    <cellStyle name="Calculation 2 2 2 2 3 7" xfId="19956" xr:uid="{00000000-0005-0000-0000-00006E030000}"/>
    <cellStyle name="Calculation 2 2 2 2 3 8" xfId="20965" xr:uid="{00000000-0005-0000-0000-00006F030000}"/>
    <cellStyle name="Calculation 2 2 2 2 3 9" xfId="21939" xr:uid="{00000000-0005-0000-0000-000070030000}"/>
    <cellStyle name="Calculation 2 2 2 2 4" xfId="589" xr:uid="{00000000-0005-0000-0000-000071030000}"/>
    <cellStyle name="Calculation 2 2 2 2 4 10" xfId="22946" xr:uid="{00000000-0005-0000-0000-000072030000}"/>
    <cellStyle name="Calculation 2 2 2 2 4 11" xfId="23918" xr:uid="{00000000-0005-0000-0000-000073030000}"/>
    <cellStyle name="Calculation 2 2 2 2 4 12" xfId="24917" xr:uid="{00000000-0005-0000-0000-000074030000}"/>
    <cellStyle name="Calculation 2 2 2 2 4 13" xfId="27862" xr:uid="{00000000-0005-0000-0000-000075030000}"/>
    <cellStyle name="Calculation 2 2 2 2 4 14" xfId="28831" xr:uid="{00000000-0005-0000-0000-000076030000}"/>
    <cellStyle name="Calculation 2 2 2 2 4 15" xfId="29870" xr:uid="{00000000-0005-0000-0000-000077030000}"/>
    <cellStyle name="Calculation 2 2 2 2 4 16" xfId="30863" xr:uid="{00000000-0005-0000-0000-000078030000}"/>
    <cellStyle name="Calculation 2 2 2 2 4 17" xfId="31872" xr:uid="{00000000-0005-0000-0000-000079030000}"/>
    <cellStyle name="Calculation 2 2 2 2 4 18" xfId="32875" xr:uid="{00000000-0005-0000-0000-00007A030000}"/>
    <cellStyle name="Calculation 2 2 2 2 4 19" xfId="33874" xr:uid="{00000000-0005-0000-0000-00007B030000}"/>
    <cellStyle name="Calculation 2 2 2 2 4 2" xfId="590" xr:uid="{00000000-0005-0000-0000-00007C030000}"/>
    <cellStyle name="Calculation 2 2 2 2 4 2 10" xfId="23919" xr:uid="{00000000-0005-0000-0000-00007D030000}"/>
    <cellStyle name="Calculation 2 2 2 2 4 2 11" xfId="24918" xr:uid="{00000000-0005-0000-0000-00007E030000}"/>
    <cellStyle name="Calculation 2 2 2 2 4 2 12" xfId="27863" xr:uid="{00000000-0005-0000-0000-00007F030000}"/>
    <cellStyle name="Calculation 2 2 2 2 4 2 13" xfId="28832" xr:uid="{00000000-0005-0000-0000-000080030000}"/>
    <cellStyle name="Calculation 2 2 2 2 4 2 14" xfId="29871" xr:uid="{00000000-0005-0000-0000-000081030000}"/>
    <cellStyle name="Calculation 2 2 2 2 4 2 15" xfId="30864" xr:uid="{00000000-0005-0000-0000-000082030000}"/>
    <cellStyle name="Calculation 2 2 2 2 4 2 16" xfId="31873" xr:uid="{00000000-0005-0000-0000-000083030000}"/>
    <cellStyle name="Calculation 2 2 2 2 4 2 17" xfId="32876" xr:uid="{00000000-0005-0000-0000-000084030000}"/>
    <cellStyle name="Calculation 2 2 2 2 4 2 18" xfId="33875" xr:uid="{00000000-0005-0000-0000-000085030000}"/>
    <cellStyle name="Calculation 2 2 2 2 4 2 19" xfId="35496" xr:uid="{00000000-0005-0000-0000-000086030000}"/>
    <cellStyle name="Calculation 2 2 2 2 4 2 2" xfId="15899" xr:uid="{00000000-0005-0000-0000-000087030000}"/>
    <cellStyle name="Calculation 2 2 2 2 4 2 20" xfId="36435" xr:uid="{00000000-0005-0000-0000-000088030000}"/>
    <cellStyle name="Calculation 2 2 2 2 4 2 3" xfId="16877" xr:uid="{00000000-0005-0000-0000-000089030000}"/>
    <cellStyle name="Calculation 2 2 2 2 4 2 4" xfId="17905" xr:uid="{00000000-0005-0000-0000-00008A030000}"/>
    <cellStyle name="Calculation 2 2 2 2 4 2 5" xfId="18937" xr:uid="{00000000-0005-0000-0000-00008B030000}"/>
    <cellStyle name="Calculation 2 2 2 2 4 2 6" xfId="19959" xr:uid="{00000000-0005-0000-0000-00008C030000}"/>
    <cellStyle name="Calculation 2 2 2 2 4 2 7" xfId="20968" xr:uid="{00000000-0005-0000-0000-00008D030000}"/>
    <cellStyle name="Calculation 2 2 2 2 4 2 8" xfId="21942" xr:uid="{00000000-0005-0000-0000-00008E030000}"/>
    <cellStyle name="Calculation 2 2 2 2 4 2 9" xfId="22947" xr:uid="{00000000-0005-0000-0000-00008F030000}"/>
    <cellStyle name="Calculation 2 2 2 2 4 20" xfId="35495" xr:uid="{00000000-0005-0000-0000-000090030000}"/>
    <cellStyle name="Calculation 2 2 2 2 4 21" xfId="36434" xr:uid="{00000000-0005-0000-0000-000091030000}"/>
    <cellStyle name="Calculation 2 2 2 2 4 3" xfId="15898" xr:uid="{00000000-0005-0000-0000-000092030000}"/>
    <cellStyle name="Calculation 2 2 2 2 4 4" xfId="16876" xr:uid="{00000000-0005-0000-0000-000093030000}"/>
    <cellStyle name="Calculation 2 2 2 2 4 5" xfId="17904" xr:uid="{00000000-0005-0000-0000-000094030000}"/>
    <cellStyle name="Calculation 2 2 2 2 4 6" xfId="18936" xr:uid="{00000000-0005-0000-0000-000095030000}"/>
    <cellStyle name="Calculation 2 2 2 2 4 7" xfId="19958" xr:uid="{00000000-0005-0000-0000-000096030000}"/>
    <cellStyle name="Calculation 2 2 2 2 4 8" xfId="20967" xr:uid="{00000000-0005-0000-0000-000097030000}"/>
    <cellStyle name="Calculation 2 2 2 2 4 9" xfId="21941" xr:uid="{00000000-0005-0000-0000-000098030000}"/>
    <cellStyle name="Calculation 2 2 2 2 5" xfId="591" xr:uid="{00000000-0005-0000-0000-000099030000}"/>
    <cellStyle name="Calculation 2 2 2 2 5 10" xfId="23920" xr:uid="{00000000-0005-0000-0000-00009A030000}"/>
    <cellStyle name="Calculation 2 2 2 2 5 11" xfId="24919" xr:uid="{00000000-0005-0000-0000-00009B030000}"/>
    <cellStyle name="Calculation 2 2 2 2 5 12" xfId="27864" xr:uid="{00000000-0005-0000-0000-00009C030000}"/>
    <cellStyle name="Calculation 2 2 2 2 5 13" xfId="28833" xr:uid="{00000000-0005-0000-0000-00009D030000}"/>
    <cellStyle name="Calculation 2 2 2 2 5 14" xfId="29872" xr:uid="{00000000-0005-0000-0000-00009E030000}"/>
    <cellStyle name="Calculation 2 2 2 2 5 15" xfId="30865" xr:uid="{00000000-0005-0000-0000-00009F030000}"/>
    <cellStyle name="Calculation 2 2 2 2 5 16" xfId="31874" xr:uid="{00000000-0005-0000-0000-0000A0030000}"/>
    <cellStyle name="Calculation 2 2 2 2 5 17" xfId="32877" xr:uid="{00000000-0005-0000-0000-0000A1030000}"/>
    <cellStyle name="Calculation 2 2 2 2 5 18" xfId="33876" xr:uid="{00000000-0005-0000-0000-0000A2030000}"/>
    <cellStyle name="Calculation 2 2 2 2 5 19" xfId="35497" xr:uid="{00000000-0005-0000-0000-0000A3030000}"/>
    <cellStyle name="Calculation 2 2 2 2 5 2" xfId="15900" xr:uid="{00000000-0005-0000-0000-0000A4030000}"/>
    <cellStyle name="Calculation 2 2 2 2 5 20" xfId="36436" xr:uid="{00000000-0005-0000-0000-0000A5030000}"/>
    <cellStyle name="Calculation 2 2 2 2 5 3" xfId="16878" xr:uid="{00000000-0005-0000-0000-0000A6030000}"/>
    <cellStyle name="Calculation 2 2 2 2 5 4" xfId="17906" xr:uid="{00000000-0005-0000-0000-0000A7030000}"/>
    <cellStyle name="Calculation 2 2 2 2 5 5" xfId="18938" xr:uid="{00000000-0005-0000-0000-0000A8030000}"/>
    <cellStyle name="Calculation 2 2 2 2 5 6" xfId="19960" xr:uid="{00000000-0005-0000-0000-0000A9030000}"/>
    <cellStyle name="Calculation 2 2 2 2 5 7" xfId="20969" xr:uid="{00000000-0005-0000-0000-0000AA030000}"/>
    <cellStyle name="Calculation 2 2 2 2 5 8" xfId="21943" xr:uid="{00000000-0005-0000-0000-0000AB030000}"/>
    <cellStyle name="Calculation 2 2 2 2 5 9" xfId="22948" xr:uid="{00000000-0005-0000-0000-0000AC030000}"/>
    <cellStyle name="Calculation 2 2 2 2 6" xfId="13741" xr:uid="{00000000-0005-0000-0000-0000AD030000}"/>
    <cellStyle name="Calculation 2 2 2 2 7" xfId="14265" xr:uid="{00000000-0005-0000-0000-0000AE030000}"/>
    <cellStyle name="Calculation 2 2 2 2 8" xfId="14207" xr:uid="{00000000-0005-0000-0000-0000AF030000}"/>
    <cellStyle name="Calculation 2 2 2 2 9" xfId="14681" xr:uid="{00000000-0005-0000-0000-0000B0030000}"/>
    <cellStyle name="Calculation 2 2 2 20" xfId="26929" xr:uid="{00000000-0005-0000-0000-0000B1030000}"/>
    <cellStyle name="Calculation 2 2 2 21" xfId="26746" xr:uid="{00000000-0005-0000-0000-0000B2030000}"/>
    <cellStyle name="Calculation 2 2 2 22" xfId="34970" xr:uid="{00000000-0005-0000-0000-0000B3030000}"/>
    <cellStyle name="Calculation 2 2 2 23" xfId="35358" xr:uid="{00000000-0005-0000-0000-0000B4030000}"/>
    <cellStyle name="Calculation 2 2 2 3" xfId="592" xr:uid="{00000000-0005-0000-0000-0000B5030000}"/>
    <cellStyle name="Calculation 2 2 2 3 10" xfId="14701" xr:uid="{00000000-0005-0000-0000-0000B6030000}"/>
    <cellStyle name="Calculation 2 2 2 3 11" xfId="15093" xr:uid="{00000000-0005-0000-0000-0000B7030000}"/>
    <cellStyle name="Calculation 2 2 2 3 12" xfId="26412" xr:uid="{00000000-0005-0000-0000-0000B8030000}"/>
    <cellStyle name="Calculation 2 2 2 3 13" xfId="27700" xr:uid="{00000000-0005-0000-0000-0000B9030000}"/>
    <cellStyle name="Calculation 2 2 2 3 14" xfId="27849" xr:uid="{00000000-0005-0000-0000-0000BA030000}"/>
    <cellStyle name="Calculation 2 2 2 3 15" xfId="27618" xr:uid="{00000000-0005-0000-0000-0000BB030000}"/>
    <cellStyle name="Calculation 2 2 2 3 16" xfId="29813" xr:uid="{00000000-0005-0000-0000-0000BC030000}"/>
    <cellStyle name="Calculation 2 2 2 3 17" xfId="26213" xr:uid="{00000000-0005-0000-0000-0000BD030000}"/>
    <cellStyle name="Calculation 2 2 2 3 18" xfId="35102" xr:uid="{00000000-0005-0000-0000-0000BE030000}"/>
    <cellStyle name="Calculation 2 2 2 3 19" xfId="35424" xr:uid="{00000000-0005-0000-0000-0000BF030000}"/>
    <cellStyle name="Calculation 2 2 2 3 2" xfId="593" xr:uid="{00000000-0005-0000-0000-0000C0030000}"/>
    <cellStyle name="Calculation 2 2 2 3 2 10" xfId="22949" xr:uid="{00000000-0005-0000-0000-0000C1030000}"/>
    <cellStyle name="Calculation 2 2 2 3 2 11" xfId="23921" xr:uid="{00000000-0005-0000-0000-0000C2030000}"/>
    <cellStyle name="Calculation 2 2 2 3 2 12" xfId="24920" xr:uid="{00000000-0005-0000-0000-0000C3030000}"/>
    <cellStyle name="Calculation 2 2 2 3 2 13" xfId="27865" xr:uid="{00000000-0005-0000-0000-0000C4030000}"/>
    <cellStyle name="Calculation 2 2 2 3 2 14" xfId="28834" xr:uid="{00000000-0005-0000-0000-0000C5030000}"/>
    <cellStyle name="Calculation 2 2 2 3 2 15" xfId="29873" xr:uid="{00000000-0005-0000-0000-0000C6030000}"/>
    <cellStyle name="Calculation 2 2 2 3 2 16" xfId="30866" xr:uid="{00000000-0005-0000-0000-0000C7030000}"/>
    <cellStyle name="Calculation 2 2 2 3 2 17" xfId="31875" xr:uid="{00000000-0005-0000-0000-0000C8030000}"/>
    <cellStyle name="Calculation 2 2 2 3 2 18" xfId="32878" xr:uid="{00000000-0005-0000-0000-0000C9030000}"/>
    <cellStyle name="Calculation 2 2 2 3 2 19" xfId="33877" xr:uid="{00000000-0005-0000-0000-0000CA030000}"/>
    <cellStyle name="Calculation 2 2 2 3 2 2" xfId="594" xr:uid="{00000000-0005-0000-0000-0000CB030000}"/>
    <cellStyle name="Calculation 2 2 2 3 2 2 10" xfId="23922" xr:uid="{00000000-0005-0000-0000-0000CC030000}"/>
    <cellStyle name="Calculation 2 2 2 3 2 2 11" xfId="24921" xr:uid="{00000000-0005-0000-0000-0000CD030000}"/>
    <cellStyle name="Calculation 2 2 2 3 2 2 12" xfId="27866" xr:uid="{00000000-0005-0000-0000-0000CE030000}"/>
    <cellStyle name="Calculation 2 2 2 3 2 2 13" xfId="28835" xr:uid="{00000000-0005-0000-0000-0000CF030000}"/>
    <cellStyle name="Calculation 2 2 2 3 2 2 14" xfId="29874" xr:uid="{00000000-0005-0000-0000-0000D0030000}"/>
    <cellStyle name="Calculation 2 2 2 3 2 2 15" xfId="30867" xr:uid="{00000000-0005-0000-0000-0000D1030000}"/>
    <cellStyle name="Calculation 2 2 2 3 2 2 16" xfId="31876" xr:uid="{00000000-0005-0000-0000-0000D2030000}"/>
    <cellStyle name="Calculation 2 2 2 3 2 2 17" xfId="32879" xr:uid="{00000000-0005-0000-0000-0000D3030000}"/>
    <cellStyle name="Calculation 2 2 2 3 2 2 18" xfId="33878" xr:uid="{00000000-0005-0000-0000-0000D4030000}"/>
    <cellStyle name="Calculation 2 2 2 3 2 2 19" xfId="35499" xr:uid="{00000000-0005-0000-0000-0000D5030000}"/>
    <cellStyle name="Calculation 2 2 2 3 2 2 2" xfId="15902" xr:uid="{00000000-0005-0000-0000-0000D6030000}"/>
    <cellStyle name="Calculation 2 2 2 3 2 2 20" xfId="36438" xr:uid="{00000000-0005-0000-0000-0000D7030000}"/>
    <cellStyle name="Calculation 2 2 2 3 2 2 3" xfId="16880" xr:uid="{00000000-0005-0000-0000-0000D8030000}"/>
    <cellStyle name="Calculation 2 2 2 3 2 2 4" xfId="17908" xr:uid="{00000000-0005-0000-0000-0000D9030000}"/>
    <cellStyle name="Calculation 2 2 2 3 2 2 5" xfId="18940" xr:uid="{00000000-0005-0000-0000-0000DA030000}"/>
    <cellStyle name="Calculation 2 2 2 3 2 2 6" xfId="19962" xr:uid="{00000000-0005-0000-0000-0000DB030000}"/>
    <cellStyle name="Calculation 2 2 2 3 2 2 7" xfId="20971" xr:uid="{00000000-0005-0000-0000-0000DC030000}"/>
    <cellStyle name="Calculation 2 2 2 3 2 2 8" xfId="21945" xr:uid="{00000000-0005-0000-0000-0000DD030000}"/>
    <cellStyle name="Calculation 2 2 2 3 2 2 9" xfId="22950" xr:uid="{00000000-0005-0000-0000-0000DE030000}"/>
    <cellStyle name="Calculation 2 2 2 3 2 20" xfId="35498" xr:uid="{00000000-0005-0000-0000-0000DF030000}"/>
    <cellStyle name="Calculation 2 2 2 3 2 21" xfId="36437" xr:uid="{00000000-0005-0000-0000-0000E0030000}"/>
    <cellStyle name="Calculation 2 2 2 3 2 3" xfId="15901" xr:uid="{00000000-0005-0000-0000-0000E1030000}"/>
    <cellStyle name="Calculation 2 2 2 3 2 4" xfId="16879" xr:uid="{00000000-0005-0000-0000-0000E2030000}"/>
    <cellStyle name="Calculation 2 2 2 3 2 5" xfId="17907" xr:uid="{00000000-0005-0000-0000-0000E3030000}"/>
    <cellStyle name="Calculation 2 2 2 3 2 6" xfId="18939" xr:uid="{00000000-0005-0000-0000-0000E4030000}"/>
    <cellStyle name="Calculation 2 2 2 3 2 7" xfId="19961" xr:uid="{00000000-0005-0000-0000-0000E5030000}"/>
    <cellStyle name="Calculation 2 2 2 3 2 8" xfId="20970" xr:uid="{00000000-0005-0000-0000-0000E6030000}"/>
    <cellStyle name="Calculation 2 2 2 3 2 9" xfId="21944" xr:uid="{00000000-0005-0000-0000-0000E7030000}"/>
    <cellStyle name="Calculation 2 2 2 3 3" xfId="595" xr:uid="{00000000-0005-0000-0000-0000E8030000}"/>
    <cellStyle name="Calculation 2 2 2 3 3 10" xfId="22951" xr:uid="{00000000-0005-0000-0000-0000E9030000}"/>
    <cellStyle name="Calculation 2 2 2 3 3 11" xfId="23923" xr:uid="{00000000-0005-0000-0000-0000EA030000}"/>
    <cellStyle name="Calculation 2 2 2 3 3 12" xfId="24922" xr:uid="{00000000-0005-0000-0000-0000EB030000}"/>
    <cellStyle name="Calculation 2 2 2 3 3 13" xfId="27867" xr:uid="{00000000-0005-0000-0000-0000EC030000}"/>
    <cellStyle name="Calculation 2 2 2 3 3 14" xfId="28836" xr:uid="{00000000-0005-0000-0000-0000ED030000}"/>
    <cellStyle name="Calculation 2 2 2 3 3 15" xfId="29875" xr:uid="{00000000-0005-0000-0000-0000EE030000}"/>
    <cellStyle name="Calculation 2 2 2 3 3 16" xfId="30868" xr:uid="{00000000-0005-0000-0000-0000EF030000}"/>
    <cellStyle name="Calculation 2 2 2 3 3 17" xfId="31877" xr:uid="{00000000-0005-0000-0000-0000F0030000}"/>
    <cellStyle name="Calculation 2 2 2 3 3 18" xfId="32880" xr:uid="{00000000-0005-0000-0000-0000F1030000}"/>
    <cellStyle name="Calculation 2 2 2 3 3 19" xfId="33879" xr:uid="{00000000-0005-0000-0000-0000F2030000}"/>
    <cellStyle name="Calculation 2 2 2 3 3 2" xfId="596" xr:uid="{00000000-0005-0000-0000-0000F3030000}"/>
    <cellStyle name="Calculation 2 2 2 3 3 2 10" xfId="23924" xr:uid="{00000000-0005-0000-0000-0000F4030000}"/>
    <cellStyle name="Calculation 2 2 2 3 3 2 11" xfId="24923" xr:uid="{00000000-0005-0000-0000-0000F5030000}"/>
    <cellStyle name="Calculation 2 2 2 3 3 2 12" xfId="27868" xr:uid="{00000000-0005-0000-0000-0000F6030000}"/>
    <cellStyle name="Calculation 2 2 2 3 3 2 13" xfId="28837" xr:uid="{00000000-0005-0000-0000-0000F7030000}"/>
    <cellStyle name="Calculation 2 2 2 3 3 2 14" xfId="29876" xr:uid="{00000000-0005-0000-0000-0000F8030000}"/>
    <cellStyle name="Calculation 2 2 2 3 3 2 15" xfId="30869" xr:uid="{00000000-0005-0000-0000-0000F9030000}"/>
    <cellStyle name="Calculation 2 2 2 3 3 2 16" xfId="31878" xr:uid="{00000000-0005-0000-0000-0000FA030000}"/>
    <cellStyle name="Calculation 2 2 2 3 3 2 17" xfId="32881" xr:uid="{00000000-0005-0000-0000-0000FB030000}"/>
    <cellStyle name="Calculation 2 2 2 3 3 2 18" xfId="33880" xr:uid="{00000000-0005-0000-0000-0000FC030000}"/>
    <cellStyle name="Calculation 2 2 2 3 3 2 19" xfId="35501" xr:uid="{00000000-0005-0000-0000-0000FD030000}"/>
    <cellStyle name="Calculation 2 2 2 3 3 2 2" xfId="15904" xr:uid="{00000000-0005-0000-0000-0000FE030000}"/>
    <cellStyle name="Calculation 2 2 2 3 3 2 20" xfId="36440" xr:uid="{00000000-0005-0000-0000-0000FF030000}"/>
    <cellStyle name="Calculation 2 2 2 3 3 2 3" xfId="16882" xr:uid="{00000000-0005-0000-0000-000000040000}"/>
    <cellStyle name="Calculation 2 2 2 3 3 2 4" xfId="17910" xr:uid="{00000000-0005-0000-0000-000001040000}"/>
    <cellStyle name="Calculation 2 2 2 3 3 2 5" xfId="18942" xr:uid="{00000000-0005-0000-0000-000002040000}"/>
    <cellStyle name="Calculation 2 2 2 3 3 2 6" xfId="19964" xr:uid="{00000000-0005-0000-0000-000003040000}"/>
    <cellStyle name="Calculation 2 2 2 3 3 2 7" xfId="20973" xr:uid="{00000000-0005-0000-0000-000004040000}"/>
    <cellStyle name="Calculation 2 2 2 3 3 2 8" xfId="21947" xr:uid="{00000000-0005-0000-0000-000005040000}"/>
    <cellStyle name="Calculation 2 2 2 3 3 2 9" xfId="22952" xr:uid="{00000000-0005-0000-0000-000006040000}"/>
    <cellStyle name="Calculation 2 2 2 3 3 20" xfId="35500" xr:uid="{00000000-0005-0000-0000-000007040000}"/>
    <cellStyle name="Calculation 2 2 2 3 3 21" xfId="36439" xr:uid="{00000000-0005-0000-0000-000008040000}"/>
    <cellStyle name="Calculation 2 2 2 3 3 3" xfId="15903" xr:uid="{00000000-0005-0000-0000-000009040000}"/>
    <cellStyle name="Calculation 2 2 2 3 3 4" xfId="16881" xr:uid="{00000000-0005-0000-0000-00000A040000}"/>
    <cellStyle name="Calculation 2 2 2 3 3 5" xfId="17909" xr:uid="{00000000-0005-0000-0000-00000B040000}"/>
    <cellStyle name="Calculation 2 2 2 3 3 6" xfId="18941" xr:uid="{00000000-0005-0000-0000-00000C040000}"/>
    <cellStyle name="Calculation 2 2 2 3 3 7" xfId="19963" xr:uid="{00000000-0005-0000-0000-00000D040000}"/>
    <cellStyle name="Calculation 2 2 2 3 3 8" xfId="20972" xr:uid="{00000000-0005-0000-0000-00000E040000}"/>
    <cellStyle name="Calculation 2 2 2 3 3 9" xfId="21946" xr:uid="{00000000-0005-0000-0000-00000F040000}"/>
    <cellStyle name="Calculation 2 2 2 3 4" xfId="597" xr:uid="{00000000-0005-0000-0000-000010040000}"/>
    <cellStyle name="Calculation 2 2 2 3 4 10" xfId="22953" xr:uid="{00000000-0005-0000-0000-000011040000}"/>
    <cellStyle name="Calculation 2 2 2 3 4 11" xfId="23925" xr:uid="{00000000-0005-0000-0000-000012040000}"/>
    <cellStyle name="Calculation 2 2 2 3 4 12" xfId="24924" xr:uid="{00000000-0005-0000-0000-000013040000}"/>
    <cellStyle name="Calculation 2 2 2 3 4 13" xfId="27869" xr:uid="{00000000-0005-0000-0000-000014040000}"/>
    <cellStyle name="Calculation 2 2 2 3 4 14" xfId="28838" xr:uid="{00000000-0005-0000-0000-000015040000}"/>
    <cellStyle name="Calculation 2 2 2 3 4 15" xfId="29877" xr:uid="{00000000-0005-0000-0000-000016040000}"/>
    <cellStyle name="Calculation 2 2 2 3 4 16" xfId="30870" xr:uid="{00000000-0005-0000-0000-000017040000}"/>
    <cellStyle name="Calculation 2 2 2 3 4 17" xfId="31879" xr:uid="{00000000-0005-0000-0000-000018040000}"/>
    <cellStyle name="Calculation 2 2 2 3 4 18" xfId="32882" xr:uid="{00000000-0005-0000-0000-000019040000}"/>
    <cellStyle name="Calculation 2 2 2 3 4 19" xfId="33881" xr:uid="{00000000-0005-0000-0000-00001A040000}"/>
    <cellStyle name="Calculation 2 2 2 3 4 2" xfId="598" xr:uid="{00000000-0005-0000-0000-00001B040000}"/>
    <cellStyle name="Calculation 2 2 2 3 4 2 10" xfId="23926" xr:uid="{00000000-0005-0000-0000-00001C040000}"/>
    <cellStyle name="Calculation 2 2 2 3 4 2 11" xfId="24925" xr:uid="{00000000-0005-0000-0000-00001D040000}"/>
    <cellStyle name="Calculation 2 2 2 3 4 2 12" xfId="27870" xr:uid="{00000000-0005-0000-0000-00001E040000}"/>
    <cellStyle name="Calculation 2 2 2 3 4 2 13" xfId="28839" xr:uid="{00000000-0005-0000-0000-00001F040000}"/>
    <cellStyle name="Calculation 2 2 2 3 4 2 14" xfId="29878" xr:uid="{00000000-0005-0000-0000-000020040000}"/>
    <cellStyle name="Calculation 2 2 2 3 4 2 15" xfId="30871" xr:uid="{00000000-0005-0000-0000-000021040000}"/>
    <cellStyle name="Calculation 2 2 2 3 4 2 16" xfId="31880" xr:uid="{00000000-0005-0000-0000-000022040000}"/>
    <cellStyle name="Calculation 2 2 2 3 4 2 17" xfId="32883" xr:uid="{00000000-0005-0000-0000-000023040000}"/>
    <cellStyle name="Calculation 2 2 2 3 4 2 18" xfId="33882" xr:uid="{00000000-0005-0000-0000-000024040000}"/>
    <cellStyle name="Calculation 2 2 2 3 4 2 19" xfId="35503" xr:uid="{00000000-0005-0000-0000-000025040000}"/>
    <cellStyle name="Calculation 2 2 2 3 4 2 2" xfId="15906" xr:uid="{00000000-0005-0000-0000-000026040000}"/>
    <cellStyle name="Calculation 2 2 2 3 4 2 20" xfId="36442" xr:uid="{00000000-0005-0000-0000-000027040000}"/>
    <cellStyle name="Calculation 2 2 2 3 4 2 3" xfId="16884" xr:uid="{00000000-0005-0000-0000-000028040000}"/>
    <cellStyle name="Calculation 2 2 2 3 4 2 4" xfId="17912" xr:uid="{00000000-0005-0000-0000-000029040000}"/>
    <cellStyle name="Calculation 2 2 2 3 4 2 5" xfId="18944" xr:uid="{00000000-0005-0000-0000-00002A040000}"/>
    <cellStyle name="Calculation 2 2 2 3 4 2 6" xfId="19966" xr:uid="{00000000-0005-0000-0000-00002B040000}"/>
    <cellStyle name="Calculation 2 2 2 3 4 2 7" xfId="20975" xr:uid="{00000000-0005-0000-0000-00002C040000}"/>
    <cellStyle name="Calculation 2 2 2 3 4 2 8" xfId="21949" xr:uid="{00000000-0005-0000-0000-00002D040000}"/>
    <cellStyle name="Calculation 2 2 2 3 4 2 9" xfId="22954" xr:uid="{00000000-0005-0000-0000-00002E040000}"/>
    <cellStyle name="Calculation 2 2 2 3 4 20" xfId="35502" xr:uid="{00000000-0005-0000-0000-00002F040000}"/>
    <cellStyle name="Calculation 2 2 2 3 4 21" xfId="36441" xr:uid="{00000000-0005-0000-0000-000030040000}"/>
    <cellStyle name="Calculation 2 2 2 3 4 3" xfId="15905" xr:uid="{00000000-0005-0000-0000-000031040000}"/>
    <cellStyle name="Calculation 2 2 2 3 4 4" xfId="16883" xr:uid="{00000000-0005-0000-0000-000032040000}"/>
    <cellStyle name="Calculation 2 2 2 3 4 5" xfId="17911" xr:uid="{00000000-0005-0000-0000-000033040000}"/>
    <cellStyle name="Calculation 2 2 2 3 4 6" xfId="18943" xr:uid="{00000000-0005-0000-0000-000034040000}"/>
    <cellStyle name="Calculation 2 2 2 3 4 7" xfId="19965" xr:uid="{00000000-0005-0000-0000-000035040000}"/>
    <cellStyle name="Calculation 2 2 2 3 4 8" xfId="20974" xr:uid="{00000000-0005-0000-0000-000036040000}"/>
    <cellStyle name="Calculation 2 2 2 3 4 9" xfId="21948" xr:uid="{00000000-0005-0000-0000-000037040000}"/>
    <cellStyle name="Calculation 2 2 2 3 5" xfId="599" xr:uid="{00000000-0005-0000-0000-000038040000}"/>
    <cellStyle name="Calculation 2 2 2 3 5 10" xfId="23927" xr:uid="{00000000-0005-0000-0000-000039040000}"/>
    <cellStyle name="Calculation 2 2 2 3 5 11" xfId="24926" xr:uid="{00000000-0005-0000-0000-00003A040000}"/>
    <cellStyle name="Calculation 2 2 2 3 5 12" xfId="27871" xr:uid="{00000000-0005-0000-0000-00003B040000}"/>
    <cellStyle name="Calculation 2 2 2 3 5 13" xfId="28840" xr:uid="{00000000-0005-0000-0000-00003C040000}"/>
    <cellStyle name="Calculation 2 2 2 3 5 14" xfId="29879" xr:uid="{00000000-0005-0000-0000-00003D040000}"/>
    <cellStyle name="Calculation 2 2 2 3 5 15" xfId="30872" xr:uid="{00000000-0005-0000-0000-00003E040000}"/>
    <cellStyle name="Calculation 2 2 2 3 5 16" xfId="31881" xr:uid="{00000000-0005-0000-0000-00003F040000}"/>
    <cellStyle name="Calculation 2 2 2 3 5 17" xfId="32884" xr:uid="{00000000-0005-0000-0000-000040040000}"/>
    <cellStyle name="Calculation 2 2 2 3 5 18" xfId="33883" xr:uid="{00000000-0005-0000-0000-000041040000}"/>
    <cellStyle name="Calculation 2 2 2 3 5 19" xfId="35504" xr:uid="{00000000-0005-0000-0000-000042040000}"/>
    <cellStyle name="Calculation 2 2 2 3 5 2" xfId="15907" xr:uid="{00000000-0005-0000-0000-000043040000}"/>
    <cellStyle name="Calculation 2 2 2 3 5 20" xfId="36443" xr:uid="{00000000-0005-0000-0000-000044040000}"/>
    <cellStyle name="Calculation 2 2 2 3 5 3" xfId="16885" xr:uid="{00000000-0005-0000-0000-000045040000}"/>
    <cellStyle name="Calculation 2 2 2 3 5 4" xfId="17913" xr:uid="{00000000-0005-0000-0000-000046040000}"/>
    <cellStyle name="Calculation 2 2 2 3 5 5" xfId="18945" xr:uid="{00000000-0005-0000-0000-000047040000}"/>
    <cellStyle name="Calculation 2 2 2 3 5 6" xfId="19967" xr:uid="{00000000-0005-0000-0000-000048040000}"/>
    <cellStyle name="Calculation 2 2 2 3 5 7" xfId="20976" xr:uid="{00000000-0005-0000-0000-000049040000}"/>
    <cellStyle name="Calculation 2 2 2 3 5 8" xfId="21950" xr:uid="{00000000-0005-0000-0000-00004A040000}"/>
    <cellStyle name="Calculation 2 2 2 3 5 9" xfId="22955" xr:uid="{00000000-0005-0000-0000-00004B040000}"/>
    <cellStyle name="Calculation 2 2 2 3 6" xfId="13900" xr:uid="{00000000-0005-0000-0000-00004C040000}"/>
    <cellStyle name="Calculation 2 2 2 3 7" xfId="13801" xr:uid="{00000000-0005-0000-0000-00004D040000}"/>
    <cellStyle name="Calculation 2 2 2 3 8" xfId="14679" xr:uid="{00000000-0005-0000-0000-00004E040000}"/>
    <cellStyle name="Calculation 2 2 2 3 9" xfId="14595" xr:uid="{00000000-0005-0000-0000-00004F040000}"/>
    <cellStyle name="Calculation 2 2 2 4" xfId="600" xr:uid="{00000000-0005-0000-0000-000050040000}"/>
    <cellStyle name="Calculation 2 2 2 4 10" xfId="14241" xr:uid="{00000000-0005-0000-0000-000051040000}"/>
    <cellStyle name="Calculation 2 2 2 4 11" xfId="14972" xr:uid="{00000000-0005-0000-0000-000052040000}"/>
    <cellStyle name="Calculation 2 2 2 4 12" xfId="26347" xr:uid="{00000000-0005-0000-0000-000053040000}"/>
    <cellStyle name="Calculation 2 2 2 4 13" xfId="27155" xr:uid="{00000000-0005-0000-0000-000054040000}"/>
    <cellStyle name="Calculation 2 2 2 4 14" xfId="26259" xr:uid="{00000000-0005-0000-0000-000055040000}"/>
    <cellStyle name="Calculation 2 2 2 4 15" xfId="26279" xr:uid="{00000000-0005-0000-0000-000056040000}"/>
    <cellStyle name="Calculation 2 2 2 4 16" xfId="27662" xr:uid="{00000000-0005-0000-0000-000057040000}"/>
    <cellStyle name="Calculation 2 2 2 4 17" xfId="26873" xr:uid="{00000000-0005-0000-0000-000058040000}"/>
    <cellStyle name="Calculation 2 2 2 4 18" xfId="35041" xr:uid="{00000000-0005-0000-0000-000059040000}"/>
    <cellStyle name="Calculation 2 2 2 4 19" xfId="35310" xr:uid="{00000000-0005-0000-0000-00005A040000}"/>
    <cellStyle name="Calculation 2 2 2 4 2" xfId="601" xr:uid="{00000000-0005-0000-0000-00005B040000}"/>
    <cellStyle name="Calculation 2 2 2 4 2 10" xfId="22956" xr:uid="{00000000-0005-0000-0000-00005C040000}"/>
    <cellStyle name="Calculation 2 2 2 4 2 11" xfId="23928" xr:uid="{00000000-0005-0000-0000-00005D040000}"/>
    <cellStyle name="Calculation 2 2 2 4 2 12" xfId="24927" xr:uid="{00000000-0005-0000-0000-00005E040000}"/>
    <cellStyle name="Calculation 2 2 2 4 2 13" xfId="27872" xr:uid="{00000000-0005-0000-0000-00005F040000}"/>
    <cellStyle name="Calculation 2 2 2 4 2 14" xfId="28841" xr:uid="{00000000-0005-0000-0000-000060040000}"/>
    <cellStyle name="Calculation 2 2 2 4 2 15" xfId="29880" xr:uid="{00000000-0005-0000-0000-000061040000}"/>
    <cellStyle name="Calculation 2 2 2 4 2 16" xfId="30873" xr:uid="{00000000-0005-0000-0000-000062040000}"/>
    <cellStyle name="Calculation 2 2 2 4 2 17" xfId="31882" xr:uid="{00000000-0005-0000-0000-000063040000}"/>
    <cellStyle name="Calculation 2 2 2 4 2 18" xfId="32885" xr:uid="{00000000-0005-0000-0000-000064040000}"/>
    <cellStyle name="Calculation 2 2 2 4 2 19" xfId="33884" xr:uid="{00000000-0005-0000-0000-000065040000}"/>
    <cellStyle name="Calculation 2 2 2 4 2 2" xfId="602" xr:uid="{00000000-0005-0000-0000-000066040000}"/>
    <cellStyle name="Calculation 2 2 2 4 2 2 10" xfId="23929" xr:uid="{00000000-0005-0000-0000-000067040000}"/>
    <cellStyle name="Calculation 2 2 2 4 2 2 11" xfId="24928" xr:uid="{00000000-0005-0000-0000-000068040000}"/>
    <cellStyle name="Calculation 2 2 2 4 2 2 12" xfId="27873" xr:uid="{00000000-0005-0000-0000-000069040000}"/>
    <cellStyle name="Calculation 2 2 2 4 2 2 13" xfId="28842" xr:uid="{00000000-0005-0000-0000-00006A040000}"/>
    <cellStyle name="Calculation 2 2 2 4 2 2 14" xfId="29881" xr:uid="{00000000-0005-0000-0000-00006B040000}"/>
    <cellStyle name="Calculation 2 2 2 4 2 2 15" xfId="30874" xr:uid="{00000000-0005-0000-0000-00006C040000}"/>
    <cellStyle name="Calculation 2 2 2 4 2 2 16" xfId="31883" xr:uid="{00000000-0005-0000-0000-00006D040000}"/>
    <cellStyle name="Calculation 2 2 2 4 2 2 17" xfId="32886" xr:uid="{00000000-0005-0000-0000-00006E040000}"/>
    <cellStyle name="Calculation 2 2 2 4 2 2 18" xfId="33885" xr:uid="{00000000-0005-0000-0000-00006F040000}"/>
    <cellStyle name="Calculation 2 2 2 4 2 2 19" xfId="35506" xr:uid="{00000000-0005-0000-0000-000070040000}"/>
    <cellStyle name="Calculation 2 2 2 4 2 2 2" xfId="15909" xr:uid="{00000000-0005-0000-0000-000071040000}"/>
    <cellStyle name="Calculation 2 2 2 4 2 2 20" xfId="36445" xr:uid="{00000000-0005-0000-0000-000072040000}"/>
    <cellStyle name="Calculation 2 2 2 4 2 2 3" xfId="16887" xr:uid="{00000000-0005-0000-0000-000073040000}"/>
    <cellStyle name="Calculation 2 2 2 4 2 2 4" xfId="17915" xr:uid="{00000000-0005-0000-0000-000074040000}"/>
    <cellStyle name="Calculation 2 2 2 4 2 2 5" xfId="18947" xr:uid="{00000000-0005-0000-0000-000075040000}"/>
    <cellStyle name="Calculation 2 2 2 4 2 2 6" xfId="19969" xr:uid="{00000000-0005-0000-0000-000076040000}"/>
    <cellStyle name="Calculation 2 2 2 4 2 2 7" xfId="20978" xr:uid="{00000000-0005-0000-0000-000077040000}"/>
    <cellStyle name="Calculation 2 2 2 4 2 2 8" xfId="21952" xr:uid="{00000000-0005-0000-0000-000078040000}"/>
    <cellStyle name="Calculation 2 2 2 4 2 2 9" xfId="22957" xr:uid="{00000000-0005-0000-0000-000079040000}"/>
    <cellStyle name="Calculation 2 2 2 4 2 20" xfId="35505" xr:uid="{00000000-0005-0000-0000-00007A040000}"/>
    <cellStyle name="Calculation 2 2 2 4 2 21" xfId="36444" xr:uid="{00000000-0005-0000-0000-00007B040000}"/>
    <cellStyle name="Calculation 2 2 2 4 2 3" xfId="15908" xr:uid="{00000000-0005-0000-0000-00007C040000}"/>
    <cellStyle name="Calculation 2 2 2 4 2 4" xfId="16886" xr:uid="{00000000-0005-0000-0000-00007D040000}"/>
    <cellStyle name="Calculation 2 2 2 4 2 5" xfId="17914" xr:uid="{00000000-0005-0000-0000-00007E040000}"/>
    <cellStyle name="Calculation 2 2 2 4 2 6" xfId="18946" xr:uid="{00000000-0005-0000-0000-00007F040000}"/>
    <cellStyle name="Calculation 2 2 2 4 2 7" xfId="19968" xr:uid="{00000000-0005-0000-0000-000080040000}"/>
    <cellStyle name="Calculation 2 2 2 4 2 8" xfId="20977" xr:uid="{00000000-0005-0000-0000-000081040000}"/>
    <cellStyle name="Calculation 2 2 2 4 2 9" xfId="21951" xr:uid="{00000000-0005-0000-0000-000082040000}"/>
    <cellStyle name="Calculation 2 2 2 4 3" xfId="603" xr:uid="{00000000-0005-0000-0000-000083040000}"/>
    <cellStyle name="Calculation 2 2 2 4 3 10" xfId="22958" xr:uid="{00000000-0005-0000-0000-000084040000}"/>
    <cellStyle name="Calculation 2 2 2 4 3 11" xfId="23930" xr:uid="{00000000-0005-0000-0000-000085040000}"/>
    <cellStyle name="Calculation 2 2 2 4 3 12" xfId="24929" xr:uid="{00000000-0005-0000-0000-000086040000}"/>
    <cellStyle name="Calculation 2 2 2 4 3 13" xfId="27874" xr:uid="{00000000-0005-0000-0000-000087040000}"/>
    <cellStyle name="Calculation 2 2 2 4 3 14" xfId="28843" xr:uid="{00000000-0005-0000-0000-000088040000}"/>
    <cellStyle name="Calculation 2 2 2 4 3 15" xfId="29882" xr:uid="{00000000-0005-0000-0000-000089040000}"/>
    <cellStyle name="Calculation 2 2 2 4 3 16" xfId="30875" xr:uid="{00000000-0005-0000-0000-00008A040000}"/>
    <cellStyle name="Calculation 2 2 2 4 3 17" xfId="31884" xr:uid="{00000000-0005-0000-0000-00008B040000}"/>
    <cellStyle name="Calculation 2 2 2 4 3 18" xfId="32887" xr:uid="{00000000-0005-0000-0000-00008C040000}"/>
    <cellStyle name="Calculation 2 2 2 4 3 19" xfId="33886" xr:uid="{00000000-0005-0000-0000-00008D040000}"/>
    <cellStyle name="Calculation 2 2 2 4 3 2" xfId="604" xr:uid="{00000000-0005-0000-0000-00008E040000}"/>
    <cellStyle name="Calculation 2 2 2 4 3 2 10" xfId="23931" xr:uid="{00000000-0005-0000-0000-00008F040000}"/>
    <cellStyle name="Calculation 2 2 2 4 3 2 11" xfId="24930" xr:uid="{00000000-0005-0000-0000-000090040000}"/>
    <cellStyle name="Calculation 2 2 2 4 3 2 12" xfId="27875" xr:uid="{00000000-0005-0000-0000-000091040000}"/>
    <cellStyle name="Calculation 2 2 2 4 3 2 13" xfId="28844" xr:uid="{00000000-0005-0000-0000-000092040000}"/>
    <cellStyle name="Calculation 2 2 2 4 3 2 14" xfId="29883" xr:uid="{00000000-0005-0000-0000-000093040000}"/>
    <cellStyle name="Calculation 2 2 2 4 3 2 15" xfId="30876" xr:uid="{00000000-0005-0000-0000-000094040000}"/>
    <cellStyle name="Calculation 2 2 2 4 3 2 16" xfId="31885" xr:uid="{00000000-0005-0000-0000-000095040000}"/>
    <cellStyle name="Calculation 2 2 2 4 3 2 17" xfId="32888" xr:uid="{00000000-0005-0000-0000-000096040000}"/>
    <cellStyle name="Calculation 2 2 2 4 3 2 18" xfId="33887" xr:uid="{00000000-0005-0000-0000-000097040000}"/>
    <cellStyle name="Calculation 2 2 2 4 3 2 19" xfId="35508" xr:uid="{00000000-0005-0000-0000-000098040000}"/>
    <cellStyle name="Calculation 2 2 2 4 3 2 2" xfId="15911" xr:uid="{00000000-0005-0000-0000-000099040000}"/>
    <cellStyle name="Calculation 2 2 2 4 3 2 20" xfId="36447" xr:uid="{00000000-0005-0000-0000-00009A040000}"/>
    <cellStyle name="Calculation 2 2 2 4 3 2 3" xfId="16889" xr:uid="{00000000-0005-0000-0000-00009B040000}"/>
    <cellStyle name="Calculation 2 2 2 4 3 2 4" xfId="17917" xr:uid="{00000000-0005-0000-0000-00009C040000}"/>
    <cellStyle name="Calculation 2 2 2 4 3 2 5" xfId="18949" xr:uid="{00000000-0005-0000-0000-00009D040000}"/>
    <cellStyle name="Calculation 2 2 2 4 3 2 6" xfId="19971" xr:uid="{00000000-0005-0000-0000-00009E040000}"/>
    <cellStyle name="Calculation 2 2 2 4 3 2 7" xfId="20980" xr:uid="{00000000-0005-0000-0000-00009F040000}"/>
    <cellStyle name="Calculation 2 2 2 4 3 2 8" xfId="21954" xr:uid="{00000000-0005-0000-0000-0000A0040000}"/>
    <cellStyle name="Calculation 2 2 2 4 3 2 9" xfId="22959" xr:uid="{00000000-0005-0000-0000-0000A1040000}"/>
    <cellStyle name="Calculation 2 2 2 4 3 20" xfId="35507" xr:uid="{00000000-0005-0000-0000-0000A2040000}"/>
    <cellStyle name="Calculation 2 2 2 4 3 21" xfId="36446" xr:uid="{00000000-0005-0000-0000-0000A3040000}"/>
    <cellStyle name="Calculation 2 2 2 4 3 3" xfId="15910" xr:uid="{00000000-0005-0000-0000-0000A4040000}"/>
    <cellStyle name="Calculation 2 2 2 4 3 4" xfId="16888" xr:uid="{00000000-0005-0000-0000-0000A5040000}"/>
    <cellStyle name="Calculation 2 2 2 4 3 5" xfId="17916" xr:uid="{00000000-0005-0000-0000-0000A6040000}"/>
    <cellStyle name="Calculation 2 2 2 4 3 6" xfId="18948" xr:uid="{00000000-0005-0000-0000-0000A7040000}"/>
    <cellStyle name="Calculation 2 2 2 4 3 7" xfId="19970" xr:uid="{00000000-0005-0000-0000-0000A8040000}"/>
    <cellStyle name="Calculation 2 2 2 4 3 8" xfId="20979" xr:uid="{00000000-0005-0000-0000-0000A9040000}"/>
    <cellStyle name="Calculation 2 2 2 4 3 9" xfId="21953" xr:uid="{00000000-0005-0000-0000-0000AA040000}"/>
    <cellStyle name="Calculation 2 2 2 4 4" xfId="605" xr:uid="{00000000-0005-0000-0000-0000AB040000}"/>
    <cellStyle name="Calculation 2 2 2 4 4 10" xfId="22960" xr:uid="{00000000-0005-0000-0000-0000AC040000}"/>
    <cellStyle name="Calculation 2 2 2 4 4 11" xfId="23932" xr:uid="{00000000-0005-0000-0000-0000AD040000}"/>
    <cellStyle name="Calculation 2 2 2 4 4 12" xfId="24931" xr:uid="{00000000-0005-0000-0000-0000AE040000}"/>
    <cellStyle name="Calculation 2 2 2 4 4 13" xfId="27876" xr:uid="{00000000-0005-0000-0000-0000AF040000}"/>
    <cellStyle name="Calculation 2 2 2 4 4 14" xfId="28845" xr:uid="{00000000-0005-0000-0000-0000B0040000}"/>
    <cellStyle name="Calculation 2 2 2 4 4 15" xfId="29884" xr:uid="{00000000-0005-0000-0000-0000B1040000}"/>
    <cellStyle name="Calculation 2 2 2 4 4 16" xfId="30877" xr:uid="{00000000-0005-0000-0000-0000B2040000}"/>
    <cellStyle name="Calculation 2 2 2 4 4 17" xfId="31886" xr:uid="{00000000-0005-0000-0000-0000B3040000}"/>
    <cellStyle name="Calculation 2 2 2 4 4 18" xfId="32889" xr:uid="{00000000-0005-0000-0000-0000B4040000}"/>
    <cellStyle name="Calculation 2 2 2 4 4 19" xfId="33888" xr:uid="{00000000-0005-0000-0000-0000B5040000}"/>
    <cellStyle name="Calculation 2 2 2 4 4 2" xfId="606" xr:uid="{00000000-0005-0000-0000-0000B6040000}"/>
    <cellStyle name="Calculation 2 2 2 4 4 2 10" xfId="23933" xr:uid="{00000000-0005-0000-0000-0000B7040000}"/>
    <cellStyle name="Calculation 2 2 2 4 4 2 11" xfId="24932" xr:uid="{00000000-0005-0000-0000-0000B8040000}"/>
    <cellStyle name="Calculation 2 2 2 4 4 2 12" xfId="27877" xr:uid="{00000000-0005-0000-0000-0000B9040000}"/>
    <cellStyle name="Calculation 2 2 2 4 4 2 13" xfId="28846" xr:uid="{00000000-0005-0000-0000-0000BA040000}"/>
    <cellStyle name="Calculation 2 2 2 4 4 2 14" xfId="29885" xr:uid="{00000000-0005-0000-0000-0000BB040000}"/>
    <cellStyle name="Calculation 2 2 2 4 4 2 15" xfId="30878" xr:uid="{00000000-0005-0000-0000-0000BC040000}"/>
    <cellStyle name="Calculation 2 2 2 4 4 2 16" xfId="31887" xr:uid="{00000000-0005-0000-0000-0000BD040000}"/>
    <cellStyle name="Calculation 2 2 2 4 4 2 17" xfId="32890" xr:uid="{00000000-0005-0000-0000-0000BE040000}"/>
    <cellStyle name="Calculation 2 2 2 4 4 2 18" xfId="33889" xr:uid="{00000000-0005-0000-0000-0000BF040000}"/>
    <cellStyle name="Calculation 2 2 2 4 4 2 19" xfId="35510" xr:uid="{00000000-0005-0000-0000-0000C0040000}"/>
    <cellStyle name="Calculation 2 2 2 4 4 2 2" xfId="15913" xr:uid="{00000000-0005-0000-0000-0000C1040000}"/>
    <cellStyle name="Calculation 2 2 2 4 4 2 20" xfId="36449" xr:uid="{00000000-0005-0000-0000-0000C2040000}"/>
    <cellStyle name="Calculation 2 2 2 4 4 2 3" xfId="16891" xr:uid="{00000000-0005-0000-0000-0000C3040000}"/>
    <cellStyle name="Calculation 2 2 2 4 4 2 4" xfId="17919" xr:uid="{00000000-0005-0000-0000-0000C4040000}"/>
    <cellStyle name="Calculation 2 2 2 4 4 2 5" xfId="18951" xr:uid="{00000000-0005-0000-0000-0000C5040000}"/>
    <cellStyle name="Calculation 2 2 2 4 4 2 6" xfId="19973" xr:uid="{00000000-0005-0000-0000-0000C6040000}"/>
    <cellStyle name="Calculation 2 2 2 4 4 2 7" xfId="20982" xr:uid="{00000000-0005-0000-0000-0000C7040000}"/>
    <cellStyle name="Calculation 2 2 2 4 4 2 8" xfId="21956" xr:uid="{00000000-0005-0000-0000-0000C8040000}"/>
    <cellStyle name="Calculation 2 2 2 4 4 2 9" xfId="22961" xr:uid="{00000000-0005-0000-0000-0000C9040000}"/>
    <cellStyle name="Calculation 2 2 2 4 4 20" xfId="35509" xr:uid="{00000000-0005-0000-0000-0000CA040000}"/>
    <cellStyle name="Calculation 2 2 2 4 4 21" xfId="36448" xr:uid="{00000000-0005-0000-0000-0000CB040000}"/>
    <cellStyle name="Calculation 2 2 2 4 4 3" xfId="15912" xr:uid="{00000000-0005-0000-0000-0000CC040000}"/>
    <cellStyle name="Calculation 2 2 2 4 4 4" xfId="16890" xr:uid="{00000000-0005-0000-0000-0000CD040000}"/>
    <cellStyle name="Calculation 2 2 2 4 4 5" xfId="17918" xr:uid="{00000000-0005-0000-0000-0000CE040000}"/>
    <cellStyle name="Calculation 2 2 2 4 4 6" xfId="18950" xr:uid="{00000000-0005-0000-0000-0000CF040000}"/>
    <cellStyle name="Calculation 2 2 2 4 4 7" xfId="19972" xr:uid="{00000000-0005-0000-0000-0000D0040000}"/>
    <cellStyle name="Calculation 2 2 2 4 4 8" xfId="20981" xr:uid="{00000000-0005-0000-0000-0000D1040000}"/>
    <cellStyle name="Calculation 2 2 2 4 4 9" xfId="21955" xr:uid="{00000000-0005-0000-0000-0000D2040000}"/>
    <cellStyle name="Calculation 2 2 2 4 5" xfId="607" xr:uid="{00000000-0005-0000-0000-0000D3040000}"/>
    <cellStyle name="Calculation 2 2 2 4 5 10" xfId="23934" xr:uid="{00000000-0005-0000-0000-0000D4040000}"/>
    <cellStyle name="Calculation 2 2 2 4 5 11" xfId="24933" xr:uid="{00000000-0005-0000-0000-0000D5040000}"/>
    <cellStyle name="Calculation 2 2 2 4 5 12" xfId="27878" xr:uid="{00000000-0005-0000-0000-0000D6040000}"/>
    <cellStyle name="Calculation 2 2 2 4 5 13" xfId="28847" xr:uid="{00000000-0005-0000-0000-0000D7040000}"/>
    <cellStyle name="Calculation 2 2 2 4 5 14" xfId="29886" xr:uid="{00000000-0005-0000-0000-0000D8040000}"/>
    <cellStyle name="Calculation 2 2 2 4 5 15" xfId="30879" xr:uid="{00000000-0005-0000-0000-0000D9040000}"/>
    <cellStyle name="Calculation 2 2 2 4 5 16" xfId="31888" xr:uid="{00000000-0005-0000-0000-0000DA040000}"/>
    <cellStyle name="Calculation 2 2 2 4 5 17" xfId="32891" xr:uid="{00000000-0005-0000-0000-0000DB040000}"/>
    <cellStyle name="Calculation 2 2 2 4 5 18" xfId="33890" xr:uid="{00000000-0005-0000-0000-0000DC040000}"/>
    <cellStyle name="Calculation 2 2 2 4 5 19" xfId="35511" xr:uid="{00000000-0005-0000-0000-0000DD040000}"/>
    <cellStyle name="Calculation 2 2 2 4 5 2" xfId="15914" xr:uid="{00000000-0005-0000-0000-0000DE040000}"/>
    <cellStyle name="Calculation 2 2 2 4 5 20" xfId="36450" xr:uid="{00000000-0005-0000-0000-0000DF040000}"/>
    <cellStyle name="Calculation 2 2 2 4 5 3" xfId="16892" xr:uid="{00000000-0005-0000-0000-0000E0040000}"/>
    <cellStyle name="Calculation 2 2 2 4 5 4" xfId="17920" xr:uid="{00000000-0005-0000-0000-0000E1040000}"/>
    <cellStyle name="Calculation 2 2 2 4 5 5" xfId="18952" xr:uid="{00000000-0005-0000-0000-0000E2040000}"/>
    <cellStyle name="Calculation 2 2 2 4 5 6" xfId="19974" xr:uid="{00000000-0005-0000-0000-0000E3040000}"/>
    <cellStyle name="Calculation 2 2 2 4 5 7" xfId="20983" xr:uid="{00000000-0005-0000-0000-0000E4040000}"/>
    <cellStyle name="Calculation 2 2 2 4 5 8" xfId="21957" xr:uid="{00000000-0005-0000-0000-0000E5040000}"/>
    <cellStyle name="Calculation 2 2 2 4 5 9" xfId="22962" xr:uid="{00000000-0005-0000-0000-0000E6040000}"/>
    <cellStyle name="Calculation 2 2 2 4 6" xfId="15807" xr:uid="{00000000-0005-0000-0000-0000E7040000}"/>
    <cellStyle name="Calculation 2 2 2 4 7" xfId="13485" xr:uid="{00000000-0005-0000-0000-0000E8040000}"/>
    <cellStyle name="Calculation 2 2 2 4 8" xfId="13509" xr:uid="{00000000-0005-0000-0000-0000E9040000}"/>
    <cellStyle name="Calculation 2 2 2 4 9" xfId="15245" xr:uid="{00000000-0005-0000-0000-0000EA040000}"/>
    <cellStyle name="Calculation 2 2 2 5" xfId="608" xr:uid="{00000000-0005-0000-0000-0000EB040000}"/>
    <cellStyle name="Calculation 2 2 2 5 10" xfId="17821" xr:uid="{00000000-0005-0000-0000-0000EC040000}"/>
    <cellStyle name="Calculation 2 2 2 5 11" xfId="14347" xr:uid="{00000000-0005-0000-0000-0000ED040000}"/>
    <cellStyle name="Calculation 2 2 2 5 12" xfId="26371" xr:uid="{00000000-0005-0000-0000-0000EE040000}"/>
    <cellStyle name="Calculation 2 2 2 5 13" xfId="27717" xr:uid="{00000000-0005-0000-0000-0000EF040000}"/>
    <cellStyle name="Calculation 2 2 2 5 14" xfId="27528" xr:uid="{00000000-0005-0000-0000-0000F0040000}"/>
    <cellStyle name="Calculation 2 2 2 5 15" xfId="27489" xr:uid="{00000000-0005-0000-0000-0000F1040000}"/>
    <cellStyle name="Calculation 2 2 2 5 16" xfId="27391" xr:uid="{00000000-0005-0000-0000-0000F2040000}"/>
    <cellStyle name="Calculation 2 2 2 5 17" xfId="27804" xr:uid="{00000000-0005-0000-0000-0000F3040000}"/>
    <cellStyle name="Calculation 2 2 2 5 18" xfId="35063" xr:uid="{00000000-0005-0000-0000-0000F4040000}"/>
    <cellStyle name="Calculation 2 2 2 5 19" xfId="34847" xr:uid="{00000000-0005-0000-0000-0000F5040000}"/>
    <cellStyle name="Calculation 2 2 2 5 2" xfId="609" xr:uid="{00000000-0005-0000-0000-0000F6040000}"/>
    <cellStyle name="Calculation 2 2 2 5 2 10" xfId="22963" xr:uid="{00000000-0005-0000-0000-0000F7040000}"/>
    <cellStyle name="Calculation 2 2 2 5 2 11" xfId="23935" xr:uid="{00000000-0005-0000-0000-0000F8040000}"/>
    <cellStyle name="Calculation 2 2 2 5 2 12" xfId="24934" xr:uid="{00000000-0005-0000-0000-0000F9040000}"/>
    <cellStyle name="Calculation 2 2 2 5 2 13" xfId="27879" xr:uid="{00000000-0005-0000-0000-0000FA040000}"/>
    <cellStyle name="Calculation 2 2 2 5 2 14" xfId="28848" xr:uid="{00000000-0005-0000-0000-0000FB040000}"/>
    <cellStyle name="Calculation 2 2 2 5 2 15" xfId="29887" xr:uid="{00000000-0005-0000-0000-0000FC040000}"/>
    <cellStyle name="Calculation 2 2 2 5 2 16" xfId="30880" xr:uid="{00000000-0005-0000-0000-0000FD040000}"/>
    <cellStyle name="Calculation 2 2 2 5 2 17" xfId="31889" xr:uid="{00000000-0005-0000-0000-0000FE040000}"/>
    <cellStyle name="Calculation 2 2 2 5 2 18" xfId="32892" xr:uid="{00000000-0005-0000-0000-0000FF040000}"/>
    <cellStyle name="Calculation 2 2 2 5 2 19" xfId="33891" xr:uid="{00000000-0005-0000-0000-000000050000}"/>
    <cellStyle name="Calculation 2 2 2 5 2 2" xfId="610" xr:uid="{00000000-0005-0000-0000-000001050000}"/>
    <cellStyle name="Calculation 2 2 2 5 2 2 10" xfId="23936" xr:uid="{00000000-0005-0000-0000-000002050000}"/>
    <cellStyle name="Calculation 2 2 2 5 2 2 11" xfId="24935" xr:uid="{00000000-0005-0000-0000-000003050000}"/>
    <cellStyle name="Calculation 2 2 2 5 2 2 12" xfId="27880" xr:uid="{00000000-0005-0000-0000-000004050000}"/>
    <cellStyle name="Calculation 2 2 2 5 2 2 13" xfId="28849" xr:uid="{00000000-0005-0000-0000-000005050000}"/>
    <cellStyle name="Calculation 2 2 2 5 2 2 14" xfId="29888" xr:uid="{00000000-0005-0000-0000-000006050000}"/>
    <cellStyle name="Calculation 2 2 2 5 2 2 15" xfId="30881" xr:uid="{00000000-0005-0000-0000-000007050000}"/>
    <cellStyle name="Calculation 2 2 2 5 2 2 16" xfId="31890" xr:uid="{00000000-0005-0000-0000-000008050000}"/>
    <cellStyle name="Calculation 2 2 2 5 2 2 17" xfId="32893" xr:uid="{00000000-0005-0000-0000-000009050000}"/>
    <cellStyle name="Calculation 2 2 2 5 2 2 18" xfId="33892" xr:uid="{00000000-0005-0000-0000-00000A050000}"/>
    <cellStyle name="Calculation 2 2 2 5 2 2 19" xfId="35513" xr:uid="{00000000-0005-0000-0000-00000B050000}"/>
    <cellStyle name="Calculation 2 2 2 5 2 2 2" xfId="15916" xr:uid="{00000000-0005-0000-0000-00000C050000}"/>
    <cellStyle name="Calculation 2 2 2 5 2 2 20" xfId="36452" xr:uid="{00000000-0005-0000-0000-00000D050000}"/>
    <cellStyle name="Calculation 2 2 2 5 2 2 3" xfId="16894" xr:uid="{00000000-0005-0000-0000-00000E050000}"/>
    <cellStyle name="Calculation 2 2 2 5 2 2 4" xfId="17922" xr:uid="{00000000-0005-0000-0000-00000F050000}"/>
    <cellStyle name="Calculation 2 2 2 5 2 2 5" xfId="18954" xr:uid="{00000000-0005-0000-0000-000010050000}"/>
    <cellStyle name="Calculation 2 2 2 5 2 2 6" xfId="19976" xr:uid="{00000000-0005-0000-0000-000011050000}"/>
    <cellStyle name="Calculation 2 2 2 5 2 2 7" xfId="20985" xr:uid="{00000000-0005-0000-0000-000012050000}"/>
    <cellStyle name="Calculation 2 2 2 5 2 2 8" xfId="21959" xr:uid="{00000000-0005-0000-0000-000013050000}"/>
    <cellStyle name="Calculation 2 2 2 5 2 2 9" xfId="22964" xr:uid="{00000000-0005-0000-0000-000014050000}"/>
    <cellStyle name="Calculation 2 2 2 5 2 20" xfId="35512" xr:uid="{00000000-0005-0000-0000-000015050000}"/>
    <cellStyle name="Calculation 2 2 2 5 2 21" xfId="36451" xr:uid="{00000000-0005-0000-0000-000016050000}"/>
    <cellStyle name="Calculation 2 2 2 5 2 3" xfId="15915" xr:uid="{00000000-0005-0000-0000-000017050000}"/>
    <cellStyle name="Calculation 2 2 2 5 2 4" xfId="16893" xr:uid="{00000000-0005-0000-0000-000018050000}"/>
    <cellStyle name="Calculation 2 2 2 5 2 5" xfId="17921" xr:uid="{00000000-0005-0000-0000-000019050000}"/>
    <cellStyle name="Calculation 2 2 2 5 2 6" xfId="18953" xr:uid="{00000000-0005-0000-0000-00001A050000}"/>
    <cellStyle name="Calculation 2 2 2 5 2 7" xfId="19975" xr:uid="{00000000-0005-0000-0000-00001B050000}"/>
    <cellStyle name="Calculation 2 2 2 5 2 8" xfId="20984" xr:uid="{00000000-0005-0000-0000-00001C050000}"/>
    <cellStyle name="Calculation 2 2 2 5 2 9" xfId="21958" xr:uid="{00000000-0005-0000-0000-00001D050000}"/>
    <cellStyle name="Calculation 2 2 2 5 3" xfId="611" xr:uid="{00000000-0005-0000-0000-00001E050000}"/>
    <cellStyle name="Calculation 2 2 2 5 3 10" xfId="22965" xr:uid="{00000000-0005-0000-0000-00001F050000}"/>
    <cellStyle name="Calculation 2 2 2 5 3 11" xfId="23937" xr:uid="{00000000-0005-0000-0000-000020050000}"/>
    <cellStyle name="Calculation 2 2 2 5 3 12" xfId="24936" xr:uid="{00000000-0005-0000-0000-000021050000}"/>
    <cellStyle name="Calculation 2 2 2 5 3 13" xfId="27881" xr:uid="{00000000-0005-0000-0000-000022050000}"/>
    <cellStyle name="Calculation 2 2 2 5 3 14" xfId="28850" xr:uid="{00000000-0005-0000-0000-000023050000}"/>
    <cellStyle name="Calculation 2 2 2 5 3 15" xfId="29889" xr:uid="{00000000-0005-0000-0000-000024050000}"/>
    <cellStyle name="Calculation 2 2 2 5 3 16" xfId="30882" xr:uid="{00000000-0005-0000-0000-000025050000}"/>
    <cellStyle name="Calculation 2 2 2 5 3 17" xfId="31891" xr:uid="{00000000-0005-0000-0000-000026050000}"/>
    <cellStyle name="Calculation 2 2 2 5 3 18" xfId="32894" xr:uid="{00000000-0005-0000-0000-000027050000}"/>
    <cellStyle name="Calculation 2 2 2 5 3 19" xfId="33893" xr:uid="{00000000-0005-0000-0000-000028050000}"/>
    <cellStyle name="Calculation 2 2 2 5 3 2" xfId="612" xr:uid="{00000000-0005-0000-0000-000029050000}"/>
    <cellStyle name="Calculation 2 2 2 5 3 2 10" xfId="23938" xr:uid="{00000000-0005-0000-0000-00002A050000}"/>
    <cellStyle name="Calculation 2 2 2 5 3 2 11" xfId="24937" xr:uid="{00000000-0005-0000-0000-00002B050000}"/>
    <cellStyle name="Calculation 2 2 2 5 3 2 12" xfId="27882" xr:uid="{00000000-0005-0000-0000-00002C050000}"/>
    <cellStyle name="Calculation 2 2 2 5 3 2 13" xfId="28851" xr:uid="{00000000-0005-0000-0000-00002D050000}"/>
    <cellStyle name="Calculation 2 2 2 5 3 2 14" xfId="29890" xr:uid="{00000000-0005-0000-0000-00002E050000}"/>
    <cellStyle name="Calculation 2 2 2 5 3 2 15" xfId="30883" xr:uid="{00000000-0005-0000-0000-00002F050000}"/>
    <cellStyle name="Calculation 2 2 2 5 3 2 16" xfId="31892" xr:uid="{00000000-0005-0000-0000-000030050000}"/>
    <cellStyle name="Calculation 2 2 2 5 3 2 17" xfId="32895" xr:uid="{00000000-0005-0000-0000-000031050000}"/>
    <cellStyle name="Calculation 2 2 2 5 3 2 18" xfId="33894" xr:uid="{00000000-0005-0000-0000-000032050000}"/>
    <cellStyle name="Calculation 2 2 2 5 3 2 19" xfId="35515" xr:uid="{00000000-0005-0000-0000-000033050000}"/>
    <cellStyle name="Calculation 2 2 2 5 3 2 2" xfId="15918" xr:uid="{00000000-0005-0000-0000-000034050000}"/>
    <cellStyle name="Calculation 2 2 2 5 3 2 20" xfId="36454" xr:uid="{00000000-0005-0000-0000-000035050000}"/>
    <cellStyle name="Calculation 2 2 2 5 3 2 3" xfId="16896" xr:uid="{00000000-0005-0000-0000-000036050000}"/>
    <cellStyle name="Calculation 2 2 2 5 3 2 4" xfId="17924" xr:uid="{00000000-0005-0000-0000-000037050000}"/>
    <cellStyle name="Calculation 2 2 2 5 3 2 5" xfId="18956" xr:uid="{00000000-0005-0000-0000-000038050000}"/>
    <cellStyle name="Calculation 2 2 2 5 3 2 6" xfId="19978" xr:uid="{00000000-0005-0000-0000-000039050000}"/>
    <cellStyle name="Calculation 2 2 2 5 3 2 7" xfId="20987" xr:uid="{00000000-0005-0000-0000-00003A050000}"/>
    <cellStyle name="Calculation 2 2 2 5 3 2 8" xfId="21961" xr:uid="{00000000-0005-0000-0000-00003B050000}"/>
    <cellStyle name="Calculation 2 2 2 5 3 2 9" xfId="22966" xr:uid="{00000000-0005-0000-0000-00003C050000}"/>
    <cellStyle name="Calculation 2 2 2 5 3 20" xfId="35514" xr:uid="{00000000-0005-0000-0000-00003D050000}"/>
    <cellStyle name="Calculation 2 2 2 5 3 21" xfId="36453" xr:uid="{00000000-0005-0000-0000-00003E050000}"/>
    <cellStyle name="Calculation 2 2 2 5 3 3" xfId="15917" xr:uid="{00000000-0005-0000-0000-00003F050000}"/>
    <cellStyle name="Calculation 2 2 2 5 3 4" xfId="16895" xr:uid="{00000000-0005-0000-0000-000040050000}"/>
    <cellStyle name="Calculation 2 2 2 5 3 5" xfId="17923" xr:uid="{00000000-0005-0000-0000-000041050000}"/>
    <cellStyle name="Calculation 2 2 2 5 3 6" xfId="18955" xr:uid="{00000000-0005-0000-0000-000042050000}"/>
    <cellStyle name="Calculation 2 2 2 5 3 7" xfId="19977" xr:uid="{00000000-0005-0000-0000-000043050000}"/>
    <cellStyle name="Calculation 2 2 2 5 3 8" xfId="20986" xr:uid="{00000000-0005-0000-0000-000044050000}"/>
    <cellStyle name="Calculation 2 2 2 5 3 9" xfId="21960" xr:uid="{00000000-0005-0000-0000-000045050000}"/>
    <cellStyle name="Calculation 2 2 2 5 4" xfId="613" xr:uid="{00000000-0005-0000-0000-000046050000}"/>
    <cellStyle name="Calculation 2 2 2 5 4 10" xfId="22967" xr:uid="{00000000-0005-0000-0000-000047050000}"/>
    <cellStyle name="Calculation 2 2 2 5 4 11" xfId="23939" xr:uid="{00000000-0005-0000-0000-000048050000}"/>
    <cellStyle name="Calculation 2 2 2 5 4 12" xfId="24938" xr:uid="{00000000-0005-0000-0000-000049050000}"/>
    <cellStyle name="Calculation 2 2 2 5 4 13" xfId="27883" xr:uid="{00000000-0005-0000-0000-00004A050000}"/>
    <cellStyle name="Calculation 2 2 2 5 4 14" xfId="28852" xr:uid="{00000000-0005-0000-0000-00004B050000}"/>
    <cellStyle name="Calculation 2 2 2 5 4 15" xfId="29891" xr:uid="{00000000-0005-0000-0000-00004C050000}"/>
    <cellStyle name="Calculation 2 2 2 5 4 16" xfId="30884" xr:uid="{00000000-0005-0000-0000-00004D050000}"/>
    <cellStyle name="Calculation 2 2 2 5 4 17" xfId="31893" xr:uid="{00000000-0005-0000-0000-00004E050000}"/>
    <cellStyle name="Calculation 2 2 2 5 4 18" xfId="32896" xr:uid="{00000000-0005-0000-0000-00004F050000}"/>
    <cellStyle name="Calculation 2 2 2 5 4 19" xfId="33895" xr:uid="{00000000-0005-0000-0000-000050050000}"/>
    <cellStyle name="Calculation 2 2 2 5 4 2" xfId="614" xr:uid="{00000000-0005-0000-0000-000051050000}"/>
    <cellStyle name="Calculation 2 2 2 5 4 2 10" xfId="23940" xr:uid="{00000000-0005-0000-0000-000052050000}"/>
    <cellStyle name="Calculation 2 2 2 5 4 2 11" xfId="24939" xr:uid="{00000000-0005-0000-0000-000053050000}"/>
    <cellStyle name="Calculation 2 2 2 5 4 2 12" xfId="27884" xr:uid="{00000000-0005-0000-0000-000054050000}"/>
    <cellStyle name="Calculation 2 2 2 5 4 2 13" xfId="28853" xr:uid="{00000000-0005-0000-0000-000055050000}"/>
    <cellStyle name="Calculation 2 2 2 5 4 2 14" xfId="29892" xr:uid="{00000000-0005-0000-0000-000056050000}"/>
    <cellStyle name="Calculation 2 2 2 5 4 2 15" xfId="30885" xr:uid="{00000000-0005-0000-0000-000057050000}"/>
    <cellStyle name="Calculation 2 2 2 5 4 2 16" xfId="31894" xr:uid="{00000000-0005-0000-0000-000058050000}"/>
    <cellStyle name="Calculation 2 2 2 5 4 2 17" xfId="32897" xr:uid="{00000000-0005-0000-0000-000059050000}"/>
    <cellStyle name="Calculation 2 2 2 5 4 2 18" xfId="33896" xr:uid="{00000000-0005-0000-0000-00005A050000}"/>
    <cellStyle name="Calculation 2 2 2 5 4 2 19" xfId="35517" xr:uid="{00000000-0005-0000-0000-00005B050000}"/>
    <cellStyle name="Calculation 2 2 2 5 4 2 2" xfId="15920" xr:uid="{00000000-0005-0000-0000-00005C050000}"/>
    <cellStyle name="Calculation 2 2 2 5 4 2 20" xfId="36456" xr:uid="{00000000-0005-0000-0000-00005D050000}"/>
    <cellStyle name="Calculation 2 2 2 5 4 2 3" xfId="16898" xr:uid="{00000000-0005-0000-0000-00005E050000}"/>
    <cellStyle name="Calculation 2 2 2 5 4 2 4" xfId="17926" xr:uid="{00000000-0005-0000-0000-00005F050000}"/>
    <cellStyle name="Calculation 2 2 2 5 4 2 5" xfId="18958" xr:uid="{00000000-0005-0000-0000-000060050000}"/>
    <cellStyle name="Calculation 2 2 2 5 4 2 6" xfId="19980" xr:uid="{00000000-0005-0000-0000-000061050000}"/>
    <cellStyle name="Calculation 2 2 2 5 4 2 7" xfId="20989" xr:uid="{00000000-0005-0000-0000-000062050000}"/>
    <cellStyle name="Calculation 2 2 2 5 4 2 8" xfId="21963" xr:uid="{00000000-0005-0000-0000-000063050000}"/>
    <cellStyle name="Calculation 2 2 2 5 4 2 9" xfId="22968" xr:uid="{00000000-0005-0000-0000-000064050000}"/>
    <cellStyle name="Calculation 2 2 2 5 4 20" xfId="35516" xr:uid="{00000000-0005-0000-0000-000065050000}"/>
    <cellStyle name="Calculation 2 2 2 5 4 21" xfId="36455" xr:uid="{00000000-0005-0000-0000-000066050000}"/>
    <cellStyle name="Calculation 2 2 2 5 4 3" xfId="15919" xr:uid="{00000000-0005-0000-0000-000067050000}"/>
    <cellStyle name="Calculation 2 2 2 5 4 4" xfId="16897" xr:uid="{00000000-0005-0000-0000-000068050000}"/>
    <cellStyle name="Calculation 2 2 2 5 4 5" xfId="17925" xr:uid="{00000000-0005-0000-0000-000069050000}"/>
    <cellStyle name="Calculation 2 2 2 5 4 6" xfId="18957" xr:uid="{00000000-0005-0000-0000-00006A050000}"/>
    <cellStyle name="Calculation 2 2 2 5 4 7" xfId="19979" xr:uid="{00000000-0005-0000-0000-00006B050000}"/>
    <cellStyle name="Calculation 2 2 2 5 4 8" xfId="20988" xr:uid="{00000000-0005-0000-0000-00006C050000}"/>
    <cellStyle name="Calculation 2 2 2 5 4 9" xfId="21962" xr:uid="{00000000-0005-0000-0000-00006D050000}"/>
    <cellStyle name="Calculation 2 2 2 5 5" xfId="615" xr:uid="{00000000-0005-0000-0000-00006E050000}"/>
    <cellStyle name="Calculation 2 2 2 5 5 10" xfId="23941" xr:uid="{00000000-0005-0000-0000-00006F050000}"/>
    <cellStyle name="Calculation 2 2 2 5 5 11" xfId="24940" xr:uid="{00000000-0005-0000-0000-000070050000}"/>
    <cellStyle name="Calculation 2 2 2 5 5 12" xfId="27885" xr:uid="{00000000-0005-0000-0000-000071050000}"/>
    <cellStyle name="Calculation 2 2 2 5 5 13" xfId="28854" xr:uid="{00000000-0005-0000-0000-000072050000}"/>
    <cellStyle name="Calculation 2 2 2 5 5 14" xfId="29893" xr:uid="{00000000-0005-0000-0000-000073050000}"/>
    <cellStyle name="Calculation 2 2 2 5 5 15" xfId="30886" xr:uid="{00000000-0005-0000-0000-000074050000}"/>
    <cellStyle name="Calculation 2 2 2 5 5 16" xfId="31895" xr:uid="{00000000-0005-0000-0000-000075050000}"/>
    <cellStyle name="Calculation 2 2 2 5 5 17" xfId="32898" xr:uid="{00000000-0005-0000-0000-000076050000}"/>
    <cellStyle name="Calculation 2 2 2 5 5 18" xfId="33897" xr:uid="{00000000-0005-0000-0000-000077050000}"/>
    <cellStyle name="Calculation 2 2 2 5 5 19" xfId="35518" xr:uid="{00000000-0005-0000-0000-000078050000}"/>
    <cellStyle name="Calculation 2 2 2 5 5 2" xfId="15921" xr:uid="{00000000-0005-0000-0000-000079050000}"/>
    <cellStyle name="Calculation 2 2 2 5 5 20" xfId="36457" xr:uid="{00000000-0005-0000-0000-00007A050000}"/>
    <cellStyle name="Calculation 2 2 2 5 5 3" xfId="16899" xr:uid="{00000000-0005-0000-0000-00007B050000}"/>
    <cellStyle name="Calculation 2 2 2 5 5 4" xfId="17927" xr:uid="{00000000-0005-0000-0000-00007C050000}"/>
    <cellStyle name="Calculation 2 2 2 5 5 5" xfId="18959" xr:uid="{00000000-0005-0000-0000-00007D050000}"/>
    <cellStyle name="Calculation 2 2 2 5 5 6" xfId="19981" xr:uid="{00000000-0005-0000-0000-00007E050000}"/>
    <cellStyle name="Calculation 2 2 2 5 5 7" xfId="20990" xr:uid="{00000000-0005-0000-0000-00007F050000}"/>
    <cellStyle name="Calculation 2 2 2 5 5 8" xfId="21964" xr:uid="{00000000-0005-0000-0000-000080050000}"/>
    <cellStyle name="Calculation 2 2 2 5 5 9" xfId="22969" xr:uid="{00000000-0005-0000-0000-000081050000}"/>
    <cellStyle name="Calculation 2 2 2 5 6" xfId="13765" xr:uid="{00000000-0005-0000-0000-000082050000}"/>
    <cellStyle name="Calculation 2 2 2 5 7" xfId="14555" xr:uid="{00000000-0005-0000-0000-000083050000}"/>
    <cellStyle name="Calculation 2 2 2 5 8" xfId="14107" xr:uid="{00000000-0005-0000-0000-000084050000}"/>
    <cellStyle name="Calculation 2 2 2 5 9" xfId="14530" xr:uid="{00000000-0005-0000-0000-000085050000}"/>
    <cellStyle name="Calculation 2 2 2 6" xfId="616" xr:uid="{00000000-0005-0000-0000-000086050000}"/>
    <cellStyle name="Calculation 2 2 2 6 10" xfId="22970" xr:uid="{00000000-0005-0000-0000-000087050000}"/>
    <cellStyle name="Calculation 2 2 2 6 11" xfId="23942" xr:uid="{00000000-0005-0000-0000-000088050000}"/>
    <cellStyle name="Calculation 2 2 2 6 12" xfId="24941" xr:uid="{00000000-0005-0000-0000-000089050000}"/>
    <cellStyle name="Calculation 2 2 2 6 13" xfId="27886" xr:uid="{00000000-0005-0000-0000-00008A050000}"/>
    <cellStyle name="Calculation 2 2 2 6 14" xfId="28855" xr:uid="{00000000-0005-0000-0000-00008B050000}"/>
    <cellStyle name="Calculation 2 2 2 6 15" xfId="29894" xr:uid="{00000000-0005-0000-0000-00008C050000}"/>
    <cellStyle name="Calculation 2 2 2 6 16" xfId="30887" xr:uid="{00000000-0005-0000-0000-00008D050000}"/>
    <cellStyle name="Calculation 2 2 2 6 17" xfId="31896" xr:uid="{00000000-0005-0000-0000-00008E050000}"/>
    <cellStyle name="Calculation 2 2 2 6 18" xfId="32899" xr:uid="{00000000-0005-0000-0000-00008F050000}"/>
    <cellStyle name="Calculation 2 2 2 6 19" xfId="33898" xr:uid="{00000000-0005-0000-0000-000090050000}"/>
    <cellStyle name="Calculation 2 2 2 6 2" xfId="617" xr:uid="{00000000-0005-0000-0000-000091050000}"/>
    <cellStyle name="Calculation 2 2 2 6 2 10" xfId="23943" xr:uid="{00000000-0005-0000-0000-000092050000}"/>
    <cellStyle name="Calculation 2 2 2 6 2 11" xfId="24942" xr:uid="{00000000-0005-0000-0000-000093050000}"/>
    <cellStyle name="Calculation 2 2 2 6 2 12" xfId="27887" xr:uid="{00000000-0005-0000-0000-000094050000}"/>
    <cellStyle name="Calculation 2 2 2 6 2 13" xfId="28856" xr:uid="{00000000-0005-0000-0000-000095050000}"/>
    <cellStyle name="Calculation 2 2 2 6 2 14" xfId="29895" xr:uid="{00000000-0005-0000-0000-000096050000}"/>
    <cellStyle name="Calculation 2 2 2 6 2 15" xfId="30888" xr:uid="{00000000-0005-0000-0000-000097050000}"/>
    <cellStyle name="Calculation 2 2 2 6 2 16" xfId="31897" xr:uid="{00000000-0005-0000-0000-000098050000}"/>
    <cellStyle name="Calculation 2 2 2 6 2 17" xfId="32900" xr:uid="{00000000-0005-0000-0000-000099050000}"/>
    <cellStyle name="Calculation 2 2 2 6 2 18" xfId="33899" xr:uid="{00000000-0005-0000-0000-00009A050000}"/>
    <cellStyle name="Calculation 2 2 2 6 2 19" xfId="35520" xr:uid="{00000000-0005-0000-0000-00009B050000}"/>
    <cellStyle name="Calculation 2 2 2 6 2 2" xfId="15923" xr:uid="{00000000-0005-0000-0000-00009C050000}"/>
    <cellStyle name="Calculation 2 2 2 6 2 20" xfId="36459" xr:uid="{00000000-0005-0000-0000-00009D050000}"/>
    <cellStyle name="Calculation 2 2 2 6 2 3" xfId="16901" xr:uid="{00000000-0005-0000-0000-00009E050000}"/>
    <cellStyle name="Calculation 2 2 2 6 2 4" xfId="17929" xr:uid="{00000000-0005-0000-0000-00009F050000}"/>
    <cellStyle name="Calculation 2 2 2 6 2 5" xfId="18961" xr:uid="{00000000-0005-0000-0000-0000A0050000}"/>
    <cellStyle name="Calculation 2 2 2 6 2 6" xfId="19983" xr:uid="{00000000-0005-0000-0000-0000A1050000}"/>
    <cellStyle name="Calculation 2 2 2 6 2 7" xfId="20992" xr:uid="{00000000-0005-0000-0000-0000A2050000}"/>
    <cellStyle name="Calculation 2 2 2 6 2 8" xfId="21966" xr:uid="{00000000-0005-0000-0000-0000A3050000}"/>
    <cellStyle name="Calculation 2 2 2 6 2 9" xfId="22971" xr:uid="{00000000-0005-0000-0000-0000A4050000}"/>
    <cellStyle name="Calculation 2 2 2 6 20" xfId="35519" xr:uid="{00000000-0005-0000-0000-0000A5050000}"/>
    <cellStyle name="Calculation 2 2 2 6 21" xfId="36458" xr:uid="{00000000-0005-0000-0000-0000A6050000}"/>
    <cellStyle name="Calculation 2 2 2 6 3" xfId="15922" xr:uid="{00000000-0005-0000-0000-0000A7050000}"/>
    <cellStyle name="Calculation 2 2 2 6 4" xfId="16900" xr:uid="{00000000-0005-0000-0000-0000A8050000}"/>
    <cellStyle name="Calculation 2 2 2 6 5" xfId="17928" xr:uid="{00000000-0005-0000-0000-0000A9050000}"/>
    <cellStyle name="Calculation 2 2 2 6 6" xfId="18960" xr:uid="{00000000-0005-0000-0000-0000AA050000}"/>
    <cellStyle name="Calculation 2 2 2 6 7" xfId="19982" xr:uid="{00000000-0005-0000-0000-0000AB050000}"/>
    <cellStyle name="Calculation 2 2 2 6 8" xfId="20991" xr:uid="{00000000-0005-0000-0000-0000AC050000}"/>
    <cellStyle name="Calculation 2 2 2 6 9" xfId="21965" xr:uid="{00000000-0005-0000-0000-0000AD050000}"/>
    <cellStyle name="Calculation 2 2 2 7" xfId="618" xr:uid="{00000000-0005-0000-0000-0000AE050000}"/>
    <cellStyle name="Calculation 2 2 2 7 10" xfId="22972" xr:uid="{00000000-0005-0000-0000-0000AF050000}"/>
    <cellStyle name="Calculation 2 2 2 7 11" xfId="23944" xr:uid="{00000000-0005-0000-0000-0000B0050000}"/>
    <cellStyle name="Calculation 2 2 2 7 12" xfId="24943" xr:uid="{00000000-0005-0000-0000-0000B1050000}"/>
    <cellStyle name="Calculation 2 2 2 7 13" xfId="27888" xr:uid="{00000000-0005-0000-0000-0000B2050000}"/>
    <cellStyle name="Calculation 2 2 2 7 14" xfId="28857" xr:uid="{00000000-0005-0000-0000-0000B3050000}"/>
    <cellStyle name="Calculation 2 2 2 7 15" xfId="29896" xr:uid="{00000000-0005-0000-0000-0000B4050000}"/>
    <cellStyle name="Calculation 2 2 2 7 16" xfId="30889" xr:uid="{00000000-0005-0000-0000-0000B5050000}"/>
    <cellStyle name="Calculation 2 2 2 7 17" xfId="31898" xr:uid="{00000000-0005-0000-0000-0000B6050000}"/>
    <cellStyle name="Calculation 2 2 2 7 18" xfId="32901" xr:uid="{00000000-0005-0000-0000-0000B7050000}"/>
    <cellStyle name="Calculation 2 2 2 7 19" xfId="33900" xr:uid="{00000000-0005-0000-0000-0000B8050000}"/>
    <cellStyle name="Calculation 2 2 2 7 2" xfId="619" xr:uid="{00000000-0005-0000-0000-0000B9050000}"/>
    <cellStyle name="Calculation 2 2 2 7 2 10" xfId="23945" xr:uid="{00000000-0005-0000-0000-0000BA050000}"/>
    <cellStyle name="Calculation 2 2 2 7 2 11" xfId="24944" xr:uid="{00000000-0005-0000-0000-0000BB050000}"/>
    <cellStyle name="Calculation 2 2 2 7 2 12" xfId="27889" xr:uid="{00000000-0005-0000-0000-0000BC050000}"/>
    <cellStyle name="Calculation 2 2 2 7 2 13" xfId="28858" xr:uid="{00000000-0005-0000-0000-0000BD050000}"/>
    <cellStyle name="Calculation 2 2 2 7 2 14" xfId="29897" xr:uid="{00000000-0005-0000-0000-0000BE050000}"/>
    <cellStyle name="Calculation 2 2 2 7 2 15" xfId="30890" xr:uid="{00000000-0005-0000-0000-0000BF050000}"/>
    <cellStyle name="Calculation 2 2 2 7 2 16" xfId="31899" xr:uid="{00000000-0005-0000-0000-0000C0050000}"/>
    <cellStyle name="Calculation 2 2 2 7 2 17" xfId="32902" xr:uid="{00000000-0005-0000-0000-0000C1050000}"/>
    <cellStyle name="Calculation 2 2 2 7 2 18" xfId="33901" xr:uid="{00000000-0005-0000-0000-0000C2050000}"/>
    <cellStyle name="Calculation 2 2 2 7 2 19" xfId="35522" xr:uid="{00000000-0005-0000-0000-0000C3050000}"/>
    <cellStyle name="Calculation 2 2 2 7 2 2" xfId="15925" xr:uid="{00000000-0005-0000-0000-0000C4050000}"/>
    <cellStyle name="Calculation 2 2 2 7 2 20" xfId="36461" xr:uid="{00000000-0005-0000-0000-0000C5050000}"/>
    <cellStyle name="Calculation 2 2 2 7 2 3" xfId="16903" xr:uid="{00000000-0005-0000-0000-0000C6050000}"/>
    <cellStyle name="Calculation 2 2 2 7 2 4" xfId="17931" xr:uid="{00000000-0005-0000-0000-0000C7050000}"/>
    <cellStyle name="Calculation 2 2 2 7 2 5" xfId="18963" xr:uid="{00000000-0005-0000-0000-0000C8050000}"/>
    <cellStyle name="Calculation 2 2 2 7 2 6" xfId="19985" xr:uid="{00000000-0005-0000-0000-0000C9050000}"/>
    <cellStyle name="Calculation 2 2 2 7 2 7" xfId="20994" xr:uid="{00000000-0005-0000-0000-0000CA050000}"/>
    <cellStyle name="Calculation 2 2 2 7 2 8" xfId="21968" xr:uid="{00000000-0005-0000-0000-0000CB050000}"/>
    <cellStyle name="Calculation 2 2 2 7 2 9" xfId="22973" xr:uid="{00000000-0005-0000-0000-0000CC050000}"/>
    <cellStyle name="Calculation 2 2 2 7 20" xfId="35521" xr:uid="{00000000-0005-0000-0000-0000CD050000}"/>
    <cellStyle name="Calculation 2 2 2 7 21" xfId="36460" xr:uid="{00000000-0005-0000-0000-0000CE050000}"/>
    <cellStyle name="Calculation 2 2 2 7 3" xfId="15924" xr:uid="{00000000-0005-0000-0000-0000CF050000}"/>
    <cellStyle name="Calculation 2 2 2 7 4" xfId="16902" xr:uid="{00000000-0005-0000-0000-0000D0050000}"/>
    <cellStyle name="Calculation 2 2 2 7 5" xfId="17930" xr:uid="{00000000-0005-0000-0000-0000D1050000}"/>
    <cellStyle name="Calculation 2 2 2 7 6" xfId="18962" xr:uid="{00000000-0005-0000-0000-0000D2050000}"/>
    <cellStyle name="Calculation 2 2 2 7 7" xfId="19984" xr:uid="{00000000-0005-0000-0000-0000D3050000}"/>
    <cellStyle name="Calculation 2 2 2 7 8" xfId="20993" xr:uid="{00000000-0005-0000-0000-0000D4050000}"/>
    <cellStyle name="Calculation 2 2 2 7 9" xfId="21967" xr:uid="{00000000-0005-0000-0000-0000D5050000}"/>
    <cellStyle name="Calculation 2 2 2 8" xfId="620" xr:uid="{00000000-0005-0000-0000-0000D6050000}"/>
    <cellStyle name="Calculation 2 2 2 8 10" xfId="22974" xr:uid="{00000000-0005-0000-0000-0000D7050000}"/>
    <cellStyle name="Calculation 2 2 2 8 11" xfId="23946" xr:uid="{00000000-0005-0000-0000-0000D8050000}"/>
    <cellStyle name="Calculation 2 2 2 8 12" xfId="24945" xr:uid="{00000000-0005-0000-0000-0000D9050000}"/>
    <cellStyle name="Calculation 2 2 2 8 13" xfId="27890" xr:uid="{00000000-0005-0000-0000-0000DA050000}"/>
    <cellStyle name="Calculation 2 2 2 8 14" xfId="28859" xr:uid="{00000000-0005-0000-0000-0000DB050000}"/>
    <cellStyle name="Calculation 2 2 2 8 15" xfId="29898" xr:uid="{00000000-0005-0000-0000-0000DC050000}"/>
    <cellStyle name="Calculation 2 2 2 8 16" xfId="30891" xr:uid="{00000000-0005-0000-0000-0000DD050000}"/>
    <cellStyle name="Calculation 2 2 2 8 17" xfId="31900" xr:uid="{00000000-0005-0000-0000-0000DE050000}"/>
    <cellStyle name="Calculation 2 2 2 8 18" xfId="32903" xr:uid="{00000000-0005-0000-0000-0000DF050000}"/>
    <cellStyle name="Calculation 2 2 2 8 19" xfId="33902" xr:uid="{00000000-0005-0000-0000-0000E0050000}"/>
    <cellStyle name="Calculation 2 2 2 8 2" xfId="621" xr:uid="{00000000-0005-0000-0000-0000E1050000}"/>
    <cellStyle name="Calculation 2 2 2 8 2 10" xfId="23947" xr:uid="{00000000-0005-0000-0000-0000E2050000}"/>
    <cellStyle name="Calculation 2 2 2 8 2 11" xfId="24946" xr:uid="{00000000-0005-0000-0000-0000E3050000}"/>
    <cellStyle name="Calculation 2 2 2 8 2 12" xfId="27891" xr:uid="{00000000-0005-0000-0000-0000E4050000}"/>
    <cellStyle name="Calculation 2 2 2 8 2 13" xfId="28860" xr:uid="{00000000-0005-0000-0000-0000E5050000}"/>
    <cellStyle name="Calculation 2 2 2 8 2 14" xfId="29899" xr:uid="{00000000-0005-0000-0000-0000E6050000}"/>
    <cellStyle name="Calculation 2 2 2 8 2 15" xfId="30892" xr:uid="{00000000-0005-0000-0000-0000E7050000}"/>
    <cellStyle name="Calculation 2 2 2 8 2 16" xfId="31901" xr:uid="{00000000-0005-0000-0000-0000E8050000}"/>
    <cellStyle name="Calculation 2 2 2 8 2 17" xfId="32904" xr:uid="{00000000-0005-0000-0000-0000E9050000}"/>
    <cellStyle name="Calculation 2 2 2 8 2 18" xfId="33903" xr:uid="{00000000-0005-0000-0000-0000EA050000}"/>
    <cellStyle name="Calculation 2 2 2 8 2 19" xfId="35524" xr:uid="{00000000-0005-0000-0000-0000EB050000}"/>
    <cellStyle name="Calculation 2 2 2 8 2 2" xfId="15927" xr:uid="{00000000-0005-0000-0000-0000EC050000}"/>
    <cellStyle name="Calculation 2 2 2 8 2 20" xfId="36463" xr:uid="{00000000-0005-0000-0000-0000ED050000}"/>
    <cellStyle name="Calculation 2 2 2 8 2 3" xfId="16905" xr:uid="{00000000-0005-0000-0000-0000EE050000}"/>
    <cellStyle name="Calculation 2 2 2 8 2 4" xfId="17933" xr:uid="{00000000-0005-0000-0000-0000EF050000}"/>
    <cellStyle name="Calculation 2 2 2 8 2 5" xfId="18965" xr:uid="{00000000-0005-0000-0000-0000F0050000}"/>
    <cellStyle name="Calculation 2 2 2 8 2 6" xfId="19987" xr:uid="{00000000-0005-0000-0000-0000F1050000}"/>
    <cellStyle name="Calculation 2 2 2 8 2 7" xfId="20996" xr:uid="{00000000-0005-0000-0000-0000F2050000}"/>
    <cellStyle name="Calculation 2 2 2 8 2 8" xfId="21970" xr:uid="{00000000-0005-0000-0000-0000F3050000}"/>
    <cellStyle name="Calculation 2 2 2 8 2 9" xfId="22975" xr:uid="{00000000-0005-0000-0000-0000F4050000}"/>
    <cellStyle name="Calculation 2 2 2 8 20" xfId="35523" xr:uid="{00000000-0005-0000-0000-0000F5050000}"/>
    <cellStyle name="Calculation 2 2 2 8 21" xfId="36462" xr:uid="{00000000-0005-0000-0000-0000F6050000}"/>
    <cellStyle name="Calculation 2 2 2 8 3" xfId="15926" xr:uid="{00000000-0005-0000-0000-0000F7050000}"/>
    <cellStyle name="Calculation 2 2 2 8 4" xfId="16904" xr:uid="{00000000-0005-0000-0000-0000F8050000}"/>
    <cellStyle name="Calculation 2 2 2 8 5" xfId="17932" xr:uid="{00000000-0005-0000-0000-0000F9050000}"/>
    <cellStyle name="Calculation 2 2 2 8 6" xfId="18964" xr:uid="{00000000-0005-0000-0000-0000FA050000}"/>
    <cellStyle name="Calculation 2 2 2 8 7" xfId="19986" xr:uid="{00000000-0005-0000-0000-0000FB050000}"/>
    <cellStyle name="Calculation 2 2 2 8 8" xfId="20995" xr:uid="{00000000-0005-0000-0000-0000FC050000}"/>
    <cellStyle name="Calculation 2 2 2 8 9" xfId="21969" xr:uid="{00000000-0005-0000-0000-0000FD050000}"/>
    <cellStyle name="Calculation 2 2 2 9" xfId="622" xr:uid="{00000000-0005-0000-0000-0000FE050000}"/>
    <cellStyle name="Calculation 2 2 2 9 10" xfId="23948" xr:uid="{00000000-0005-0000-0000-0000FF050000}"/>
    <cellStyle name="Calculation 2 2 2 9 11" xfId="24947" xr:uid="{00000000-0005-0000-0000-000000060000}"/>
    <cellStyle name="Calculation 2 2 2 9 12" xfId="27892" xr:uid="{00000000-0005-0000-0000-000001060000}"/>
    <cellStyle name="Calculation 2 2 2 9 13" xfId="28861" xr:uid="{00000000-0005-0000-0000-000002060000}"/>
    <cellStyle name="Calculation 2 2 2 9 14" xfId="29900" xr:uid="{00000000-0005-0000-0000-000003060000}"/>
    <cellStyle name="Calculation 2 2 2 9 15" xfId="30893" xr:uid="{00000000-0005-0000-0000-000004060000}"/>
    <cellStyle name="Calculation 2 2 2 9 16" xfId="31902" xr:uid="{00000000-0005-0000-0000-000005060000}"/>
    <cellStyle name="Calculation 2 2 2 9 17" xfId="32905" xr:uid="{00000000-0005-0000-0000-000006060000}"/>
    <cellStyle name="Calculation 2 2 2 9 18" xfId="33904" xr:uid="{00000000-0005-0000-0000-000007060000}"/>
    <cellStyle name="Calculation 2 2 2 9 19" xfId="35525" xr:uid="{00000000-0005-0000-0000-000008060000}"/>
    <cellStyle name="Calculation 2 2 2 9 2" xfId="15928" xr:uid="{00000000-0005-0000-0000-000009060000}"/>
    <cellStyle name="Calculation 2 2 2 9 20" xfId="36464" xr:uid="{00000000-0005-0000-0000-00000A060000}"/>
    <cellStyle name="Calculation 2 2 2 9 3" xfId="16906" xr:uid="{00000000-0005-0000-0000-00000B060000}"/>
    <cellStyle name="Calculation 2 2 2 9 4" xfId="17934" xr:uid="{00000000-0005-0000-0000-00000C060000}"/>
    <cellStyle name="Calculation 2 2 2 9 5" xfId="18966" xr:uid="{00000000-0005-0000-0000-00000D060000}"/>
    <cellStyle name="Calculation 2 2 2 9 6" xfId="19988" xr:uid="{00000000-0005-0000-0000-00000E060000}"/>
    <cellStyle name="Calculation 2 2 2 9 7" xfId="20997" xr:uid="{00000000-0005-0000-0000-00000F060000}"/>
    <cellStyle name="Calculation 2 2 2 9 8" xfId="21971" xr:uid="{00000000-0005-0000-0000-000010060000}"/>
    <cellStyle name="Calculation 2 2 2 9 9" xfId="22976" xr:uid="{00000000-0005-0000-0000-000011060000}"/>
    <cellStyle name="Calculation 2 2 3" xfId="623" xr:uid="{00000000-0005-0000-0000-000012060000}"/>
    <cellStyle name="Calculation 2 2 3 10" xfId="13636" xr:uid="{00000000-0005-0000-0000-000013060000}"/>
    <cellStyle name="Calculation 2 2 3 11" xfId="13792" xr:uid="{00000000-0005-0000-0000-000014060000}"/>
    <cellStyle name="Calculation 2 2 3 12" xfId="15488" xr:uid="{00000000-0005-0000-0000-000015060000}"/>
    <cellStyle name="Calculation 2 2 3 13" xfId="15266" xr:uid="{00000000-0005-0000-0000-000016060000}"/>
    <cellStyle name="Calculation 2 2 3 14" xfId="13429" xr:uid="{00000000-0005-0000-0000-000017060000}"/>
    <cellStyle name="Calculation 2 2 3 15" xfId="21871" xr:uid="{00000000-0005-0000-0000-000018060000}"/>
    <cellStyle name="Calculation 2 2 3 16" xfId="26076" xr:uid="{00000000-0005-0000-0000-000019060000}"/>
    <cellStyle name="Calculation 2 2 3 17" xfId="26057" xr:uid="{00000000-0005-0000-0000-00001A060000}"/>
    <cellStyle name="Calculation 2 2 3 18" xfId="27213" xr:uid="{00000000-0005-0000-0000-00001B060000}"/>
    <cellStyle name="Calculation 2 2 3 19" xfId="27617" xr:uid="{00000000-0005-0000-0000-00001C060000}"/>
    <cellStyle name="Calculation 2 2 3 2" xfId="624" xr:uid="{00000000-0005-0000-0000-00001D060000}"/>
    <cellStyle name="Calculation 2 2 3 2 10" xfId="18897" xr:uid="{00000000-0005-0000-0000-00001E060000}"/>
    <cellStyle name="Calculation 2 2 3 2 11" xfId="14259" xr:uid="{00000000-0005-0000-0000-00001F060000}"/>
    <cellStyle name="Calculation 2 2 3 2 12" xfId="26299" xr:uid="{00000000-0005-0000-0000-000020060000}"/>
    <cellStyle name="Calculation 2 2 3 2 13" xfId="27188" xr:uid="{00000000-0005-0000-0000-000021060000}"/>
    <cellStyle name="Calculation 2 2 3 2 14" xfId="26816" xr:uid="{00000000-0005-0000-0000-000022060000}"/>
    <cellStyle name="Calculation 2 2 3 2 15" xfId="27343" xr:uid="{00000000-0005-0000-0000-000023060000}"/>
    <cellStyle name="Calculation 2 2 3 2 16" xfId="27642" xr:uid="{00000000-0005-0000-0000-000024060000}"/>
    <cellStyle name="Calculation 2 2 3 2 17" xfId="26581" xr:uid="{00000000-0005-0000-0000-000025060000}"/>
    <cellStyle name="Calculation 2 2 3 2 18" xfId="34995" xr:uid="{00000000-0005-0000-0000-000026060000}"/>
    <cellStyle name="Calculation 2 2 3 2 19" xfId="35341" xr:uid="{00000000-0005-0000-0000-000027060000}"/>
    <cellStyle name="Calculation 2 2 3 2 2" xfId="625" xr:uid="{00000000-0005-0000-0000-000028060000}"/>
    <cellStyle name="Calculation 2 2 3 2 2 10" xfId="22977" xr:uid="{00000000-0005-0000-0000-000029060000}"/>
    <cellStyle name="Calculation 2 2 3 2 2 11" xfId="23949" xr:uid="{00000000-0005-0000-0000-00002A060000}"/>
    <cellStyle name="Calculation 2 2 3 2 2 12" xfId="24948" xr:uid="{00000000-0005-0000-0000-00002B060000}"/>
    <cellStyle name="Calculation 2 2 3 2 2 13" xfId="27893" xr:uid="{00000000-0005-0000-0000-00002C060000}"/>
    <cellStyle name="Calculation 2 2 3 2 2 14" xfId="28862" xr:uid="{00000000-0005-0000-0000-00002D060000}"/>
    <cellStyle name="Calculation 2 2 3 2 2 15" xfId="29901" xr:uid="{00000000-0005-0000-0000-00002E060000}"/>
    <cellStyle name="Calculation 2 2 3 2 2 16" xfId="30894" xr:uid="{00000000-0005-0000-0000-00002F060000}"/>
    <cellStyle name="Calculation 2 2 3 2 2 17" xfId="31903" xr:uid="{00000000-0005-0000-0000-000030060000}"/>
    <cellStyle name="Calculation 2 2 3 2 2 18" xfId="32906" xr:uid="{00000000-0005-0000-0000-000031060000}"/>
    <cellStyle name="Calculation 2 2 3 2 2 19" xfId="33905" xr:uid="{00000000-0005-0000-0000-000032060000}"/>
    <cellStyle name="Calculation 2 2 3 2 2 2" xfId="626" xr:uid="{00000000-0005-0000-0000-000033060000}"/>
    <cellStyle name="Calculation 2 2 3 2 2 2 10" xfId="23950" xr:uid="{00000000-0005-0000-0000-000034060000}"/>
    <cellStyle name="Calculation 2 2 3 2 2 2 11" xfId="24949" xr:uid="{00000000-0005-0000-0000-000035060000}"/>
    <cellStyle name="Calculation 2 2 3 2 2 2 12" xfId="27894" xr:uid="{00000000-0005-0000-0000-000036060000}"/>
    <cellStyle name="Calculation 2 2 3 2 2 2 13" xfId="28863" xr:uid="{00000000-0005-0000-0000-000037060000}"/>
    <cellStyle name="Calculation 2 2 3 2 2 2 14" xfId="29902" xr:uid="{00000000-0005-0000-0000-000038060000}"/>
    <cellStyle name="Calculation 2 2 3 2 2 2 15" xfId="30895" xr:uid="{00000000-0005-0000-0000-000039060000}"/>
    <cellStyle name="Calculation 2 2 3 2 2 2 16" xfId="31904" xr:uid="{00000000-0005-0000-0000-00003A060000}"/>
    <cellStyle name="Calculation 2 2 3 2 2 2 17" xfId="32907" xr:uid="{00000000-0005-0000-0000-00003B060000}"/>
    <cellStyle name="Calculation 2 2 3 2 2 2 18" xfId="33906" xr:uid="{00000000-0005-0000-0000-00003C060000}"/>
    <cellStyle name="Calculation 2 2 3 2 2 2 19" xfId="35527" xr:uid="{00000000-0005-0000-0000-00003D060000}"/>
    <cellStyle name="Calculation 2 2 3 2 2 2 2" xfId="15930" xr:uid="{00000000-0005-0000-0000-00003E060000}"/>
    <cellStyle name="Calculation 2 2 3 2 2 2 20" xfId="36466" xr:uid="{00000000-0005-0000-0000-00003F060000}"/>
    <cellStyle name="Calculation 2 2 3 2 2 2 3" xfId="16908" xr:uid="{00000000-0005-0000-0000-000040060000}"/>
    <cellStyle name="Calculation 2 2 3 2 2 2 4" xfId="17936" xr:uid="{00000000-0005-0000-0000-000041060000}"/>
    <cellStyle name="Calculation 2 2 3 2 2 2 5" xfId="18968" xr:uid="{00000000-0005-0000-0000-000042060000}"/>
    <cellStyle name="Calculation 2 2 3 2 2 2 6" xfId="19990" xr:uid="{00000000-0005-0000-0000-000043060000}"/>
    <cellStyle name="Calculation 2 2 3 2 2 2 7" xfId="20999" xr:uid="{00000000-0005-0000-0000-000044060000}"/>
    <cellStyle name="Calculation 2 2 3 2 2 2 8" xfId="21973" xr:uid="{00000000-0005-0000-0000-000045060000}"/>
    <cellStyle name="Calculation 2 2 3 2 2 2 9" xfId="22978" xr:uid="{00000000-0005-0000-0000-000046060000}"/>
    <cellStyle name="Calculation 2 2 3 2 2 20" xfId="35526" xr:uid="{00000000-0005-0000-0000-000047060000}"/>
    <cellStyle name="Calculation 2 2 3 2 2 21" xfId="36465" xr:uid="{00000000-0005-0000-0000-000048060000}"/>
    <cellStyle name="Calculation 2 2 3 2 2 3" xfId="15929" xr:uid="{00000000-0005-0000-0000-000049060000}"/>
    <cellStyle name="Calculation 2 2 3 2 2 4" xfId="16907" xr:uid="{00000000-0005-0000-0000-00004A060000}"/>
    <cellStyle name="Calculation 2 2 3 2 2 5" xfId="17935" xr:uid="{00000000-0005-0000-0000-00004B060000}"/>
    <cellStyle name="Calculation 2 2 3 2 2 6" xfId="18967" xr:uid="{00000000-0005-0000-0000-00004C060000}"/>
    <cellStyle name="Calculation 2 2 3 2 2 7" xfId="19989" xr:uid="{00000000-0005-0000-0000-00004D060000}"/>
    <cellStyle name="Calculation 2 2 3 2 2 8" xfId="20998" xr:uid="{00000000-0005-0000-0000-00004E060000}"/>
    <cellStyle name="Calculation 2 2 3 2 2 9" xfId="21972" xr:uid="{00000000-0005-0000-0000-00004F060000}"/>
    <cellStyle name="Calculation 2 2 3 2 3" xfId="627" xr:uid="{00000000-0005-0000-0000-000050060000}"/>
    <cellStyle name="Calculation 2 2 3 2 3 10" xfId="22979" xr:uid="{00000000-0005-0000-0000-000051060000}"/>
    <cellStyle name="Calculation 2 2 3 2 3 11" xfId="23951" xr:uid="{00000000-0005-0000-0000-000052060000}"/>
    <cellStyle name="Calculation 2 2 3 2 3 12" xfId="24950" xr:uid="{00000000-0005-0000-0000-000053060000}"/>
    <cellStyle name="Calculation 2 2 3 2 3 13" xfId="27895" xr:uid="{00000000-0005-0000-0000-000054060000}"/>
    <cellStyle name="Calculation 2 2 3 2 3 14" xfId="28864" xr:uid="{00000000-0005-0000-0000-000055060000}"/>
    <cellStyle name="Calculation 2 2 3 2 3 15" xfId="29903" xr:uid="{00000000-0005-0000-0000-000056060000}"/>
    <cellStyle name="Calculation 2 2 3 2 3 16" xfId="30896" xr:uid="{00000000-0005-0000-0000-000057060000}"/>
    <cellStyle name="Calculation 2 2 3 2 3 17" xfId="31905" xr:uid="{00000000-0005-0000-0000-000058060000}"/>
    <cellStyle name="Calculation 2 2 3 2 3 18" xfId="32908" xr:uid="{00000000-0005-0000-0000-000059060000}"/>
    <cellStyle name="Calculation 2 2 3 2 3 19" xfId="33907" xr:uid="{00000000-0005-0000-0000-00005A060000}"/>
    <cellStyle name="Calculation 2 2 3 2 3 2" xfId="628" xr:uid="{00000000-0005-0000-0000-00005B060000}"/>
    <cellStyle name="Calculation 2 2 3 2 3 2 10" xfId="23952" xr:uid="{00000000-0005-0000-0000-00005C060000}"/>
    <cellStyle name="Calculation 2 2 3 2 3 2 11" xfId="24951" xr:uid="{00000000-0005-0000-0000-00005D060000}"/>
    <cellStyle name="Calculation 2 2 3 2 3 2 12" xfId="27896" xr:uid="{00000000-0005-0000-0000-00005E060000}"/>
    <cellStyle name="Calculation 2 2 3 2 3 2 13" xfId="28865" xr:uid="{00000000-0005-0000-0000-00005F060000}"/>
    <cellStyle name="Calculation 2 2 3 2 3 2 14" xfId="29904" xr:uid="{00000000-0005-0000-0000-000060060000}"/>
    <cellStyle name="Calculation 2 2 3 2 3 2 15" xfId="30897" xr:uid="{00000000-0005-0000-0000-000061060000}"/>
    <cellStyle name="Calculation 2 2 3 2 3 2 16" xfId="31906" xr:uid="{00000000-0005-0000-0000-000062060000}"/>
    <cellStyle name="Calculation 2 2 3 2 3 2 17" xfId="32909" xr:uid="{00000000-0005-0000-0000-000063060000}"/>
    <cellStyle name="Calculation 2 2 3 2 3 2 18" xfId="33908" xr:uid="{00000000-0005-0000-0000-000064060000}"/>
    <cellStyle name="Calculation 2 2 3 2 3 2 19" xfId="35529" xr:uid="{00000000-0005-0000-0000-000065060000}"/>
    <cellStyle name="Calculation 2 2 3 2 3 2 2" xfId="15932" xr:uid="{00000000-0005-0000-0000-000066060000}"/>
    <cellStyle name="Calculation 2 2 3 2 3 2 20" xfId="36468" xr:uid="{00000000-0005-0000-0000-000067060000}"/>
    <cellStyle name="Calculation 2 2 3 2 3 2 3" xfId="16910" xr:uid="{00000000-0005-0000-0000-000068060000}"/>
    <cellStyle name="Calculation 2 2 3 2 3 2 4" xfId="17938" xr:uid="{00000000-0005-0000-0000-000069060000}"/>
    <cellStyle name="Calculation 2 2 3 2 3 2 5" xfId="18970" xr:uid="{00000000-0005-0000-0000-00006A060000}"/>
    <cellStyle name="Calculation 2 2 3 2 3 2 6" xfId="19992" xr:uid="{00000000-0005-0000-0000-00006B060000}"/>
    <cellStyle name="Calculation 2 2 3 2 3 2 7" xfId="21001" xr:uid="{00000000-0005-0000-0000-00006C060000}"/>
    <cellStyle name="Calculation 2 2 3 2 3 2 8" xfId="21975" xr:uid="{00000000-0005-0000-0000-00006D060000}"/>
    <cellStyle name="Calculation 2 2 3 2 3 2 9" xfId="22980" xr:uid="{00000000-0005-0000-0000-00006E060000}"/>
    <cellStyle name="Calculation 2 2 3 2 3 20" xfId="35528" xr:uid="{00000000-0005-0000-0000-00006F060000}"/>
    <cellStyle name="Calculation 2 2 3 2 3 21" xfId="36467" xr:uid="{00000000-0005-0000-0000-000070060000}"/>
    <cellStyle name="Calculation 2 2 3 2 3 3" xfId="15931" xr:uid="{00000000-0005-0000-0000-000071060000}"/>
    <cellStyle name="Calculation 2 2 3 2 3 4" xfId="16909" xr:uid="{00000000-0005-0000-0000-000072060000}"/>
    <cellStyle name="Calculation 2 2 3 2 3 5" xfId="17937" xr:uid="{00000000-0005-0000-0000-000073060000}"/>
    <cellStyle name="Calculation 2 2 3 2 3 6" xfId="18969" xr:uid="{00000000-0005-0000-0000-000074060000}"/>
    <cellStyle name="Calculation 2 2 3 2 3 7" xfId="19991" xr:uid="{00000000-0005-0000-0000-000075060000}"/>
    <cellStyle name="Calculation 2 2 3 2 3 8" xfId="21000" xr:uid="{00000000-0005-0000-0000-000076060000}"/>
    <cellStyle name="Calculation 2 2 3 2 3 9" xfId="21974" xr:uid="{00000000-0005-0000-0000-000077060000}"/>
    <cellStyle name="Calculation 2 2 3 2 4" xfId="629" xr:uid="{00000000-0005-0000-0000-000078060000}"/>
    <cellStyle name="Calculation 2 2 3 2 4 10" xfId="22981" xr:uid="{00000000-0005-0000-0000-000079060000}"/>
    <cellStyle name="Calculation 2 2 3 2 4 11" xfId="23953" xr:uid="{00000000-0005-0000-0000-00007A060000}"/>
    <cellStyle name="Calculation 2 2 3 2 4 12" xfId="24952" xr:uid="{00000000-0005-0000-0000-00007B060000}"/>
    <cellStyle name="Calculation 2 2 3 2 4 13" xfId="27897" xr:uid="{00000000-0005-0000-0000-00007C060000}"/>
    <cellStyle name="Calculation 2 2 3 2 4 14" xfId="28866" xr:uid="{00000000-0005-0000-0000-00007D060000}"/>
    <cellStyle name="Calculation 2 2 3 2 4 15" xfId="29905" xr:uid="{00000000-0005-0000-0000-00007E060000}"/>
    <cellStyle name="Calculation 2 2 3 2 4 16" xfId="30898" xr:uid="{00000000-0005-0000-0000-00007F060000}"/>
    <cellStyle name="Calculation 2 2 3 2 4 17" xfId="31907" xr:uid="{00000000-0005-0000-0000-000080060000}"/>
    <cellStyle name="Calculation 2 2 3 2 4 18" xfId="32910" xr:uid="{00000000-0005-0000-0000-000081060000}"/>
    <cellStyle name="Calculation 2 2 3 2 4 19" xfId="33909" xr:uid="{00000000-0005-0000-0000-000082060000}"/>
    <cellStyle name="Calculation 2 2 3 2 4 2" xfId="630" xr:uid="{00000000-0005-0000-0000-000083060000}"/>
    <cellStyle name="Calculation 2 2 3 2 4 2 10" xfId="23954" xr:uid="{00000000-0005-0000-0000-000084060000}"/>
    <cellStyle name="Calculation 2 2 3 2 4 2 11" xfId="24953" xr:uid="{00000000-0005-0000-0000-000085060000}"/>
    <cellStyle name="Calculation 2 2 3 2 4 2 12" xfId="27898" xr:uid="{00000000-0005-0000-0000-000086060000}"/>
    <cellStyle name="Calculation 2 2 3 2 4 2 13" xfId="28867" xr:uid="{00000000-0005-0000-0000-000087060000}"/>
    <cellStyle name="Calculation 2 2 3 2 4 2 14" xfId="29906" xr:uid="{00000000-0005-0000-0000-000088060000}"/>
    <cellStyle name="Calculation 2 2 3 2 4 2 15" xfId="30899" xr:uid="{00000000-0005-0000-0000-000089060000}"/>
    <cellStyle name="Calculation 2 2 3 2 4 2 16" xfId="31908" xr:uid="{00000000-0005-0000-0000-00008A060000}"/>
    <cellStyle name="Calculation 2 2 3 2 4 2 17" xfId="32911" xr:uid="{00000000-0005-0000-0000-00008B060000}"/>
    <cellStyle name="Calculation 2 2 3 2 4 2 18" xfId="33910" xr:uid="{00000000-0005-0000-0000-00008C060000}"/>
    <cellStyle name="Calculation 2 2 3 2 4 2 19" xfId="35531" xr:uid="{00000000-0005-0000-0000-00008D060000}"/>
    <cellStyle name="Calculation 2 2 3 2 4 2 2" xfId="15934" xr:uid="{00000000-0005-0000-0000-00008E060000}"/>
    <cellStyle name="Calculation 2 2 3 2 4 2 20" xfId="36470" xr:uid="{00000000-0005-0000-0000-00008F060000}"/>
    <cellStyle name="Calculation 2 2 3 2 4 2 3" xfId="16912" xr:uid="{00000000-0005-0000-0000-000090060000}"/>
    <cellStyle name="Calculation 2 2 3 2 4 2 4" xfId="17940" xr:uid="{00000000-0005-0000-0000-000091060000}"/>
    <cellStyle name="Calculation 2 2 3 2 4 2 5" xfId="18972" xr:uid="{00000000-0005-0000-0000-000092060000}"/>
    <cellStyle name="Calculation 2 2 3 2 4 2 6" xfId="19994" xr:uid="{00000000-0005-0000-0000-000093060000}"/>
    <cellStyle name="Calculation 2 2 3 2 4 2 7" xfId="21003" xr:uid="{00000000-0005-0000-0000-000094060000}"/>
    <cellStyle name="Calculation 2 2 3 2 4 2 8" xfId="21977" xr:uid="{00000000-0005-0000-0000-000095060000}"/>
    <cellStyle name="Calculation 2 2 3 2 4 2 9" xfId="22982" xr:uid="{00000000-0005-0000-0000-000096060000}"/>
    <cellStyle name="Calculation 2 2 3 2 4 20" xfId="35530" xr:uid="{00000000-0005-0000-0000-000097060000}"/>
    <cellStyle name="Calculation 2 2 3 2 4 21" xfId="36469" xr:uid="{00000000-0005-0000-0000-000098060000}"/>
    <cellStyle name="Calculation 2 2 3 2 4 3" xfId="15933" xr:uid="{00000000-0005-0000-0000-000099060000}"/>
    <cellStyle name="Calculation 2 2 3 2 4 4" xfId="16911" xr:uid="{00000000-0005-0000-0000-00009A060000}"/>
    <cellStyle name="Calculation 2 2 3 2 4 5" xfId="17939" xr:uid="{00000000-0005-0000-0000-00009B060000}"/>
    <cellStyle name="Calculation 2 2 3 2 4 6" xfId="18971" xr:uid="{00000000-0005-0000-0000-00009C060000}"/>
    <cellStyle name="Calculation 2 2 3 2 4 7" xfId="19993" xr:uid="{00000000-0005-0000-0000-00009D060000}"/>
    <cellStyle name="Calculation 2 2 3 2 4 8" xfId="21002" xr:uid="{00000000-0005-0000-0000-00009E060000}"/>
    <cellStyle name="Calculation 2 2 3 2 4 9" xfId="21976" xr:uid="{00000000-0005-0000-0000-00009F060000}"/>
    <cellStyle name="Calculation 2 2 3 2 5" xfId="631" xr:uid="{00000000-0005-0000-0000-0000A0060000}"/>
    <cellStyle name="Calculation 2 2 3 2 5 10" xfId="23955" xr:uid="{00000000-0005-0000-0000-0000A1060000}"/>
    <cellStyle name="Calculation 2 2 3 2 5 11" xfId="24954" xr:uid="{00000000-0005-0000-0000-0000A2060000}"/>
    <cellStyle name="Calculation 2 2 3 2 5 12" xfId="27899" xr:uid="{00000000-0005-0000-0000-0000A3060000}"/>
    <cellStyle name="Calculation 2 2 3 2 5 13" xfId="28868" xr:uid="{00000000-0005-0000-0000-0000A4060000}"/>
    <cellStyle name="Calculation 2 2 3 2 5 14" xfId="29907" xr:uid="{00000000-0005-0000-0000-0000A5060000}"/>
    <cellStyle name="Calculation 2 2 3 2 5 15" xfId="30900" xr:uid="{00000000-0005-0000-0000-0000A6060000}"/>
    <cellStyle name="Calculation 2 2 3 2 5 16" xfId="31909" xr:uid="{00000000-0005-0000-0000-0000A7060000}"/>
    <cellStyle name="Calculation 2 2 3 2 5 17" xfId="32912" xr:uid="{00000000-0005-0000-0000-0000A8060000}"/>
    <cellStyle name="Calculation 2 2 3 2 5 18" xfId="33911" xr:uid="{00000000-0005-0000-0000-0000A9060000}"/>
    <cellStyle name="Calculation 2 2 3 2 5 19" xfId="35532" xr:uid="{00000000-0005-0000-0000-0000AA060000}"/>
    <cellStyle name="Calculation 2 2 3 2 5 2" xfId="15935" xr:uid="{00000000-0005-0000-0000-0000AB060000}"/>
    <cellStyle name="Calculation 2 2 3 2 5 20" xfId="36471" xr:uid="{00000000-0005-0000-0000-0000AC060000}"/>
    <cellStyle name="Calculation 2 2 3 2 5 3" xfId="16913" xr:uid="{00000000-0005-0000-0000-0000AD060000}"/>
    <cellStyle name="Calculation 2 2 3 2 5 4" xfId="17941" xr:uid="{00000000-0005-0000-0000-0000AE060000}"/>
    <cellStyle name="Calculation 2 2 3 2 5 5" xfId="18973" xr:uid="{00000000-0005-0000-0000-0000AF060000}"/>
    <cellStyle name="Calculation 2 2 3 2 5 6" xfId="19995" xr:uid="{00000000-0005-0000-0000-0000B0060000}"/>
    <cellStyle name="Calculation 2 2 3 2 5 7" xfId="21004" xr:uid="{00000000-0005-0000-0000-0000B1060000}"/>
    <cellStyle name="Calculation 2 2 3 2 5 8" xfId="21978" xr:uid="{00000000-0005-0000-0000-0000B2060000}"/>
    <cellStyle name="Calculation 2 2 3 2 5 9" xfId="22983" xr:uid="{00000000-0005-0000-0000-0000B3060000}"/>
    <cellStyle name="Calculation 2 2 3 2 6" xfId="15195" xr:uid="{00000000-0005-0000-0000-0000B4060000}"/>
    <cellStyle name="Calculation 2 2 3 2 7" xfId="14080" xr:uid="{00000000-0005-0000-0000-0000B5060000}"/>
    <cellStyle name="Calculation 2 2 3 2 8" xfId="14578" xr:uid="{00000000-0005-0000-0000-0000B6060000}"/>
    <cellStyle name="Calculation 2 2 3 2 9" xfId="14755" xr:uid="{00000000-0005-0000-0000-0000B7060000}"/>
    <cellStyle name="Calculation 2 2 3 20" xfId="26991" xr:uid="{00000000-0005-0000-0000-0000B8060000}"/>
    <cellStyle name="Calculation 2 2 3 21" xfId="26014" xr:uid="{00000000-0005-0000-0000-0000B9060000}"/>
    <cellStyle name="Calculation 2 2 3 22" xfId="34938" xr:uid="{00000000-0005-0000-0000-0000BA060000}"/>
    <cellStyle name="Calculation 2 2 3 23" xfId="35374" xr:uid="{00000000-0005-0000-0000-0000BB060000}"/>
    <cellStyle name="Calculation 2 2 3 3" xfId="632" xr:uid="{00000000-0005-0000-0000-0000BC060000}"/>
    <cellStyle name="Calculation 2 2 3 3 10" xfId="14408" xr:uid="{00000000-0005-0000-0000-0000BD060000}"/>
    <cellStyle name="Calculation 2 2 3 3 11" xfId="15448" xr:uid="{00000000-0005-0000-0000-0000BE060000}"/>
    <cellStyle name="Calculation 2 2 3 3 12" xfId="26379" xr:uid="{00000000-0005-0000-0000-0000BF060000}"/>
    <cellStyle name="Calculation 2 2 3 3 13" xfId="27136" xr:uid="{00000000-0005-0000-0000-0000C0060000}"/>
    <cellStyle name="Calculation 2 2 3 3 14" xfId="26146" xr:uid="{00000000-0005-0000-0000-0000C1060000}"/>
    <cellStyle name="Calculation 2 2 3 3 15" xfId="26772" xr:uid="{00000000-0005-0000-0000-0000C2060000}"/>
    <cellStyle name="Calculation 2 2 3 3 16" xfId="27568" xr:uid="{00000000-0005-0000-0000-0000C3060000}"/>
    <cellStyle name="Calculation 2 2 3 3 17" xfId="27346" xr:uid="{00000000-0005-0000-0000-0000C4060000}"/>
    <cellStyle name="Calculation 2 2 3 3 18" xfId="35070" xr:uid="{00000000-0005-0000-0000-0000C5060000}"/>
    <cellStyle name="Calculation 2 2 3 3 19" xfId="35291" xr:uid="{00000000-0005-0000-0000-0000C6060000}"/>
    <cellStyle name="Calculation 2 2 3 3 2" xfId="633" xr:uid="{00000000-0005-0000-0000-0000C7060000}"/>
    <cellStyle name="Calculation 2 2 3 3 2 10" xfId="22984" xr:uid="{00000000-0005-0000-0000-0000C8060000}"/>
    <cellStyle name="Calculation 2 2 3 3 2 11" xfId="23956" xr:uid="{00000000-0005-0000-0000-0000C9060000}"/>
    <cellStyle name="Calculation 2 2 3 3 2 12" xfId="24955" xr:uid="{00000000-0005-0000-0000-0000CA060000}"/>
    <cellStyle name="Calculation 2 2 3 3 2 13" xfId="27900" xr:uid="{00000000-0005-0000-0000-0000CB060000}"/>
    <cellStyle name="Calculation 2 2 3 3 2 14" xfId="28869" xr:uid="{00000000-0005-0000-0000-0000CC060000}"/>
    <cellStyle name="Calculation 2 2 3 3 2 15" xfId="29908" xr:uid="{00000000-0005-0000-0000-0000CD060000}"/>
    <cellStyle name="Calculation 2 2 3 3 2 16" xfId="30901" xr:uid="{00000000-0005-0000-0000-0000CE060000}"/>
    <cellStyle name="Calculation 2 2 3 3 2 17" xfId="31910" xr:uid="{00000000-0005-0000-0000-0000CF060000}"/>
    <cellStyle name="Calculation 2 2 3 3 2 18" xfId="32913" xr:uid="{00000000-0005-0000-0000-0000D0060000}"/>
    <cellStyle name="Calculation 2 2 3 3 2 19" xfId="33912" xr:uid="{00000000-0005-0000-0000-0000D1060000}"/>
    <cellStyle name="Calculation 2 2 3 3 2 2" xfId="634" xr:uid="{00000000-0005-0000-0000-0000D2060000}"/>
    <cellStyle name="Calculation 2 2 3 3 2 2 10" xfId="23957" xr:uid="{00000000-0005-0000-0000-0000D3060000}"/>
    <cellStyle name="Calculation 2 2 3 3 2 2 11" xfId="24956" xr:uid="{00000000-0005-0000-0000-0000D4060000}"/>
    <cellStyle name="Calculation 2 2 3 3 2 2 12" xfId="27901" xr:uid="{00000000-0005-0000-0000-0000D5060000}"/>
    <cellStyle name="Calculation 2 2 3 3 2 2 13" xfId="28870" xr:uid="{00000000-0005-0000-0000-0000D6060000}"/>
    <cellStyle name="Calculation 2 2 3 3 2 2 14" xfId="29909" xr:uid="{00000000-0005-0000-0000-0000D7060000}"/>
    <cellStyle name="Calculation 2 2 3 3 2 2 15" xfId="30902" xr:uid="{00000000-0005-0000-0000-0000D8060000}"/>
    <cellStyle name="Calculation 2 2 3 3 2 2 16" xfId="31911" xr:uid="{00000000-0005-0000-0000-0000D9060000}"/>
    <cellStyle name="Calculation 2 2 3 3 2 2 17" xfId="32914" xr:uid="{00000000-0005-0000-0000-0000DA060000}"/>
    <cellStyle name="Calculation 2 2 3 3 2 2 18" xfId="33913" xr:uid="{00000000-0005-0000-0000-0000DB060000}"/>
    <cellStyle name="Calculation 2 2 3 3 2 2 19" xfId="35534" xr:uid="{00000000-0005-0000-0000-0000DC060000}"/>
    <cellStyle name="Calculation 2 2 3 3 2 2 2" xfId="15937" xr:uid="{00000000-0005-0000-0000-0000DD060000}"/>
    <cellStyle name="Calculation 2 2 3 3 2 2 20" xfId="36473" xr:uid="{00000000-0005-0000-0000-0000DE060000}"/>
    <cellStyle name="Calculation 2 2 3 3 2 2 3" xfId="16915" xr:uid="{00000000-0005-0000-0000-0000DF060000}"/>
    <cellStyle name="Calculation 2 2 3 3 2 2 4" xfId="17943" xr:uid="{00000000-0005-0000-0000-0000E0060000}"/>
    <cellStyle name="Calculation 2 2 3 3 2 2 5" xfId="18975" xr:uid="{00000000-0005-0000-0000-0000E1060000}"/>
    <cellStyle name="Calculation 2 2 3 3 2 2 6" xfId="19997" xr:uid="{00000000-0005-0000-0000-0000E2060000}"/>
    <cellStyle name="Calculation 2 2 3 3 2 2 7" xfId="21006" xr:uid="{00000000-0005-0000-0000-0000E3060000}"/>
    <cellStyle name="Calculation 2 2 3 3 2 2 8" xfId="21980" xr:uid="{00000000-0005-0000-0000-0000E4060000}"/>
    <cellStyle name="Calculation 2 2 3 3 2 2 9" xfId="22985" xr:uid="{00000000-0005-0000-0000-0000E5060000}"/>
    <cellStyle name="Calculation 2 2 3 3 2 20" xfId="35533" xr:uid="{00000000-0005-0000-0000-0000E6060000}"/>
    <cellStyle name="Calculation 2 2 3 3 2 21" xfId="36472" xr:uid="{00000000-0005-0000-0000-0000E7060000}"/>
    <cellStyle name="Calculation 2 2 3 3 2 3" xfId="15936" xr:uid="{00000000-0005-0000-0000-0000E8060000}"/>
    <cellStyle name="Calculation 2 2 3 3 2 4" xfId="16914" xr:uid="{00000000-0005-0000-0000-0000E9060000}"/>
    <cellStyle name="Calculation 2 2 3 3 2 5" xfId="17942" xr:uid="{00000000-0005-0000-0000-0000EA060000}"/>
    <cellStyle name="Calculation 2 2 3 3 2 6" xfId="18974" xr:uid="{00000000-0005-0000-0000-0000EB060000}"/>
    <cellStyle name="Calculation 2 2 3 3 2 7" xfId="19996" xr:uid="{00000000-0005-0000-0000-0000EC060000}"/>
    <cellStyle name="Calculation 2 2 3 3 2 8" xfId="21005" xr:uid="{00000000-0005-0000-0000-0000ED060000}"/>
    <cellStyle name="Calculation 2 2 3 3 2 9" xfId="21979" xr:uid="{00000000-0005-0000-0000-0000EE060000}"/>
    <cellStyle name="Calculation 2 2 3 3 3" xfId="635" xr:uid="{00000000-0005-0000-0000-0000EF060000}"/>
    <cellStyle name="Calculation 2 2 3 3 3 10" xfId="22986" xr:uid="{00000000-0005-0000-0000-0000F0060000}"/>
    <cellStyle name="Calculation 2 2 3 3 3 11" xfId="23958" xr:uid="{00000000-0005-0000-0000-0000F1060000}"/>
    <cellStyle name="Calculation 2 2 3 3 3 12" xfId="24957" xr:uid="{00000000-0005-0000-0000-0000F2060000}"/>
    <cellStyle name="Calculation 2 2 3 3 3 13" xfId="27902" xr:uid="{00000000-0005-0000-0000-0000F3060000}"/>
    <cellStyle name="Calculation 2 2 3 3 3 14" xfId="28871" xr:uid="{00000000-0005-0000-0000-0000F4060000}"/>
    <cellStyle name="Calculation 2 2 3 3 3 15" xfId="29910" xr:uid="{00000000-0005-0000-0000-0000F5060000}"/>
    <cellStyle name="Calculation 2 2 3 3 3 16" xfId="30903" xr:uid="{00000000-0005-0000-0000-0000F6060000}"/>
    <cellStyle name="Calculation 2 2 3 3 3 17" xfId="31912" xr:uid="{00000000-0005-0000-0000-0000F7060000}"/>
    <cellStyle name="Calculation 2 2 3 3 3 18" xfId="32915" xr:uid="{00000000-0005-0000-0000-0000F8060000}"/>
    <cellStyle name="Calculation 2 2 3 3 3 19" xfId="33914" xr:uid="{00000000-0005-0000-0000-0000F9060000}"/>
    <cellStyle name="Calculation 2 2 3 3 3 2" xfId="636" xr:uid="{00000000-0005-0000-0000-0000FA060000}"/>
    <cellStyle name="Calculation 2 2 3 3 3 2 10" xfId="23959" xr:uid="{00000000-0005-0000-0000-0000FB060000}"/>
    <cellStyle name="Calculation 2 2 3 3 3 2 11" xfId="24958" xr:uid="{00000000-0005-0000-0000-0000FC060000}"/>
    <cellStyle name="Calculation 2 2 3 3 3 2 12" xfId="27903" xr:uid="{00000000-0005-0000-0000-0000FD060000}"/>
    <cellStyle name="Calculation 2 2 3 3 3 2 13" xfId="28872" xr:uid="{00000000-0005-0000-0000-0000FE060000}"/>
    <cellStyle name="Calculation 2 2 3 3 3 2 14" xfId="29911" xr:uid="{00000000-0005-0000-0000-0000FF060000}"/>
    <cellStyle name="Calculation 2 2 3 3 3 2 15" xfId="30904" xr:uid="{00000000-0005-0000-0000-000000070000}"/>
    <cellStyle name="Calculation 2 2 3 3 3 2 16" xfId="31913" xr:uid="{00000000-0005-0000-0000-000001070000}"/>
    <cellStyle name="Calculation 2 2 3 3 3 2 17" xfId="32916" xr:uid="{00000000-0005-0000-0000-000002070000}"/>
    <cellStyle name="Calculation 2 2 3 3 3 2 18" xfId="33915" xr:uid="{00000000-0005-0000-0000-000003070000}"/>
    <cellStyle name="Calculation 2 2 3 3 3 2 19" xfId="35536" xr:uid="{00000000-0005-0000-0000-000004070000}"/>
    <cellStyle name="Calculation 2 2 3 3 3 2 2" xfId="15939" xr:uid="{00000000-0005-0000-0000-000005070000}"/>
    <cellStyle name="Calculation 2 2 3 3 3 2 20" xfId="36475" xr:uid="{00000000-0005-0000-0000-000006070000}"/>
    <cellStyle name="Calculation 2 2 3 3 3 2 3" xfId="16917" xr:uid="{00000000-0005-0000-0000-000007070000}"/>
    <cellStyle name="Calculation 2 2 3 3 3 2 4" xfId="17945" xr:uid="{00000000-0005-0000-0000-000008070000}"/>
    <cellStyle name="Calculation 2 2 3 3 3 2 5" xfId="18977" xr:uid="{00000000-0005-0000-0000-000009070000}"/>
    <cellStyle name="Calculation 2 2 3 3 3 2 6" xfId="19999" xr:uid="{00000000-0005-0000-0000-00000A070000}"/>
    <cellStyle name="Calculation 2 2 3 3 3 2 7" xfId="21008" xr:uid="{00000000-0005-0000-0000-00000B070000}"/>
    <cellStyle name="Calculation 2 2 3 3 3 2 8" xfId="21982" xr:uid="{00000000-0005-0000-0000-00000C070000}"/>
    <cellStyle name="Calculation 2 2 3 3 3 2 9" xfId="22987" xr:uid="{00000000-0005-0000-0000-00000D070000}"/>
    <cellStyle name="Calculation 2 2 3 3 3 20" xfId="35535" xr:uid="{00000000-0005-0000-0000-00000E070000}"/>
    <cellStyle name="Calculation 2 2 3 3 3 21" xfId="36474" xr:uid="{00000000-0005-0000-0000-00000F070000}"/>
    <cellStyle name="Calculation 2 2 3 3 3 3" xfId="15938" xr:uid="{00000000-0005-0000-0000-000010070000}"/>
    <cellStyle name="Calculation 2 2 3 3 3 4" xfId="16916" xr:uid="{00000000-0005-0000-0000-000011070000}"/>
    <cellStyle name="Calculation 2 2 3 3 3 5" xfId="17944" xr:uid="{00000000-0005-0000-0000-000012070000}"/>
    <cellStyle name="Calculation 2 2 3 3 3 6" xfId="18976" xr:uid="{00000000-0005-0000-0000-000013070000}"/>
    <cellStyle name="Calculation 2 2 3 3 3 7" xfId="19998" xr:uid="{00000000-0005-0000-0000-000014070000}"/>
    <cellStyle name="Calculation 2 2 3 3 3 8" xfId="21007" xr:uid="{00000000-0005-0000-0000-000015070000}"/>
    <cellStyle name="Calculation 2 2 3 3 3 9" xfId="21981" xr:uid="{00000000-0005-0000-0000-000016070000}"/>
    <cellStyle name="Calculation 2 2 3 3 4" xfId="637" xr:uid="{00000000-0005-0000-0000-000017070000}"/>
    <cellStyle name="Calculation 2 2 3 3 4 10" xfId="22988" xr:uid="{00000000-0005-0000-0000-000018070000}"/>
    <cellStyle name="Calculation 2 2 3 3 4 11" xfId="23960" xr:uid="{00000000-0005-0000-0000-000019070000}"/>
    <cellStyle name="Calculation 2 2 3 3 4 12" xfId="24959" xr:uid="{00000000-0005-0000-0000-00001A070000}"/>
    <cellStyle name="Calculation 2 2 3 3 4 13" xfId="27904" xr:uid="{00000000-0005-0000-0000-00001B070000}"/>
    <cellStyle name="Calculation 2 2 3 3 4 14" xfId="28873" xr:uid="{00000000-0005-0000-0000-00001C070000}"/>
    <cellStyle name="Calculation 2 2 3 3 4 15" xfId="29912" xr:uid="{00000000-0005-0000-0000-00001D070000}"/>
    <cellStyle name="Calculation 2 2 3 3 4 16" xfId="30905" xr:uid="{00000000-0005-0000-0000-00001E070000}"/>
    <cellStyle name="Calculation 2 2 3 3 4 17" xfId="31914" xr:uid="{00000000-0005-0000-0000-00001F070000}"/>
    <cellStyle name="Calculation 2 2 3 3 4 18" xfId="32917" xr:uid="{00000000-0005-0000-0000-000020070000}"/>
    <cellStyle name="Calculation 2 2 3 3 4 19" xfId="33916" xr:uid="{00000000-0005-0000-0000-000021070000}"/>
    <cellStyle name="Calculation 2 2 3 3 4 2" xfId="638" xr:uid="{00000000-0005-0000-0000-000022070000}"/>
    <cellStyle name="Calculation 2 2 3 3 4 2 10" xfId="23961" xr:uid="{00000000-0005-0000-0000-000023070000}"/>
    <cellStyle name="Calculation 2 2 3 3 4 2 11" xfId="24960" xr:uid="{00000000-0005-0000-0000-000024070000}"/>
    <cellStyle name="Calculation 2 2 3 3 4 2 12" xfId="27905" xr:uid="{00000000-0005-0000-0000-000025070000}"/>
    <cellStyle name="Calculation 2 2 3 3 4 2 13" xfId="28874" xr:uid="{00000000-0005-0000-0000-000026070000}"/>
    <cellStyle name="Calculation 2 2 3 3 4 2 14" xfId="29913" xr:uid="{00000000-0005-0000-0000-000027070000}"/>
    <cellStyle name="Calculation 2 2 3 3 4 2 15" xfId="30906" xr:uid="{00000000-0005-0000-0000-000028070000}"/>
    <cellStyle name="Calculation 2 2 3 3 4 2 16" xfId="31915" xr:uid="{00000000-0005-0000-0000-000029070000}"/>
    <cellStyle name="Calculation 2 2 3 3 4 2 17" xfId="32918" xr:uid="{00000000-0005-0000-0000-00002A070000}"/>
    <cellStyle name="Calculation 2 2 3 3 4 2 18" xfId="33917" xr:uid="{00000000-0005-0000-0000-00002B070000}"/>
    <cellStyle name="Calculation 2 2 3 3 4 2 19" xfId="35538" xr:uid="{00000000-0005-0000-0000-00002C070000}"/>
    <cellStyle name="Calculation 2 2 3 3 4 2 2" xfId="15941" xr:uid="{00000000-0005-0000-0000-00002D070000}"/>
    <cellStyle name="Calculation 2 2 3 3 4 2 20" xfId="36477" xr:uid="{00000000-0005-0000-0000-00002E070000}"/>
    <cellStyle name="Calculation 2 2 3 3 4 2 3" xfId="16919" xr:uid="{00000000-0005-0000-0000-00002F070000}"/>
    <cellStyle name="Calculation 2 2 3 3 4 2 4" xfId="17947" xr:uid="{00000000-0005-0000-0000-000030070000}"/>
    <cellStyle name="Calculation 2 2 3 3 4 2 5" xfId="18979" xr:uid="{00000000-0005-0000-0000-000031070000}"/>
    <cellStyle name="Calculation 2 2 3 3 4 2 6" xfId="20001" xr:uid="{00000000-0005-0000-0000-000032070000}"/>
    <cellStyle name="Calculation 2 2 3 3 4 2 7" xfId="21010" xr:uid="{00000000-0005-0000-0000-000033070000}"/>
    <cellStyle name="Calculation 2 2 3 3 4 2 8" xfId="21984" xr:uid="{00000000-0005-0000-0000-000034070000}"/>
    <cellStyle name="Calculation 2 2 3 3 4 2 9" xfId="22989" xr:uid="{00000000-0005-0000-0000-000035070000}"/>
    <cellStyle name="Calculation 2 2 3 3 4 20" xfId="35537" xr:uid="{00000000-0005-0000-0000-000036070000}"/>
    <cellStyle name="Calculation 2 2 3 3 4 21" xfId="36476" xr:uid="{00000000-0005-0000-0000-000037070000}"/>
    <cellStyle name="Calculation 2 2 3 3 4 3" xfId="15940" xr:uid="{00000000-0005-0000-0000-000038070000}"/>
    <cellStyle name="Calculation 2 2 3 3 4 4" xfId="16918" xr:uid="{00000000-0005-0000-0000-000039070000}"/>
    <cellStyle name="Calculation 2 2 3 3 4 5" xfId="17946" xr:uid="{00000000-0005-0000-0000-00003A070000}"/>
    <cellStyle name="Calculation 2 2 3 3 4 6" xfId="18978" xr:uid="{00000000-0005-0000-0000-00003B070000}"/>
    <cellStyle name="Calculation 2 2 3 3 4 7" xfId="20000" xr:uid="{00000000-0005-0000-0000-00003C070000}"/>
    <cellStyle name="Calculation 2 2 3 3 4 8" xfId="21009" xr:uid="{00000000-0005-0000-0000-00003D070000}"/>
    <cellStyle name="Calculation 2 2 3 3 4 9" xfId="21983" xr:uid="{00000000-0005-0000-0000-00003E070000}"/>
    <cellStyle name="Calculation 2 2 3 3 5" xfId="639" xr:uid="{00000000-0005-0000-0000-00003F070000}"/>
    <cellStyle name="Calculation 2 2 3 3 5 10" xfId="23962" xr:uid="{00000000-0005-0000-0000-000040070000}"/>
    <cellStyle name="Calculation 2 2 3 3 5 11" xfId="24961" xr:uid="{00000000-0005-0000-0000-000041070000}"/>
    <cellStyle name="Calculation 2 2 3 3 5 12" xfId="27906" xr:uid="{00000000-0005-0000-0000-000042070000}"/>
    <cellStyle name="Calculation 2 2 3 3 5 13" xfId="28875" xr:uid="{00000000-0005-0000-0000-000043070000}"/>
    <cellStyle name="Calculation 2 2 3 3 5 14" xfId="29914" xr:uid="{00000000-0005-0000-0000-000044070000}"/>
    <cellStyle name="Calculation 2 2 3 3 5 15" xfId="30907" xr:uid="{00000000-0005-0000-0000-000045070000}"/>
    <cellStyle name="Calculation 2 2 3 3 5 16" xfId="31916" xr:uid="{00000000-0005-0000-0000-000046070000}"/>
    <cellStyle name="Calculation 2 2 3 3 5 17" xfId="32919" xr:uid="{00000000-0005-0000-0000-000047070000}"/>
    <cellStyle name="Calculation 2 2 3 3 5 18" xfId="33918" xr:uid="{00000000-0005-0000-0000-000048070000}"/>
    <cellStyle name="Calculation 2 2 3 3 5 19" xfId="35539" xr:uid="{00000000-0005-0000-0000-000049070000}"/>
    <cellStyle name="Calculation 2 2 3 3 5 2" xfId="15942" xr:uid="{00000000-0005-0000-0000-00004A070000}"/>
    <cellStyle name="Calculation 2 2 3 3 5 20" xfId="36478" xr:uid="{00000000-0005-0000-0000-00004B070000}"/>
    <cellStyle name="Calculation 2 2 3 3 5 3" xfId="16920" xr:uid="{00000000-0005-0000-0000-00004C070000}"/>
    <cellStyle name="Calculation 2 2 3 3 5 4" xfId="17948" xr:uid="{00000000-0005-0000-0000-00004D070000}"/>
    <cellStyle name="Calculation 2 2 3 3 5 5" xfId="18980" xr:uid="{00000000-0005-0000-0000-00004E070000}"/>
    <cellStyle name="Calculation 2 2 3 3 5 6" xfId="20002" xr:uid="{00000000-0005-0000-0000-00004F070000}"/>
    <cellStyle name="Calculation 2 2 3 3 5 7" xfId="21011" xr:uid="{00000000-0005-0000-0000-000050070000}"/>
    <cellStyle name="Calculation 2 2 3 3 5 8" xfId="21985" xr:uid="{00000000-0005-0000-0000-000051070000}"/>
    <cellStyle name="Calculation 2 2 3 3 5 9" xfId="22990" xr:uid="{00000000-0005-0000-0000-000052070000}"/>
    <cellStyle name="Calculation 2 2 3 3 6" xfId="14425" xr:uid="{00000000-0005-0000-0000-000053070000}"/>
    <cellStyle name="Calculation 2 2 3 3 7" xfId="15389" xr:uid="{00000000-0005-0000-0000-000054070000}"/>
    <cellStyle name="Calculation 2 2 3 3 8" xfId="15510" xr:uid="{00000000-0005-0000-0000-000055070000}"/>
    <cellStyle name="Calculation 2 2 3 3 9" xfId="15609" xr:uid="{00000000-0005-0000-0000-000056070000}"/>
    <cellStyle name="Calculation 2 2 3 4" xfId="640" xr:uid="{00000000-0005-0000-0000-000057070000}"/>
    <cellStyle name="Calculation 2 2 3 4 10" xfId="15783" xr:uid="{00000000-0005-0000-0000-000058070000}"/>
    <cellStyle name="Calculation 2 2 3 4 11" xfId="20903" xr:uid="{00000000-0005-0000-0000-000059070000}"/>
    <cellStyle name="Calculation 2 2 3 4 12" xfId="26463" xr:uid="{00000000-0005-0000-0000-00005A070000}"/>
    <cellStyle name="Calculation 2 2 3 4 13" xfId="27082" xr:uid="{00000000-0005-0000-0000-00005B070000}"/>
    <cellStyle name="Calculation 2 2 3 4 14" xfId="26174" xr:uid="{00000000-0005-0000-0000-00005C070000}"/>
    <cellStyle name="Calculation 2 2 3 4 15" xfId="27856" xr:uid="{00000000-0005-0000-0000-00005D070000}"/>
    <cellStyle name="Calculation 2 2 3 4 16" xfId="25941" xr:uid="{00000000-0005-0000-0000-00005E070000}"/>
    <cellStyle name="Calculation 2 2 3 4 17" xfId="27384" xr:uid="{00000000-0005-0000-0000-00005F070000}"/>
    <cellStyle name="Calculation 2 2 3 4 18" xfId="35146" xr:uid="{00000000-0005-0000-0000-000060070000}"/>
    <cellStyle name="Calculation 2 2 3 4 19" xfId="35237" xr:uid="{00000000-0005-0000-0000-000061070000}"/>
    <cellStyle name="Calculation 2 2 3 4 2" xfId="641" xr:uid="{00000000-0005-0000-0000-000062070000}"/>
    <cellStyle name="Calculation 2 2 3 4 2 10" xfId="22991" xr:uid="{00000000-0005-0000-0000-000063070000}"/>
    <cellStyle name="Calculation 2 2 3 4 2 11" xfId="23963" xr:uid="{00000000-0005-0000-0000-000064070000}"/>
    <cellStyle name="Calculation 2 2 3 4 2 12" xfId="24962" xr:uid="{00000000-0005-0000-0000-000065070000}"/>
    <cellStyle name="Calculation 2 2 3 4 2 13" xfId="27907" xr:uid="{00000000-0005-0000-0000-000066070000}"/>
    <cellStyle name="Calculation 2 2 3 4 2 14" xfId="28876" xr:uid="{00000000-0005-0000-0000-000067070000}"/>
    <cellStyle name="Calculation 2 2 3 4 2 15" xfId="29915" xr:uid="{00000000-0005-0000-0000-000068070000}"/>
    <cellStyle name="Calculation 2 2 3 4 2 16" xfId="30908" xr:uid="{00000000-0005-0000-0000-000069070000}"/>
    <cellStyle name="Calculation 2 2 3 4 2 17" xfId="31917" xr:uid="{00000000-0005-0000-0000-00006A070000}"/>
    <cellStyle name="Calculation 2 2 3 4 2 18" xfId="32920" xr:uid="{00000000-0005-0000-0000-00006B070000}"/>
    <cellStyle name="Calculation 2 2 3 4 2 19" xfId="33919" xr:uid="{00000000-0005-0000-0000-00006C070000}"/>
    <cellStyle name="Calculation 2 2 3 4 2 2" xfId="642" xr:uid="{00000000-0005-0000-0000-00006D070000}"/>
    <cellStyle name="Calculation 2 2 3 4 2 2 10" xfId="23964" xr:uid="{00000000-0005-0000-0000-00006E070000}"/>
    <cellStyle name="Calculation 2 2 3 4 2 2 11" xfId="24963" xr:uid="{00000000-0005-0000-0000-00006F070000}"/>
    <cellStyle name="Calculation 2 2 3 4 2 2 12" xfId="27908" xr:uid="{00000000-0005-0000-0000-000070070000}"/>
    <cellStyle name="Calculation 2 2 3 4 2 2 13" xfId="28877" xr:uid="{00000000-0005-0000-0000-000071070000}"/>
    <cellStyle name="Calculation 2 2 3 4 2 2 14" xfId="29916" xr:uid="{00000000-0005-0000-0000-000072070000}"/>
    <cellStyle name="Calculation 2 2 3 4 2 2 15" xfId="30909" xr:uid="{00000000-0005-0000-0000-000073070000}"/>
    <cellStyle name="Calculation 2 2 3 4 2 2 16" xfId="31918" xr:uid="{00000000-0005-0000-0000-000074070000}"/>
    <cellStyle name="Calculation 2 2 3 4 2 2 17" xfId="32921" xr:uid="{00000000-0005-0000-0000-000075070000}"/>
    <cellStyle name="Calculation 2 2 3 4 2 2 18" xfId="33920" xr:uid="{00000000-0005-0000-0000-000076070000}"/>
    <cellStyle name="Calculation 2 2 3 4 2 2 19" xfId="35541" xr:uid="{00000000-0005-0000-0000-000077070000}"/>
    <cellStyle name="Calculation 2 2 3 4 2 2 2" xfId="15944" xr:uid="{00000000-0005-0000-0000-000078070000}"/>
    <cellStyle name="Calculation 2 2 3 4 2 2 20" xfId="36480" xr:uid="{00000000-0005-0000-0000-000079070000}"/>
    <cellStyle name="Calculation 2 2 3 4 2 2 3" xfId="16922" xr:uid="{00000000-0005-0000-0000-00007A070000}"/>
    <cellStyle name="Calculation 2 2 3 4 2 2 4" xfId="17950" xr:uid="{00000000-0005-0000-0000-00007B070000}"/>
    <cellStyle name="Calculation 2 2 3 4 2 2 5" xfId="18982" xr:uid="{00000000-0005-0000-0000-00007C070000}"/>
    <cellStyle name="Calculation 2 2 3 4 2 2 6" xfId="20004" xr:uid="{00000000-0005-0000-0000-00007D070000}"/>
    <cellStyle name="Calculation 2 2 3 4 2 2 7" xfId="21013" xr:uid="{00000000-0005-0000-0000-00007E070000}"/>
    <cellStyle name="Calculation 2 2 3 4 2 2 8" xfId="21987" xr:uid="{00000000-0005-0000-0000-00007F070000}"/>
    <cellStyle name="Calculation 2 2 3 4 2 2 9" xfId="22992" xr:uid="{00000000-0005-0000-0000-000080070000}"/>
    <cellStyle name="Calculation 2 2 3 4 2 20" xfId="35540" xr:uid="{00000000-0005-0000-0000-000081070000}"/>
    <cellStyle name="Calculation 2 2 3 4 2 21" xfId="36479" xr:uid="{00000000-0005-0000-0000-000082070000}"/>
    <cellStyle name="Calculation 2 2 3 4 2 3" xfId="15943" xr:uid="{00000000-0005-0000-0000-000083070000}"/>
    <cellStyle name="Calculation 2 2 3 4 2 4" xfId="16921" xr:uid="{00000000-0005-0000-0000-000084070000}"/>
    <cellStyle name="Calculation 2 2 3 4 2 5" xfId="17949" xr:uid="{00000000-0005-0000-0000-000085070000}"/>
    <cellStyle name="Calculation 2 2 3 4 2 6" xfId="18981" xr:uid="{00000000-0005-0000-0000-000086070000}"/>
    <cellStyle name="Calculation 2 2 3 4 2 7" xfId="20003" xr:uid="{00000000-0005-0000-0000-000087070000}"/>
    <cellStyle name="Calculation 2 2 3 4 2 8" xfId="21012" xr:uid="{00000000-0005-0000-0000-000088070000}"/>
    <cellStyle name="Calculation 2 2 3 4 2 9" xfId="21986" xr:uid="{00000000-0005-0000-0000-000089070000}"/>
    <cellStyle name="Calculation 2 2 3 4 3" xfId="643" xr:uid="{00000000-0005-0000-0000-00008A070000}"/>
    <cellStyle name="Calculation 2 2 3 4 3 10" xfId="22993" xr:uid="{00000000-0005-0000-0000-00008B070000}"/>
    <cellStyle name="Calculation 2 2 3 4 3 11" xfId="23965" xr:uid="{00000000-0005-0000-0000-00008C070000}"/>
    <cellStyle name="Calculation 2 2 3 4 3 12" xfId="24964" xr:uid="{00000000-0005-0000-0000-00008D070000}"/>
    <cellStyle name="Calculation 2 2 3 4 3 13" xfId="27909" xr:uid="{00000000-0005-0000-0000-00008E070000}"/>
    <cellStyle name="Calculation 2 2 3 4 3 14" xfId="28878" xr:uid="{00000000-0005-0000-0000-00008F070000}"/>
    <cellStyle name="Calculation 2 2 3 4 3 15" xfId="29917" xr:uid="{00000000-0005-0000-0000-000090070000}"/>
    <cellStyle name="Calculation 2 2 3 4 3 16" xfId="30910" xr:uid="{00000000-0005-0000-0000-000091070000}"/>
    <cellStyle name="Calculation 2 2 3 4 3 17" xfId="31919" xr:uid="{00000000-0005-0000-0000-000092070000}"/>
    <cellStyle name="Calculation 2 2 3 4 3 18" xfId="32922" xr:uid="{00000000-0005-0000-0000-000093070000}"/>
    <cellStyle name="Calculation 2 2 3 4 3 19" xfId="33921" xr:uid="{00000000-0005-0000-0000-000094070000}"/>
    <cellStyle name="Calculation 2 2 3 4 3 2" xfId="644" xr:uid="{00000000-0005-0000-0000-000095070000}"/>
    <cellStyle name="Calculation 2 2 3 4 3 2 10" xfId="23966" xr:uid="{00000000-0005-0000-0000-000096070000}"/>
    <cellStyle name="Calculation 2 2 3 4 3 2 11" xfId="24965" xr:uid="{00000000-0005-0000-0000-000097070000}"/>
    <cellStyle name="Calculation 2 2 3 4 3 2 12" xfId="27910" xr:uid="{00000000-0005-0000-0000-000098070000}"/>
    <cellStyle name="Calculation 2 2 3 4 3 2 13" xfId="28879" xr:uid="{00000000-0005-0000-0000-000099070000}"/>
    <cellStyle name="Calculation 2 2 3 4 3 2 14" xfId="29918" xr:uid="{00000000-0005-0000-0000-00009A070000}"/>
    <cellStyle name="Calculation 2 2 3 4 3 2 15" xfId="30911" xr:uid="{00000000-0005-0000-0000-00009B070000}"/>
    <cellStyle name="Calculation 2 2 3 4 3 2 16" xfId="31920" xr:uid="{00000000-0005-0000-0000-00009C070000}"/>
    <cellStyle name="Calculation 2 2 3 4 3 2 17" xfId="32923" xr:uid="{00000000-0005-0000-0000-00009D070000}"/>
    <cellStyle name="Calculation 2 2 3 4 3 2 18" xfId="33922" xr:uid="{00000000-0005-0000-0000-00009E070000}"/>
    <cellStyle name="Calculation 2 2 3 4 3 2 19" xfId="35543" xr:uid="{00000000-0005-0000-0000-00009F070000}"/>
    <cellStyle name="Calculation 2 2 3 4 3 2 2" xfId="15946" xr:uid="{00000000-0005-0000-0000-0000A0070000}"/>
    <cellStyle name="Calculation 2 2 3 4 3 2 20" xfId="36482" xr:uid="{00000000-0005-0000-0000-0000A1070000}"/>
    <cellStyle name="Calculation 2 2 3 4 3 2 3" xfId="16924" xr:uid="{00000000-0005-0000-0000-0000A2070000}"/>
    <cellStyle name="Calculation 2 2 3 4 3 2 4" xfId="17952" xr:uid="{00000000-0005-0000-0000-0000A3070000}"/>
    <cellStyle name="Calculation 2 2 3 4 3 2 5" xfId="18984" xr:uid="{00000000-0005-0000-0000-0000A4070000}"/>
    <cellStyle name="Calculation 2 2 3 4 3 2 6" xfId="20006" xr:uid="{00000000-0005-0000-0000-0000A5070000}"/>
    <cellStyle name="Calculation 2 2 3 4 3 2 7" xfId="21015" xr:uid="{00000000-0005-0000-0000-0000A6070000}"/>
    <cellStyle name="Calculation 2 2 3 4 3 2 8" xfId="21989" xr:uid="{00000000-0005-0000-0000-0000A7070000}"/>
    <cellStyle name="Calculation 2 2 3 4 3 2 9" xfId="22994" xr:uid="{00000000-0005-0000-0000-0000A8070000}"/>
    <cellStyle name="Calculation 2 2 3 4 3 20" xfId="35542" xr:uid="{00000000-0005-0000-0000-0000A9070000}"/>
    <cellStyle name="Calculation 2 2 3 4 3 21" xfId="36481" xr:uid="{00000000-0005-0000-0000-0000AA070000}"/>
    <cellStyle name="Calculation 2 2 3 4 3 3" xfId="15945" xr:uid="{00000000-0005-0000-0000-0000AB070000}"/>
    <cellStyle name="Calculation 2 2 3 4 3 4" xfId="16923" xr:uid="{00000000-0005-0000-0000-0000AC070000}"/>
    <cellStyle name="Calculation 2 2 3 4 3 5" xfId="17951" xr:uid="{00000000-0005-0000-0000-0000AD070000}"/>
    <cellStyle name="Calculation 2 2 3 4 3 6" xfId="18983" xr:uid="{00000000-0005-0000-0000-0000AE070000}"/>
    <cellStyle name="Calculation 2 2 3 4 3 7" xfId="20005" xr:uid="{00000000-0005-0000-0000-0000AF070000}"/>
    <cellStyle name="Calculation 2 2 3 4 3 8" xfId="21014" xr:uid="{00000000-0005-0000-0000-0000B0070000}"/>
    <cellStyle name="Calculation 2 2 3 4 3 9" xfId="21988" xr:uid="{00000000-0005-0000-0000-0000B1070000}"/>
    <cellStyle name="Calculation 2 2 3 4 4" xfId="645" xr:uid="{00000000-0005-0000-0000-0000B2070000}"/>
    <cellStyle name="Calculation 2 2 3 4 4 10" xfId="22995" xr:uid="{00000000-0005-0000-0000-0000B3070000}"/>
    <cellStyle name="Calculation 2 2 3 4 4 11" xfId="23967" xr:uid="{00000000-0005-0000-0000-0000B4070000}"/>
    <cellStyle name="Calculation 2 2 3 4 4 12" xfId="24966" xr:uid="{00000000-0005-0000-0000-0000B5070000}"/>
    <cellStyle name="Calculation 2 2 3 4 4 13" xfId="27911" xr:uid="{00000000-0005-0000-0000-0000B6070000}"/>
    <cellStyle name="Calculation 2 2 3 4 4 14" xfId="28880" xr:uid="{00000000-0005-0000-0000-0000B7070000}"/>
    <cellStyle name="Calculation 2 2 3 4 4 15" xfId="29919" xr:uid="{00000000-0005-0000-0000-0000B8070000}"/>
    <cellStyle name="Calculation 2 2 3 4 4 16" xfId="30912" xr:uid="{00000000-0005-0000-0000-0000B9070000}"/>
    <cellStyle name="Calculation 2 2 3 4 4 17" xfId="31921" xr:uid="{00000000-0005-0000-0000-0000BA070000}"/>
    <cellStyle name="Calculation 2 2 3 4 4 18" xfId="32924" xr:uid="{00000000-0005-0000-0000-0000BB070000}"/>
    <cellStyle name="Calculation 2 2 3 4 4 19" xfId="33923" xr:uid="{00000000-0005-0000-0000-0000BC070000}"/>
    <cellStyle name="Calculation 2 2 3 4 4 2" xfId="646" xr:uid="{00000000-0005-0000-0000-0000BD070000}"/>
    <cellStyle name="Calculation 2 2 3 4 4 2 10" xfId="23968" xr:uid="{00000000-0005-0000-0000-0000BE070000}"/>
    <cellStyle name="Calculation 2 2 3 4 4 2 11" xfId="24967" xr:uid="{00000000-0005-0000-0000-0000BF070000}"/>
    <cellStyle name="Calculation 2 2 3 4 4 2 12" xfId="27912" xr:uid="{00000000-0005-0000-0000-0000C0070000}"/>
    <cellStyle name="Calculation 2 2 3 4 4 2 13" xfId="28881" xr:uid="{00000000-0005-0000-0000-0000C1070000}"/>
    <cellStyle name="Calculation 2 2 3 4 4 2 14" xfId="29920" xr:uid="{00000000-0005-0000-0000-0000C2070000}"/>
    <cellStyle name="Calculation 2 2 3 4 4 2 15" xfId="30913" xr:uid="{00000000-0005-0000-0000-0000C3070000}"/>
    <cellStyle name="Calculation 2 2 3 4 4 2 16" xfId="31922" xr:uid="{00000000-0005-0000-0000-0000C4070000}"/>
    <cellStyle name="Calculation 2 2 3 4 4 2 17" xfId="32925" xr:uid="{00000000-0005-0000-0000-0000C5070000}"/>
    <cellStyle name="Calculation 2 2 3 4 4 2 18" xfId="33924" xr:uid="{00000000-0005-0000-0000-0000C6070000}"/>
    <cellStyle name="Calculation 2 2 3 4 4 2 19" xfId="35545" xr:uid="{00000000-0005-0000-0000-0000C7070000}"/>
    <cellStyle name="Calculation 2 2 3 4 4 2 2" xfId="15948" xr:uid="{00000000-0005-0000-0000-0000C8070000}"/>
    <cellStyle name="Calculation 2 2 3 4 4 2 20" xfId="36484" xr:uid="{00000000-0005-0000-0000-0000C9070000}"/>
    <cellStyle name="Calculation 2 2 3 4 4 2 3" xfId="16926" xr:uid="{00000000-0005-0000-0000-0000CA070000}"/>
    <cellStyle name="Calculation 2 2 3 4 4 2 4" xfId="17954" xr:uid="{00000000-0005-0000-0000-0000CB070000}"/>
    <cellStyle name="Calculation 2 2 3 4 4 2 5" xfId="18986" xr:uid="{00000000-0005-0000-0000-0000CC070000}"/>
    <cellStyle name="Calculation 2 2 3 4 4 2 6" xfId="20008" xr:uid="{00000000-0005-0000-0000-0000CD070000}"/>
    <cellStyle name="Calculation 2 2 3 4 4 2 7" xfId="21017" xr:uid="{00000000-0005-0000-0000-0000CE070000}"/>
    <cellStyle name="Calculation 2 2 3 4 4 2 8" xfId="21991" xr:uid="{00000000-0005-0000-0000-0000CF070000}"/>
    <cellStyle name="Calculation 2 2 3 4 4 2 9" xfId="22996" xr:uid="{00000000-0005-0000-0000-0000D0070000}"/>
    <cellStyle name="Calculation 2 2 3 4 4 20" xfId="35544" xr:uid="{00000000-0005-0000-0000-0000D1070000}"/>
    <cellStyle name="Calculation 2 2 3 4 4 21" xfId="36483" xr:uid="{00000000-0005-0000-0000-0000D2070000}"/>
    <cellStyle name="Calculation 2 2 3 4 4 3" xfId="15947" xr:uid="{00000000-0005-0000-0000-0000D3070000}"/>
    <cellStyle name="Calculation 2 2 3 4 4 4" xfId="16925" xr:uid="{00000000-0005-0000-0000-0000D4070000}"/>
    <cellStyle name="Calculation 2 2 3 4 4 5" xfId="17953" xr:uid="{00000000-0005-0000-0000-0000D5070000}"/>
    <cellStyle name="Calculation 2 2 3 4 4 6" xfId="18985" xr:uid="{00000000-0005-0000-0000-0000D6070000}"/>
    <cellStyle name="Calculation 2 2 3 4 4 7" xfId="20007" xr:uid="{00000000-0005-0000-0000-0000D7070000}"/>
    <cellStyle name="Calculation 2 2 3 4 4 8" xfId="21016" xr:uid="{00000000-0005-0000-0000-0000D8070000}"/>
    <cellStyle name="Calculation 2 2 3 4 4 9" xfId="21990" xr:uid="{00000000-0005-0000-0000-0000D9070000}"/>
    <cellStyle name="Calculation 2 2 3 4 5" xfId="647" xr:uid="{00000000-0005-0000-0000-0000DA070000}"/>
    <cellStyle name="Calculation 2 2 3 4 5 10" xfId="23969" xr:uid="{00000000-0005-0000-0000-0000DB070000}"/>
    <cellStyle name="Calculation 2 2 3 4 5 11" xfId="24968" xr:uid="{00000000-0005-0000-0000-0000DC070000}"/>
    <cellStyle name="Calculation 2 2 3 4 5 12" xfId="27913" xr:uid="{00000000-0005-0000-0000-0000DD070000}"/>
    <cellStyle name="Calculation 2 2 3 4 5 13" xfId="28882" xr:uid="{00000000-0005-0000-0000-0000DE070000}"/>
    <cellStyle name="Calculation 2 2 3 4 5 14" xfId="29921" xr:uid="{00000000-0005-0000-0000-0000DF070000}"/>
    <cellStyle name="Calculation 2 2 3 4 5 15" xfId="30914" xr:uid="{00000000-0005-0000-0000-0000E0070000}"/>
    <cellStyle name="Calculation 2 2 3 4 5 16" xfId="31923" xr:uid="{00000000-0005-0000-0000-0000E1070000}"/>
    <cellStyle name="Calculation 2 2 3 4 5 17" xfId="32926" xr:uid="{00000000-0005-0000-0000-0000E2070000}"/>
    <cellStyle name="Calculation 2 2 3 4 5 18" xfId="33925" xr:uid="{00000000-0005-0000-0000-0000E3070000}"/>
    <cellStyle name="Calculation 2 2 3 4 5 19" xfId="35546" xr:uid="{00000000-0005-0000-0000-0000E4070000}"/>
    <cellStyle name="Calculation 2 2 3 4 5 2" xfId="15949" xr:uid="{00000000-0005-0000-0000-0000E5070000}"/>
    <cellStyle name="Calculation 2 2 3 4 5 20" xfId="36485" xr:uid="{00000000-0005-0000-0000-0000E6070000}"/>
    <cellStyle name="Calculation 2 2 3 4 5 3" xfId="16927" xr:uid="{00000000-0005-0000-0000-0000E7070000}"/>
    <cellStyle name="Calculation 2 2 3 4 5 4" xfId="17955" xr:uid="{00000000-0005-0000-0000-0000E8070000}"/>
    <cellStyle name="Calculation 2 2 3 4 5 5" xfId="18987" xr:uid="{00000000-0005-0000-0000-0000E9070000}"/>
    <cellStyle name="Calculation 2 2 3 4 5 6" xfId="20009" xr:uid="{00000000-0005-0000-0000-0000EA070000}"/>
    <cellStyle name="Calculation 2 2 3 4 5 7" xfId="21018" xr:uid="{00000000-0005-0000-0000-0000EB070000}"/>
    <cellStyle name="Calculation 2 2 3 4 5 8" xfId="21992" xr:uid="{00000000-0005-0000-0000-0000EC070000}"/>
    <cellStyle name="Calculation 2 2 3 4 5 9" xfId="22997" xr:uid="{00000000-0005-0000-0000-0000ED070000}"/>
    <cellStyle name="Calculation 2 2 3 4 6" xfId="15215" xr:uid="{00000000-0005-0000-0000-0000EE070000}"/>
    <cellStyle name="Calculation 2 2 3 4 7" xfId="14480" xr:uid="{00000000-0005-0000-0000-0000EF070000}"/>
    <cellStyle name="Calculation 2 2 3 4 8" xfId="14852" xr:uid="{00000000-0005-0000-0000-0000F0070000}"/>
    <cellStyle name="Calculation 2 2 3 4 9" xfId="14534" xr:uid="{00000000-0005-0000-0000-0000F1070000}"/>
    <cellStyle name="Calculation 2 2 3 5" xfId="648" xr:uid="{00000000-0005-0000-0000-0000F2070000}"/>
    <cellStyle name="Calculation 2 2 3 5 10" xfId="14938" xr:uid="{00000000-0005-0000-0000-0000F3070000}"/>
    <cellStyle name="Calculation 2 2 3 5 11" xfId="13897" xr:uid="{00000000-0005-0000-0000-0000F4070000}"/>
    <cellStyle name="Calculation 2 2 3 5 12" xfId="26453" xr:uid="{00000000-0005-0000-0000-0000F5070000}"/>
    <cellStyle name="Calculation 2 2 3 5 13" xfId="27089" xr:uid="{00000000-0005-0000-0000-0000F6070000}"/>
    <cellStyle name="Calculation 2 2 3 5 14" xfId="26123" xr:uid="{00000000-0005-0000-0000-0000F7070000}"/>
    <cellStyle name="Calculation 2 2 3 5 15" xfId="26787" xr:uid="{00000000-0005-0000-0000-0000F8070000}"/>
    <cellStyle name="Calculation 2 2 3 5 16" xfId="26138" xr:uid="{00000000-0005-0000-0000-0000F9070000}"/>
    <cellStyle name="Calculation 2 2 3 5 17" xfId="26987" xr:uid="{00000000-0005-0000-0000-0000FA070000}"/>
    <cellStyle name="Calculation 2 2 3 5 18" xfId="35136" xr:uid="{00000000-0005-0000-0000-0000FB070000}"/>
    <cellStyle name="Calculation 2 2 3 5 19" xfId="35244" xr:uid="{00000000-0005-0000-0000-0000FC070000}"/>
    <cellStyle name="Calculation 2 2 3 5 2" xfId="649" xr:uid="{00000000-0005-0000-0000-0000FD070000}"/>
    <cellStyle name="Calculation 2 2 3 5 2 10" xfId="22998" xr:uid="{00000000-0005-0000-0000-0000FE070000}"/>
    <cellStyle name="Calculation 2 2 3 5 2 11" xfId="23970" xr:uid="{00000000-0005-0000-0000-0000FF070000}"/>
    <cellStyle name="Calculation 2 2 3 5 2 12" xfId="24969" xr:uid="{00000000-0005-0000-0000-000000080000}"/>
    <cellStyle name="Calculation 2 2 3 5 2 13" xfId="27914" xr:uid="{00000000-0005-0000-0000-000001080000}"/>
    <cellStyle name="Calculation 2 2 3 5 2 14" xfId="28883" xr:uid="{00000000-0005-0000-0000-000002080000}"/>
    <cellStyle name="Calculation 2 2 3 5 2 15" xfId="29922" xr:uid="{00000000-0005-0000-0000-000003080000}"/>
    <cellStyle name="Calculation 2 2 3 5 2 16" xfId="30915" xr:uid="{00000000-0005-0000-0000-000004080000}"/>
    <cellStyle name="Calculation 2 2 3 5 2 17" xfId="31924" xr:uid="{00000000-0005-0000-0000-000005080000}"/>
    <cellStyle name="Calculation 2 2 3 5 2 18" xfId="32927" xr:uid="{00000000-0005-0000-0000-000006080000}"/>
    <cellStyle name="Calculation 2 2 3 5 2 19" xfId="33926" xr:uid="{00000000-0005-0000-0000-000007080000}"/>
    <cellStyle name="Calculation 2 2 3 5 2 2" xfId="650" xr:uid="{00000000-0005-0000-0000-000008080000}"/>
    <cellStyle name="Calculation 2 2 3 5 2 2 10" xfId="23971" xr:uid="{00000000-0005-0000-0000-000009080000}"/>
    <cellStyle name="Calculation 2 2 3 5 2 2 11" xfId="24970" xr:uid="{00000000-0005-0000-0000-00000A080000}"/>
    <cellStyle name="Calculation 2 2 3 5 2 2 12" xfId="27915" xr:uid="{00000000-0005-0000-0000-00000B080000}"/>
    <cellStyle name="Calculation 2 2 3 5 2 2 13" xfId="28884" xr:uid="{00000000-0005-0000-0000-00000C080000}"/>
    <cellStyle name="Calculation 2 2 3 5 2 2 14" xfId="29923" xr:uid="{00000000-0005-0000-0000-00000D080000}"/>
    <cellStyle name="Calculation 2 2 3 5 2 2 15" xfId="30916" xr:uid="{00000000-0005-0000-0000-00000E080000}"/>
    <cellStyle name="Calculation 2 2 3 5 2 2 16" xfId="31925" xr:uid="{00000000-0005-0000-0000-00000F080000}"/>
    <cellStyle name="Calculation 2 2 3 5 2 2 17" xfId="32928" xr:uid="{00000000-0005-0000-0000-000010080000}"/>
    <cellStyle name="Calculation 2 2 3 5 2 2 18" xfId="33927" xr:uid="{00000000-0005-0000-0000-000011080000}"/>
    <cellStyle name="Calculation 2 2 3 5 2 2 19" xfId="35548" xr:uid="{00000000-0005-0000-0000-000012080000}"/>
    <cellStyle name="Calculation 2 2 3 5 2 2 2" xfId="15951" xr:uid="{00000000-0005-0000-0000-000013080000}"/>
    <cellStyle name="Calculation 2 2 3 5 2 2 20" xfId="36487" xr:uid="{00000000-0005-0000-0000-000014080000}"/>
    <cellStyle name="Calculation 2 2 3 5 2 2 3" xfId="16929" xr:uid="{00000000-0005-0000-0000-000015080000}"/>
    <cellStyle name="Calculation 2 2 3 5 2 2 4" xfId="17957" xr:uid="{00000000-0005-0000-0000-000016080000}"/>
    <cellStyle name="Calculation 2 2 3 5 2 2 5" xfId="18989" xr:uid="{00000000-0005-0000-0000-000017080000}"/>
    <cellStyle name="Calculation 2 2 3 5 2 2 6" xfId="20011" xr:uid="{00000000-0005-0000-0000-000018080000}"/>
    <cellStyle name="Calculation 2 2 3 5 2 2 7" xfId="21020" xr:uid="{00000000-0005-0000-0000-000019080000}"/>
    <cellStyle name="Calculation 2 2 3 5 2 2 8" xfId="21994" xr:uid="{00000000-0005-0000-0000-00001A080000}"/>
    <cellStyle name="Calculation 2 2 3 5 2 2 9" xfId="22999" xr:uid="{00000000-0005-0000-0000-00001B080000}"/>
    <cellStyle name="Calculation 2 2 3 5 2 20" xfId="35547" xr:uid="{00000000-0005-0000-0000-00001C080000}"/>
    <cellStyle name="Calculation 2 2 3 5 2 21" xfId="36486" xr:uid="{00000000-0005-0000-0000-00001D080000}"/>
    <cellStyle name="Calculation 2 2 3 5 2 3" xfId="15950" xr:uid="{00000000-0005-0000-0000-00001E080000}"/>
    <cellStyle name="Calculation 2 2 3 5 2 4" xfId="16928" xr:uid="{00000000-0005-0000-0000-00001F080000}"/>
    <cellStyle name="Calculation 2 2 3 5 2 5" xfId="17956" xr:uid="{00000000-0005-0000-0000-000020080000}"/>
    <cellStyle name="Calculation 2 2 3 5 2 6" xfId="18988" xr:uid="{00000000-0005-0000-0000-000021080000}"/>
    <cellStyle name="Calculation 2 2 3 5 2 7" xfId="20010" xr:uid="{00000000-0005-0000-0000-000022080000}"/>
    <cellStyle name="Calculation 2 2 3 5 2 8" xfId="21019" xr:uid="{00000000-0005-0000-0000-000023080000}"/>
    <cellStyle name="Calculation 2 2 3 5 2 9" xfId="21993" xr:uid="{00000000-0005-0000-0000-000024080000}"/>
    <cellStyle name="Calculation 2 2 3 5 3" xfId="651" xr:uid="{00000000-0005-0000-0000-000025080000}"/>
    <cellStyle name="Calculation 2 2 3 5 3 10" xfId="23000" xr:uid="{00000000-0005-0000-0000-000026080000}"/>
    <cellStyle name="Calculation 2 2 3 5 3 11" xfId="23972" xr:uid="{00000000-0005-0000-0000-000027080000}"/>
    <cellStyle name="Calculation 2 2 3 5 3 12" xfId="24971" xr:uid="{00000000-0005-0000-0000-000028080000}"/>
    <cellStyle name="Calculation 2 2 3 5 3 13" xfId="27916" xr:uid="{00000000-0005-0000-0000-000029080000}"/>
    <cellStyle name="Calculation 2 2 3 5 3 14" xfId="28885" xr:uid="{00000000-0005-0000-0000-00002A080000}"/>
    <cellStyle name="Calculation 2 2 3 5 3 15" xfId="29924" xr:uid="{00000000-0005-0000-0000-00002B080000}"/>
    <cellStyle name="Calculation 2 2 3 5 3 16" xfId="30917" xr:uid="{00000000-0005-0000-0000-00002C080000}"/>
    <cellStyle name="Calculation 2 2 3 5 3 17" xfId="31926" xr:uid="{00000000-0005-0000-0000-00002D080000}"/>
    <cellStyle name="Calculation 2 2 3 5 3 18" xfId="32929" xr:uid="{00000000-0005-0000-0000-00002E080000}"/>
    <cellStyle name="Calculation 2 2 3 5 3 19" xfId="33928" xr:uid="{00000000-0005-0000-0000-00002F080000}"/>
    <cellStyle name="Calculation 2 2 3 5 3 2" xfId="652" xr:uid="{00000000-0005-0000-0000-000030080000}"/>
    <cellStyle name="Calculation 2 2 3 5 3 2 10" xfId="23973" xr:uid="{00000000-0005-0000-0000-000031080000}"/>
    <cellStyle name="Calculation 2 2 3 5 3 2 11" xfId="24972" xr:uid="{00000000-0005-0000-0000-000032080000}"/>
    <cellStyle name="Calculation 2 2 3 5 3 2 12" xfId="27917" xr:uid="{00000000-0005-0000-0000-000033080000}"/>
    <cellStyle name="Calculation 2 2 3 5 3 2 13" xfId="28886" xr:uid="{00000000-0005-0000-0000-000034080000}"/>
    <cellStyle name="Calculation 2 2 3 5 3 2 14" xfId="29925" xr:uid="{00000000-0005-0000-0000-000035080000}"/>
    <cellStyle name="Calculation 2 2 3 5 3 2 15" xfId="30918" xr:uid="{00000000-0005-0000-0000-000036080000}"/>
    <cellStyle name="Calculation 2 2 3 5 3 2 16" xfId="31927" xr:uid="{00000000-0005-0000-0000-000037080000}"/>
    <cellStyle name="Calculation 2 2 3 5 3 2 17" xfId="32930" xr:uid="{00000000-0005-0000-0000-000038080000}"/>
    <cellStyle name="Calculation 2 2 3 5 3 2 18" xfId="33929" xr:uid="{00000000-0005-0000-0000-000039080000}"/>
    <cellStyle name="Calculation 2 2 3 5 3 2 19" xfId="35550" xr:uid="{00000000-0005-0000-0000-00003A080000}"/>
    <cellStyle name="Calculation 2 2 3 5 3 2 2" xfId="15953" xr:uid="{00000000-0005-0000-0000-00003B080000}"/>
    <cellStyle name="Calculation 2 2 3 5 3 2 20" xfId="36489" xr:uid="{00000000-0005-0000-0000-00003C080000}"/>
    <cellStyle name="Calculation 2 2 3 5 3 2 3" xfId="16931" xr:uid="{00000000-0005-0000-0000-00003D080000}"/>
    <cellStyle name="Calculation 2 2 3 5 3 2 4" xfId="17959" xr:uid="{00000000-0005-0000-0000-00003E080000}"/>
    <cellStyle name="Calculation 2 2 3 5 3 2 5" xfId="18991" xr:uid="{00000000-0005-0000-0000-00003F080000}"/>
    <cellStyle name="Calculation 2 2 3 5 3 2 6" xfId="20013" xr:uid="{00000000-0005-0000-0000-000040080000}"/>
    <cellStyle name="Calculation 2 2 3 5 3 2 7" xfId="21022" xr:uid="{00000000-0005-0000-0000-000041080000}"/>
    <cellStyle name="Calculation 2 2 3 5 3 2 8" xfId="21996" xr:uid="{00000000-0005-0000-0000-000042080000}"/>
    <cellStyle name="Calculation 2 2 3 5 3 2 9" xfId="23001" xr:uid="{00000000-0005-0000-0000-000043080000}"/>
    <cellStyle name="Calculation 2 2 3 5 3 20" xfId="35549" xr:uid="{00000000-0005-0000-0000-000044080000}"/>
    <cellStyle name="Calculation 2 2 3 5 3 21" xfId="36488" xr:uid="{00000000-0005-0000-0000-000045080000}"/>
    <cellStyle name="Calculation 2 2 3 5 3 3" xfId="15952" xr:uid="{00000000-0005-0000-0000-000046080000}"/>
    <cellStyle name="Calculation 2 2 3 5 3 4" xfId="16930" xr:uid="{00000000-0005-0000-0000-000047080000}"/>
    <cellStyle name="Calculation 2 2 3 5 3 5" xfId="17958" xr:uid="{00000000-0005-0000-0000-000048080000}"/>
    <cellStyle name="Calculation 2 2 3 5 3 6" xfId="18990" xr:uid="{00000000-0005-0000-0000-000049080000}"/>
    <cellStyle name="Calculation 2 2 3 5 3 7" xfId="20012" xr:uid="{00000000-0005-0000-0000-00004A080000}"/>
    <cellStyle name="Calculation 2 2 3 5 3 8" xfId="21021" xr:uid="{00000000-0005-0000-0000-00004B080000}"/>
    <cellStyle name="Calculation 2 2 3 5 3 9" xfId="21995" xr:uid="{00000000-0005-0000-0000-00004C080000}"/>
    <cellStyle name="Calculation 2 2 3 5 4" xfId="653" xr:uid="{00000000-0005-0000-0000-00004D080000}"/>
    <cellStyle name="Calculation 2 2 3 5 4 10" xfId="23002" xr:uid="{00000000-0005-0000-0000-00004E080000}"/>
    <cellStyle name="Calculation 2 2 3 5 4 11" xfId="23974" xr:uid="{00000000-0005-0000-0000-00004F080000}"/>
    <cellStyle name="Calculation 2 2 3 5 4 12" xfId="24973" xr:uid="{00000000-0005-0000-0000-000050080000}"/>
    <cellStyle name="Calculation 2 2 3 5 4 13" xfId="27918" xr:uid="{00000000-0005-0000-0000-000051080000}"/>
    <cellStyle name="Calculation 2 2 3 5 4 14" xfId="28887" xr:uid="{00000000-0005-0000-0000-000052080000}"/>
    <cellStyle name="Calculation 2 2 3 5 4 15" xfId="29926" xr:uid="{00000000-0005-0000-0000-000053080000}"/>
    <cellStyle name="Calculation 2 2 3 5 4 16" xfId="30919" xr:uid="{00000000-0005-0000-0000-000054080000}"/>
    <cellStyle name="Calculation 2 2 3 5 4 17" xfId="31928" xr:uid="{00000000-0005-0000-0000-000055080000}"/>
    <cellStyle name="Calculation 2 2 3 5 4 18" xfId="32931" xr:uid="{00000000-0005-0000-0000-000056080000}"/>
    <cellStyle name="Calculation 2 2 3 5 4 19" xfId="33930" xr:uid="{00000000-0005-0000-0000-000057080000}"/>
    <cellStyle name="Calculation 2 2 3 5 4 2" xfId="654" xr:uid="{00000000-0005-0000-0000-000058080000}"/>
    <cellStyle name="Calculation 2 2 3 5 4 2 10" xfId="23975" xr:uid="{00000000-0005-0000-0000-000059080000}"/>
    <cellStyle name="Calculation 2 2 3 5 4 2 11" xfId="24974" xr:uid="{00000000-0005-0000-0000-00005A080000}"/>
    <cellStyle name="Calculation 2 2 3 5 4 2 12" xfId="27919" xr:uid="{00000000-0005-0000-0000-00005B080000}"/>
    <cellStyle name="Calculation 2 2 3 5 4 2 13" xfId="28888" xr:uid="{00000000-0005-0000-0000-00005C080000}"/>
    <cellStyle name="Calculation 2 2 3 5 4 2 14" xfId="29927" xr:uid="{00000000-0005-0000-0000-00005D080000}"/>
    <cellStyle name="Calculation 2 2 3 5 4 2 15" xfId="30920" xr:uid="{00000000-0005-0000-0000-00005E080000}"/>
    <cellStyle name="Calculation 2 2 3 5 4 2 16" xfId="31929" xr:uid="{00000000-0005-0000-0000-00005F080000}"/>
    <cellStyle name="Calculation 2 2 3 5 4 2 17" xfId="32932" xr:uid="{00000000-0005-0000-0000-000060080000}"/>
    <cellStyle name="Calculation 2 2 3 5 4 2 18" xfId="33931" xr:uid="{00000000-0005-0000-0000-000061080000}"/>
    <cellStyle name="Calculation 2 2 3 5 4 2 19" xfId="35552" xr:uid="{00000000-0005-0000-0000-000062080000}"/>
    <cellStyle name="Calculation 2 2 3 5 4 2 2" xfId="15955" xr:uid="{00000000-0005-0000-0000-000063080000}"/>
    <cellStyle name="Calculation 2 2 3 5 4 2 20" xfId="36491" xr:uid="{00000000-0005-0000-0000-000064080000}"/>
    <cellStyle name="Calculation 2 2 3 5 4 2 3" xfId="16933" xr:uid="{00000000-0005-0000-0000-000065080000}"/>
    <cellStyle name="Calculation 2 2 3 5 4 2 4" xfId="17961" xr:uid="{00000000-0005-0000-0000-000066080000}"/>
    <cellStyle name="Calculation 2 2 3 5 4 2 5" xfId="18993" xr:uid="{00000000-0005-0000-0000-000067080000}"/>
    <cellStyle name="Calculation 2 2 3 5 4 2 6" xfId="20015" xr:uid="{00000000-0005-0000-0000-000068080000}"/>
    <cellStyle name="Calculation 2 2 3 5 4 2 7" xfId="21024" xr:uid="{00000000-0005-0000-0000-000069080000}"/>
    <cellStyle name="Calculation 2 2 3 5 4 2 8" xfId="21998" xr:uid="{00000000-0005-0000-0000-00006A080000}"/>
    <cellStyle name="Calculation 2 2 3 5 4 2 9" xfId="23003" xr:uid="{00000000-0005-0000-0000-00006B080000}"/>
    <cellStyle name="Calculation 2 2 3 5 4 20" xfId="35551" xr:uid="{00000000-0005-0000-0000-00006C080000}"/>
    <cellStyle name="Calculation 2 2 3 5 4 21" xfId="36490" xr:uid="{00000000-0005-0000-0000-00006D080000}"/>
    <cellStyle name="Calculation 2 2 3 5 4 3" xfId="15954" xr:uid="{00000000-0005-0000-0000-00006E080000}"/>
    <cellStyle name="Calculation 2 2 3 5 4 4" xfId="16932" xr:uid="{00000000-0005-0000-0000-00006F080000}"/>
    <cellStyle name="Calculation 2 2 3 5 4 5" xfId="17960" xr:uid="{00000000-0005-0000-0000-000070080000}"/>
    <cellStyle name="Calculation 2 2 3 5 4 6" xfId="18992" xr:uid="{00000000-0005-0000-0000-000071080000}"/>
    <cellStyle name="Calculation 2 2 3 5 4 7" xfId="20014" xr:uid="{00000000-0005-0000-0000-000072080000}"/>
    <cellStyle name="Calculation 2 2 3 5 4 8" xfId="21023" xr:uid="{00000000-0005-0000-0000-000073080000}"/>
    <cellStyle name="Calculation 2 2 3 5 4 9" xfId="21997" xr:uid="{00000000-0005-0000-0000-000074080000}"/>
    <cellStyle name="Calculation 2 2 3 5 5" xfId="655" xr:uid="{00000000-0005-0000-0000-000075080000}"/>
    <cellStyle name="Calculation 2 2 3 5 5 10" xfId="23976" xr:uid="{00000000-0005-0000-0000-000076080000}"/>
    <cellStyle name="Calculation 2 2 3 5 5 11" xfId="24975" xr:uid="{00000000-0005-0000-0000-000077080000}"/>
    <cellStyle name="Calculation 2 2 3 5 5 12" xfId="27920" xr:uid="{00000000-0005-0000-0000-000078080000}"/>
    <cellStyle name="Calculation 2 2 3 5 5 13" xfId="28889" xr:uid="{00000000-0005-0000-0000-000079080000}"/>
    <cellStyle name="Calculation 2 2 3 5 5 14" xfId="29928" xr:uid="{00000000-0005-0000-0000-00007A080000}"/>
    <cellStyle name="Calculation 2 2 3 5 5 15" xfId="30921" xr:uid="{00000000-0005-0000-0000-00007B080000}"/>
    <cellStyle name="Calculation 2 2 3 5 5 16" xfId="31930" xr:uid="{00000000-0005-0000-0000-00007C080000}"/>
    <cellStyle name="Calculation 2 2 3 5 5 17" xfId="32933" xr:uid="{00000000-0005-0000-0000-00007D080000}"/>
    <cellStyle name="Calculation 2 2 3 5 5 18" xfId="33932" xr:uid="{00000000-0005-0000-0000-00007E080000}"/>
    <cellStyle name="Calculation 2 2 3 5 5 19" xfId="35553" xr:uid="{00000000-0005-0000-0000-00007F080000}"/>
    <cellStyle name="Calculation 2 2 3 5 5 2" xfId="15956" xr:uid="{00000000-0005-0000-0000-000080080000}"/>
    <cellStyle name="Calculation 2 2 3 5 5 20" xfId="36492" xr:uid="{00000000-0005-0000-0000-000081080000}"/>
    <cellStyle name="Calculation 2 2 3 5 5 3" xfId="16934" xr:uid="{00000000-0005-0000-0000-000082080000}"/>
    <cellStyle name="Calculation 2 2 3 5 5 4" xfId="17962" xr:uid="{00000000-0005-0000-0000-000083080000}"/>
    <cellStyle name="Calculation 2 2 3 5 5 5" xfId="18994" xr:uid="{00000000-0005-0000-0000-000084080000}"/>
    <cellStyle name="Calculation 2 2 3 5 5 6" xfId="20016" xr:uid="{00000000-0005-0000-0000-000085080000}"/>
    <cellStyle name="Calculation 2 2 3 5 5 7" xfId="21025" xr:uid="{00000000-0005-0000-0000-000086080000}"/>
    <cellStyle name="Calculation 2 2 3 5 5 8" xfId="21999" xr:uid="{00000000-0005-0000-0000-000087080000}"/>
    <cellStyle name="Calculation 2 2 3 5 5 9" xfId="23004" xr:uid="{00000000-0005-0000-0000-000088080000}"/>
    <cellStyle name="Calculation 2 2 3 5 6" xfId="13411" xr:uid="{00000000-0005-0000-0000-000089080000}"/>
    <cellStyle name="Calculation 2 2 3 5 7" xfId="14011" xr:uid="{00000000-0005-0000-0000-00008A080000}"/>
    <cellStyle name="Calculation 2 2 3 5 8" xfId="13457" xr:uid="{00000000-0005-0000-0000-00008B080000}"/>
    <cellStyle name="Calculation 2 2 3 5 9" xfId="15720" xr:uid="{00000000-0005-0000-0000-00008C080000}"/>
    <cellStyle name="Calculation 2 2 3 6" xfId="656" xr:uid="{00000000-0005-0000-0000-00008D080000}"/>
    <cellStyle name="Calculation 2 2 3 6 10" xfId="23005" xr:uid="{00000000-0005-0000-0000-00008E080000}"/>
    <cellStyle name="Calculation 2 2 3 6 11" xfId="23977" xr:uid="{00000000-0005-0000-0000-00008F080000}"/>
    <cellStyle name="Calculation 2 2 3 6 12" xfId="24976" xr:uid="{00000000-0005-0000-0000-000090080000}"/>
    <cellStyle name="Calculation 2 2 3 6 13" xfId="27921" xr:uid="{00000000-0005-0000-0000-000091080000}"/>
    <cellStyle name="Calculation 2 2 3 6 14" xfId="28890" xr:uid="{00000000-0005-0000-0000-000092080000}"/>
    <cellStyle name="Calculation 2 2 3 6 15" xfId="29929" xr:uid="{00000000-0005-0000-0000-000093080000}"/>
    <cellStyle name="Calculation 2 2 3 6 16" xfId="30922" xr:uid="{00000000-0005-0000-0000-000094080000}"/>
    <cellStyle name="Calculation 2 2 3 6 17" xfId="31931" xr:uid="{00000000-0005-0000-0000-000095080000}"/>
    <cellStyle name="Calculation 2 2 3 6 18" xfId="32934" xr:uid="{00000000-0005-0000-0000-000096080000}"/>
    <cellStyle name="Calculation 2 2 3 6 19" xfId="33933" xr:uid="{00000000-0005-0000-0000-000097080000}"/>
    <cellStyle name="Calculation 2 2 3 6 2" xfId="657" xr:uid="{00000000-0005-0000-0000-000098080000}"/>
    <cellStyle name="Calculation 2 2 3 6 2 10" xfId="23978" xr:uid="{00000000-0005-0000-0000-000099080000}"/>
    <cellStyle name="Calculation 2 2 3 6 2 11" xfId="24977" xr:uid="{00000000-0005-0000-0000-00009A080000}"/>
    <cellStyle name="Calculation 2 2 3 6 2 12" xfId="27922" xr:uid="{00000000-0005-0000-0000-00009B080000}"/>
    <cellStyle name="Calculation 2 2 3 6 2 13" xfId="28891" xr:uid="{00000000-0005-0000-0000-00009C080000}"/>
    <cellStyle name="Calculation 2 2 3 6 2 14" xfId="29930" xr:uid="{00000000-0005-0000-0000-00009D080000}"/>
    <cellStyle name="Calculation 2 2 3 6 2 15" xfId="30923" xr:uid="{00000000-0005-0000-0000-00009E080000}"/>
    <cellStyle name="Calculation 2 2 3 6 2 16" xfId="31932" xr:uid="{00000000-0005-0000-0000-00009F080000}"/>
    <cellStyle name="Calculation 2 2 3 6 2 17" xfId="32935" xr:uid="{00000000-0005-0000-0000-0000A0080000}"/>
    <cellStyle name="Calculation 2 2 3 6 2 18" xfId="33934" xr:uid="{00000000-0005-0000-0000-0000A1080000}"/>
    <cellStyle name="Calculation 2 2 3 6 2 19" xfId="35555" xr:uid="{00000000-0005-0000-0000-0000A2080000}"/>
    <cellStyle name="Calculation 2 2 3 6 2 2" xfId="15958" xr:uid="{00000000-0005-0000-0000-0000A3080000}"/>
    <cellStyle name="Calculation 2 2 3 6 2 20" xfId="36494" xr:uid="{00000000-0005-0000-0000-0000A4080000}"/>
    <cellStyle name="Calculation 2 2 3 6 2 3" xfId="16936" xr:uid="{00000000-0005-0000-0000-0000A5080000}"/>
    <cellStyle name="Calculation 2 2 3 6 2 4" xfId="17964" xr:uid="{00000000-0005-0000-0000-0000A6080000}"/>
    <cellStyle name="Calculation 2 2 3 6 2 5" xfId="18996" xr:uid="{00000000-0005-0000-0000-0000A7080000}"/>
    <cellStyle name="Calculation 2 2 3 6 2 6" xfId="20018" xr:uid="{00000000-0005-0000-0000-0000A8080000}"/>
    <cellStyle name="Calculation 2 2 3 6 2 7" xfId="21027" xr:uid="{00000000-0005-0000-0000-0000A9080000}"/>
    <cellStyle name="Calculation 2 2 3 6 2 8" xfId="22001" xr:uid="{00000000-0005-0000-0000-0000AA080000}"/>
    <cellStyle name="Calculation 2 2 3 6 2 9" xfId="23006" xr:uid="{00000000-0005-0000-0000-0000AB080000}"/>
    <cellStyle name="Calculation 2 2 3 6 20" xfId="35554" xr:uid="{00000000-0005-0000-0000-0000AC080000}"/>
    <cellStyle name="Calculation 2 2 3 6 21" xfId="36493" xr:uid="{00000000-0005-0000-0000-0000AD080000}"/>
    <cellStyle name="Calculation 2 2 3 6 3" xfId="15957" xr:uid="{00000000-0005-0000-0000-0000AE080000}"/>
    <cellStyle name="Calculation 2 2 3 6 4" xfId="16935" xr:uid="{00000000-0005-0000-0000-0000AF080000}"/>
    <cellStyle name="Calculation 2 2 3 6 5" xfId="17963" xr:uid="{00000000-0005-0000-0000-0000B0080000}"/>
    <cellStyle name="Calculation 2 2 3 6 6" xfId="18995" xr:uid="{00000000-0005-0000-0000-0000B1080000}"/>
    <cellStyle name="Calculation 2 2 3 6 7" xfId="20017" xr:uid="{00000000-0005-0000-0000-0000B2080000}"/>
    <cellStyle name="Calculation 2 2 3 6 8" xfId="21026" xr:uid="{00000000-0005-0000-0000-0000B3080000}"/>
    <cellStyle name="Calculation 2 2 3 6 9" xfId="22000" xr:uid="{00000000-0005-0000-0000-0000B4080000}"/>
    <cellStyle name="Calculation 2 2 3 7" xfId="658" xr:uid="{00000000-0005-0000-0000-0000B5080000}"/>
    <cellStyle name="Calculation 2 2 3 7 10" xfId="23007" xr:uid="{00000000-0005-0000-0000-0000B6080000}"/>
    <cellStyle name="Calculation 2 2 3 7 11" xfId="23979" xr:uid="{00000000-0005-0000-0000-0000B7080000}"/>
    <cellStyle name="Calculation 2 2 3 7 12" xfId="24978" xr:uid="{00000000-0005-0000-0000-0000B8080000}"/>
    <cellStyle name="Calculation 2 2 3 7 13" xfId="27923" xr:uid="{00000000-0005-0000-0000-0000B9080000}"/>
    <cellStyle name="Calculation 2 2 3 7 14" xfId="28892" xr:uid="{00000000-0005-0000-0000-0000BA080000}"/>
    <cellStyle name="Calculation 2 2 3 7 15" xfId="29931" xr:uid="{00000000-0005-0000-0000-0000BB080000}"/>
    <cellStyle name="Calculation 2 2 3 7 16" xfId="30924" xr:uid="{00000000-0005-0000-0000-0000BC080000}"/>
    <cellStyle name="Calculation 2 2 3 7 17" xfId="31933" xr:uid="{00000000-0005-0000-0000-0000BD080000}"/>
    <cellStyle name="Calculation 2 2 3 7 18" xfId="32936" xr:uid="{00000000-0005-0000-0000-0000BE080000}"/>
    <cellStyle name="Calculation 2 2 3 7 19" xfId="33935" xr:uid="{00000000-0005-0000-0000-0000BF080000}"/>
    <cellStyle name="Calculation 2 2 3 7 2" xfId="659" xr:uid="{00000000-0005-0000-0000-0000C0080000}"/>
    <cellStyle name="Calculation 2 2 3 7 2 10" xfId="23980" xr:uid="{00000000-0005-0000-0000-0000C1080000}"/>
    <cellStyle name="Calculation 2 2 3 7 2 11" xfId="24979" xr:uid="{00000000-0005-0000-0000-0000C2080000}"/>
    <cellStyle name="Calculation 2 2 3 7 2 12" xfId="27924" xr:uid="{00000000-0005-0000-0000-0000C3080000}"/>
    <cellStyle name="Calculation 2 2 3 7 2 13" xfId="28893" xr:uid="{00000000-0005-0000-0000-0000C4080000}"/>
    <cellStyle name="Calculation 2 2 3 7 2 14" xfId="29932" xr:uid="{00000000-0005-0000-0000-0000C5080000}"/>
    <cellStyle name="Calculation 2 2 3 7 2 15" xfId="30925" xr:uid="{00000000-0005-0000-0000-0000C6080000}"/>
    <cellStyle name="Calculation 2 2 3 7 2 16" xfId="31934" xr:uid="{00000000-0005-0000-0000-0000C7080000}"/>
    <cellStyle name="Calculation 2 2 3 7 2 17" xfId="32937" xr:uid="{00000000-0005-0000-0000-0000C8080000}"/>
    <cellStyle name="Calculation 2 2 3 7 2 18" xfId="33936" xr:uid="{00000000-0005-0000-0000-0000C9080000}"/>
    <cellStyle name="Calculation 2 2 3 7 2 19" xfId="35557" xr:uid="{00000000-0005-0000-0000-0000CA080000}"/>
    <cellStyle name="Calculation 2 2 3 7 2 2" xfId="15960" xr:uid="{00000000-0005-0000-0000-0000CB080000}"/>
    <cellStyle name="Calculation 2 2 3 7 2 20" xfId="36496" xr:uid="{00000000-0005-0000-0000-0000CC080000}"/>
    <cellStyle name="Calculation 2 2 3 7 2 3" xfId="16938" xr:uid="{00000000-0005-0000-0000-0000CD080000}"/>
    <cellStyle name="Calculation 2 2 3 7 2 4" xfId="17966" xr:uid="{00000000-0005-0000-0000-0000CE080000}"/>
    <cellStyle name="Calculation 2 2 3 7 2 5" xfId="18998" xr:uid="{00000000-0005-0000-0000-0000CF080000}"/>
    <cellStyle name="Calculation 2 2 3 7 2 6" xfId="20020" xr:uid="{00000000-0005-0000-0000-0000D0080000}"/>
    <cellStyle name="Calculation 2 2 3 7 2 7" xfId="21029" xr:uid="{00000000-0005-0000-0000-0000D1080000}"/>
    <cellStyle name="Calculation 2 2 3 7 2 8" xfId="22003" xr:uid="{00000000-0005-0000-0000-0000D2080000}"/>
    <cellStyle name="Calculation 2 2 3 7 2 9" xfId="23008" xr:uid="{00000000-0005-0000-0000-0000D3080000}"/>
    <cellStyle name="Calculation 2 2 3 7 20" xfId="35556" xr:uid="{00000000-0005-0000-0000-0000D4080000}"/>
    <cellStyle name="Calculation 2 2 3 7 21" xfId="36495" xr:uid="{00000000-0005-0000-0000-0000D5080000}"/>
    <cellStyle name="Calculation 2 2 3 7 3" xfId="15959" xr:uid="{00000000-0005-0000-0000-0000D6080000}"/>
    <cellStyle name="Calculation 2 2 3 7 4" xfId="16937" xr:uid="{00000000-0005-0000-0000-0000D7080000}"/>
    <cellStyle name="Calculation 2 2 3 7 5" xfId="17965" xr:uid="{00000000-0005-0000-0000-0000D8080000}"/>
    <cellStyle name="Calculation 2 2 3 7 6" xfId="18997" xr:uid="{00000000-0005-0000-0000-0000D9080000}"/>
    <cellStyle name="Calculation 2 2 3 7 7" xfId="20019" xr:uid="{00000000-0005-0000-0000-0000DA080000}"/>
    <cellStyle name="Calculation 2 2 3 7 8" xfId="21028" xr:uid="{00000000-0005-0000-0000-0000DB080000}"/>
    <cellStyle name="Calculation 2 2 3 7 9" xfId="22002" xr:uid="{00000000-0005-0000-0000-0000DC080000}"/>
    <cellStyle name="Calculation 2 2 3 8" xfId="660" xr:uid="{00000000-0005-0000-0000-0000DD080000}"/>
    <cellStyle name="Calculation 2 2 3 8 10" xfId="23009" xr:uid="{00000000-0005-0000-0000-0000DE080000}"/>
    <cellStyle name="Calculation 2 2 3 8 11" xfId="23981" xr:uid="{00000000-0005-0000-0000-0000DF080000}"/>
    <cellStyle name="Calculation 2 2 3 8 12" xfId="24980" xr:uid="{00000000-0005-0000-0000-0000E0080000}"/>
    <cellStyle name="Calculation 2 2 3 8 13" xfId="27925" xr:uid="{00000000-0005-0000-0000-0000E1080000}"/>
    <cellStyle name="Calculation 2 2 3 8 14" xfId="28894" xr:uid="{00000000-0005-0000-0000-0000E2080000}"/>
    <cellStyle name="Calculation 2 2 3 8 15" xfId="29933" xr:uid="{00000000-0005-0000-0000-0000E3080000}"/>
    <cellStyle name="Calculation 2 2 3 8 16" xfId="30926" xr:uid="{00000000-0005-0000-0000-0000E4080000}"/>
    <cellStyle name="Calculation 2 2 3 8 17" xfId="31935" xr:uid="{00000000-0005-0000-0000-0000E5080000}"/>
    <cellStyle name="Calculation 2 2 3 8 18" xfId="32938" xr:uid="{00000000-0005-0000-0000-0000E6080000}"/>
    <cellStyle name="Calculation 2 2 3 8 19" xfId="33937" xr:uid="{00000000-0005-0000-0000-0000E7080000}"/>
    <cellStyle name="Calculation 2 2 3 8 2" xfId="661" xr:uid="{00000000-0005-0000-0000-0000E8080000}"/>
    <cellStyle name="Calculation 2 2 3 8 2 10" xfId="23982" xr:uid="{00000000-0005-0000-0000-0000E9080000}"/>
    <cellStyle name="Calculation 2 2 3 8 2 11" xfId="24981" xr:uid="{00000000-0005-0000-0000-0000EA080000}"/>
    <cellStyle name="Calculation 2 2 3 8 2 12" xfId="27926" xr:uid="{00000000-0005-0000-0000-0000EB080000}"/>
    <cellStyle name="Calculation 2 2 3 8 2 13" xfId="28895" xr:uid="{00000000-0005-0000-0000-0000EC080000}"/>
    <cellStyle name="Calculation 2 2 3 8 2 14" xfId="29934" xr:uid="{00000000-0005-0000-0000-0000ED080000}"/>
    <cellStyle name="Calculation 2 2 3 8 2 15" xfId="30927" xr:uid="{00000000-0005-0000-0000-0000EE080000}"/>
    <cellStyle name="Calculation 2 2 3 8 2 16" xfId="31936" xr:uid="{00000000-0005-0000-0000-0000EF080000}"/>
    <cellStyle name="Calculation 2 2 3 8 2 17" xfId="32939" xr:uid="{00000000-0005-0000-0000-0000F0080000}"/>
    <cellStyle name="Calculation 2 2 3 8 2 18" xfId="33938" xr:uid="{00000000-0005-0000-0000-0000F1080000}"/>
    <cellStyle name="Calculation 2 2 3 8 2 19" xfId="35559" xr:uid="{00000000-0005-0000-0000-0000F2080000}"/>
    <cellStyle name="Calculation 2 2 3 8 2 2" xfId="15962" xr:uid="{00000000-0005-0000-0000-0000F3080000}"/>
    <cellStyle name="Calculation 2 2 3 8 2 20" xfId="36498" xr:uid="{00000000-0005-0000-0000-0000F4080000}"/>
    <cellStyle name="Calculation 2 2 3 8 2 3" xfId="16940" xr:uid="{00000000-0005-0000-0000-0000F5080000}"/>
    <cellStyle name="Calculation 2 2 3 8 2 4" xfId="17968" xr:uid="{00000000-0005-0000-0000-0000F6080000}"/>
    <cellStyle name="Calculation 2 2 3 8 2 5" xfId="19000" xr:uid="{00000000-0005-0000-0000-0000F7080000}"/>
    <cellStyle name="Calculation 2 2 3 8 2 6" xfId="20022" xr:uid="{00000000-0005-0000-0000-0000F8080000}"/>
    <cellStyle name="Calculation 2 2 3 8 2 7" xfId="21031" xr:uid="{00000000-0005-0000-0000-0000F9080000}"/>
    <cellStyle name="Calculation 2 2 3 8 2 8" xfId="22005" xr:uid="{00000000-0005-0000-0000-0000FA080000}"/>
    <cellStyle name="Calculation 2 2 3 8 2 9" xfId="23010" xr:uid="{00000000-0005-0000-0000-0000FB080000}"/>
    <cellStyle name="Calculation 2 2 3 8 20" xfId="35558" xr:uid="{00000000-0005-0000-0000-0000FC080000}"/>
    <cellStyle name="Calculation 2 2 3 8 21" xfId="36497" xr:uid="{00000000-0005-0000-0000-0000FD080000}"/>
    <cellStyle name="Calculation 2 2 3 8 3" xfId="15961" xr:uid="{00000000-0005-0000-0000-0000FE080000}"/>
    <cellStyle name="Calculation 2 2 3 8 4" xfId="16939" xr:uid="{00000000-0005-0000-0000-0000FF080000}"/>
    <cellStyle name="Calculation 2 2 3 8 5" xfId="17967" xr:uid="{00000000-0005-0000-0000-000000090000}"/>
    <cellStyle name="Calculation 2 2 3 8 6" xfId="18999" xr:uid="{00000000-0005-0000-0000-000001090000}"/>
    <cellStyle name="Calculation 2 2 3 8 7" xfId="20021" xr:uid="{00000000-0005-0000-0000-000002090000}"/>
    <cellStyle name="Calculation 2 2 3 8 8" xfId="21030" xr:uid="{00000000-0005-0000-0000-000003090000}"/>
    <cellStyle name="Calculation 2 2 3 8 9" xfId="22004" xr:uid="{00000000-0005-0000-0000-000004090000}"/>
    <cellStyle name="Calculation 2 2 3 9" xfId="662" xr:uid="{00000000-0005-0000-0000-000005090000}"/>
    <cellStyle name="Calculation 2 2 3 9 10" xfId="23983" xr:uid="{00000000-0005-0000-0000-000006090000}"/>
    <cellStyle name="Calculation 2 2 3 9 11" xfId="24982" xr:uid="{00000000-0005-0000-0000-000007090000}"/>
    <cellStyle name="Calculation 2 2 3 9 12" xfId="27927" xr:uid="{00000000-0005-0000-0000-000008090000}"/>
    <cellStyle name="Calculation 2 2 3 9 13" xfId="28896" xr:uid="{00000000-0005-0000-0000-000009090000}"/>
    <cellStyle name="Calculation 2 2 3 9 14" xfId="29935" xr:uid="{00000000-0005-0000-0000-00000A090000}"/>
    <cellStyle name="Calculation 2 2 3 9 15" xfId="30928" xr:uid="{00000000-0005-0000-0000-00000B090000}"/>
    <cellStyle name="Calculation 2 2 3 9 16" xfId="31937" xr:uid="{00000000-0005-0000-0000-00000C090000}"/>
    <cellStyle name="Calculation 2 2 3 9 17" xfId="32940" xr:uid="{00000000-0005-0000-0000-00000D090000}"/>
    <cellStyle name="Calculation 2 2 3 9 18" xfId="33939" xr:uid="{00000000-0005-0000-0000-00000E090000}"/>
    <cellStyle name="Calculation 2 2 3 9 19" xfId="35560" xr:uid="{00000000-0005-0000-0000-00000F090000}"/>
    <cellStyle name="Calculation 2 2 3 9 2" xfId="15963" xr:uid="{00000000-0005-0000-0000-000010090000}"/>
    <cellStyle name="Calculation 2 2 3 9 20" xfId="36499" xr:uid="{00000000-0005-0000-0000-000011090000}"/>
    <cellStyle name="Calculation 2 2 3 9 3" xfId="16941" xr:uid="{00000000-0005-0000-0000-000012090000}"/>
    <cellStyle name="Calculation 2 2 3 9 4" xfId="17969" xr:uid="{00000000-0005-0000-0000-000013090000}"/>
    <cellStyle name="Calculation 2 2 3 9 5" xfId="19001" xr:uid="{00000000-0005-0000-0000-000014090000}"/>
    <cellStyle name="Calculation 2 2 3 9 6" xfId="20023" xr:uid="{00000000-0005-0000-0000-000015090000}"/>
    <cellStyle name="Calculation 2 2 3 9 7" xfId="21032" xr:uid="{00000000-0005-0000-0000-000016090000}"/>
    <cellStyle name="Calculation 2 2 3 9 8" xfId="22006" xr:uid="{00000000-0005-0000-0000-000017090000}"/>
    <cellStyle name="Calculation 2 2 3 9 9" xfId="23011" xr:uid="{00000000-0005-0000-0000-000018090000}"/>
    <cellStyle name="Calculation 2 2 4" xfId="663" xr:uid="{00000000-0005-0000-0000-000019090000}"/>
    <cellStyle name="Calculation 2 2 4 10" xfId="23012" xr:uid="{00000000-0005-0000-0000-00001A090000}"/>
    <cellStyle name="Calculation 2 2 4 11" xfId="23984" xr:uid="{00000000-0005-0000-0000-00001B090000}"/>
    <cellStyle name="Calculation 2 2 4 12" xfId="24983" xr:uid="{00000000-0005-0000-0000-00001C090000}"/>
    <cellStyle name="Calculation 2 2 4 13" xfId="27928" xr:uid="{00000000-0005-0000-0000-00001D090000}"/>
    <cellStyle name="Calculation 2 2 4 14" xfId="28897" xr:uid="{00000000-0005-0000-0000-00001E090000}"/>
    <cellStyle name="Calculation 2 2 4 15" xfId="29936" xr:uid="{00000000-0005-0000-0000-00001F090000}"/>
    <cellStyle name="Calculation 2 2 4 16" xfId="30929" xr:uid="{00000000-0005-0000-0000-000020090000}"/>
    <cellStyle name="Calculation 2 2 4 17" xfId="31938" xr:uid="{00000000-0005-0000-0000-000021090000}"/>
    <cellStyle name="Calculation 2 2 4 18" xfId="32941" xr:uid="{00000000-0005-0000-0000-000022090000}"/>
    <cellStyle name="Calculation 2 2 4 19" xfId="33940" xr:uid="{00000000-0005-0000-0000-000023090000}"/>
    <cellStyle name="Calculation 2 2 4 2" xfId="664" xr:uid="{00000000-0005-0000-0000-000024090000}"/>
    <cellStyle name="Calculation 2 2 4 2 10" xfId="23985" xr:uid="{00000000-0005-0000-0000-000025090000}"/>
    <cellStyle name="Calculation 2 2 4 2 11" xfId="24984" xr:uid="{00000000-0005-0000-0000-000026090000}"/>
    <cellStyle name="Calculation 2 2 4 2 12" xfId="27929" xr:uid="{00000000-0005-0000-0000-000027090000}"/>
    <cellStyle name="Calculation 2 2 4 2 13" xfId="28898" xr:uid="{00000000-0005-0000-0000-000028090000}"/>
    <cellStyle name="Calculation 2 2 4 2 14" xfId="29937" xr:uid="{00000000-0005-0000-0000-000029090000}"/>
    <cellStyle name="Calculation 2 2 4 2 15" xfId="30930" xr:uid="{00000000-0005-0000-0000-00002A090000}"/>
    <cellStyle name="Calculation 2 2 4 2 16" xfId="31939" xr:uid="{00000000-0005-0000-0000-00002B090000}"/>
    <cellStyle name="Calculation 2 2 4 2 17" xfId="32942" xr:uid="{00000000-0005-0000-0000-00002C090000}"/>
    <cellStyle name="Calculation 2 2 4 2 18" xfId="33941" xr:uid="{00000000-0005-0000-0000-00002D090000}"/>
    <cellStyle name="Calculation 2 2 4 2 19" xfId="35562" xr:uid="{00000000-0005-0000-0000-00002E090000}"/>
    <cellStyle name="Calculation 2 2 4 2 2" xfId="15965" xr:uid="{00000000-0005-0000-0000-00002F090000}"/>
    <cellStyle name="Calculation 2 2 4 2 20" xfId="36501" xr:uid="{00000000-0005-0000-0000-000030090000}"/>
    <cellStyle name="Calculation 2 2 4 2 3" xfId="16943" xr:uid="{00000000-0005-0000-0000-000031090000}"/>
    <cellStyle name="Calculation 2 2 4 2 4" xfId="17971" xr:uid="{00000000-0005-0000-0000-000032090000}"/>
    <cellStyle name="Calculation 2 2 4 2 5" xfId="19003" xr:uid="{00000000-0005-0000-0000-000033090000}"/>
    <cellStyle name="Calculation 2 2 4 2 6" xfId="20025" xr:uid="{00000000-0005-0000-0000-000034090000}"/>
    <cellStyle name="Calculation 2 2 4 2 7" xfId="21034" xr:uid="{00000000-0005-0000-0000-000035090000}"/>
    <cellStyle name="Calculation 2 2 4 2 8" xfId="22008" xr:uid="{00000000-0005-0000-0000-000036090000}"/>
    <cellStyle name="Calculation 2 2 4 2 9" xfId="23013" xr:uid="{00000000-0005-0000-0000-000037090000}"/>
    <cellStyle name="Calculation 2 2 4 20" xfId="35561" xr:uid="{00000000-0005-0000-0000-000038090000}"/>
    <cellStyle name="Calculation 2 2 4 21" xfId="36500" xr:uid="{00000000-0005-0000-0000-000039090000}"/>
    <cellStyle name="Calculation 2 2 4 3" xfId="15964" xr:uid="{00000000-0005-0000-0000-00003A090000}"/>
    <cellStyle name="Calculation 2 2 4 4" xfId="16942" xr:uid="{00000000-0005-0000-0000-00003B090000}"/>
    <cellStyle name="Calculation 2 2 4 5" xfId="17970" xr:uid="{00000000-0005-0000-0000-00003C090000}"/>
    <cellStyle name="Calculation 2 2 4 6" xfId="19002" xr:uid="{00000000-0005-0000-0000-00003D090000}"/>
    <cellStyle name="Calculation 2 2 4 7" xfId="20024" xr:uid="{00000000-0005-0000-0000-00003E090000}"/>
    <cellStyle name="Calculation 2 2 4 8" xfId="21033" xr:uid="{00000000-0005-0000-0000-00003F090000}"/>
    <cellStyle name="Calculation 2 2 4 9" xfId="22007" xr:uid="{00000000-0005-0000-0000-000040090000}"/>
    <cellStyle name="Calculation 2 2 5" xfId="665" xr:uid="{00000000-0005-0000-0000-000041090000}"/>
    <cellStyle name="Calculation 2 2 5 10" xfId="23014" xr:uid="{00000000-0005-0000-0000-000042090000}"/>
    <cellStyle name="Calculation 2 2 5 11" xfId="23986" xr:uid="{00000000-0005-0000-0000-000043090000}"/>
    <cellStyle name="Calculation 2 2 5 12" xfId="24985" xr:uid="{00000000-0005-0000-0000-000044090000}"/>
    <cellStyle name="Calculation 2 2 5 13" xfId="27930" xr:uid="{00000000-0005-0000-0000-000045090000}"/>
    <cellStyle name="Calculation 2 2 5 14" xfId="28899" xr:uid="{00000000-0005-0000-0000-000046090000}"/>
    <cellStyle name="Calculation 2 2 5 15" xfId="29938" xr:uid="{00000000-0005-0000-0000-000047090000}"/>
    <cellStyle name="Calculation 2 2 5 16" xfId="30931" xr:uid="{00000000-0005-0000-0000-000048090000}"/>
    <cellStyle name="Calculation 2 2 5 17" xfId="31940" xr:uid="{00000000-0005-0000-0000-000049090000}"/>
    <cellStyle name="Calculation 2 2 5 18" xfId="32943" xr:uid="{00000000-0005-0000-0000-00004A090000}"/>
    <cellStyle name="Calculation 2 2 5 19" xfId="33942" xr:uid="{00000000-0005-0000-0000-00004B090000}"/>
    <cellStyle name="Calculation 2 2 5 2" xfId="666" xr:uid="{00000000-0005-0000-0000-00004C090000}"/>
    <cellStyle name="Calculation 2 2 5 2 10" xfId="23987" xr:uid="{00000000-0005-0000-0000-00004D090000}"/>
    <cellStyle name="Calculation 2 2 5 2 11" xfId="24986" xr:uid="{00000000-0005-0000-0000-00004E090000}"/>
    <cellStyle name="Calculation 2 2 5 2 12" xfId="27931" xr:uid="{00000000-0005-0000-0000-00004F090000}"/>
    <cellStyle name="Calculation 2 2 5 2 13" xfId="28900" xr:uid="{00000000-0005-0000-0000-000050090000}"/>
    <cellStyle name="Calculation 2 2 5 2 14" xfId="29939" xr:uid="{00000000-0005-0000-0000-000051090000}"/>
    <cellStyle name="Calculation 2 2 5 2 15" xfId="30932" xr:uid="{00000000-0005-0000-0000-000052090000}"/>
    <cellStyle name="Calculation 2 2 5 2 16" xfId="31941" xr:uid="{00000000-0005-0000-0000-000053090000}"/>
    <cellStyle name="Calculation 2 2 5 2 17" xfId="32944" xr:uid="{00000000-0005-0000-0000-000054090000}"/>
    <cellStyle name="Calculation 2 2 5 2 18" xfId="33943" xr:uid="{00000000-0005-0000-0000-000055090000}"/>
    <cellStyle name="Calculation 2 2 5 2 19" xfId="35564" xr:uid="{00000000-0005-0000-0000-000056090000}"/>
    <cellStyle name="Calculation 2 2 5 2 2" xfId="15967" xr:uid="{00000000-0005-0000-0000-000057090000}"/>
    <cellStyle name="Calculation 2 2 5 2 20" xfId="36503" xr:uid="{00000000-0005-0000-0000-000058090000}"/>
    <cellStyle name="Calculation 2 2 5 2 3" xfId="16945" xr:uid="{00000000-0005-0000-0000-000059090000}"/>
    <cellStyle name="Calculation 2 2 5 2 4" xfId="17973" xr:uid="{00000000-0005-0000-0000-00005A090000}"/>
    <cellStyle name="Calculation 2 2 5 2 5" xfId="19005" xr:uid="{00000000-0005-0000-0000-00005B090000}"/>
    <cellStyle name="Calculation 2 2 5 2 6" xfId="20027" xr:uid="{00000000-0005-0000-0000-00005C090000}"/>
    <cellStyle name="Calculation 2 2 5 2 7" xfId="21036" xr:uid="{00000000-0005-0000-0000-00005D090000}"/>
    <cellStyle name="Calculation 2 2 5 2 8" xfId="22010" xr:uid="{00000000-0005-0000-0000-00005E090000}"/>
    <cellStyle name="Calculation 2 2 5 2 9" xfId="23015" xr:uid="{00000000-0005-0000-0000-00005F090000}"/>
    <cellStyle name="Calculation 2 2 5 20" xfId="35563" xr:uid="{00000000-0005-0000-0000-000060090000}"/>
    <cellStyle name="Calculation 2 2 5 21" xfId="36502" xr:uid="{00000000-0005-0000-0000-000061090000}"/>
    <cellStyle name="Calculation 2 2 5 3" xfId="15966" xr:uid="{00000000-0005-0000-0000-000062090000}"/>
    <cellStyle name="Calculation 2 2 5 4" xfId="16944" xr:uid="{00000000-0005-0000-0000-000063090000}"/>
    <cellStyle name="Calculation 2 2 5 5" xfId="17972" xr:uid="{00000000-0005-0000-0000-000064090000}"/>
    <cellStyle name="Calculation 2 2 5 6" xfId="19004" xr:uid="{00000000-0005-0000-0000-000065090000}"/>
    <cellStyle name="Calculation 2 2 5 7" xfId="20026" xr:uid="{00000000-0005-0000-0000-000066090000}"/>
    <cellStyle name="Calculation 2 2 5 8" xfId="21035" xr:uid="{00000000-0005-0000-0000-000067090000}"/>
    <cellStyle name="Calculation 2 2 5 9" xfId="22009" xr:uid="{00000000-0005-0000-0000-000068090000}"/>
    <cellStyle name="Calculation 2 2 6" xfId="667" xr:uid="{00000000-0005-0000-0000-000069090000}"/>
    <cellStyle name="Calculation 2 2 6 10" xfId="23016" xr:uid="{00000000-0005-0000-0000-00006A090000}"/>
    <cellStyle name="Calculation 2 2 6 11" xfId="23988" xr:uid="{00000000-0005-0000-0000-00006B090000}"/>
    <cellStyle name="Calculation 2 2 6 12" xfId="24987" xr:uid="{00000000-0005-0000-0000-00006C090000}"/>
    <cellStyle name="Calculation 2 2 6 13" xfId="27932" xr:uid="{00000000-0005-0000-0000-00006D090000}"/>
    <cellStyle name="Calculation 2 2 6 14" xfId="28901" xr:uid="{00000000-0005-0000-0000-00006E090000}"/>
    <cellStyle name="Calculation 2 2 6 15" xfId="29940" xr:uid="{00000000-0005-0000-0000-00006F090000}"/>
    <cellStyle name="Calculation 2 2 6 16" xfId="30933" xr:uid="{00000000-0005-0000-0000-000070090000}"/>
    <cellStyle name="Calculation 2 2 6 17" xfId="31942" xr:uid="{00000000-0005-0000-0000-000071090000}"/>
    <cellStyle name="Calculation 2 2 6 18" xfId="32945" xr:uid="{00000000-0005-0000-0000-000072090000}"/>
    <cellStyle name="Calculation 2 2 6 19" xfId="33944" xr:uid="{00000000-0005-0000-0000-000073090000}"/>
    <cellStyle name="Calculation 2 2 6 2" xfId="668" xr:uid="{00000000-0005-0000-0000-000074090000}"/>
    <cellStyle name="Calculation 2 2 6 2 10" xfId="23989" xr:uid="{00000000-0005-0000-0000-000075090000}"/>
    <cellStyle name="Calculation 2 2 6 2 11" xfId="24988" xr:uid="{00000000-0005-0000-0000-000076090000}"/>
    <cellStyle name="Calculation 2 2 6 2 12" xfId="27933" xr:uid="{00000000-0005-0000-0000-000077090000}"/>
    <cellStyle name="Calculation 2 2 6 2 13" xfId="28902" xr:uid="{00000000-0005-0000-0000-000078090000}"/>
    <cellStyle name="Calculation 2 2 6 2 14" xfId="29941" xr:uid="{00000000-0005-0000-0000-000079090000}"/>
    <cellStyle name="Calculation 2 2 6 2 15" xfId="30934" xr:uid="{00000000-0005-0000-0000-00007A090000}"/>
    <cellStyle name="Calculation 2 2 6 2 16" xfId="31943" xr:uid="{00000000-0005-0000-0000-00007B090000}"/>
    <cellStyle name="Calculation 2 2 6 2 17" xfId="32946" xr:uid="{00000000-0005-0000-0000-00007C090000}"/>
    <cellStyle name="Calculation 2 2 6 2 18" xfId="33945" xr:uid="{00000000-0005-0000-0000-00007D090000}"/>
    <cellStyle name="Calculation 2 2 6 2 19" xfId="35566" xr:uid="{00000000-0005-0000-0000-00007E090000}"/>
    <cellStyle name="Calculation 2 2 6 2 2" xfId="15969" xr:uid="{00000000-0005-0000-0000-00007F090000}"/>
    <cellStyle name="Calculation 2 2 6 2 20" xfId="36505" xr:uid="{00000000-0005-0000-0000-000080090000}"/>
    <cellStyle name="Calculation 2 2 6 2 3" xfId="16947" xr:uid="{00000000-0005-0000-0000-000081090000}"/>
    <cellStyle name="Calculation 2 2 6 2 4" xfId="17975" xr:uid="{00000000-0005-0000-0000-000082090000}"/>
    <cellStyle name="Calculation 2 2 6 2 5" xfId="19007" xr:uid="{00000000-0005-0000-0000-000083090000}"/>
    <cellStyle name="Calculation 2 2 6 2 6" xfId="20029" xr:uid="{00000000-0005-0000-0000-000084090000}"/>
    <cellStyle name="Calculation 2 2 6 2 7" xfId="21038" xr:uid="{00000000-0005-0000-0000-000085090000}"/>
    <cellStyle name="Calculation 2 2 6 2 8" xfId="22012" xr:uid="{00000000-0005-0000-0000-000086090000}"/>
    <cellStyle name="Calculation 2 2 6 2 9" xfId="23017" xr:uid="{00000000-0005-0000-0000-000087090000}"/>
    <cellStyle name="Calculation 2 2 6 20" xfId="35565" xr:uid="{00000000-0005-0000-0000-000088090000}"/>
    <cellStyle name="Calculation 2 2 6 21" xfId="36504" xr:uid="{00000000-0005-0000-0000-000089090000}"/>
    <cellStyle name="Calculation 2 2 6 3" xfId="15968" xr:uid="{00000000-0005-0000-0000-00008A090000}"/>
    <cellStyle name="Calculation 2 2 6 4" xfId="16946" xr:uid="{00000000-0005-0000-0000-00008B090000}"/>
    <cellStyle name="Calculation 2 2 6 5" xfId="17974" xr:uid="{00000000-0005-0000-0000-00008C090000}"/>
    <cellStyle name="Calculation 2 2 6 6" xfId="19006" xr:uid="{00000000-0005-0000-0000-00008D090000}"/>
    <cellStyle name="Calculation 2 2 6 7" xfId="20028" xr:uid="{00000000-0005-0000-0000-00008E090000}"/>
    <cellStyle name="Calculation 2 2 6 8" xfId="21037" xr:uid="{00000000-0005-0000-0000-00008F090000}"/>
    <cellStyle name="Calculation 2 2 6 9" xfId="22011" xr:uid="{00000000-0005-0000-0000-000090090000}"/>
    <cellStyle name="Calculation 2 2 7" xfId="669" xr:uid="{00000000-0005-0000-0000-000091090000}"/>
    <cellStyle name="Calculation 2 2 7 10" xfId="23990" xr:uid="{00000000-0005-0000-0000-000092090000}"/>
    <cellStyle name="Calculation 2 2 7 11" xfId="24989" xr:uid="{00000000-0005-0000-0000-000093090000}"/>
    <cellStyle name="Calculation 2 2 7 12" xfId="27934" xr:uid="{00000000-0005-0000-0000-000094090000}"/>
    <cellStyle name="Calculation 2 2 7 13" xfId="28903" xr:uid="{00000000-0005-0000-0000-000095090000}"/>
    <cellStyle name="Calculation 2 2 7 14" xfId="29942" xr:uid="{00000000-0005-0000-0000-000096090000}"/>
    <cellStyle name="Calculation 2 2 7 15" xfId="30935" xr:uid="{00000000-0005-0000-0000-000097090000}"/>
    <cellStyle name="Calculation 2 2 7 16" xfId="31944" xr:uid="{00000000-0005-0000-0000-000098090000}"/>
    <cellStyle name="Calculation 2 2 7 17" xfId="32947" xr:uid="{00000000-0005-0000-0000-000099090000}"/>
    <cellStyle name="Calculation 2 2 7 18" xfId="33946" xr:uid="{00000000-0005-0000-0000-00009A090000}"/>
    <cellStyle name="Calculation 2 2 7 19" xfId="35567" xr:uid="{00000000-0005-0000-0000-00009B090000}"/>
    <cellStyle name="Calculation 2 2 7 2" xfId="15970" xr:uid="{00000000-0005-0000-0000-00009C090000}"/>
    <cellStyle name="Calculation 2 2 7 20" xfId="36506" xr:uid="{00000000-0005-0000-0000-00009D090000}"/>
    <cellStyle name="Calculation 2 2 7 3" xfId="16948" xr:uid="{00000000-0005-0000-0000-00009E090000}"/>
    <cellStyle name="Calculation 2 2 7 4" xfId="17976" xr:uid="{00000000-0005-0000-0000-00009F090000}"/>
    <cellStyle name="Calculation 2 2 7 5" xfId="19008" xr:uid="{00000000-0005-0000-0000-0000A0090000}"/>
    <cellStyle name="Calculation 2 2 7 6" xfId="20030" xr:uid="{00000000-0005-0000-0000-0000A1090000}"/>
    <cellStyle name="Calculation 2 2 7 7" xfId="21039" xr:uid="{00000000-0005-0000-0000-0000A2090000}"/>
    <cellStyle name="Calculation 2 2 7 8" xfId="22013" xr:uid="{00000000-0005-0000-0000-0000A3090000}"/>
    <cellStyle name="Calculation 2 2 7 9" xfId="23018" xr:uid="{00000000-0005-0000-0000-0000A4090000}"/>
    <cellStyle name="Calculation 2 2 8" xfId="670" xr:uid="{00000000-0005-0000-0000-0000A5090000}"/>
    <cellStyle name="Calculation 2 2 8 10" xfId="24872" xr:uid="{00000000-0005-0000-0000-0000A6090000}"/>
    <cellStyle name="Calculation 2 2 8 11" xfId="25871" xr:uid="{00000000-0005-0000-0000-0000A7090000}"/>
    <cellStyle name="Calculation 2 2 8 12" xfId="28777" xr:uid="{00000000-0005-0000-0000-0000A8090000}"/>
    <cellStyle name="Calculation 2 2 8 13" xfId="29794" xr:uid="{00000000-0005-0000-0000-0000A9090000}"/>
    <cellStyle name="Calculation 2 2 8 14" xfId="30827" xr:uid="{00000000-0005-0000-0000-0000AA090000}"/>
    <cellStyle name="Calculation 2 2 8 15" xfId="31822" xr:uid="{00000000-0005-0000-0000-0000AB090000}"/>
    <cellStyle name="Calculation 2 2 8 16" xfId="32826" xr:uid="{00000000-0005-0000-0000-0000AC090000}"/>
    <cellStyle name="Calculation 2 2 8 17" xfId="33829" xr:uid="{00000000-0005-0000-0000-0000AD090000}"/>
    <cellStyle name="Calculation 2 2 8 18" xfId="34828" xr:uid="{00000000-0005-0000-0000-0000AE090000}"/>
    <cellStyle name="Calculation 2 2 8 19" xfId="36389" xr:uid="{00000000-0005-0000-0000-0000AF090000}"/>
    <cellStyle name="Calculation 2 2 8 2" xfId="16861" xr:uid="{00000000-0005-0000-0000-0000B0090000}"/>
    <cellStyle name="Calculation 2 2 8 20" xfId="37388" xr:uid="{00000000-0005-0000-0000-0000B1090000}"/>
    <cellStyle name="Calculation 2 2 8 3" xfId="17841" xr:uid="{00000000-0005-0000-0000-0000B2090000}"/>
    <cellStyle name="Calculation 2 2 8 4" xfId="18866" xr:uid="{00000000-0005-0000-0000-0000B3090000}"/>
    <cellStyle name="Calculation 2 2 8 5" xfId="19900" xr:uid="{00000000-0005-0000-0000-0000B4090000}"/>
    <cellStyle name="Calculation 2 2 8 6" xfId="20925" xr:uid="{00000000-0005-0000-0000-0000B5090000}"/>
    <cellStyle name="Calculation 2 2 8 7" xfId="21885" xr:uid="{00000000-0005-0000-0000-0000B6090000}"/>
    <cellStyle name="Calculation 2 2 8 8" xfId="22897" xr:uid="{00000000-0005-0000-0000-0000B7090000}"/>
    <cellStyle name="Calculation 2 2 8 9" xfId="23900" xr:uid="{00000000-0005-0000-0000-0000B8090000}"/>
    <cellStyle name="Calculation 2 2 9" xfId="34889" xr:uid="{00000000-0005-0000-0000-0000B9090000}"/>
    <cellStyle name="Calculation 2 3" xfId="671" xr:uid="{00000000-0005-0000-0000-0000BA090000}"/>
    <cellStyle name="Calculation 2 3 10" xfId="14590" xr:uid="{00000000-0005-0000-0000-0000BB090000}"/>
    <cellStyle name="Calculation 2 3 11" xfId="14524" xr:uid="{00000000-0005-0000-0000-0000BC090000}"/>
    <cellStyle name="Calculation 2 3 12" xfId="13437" xr:uid="{00000000-0005-0000-0000-0000BD090000}"/>
    <cellStyle name="Calculation 2 3 13" xfId="14986" xr:uid="{00000000-0005-0000-0000-0000BE090000}"/>
    <cellStyle name="Calculation 2 3 14" xfId="25966" xr:uid="{00000000-0005-0000-0000-0000BF090000}"/>
    <cellStyle name="Calculation 2 3 15" xfId="27312" xr:uid="{00000000-0005-0000-0000-0000C0090000}"/>
    <cellStyle name="Calculation 2 3 16" xfId="26735" xr:uid="{00000000-0005-0000-0000-0000C1090000}"/>
    <cellStyle name="Calculation 2 3 17" xfId="26865" xr:uid="{00000000-0005-0000-0000-0000C2090000}"/>
    <cellStyle name="Calculation 2 3 18" xfId="26705" xr:uid="{00000000-0005-0000-0000-0000C3090000}"/>
    <cellStyle name="Calculation 2 3 19" xfId="32837" xr:uid="{00000000-0005-0000-0000-0000C4090000}"/>
    <cellStyle name="Calculation 2 3 2" xfId="672" xr:uid="{00000000-0005-0000-0000-0000C5090000}"/>
    <cellStyle name="Calculation 2 3 2 10" xfId="14359" xr:uid="{00000000-0005-0000-0000-0000C6090000}"/>
    <cellStyle name="Calculation 2 3 2 11" xfId="15143" xr:uid="{00000000-0005-0000-0000-0000C7090000}"/>
    <cellStyle name="Calculation 2 3 2 12" xfId="14194" xr:uid="{00000000-0005-0000-0000-0000C8090000}"/>
    <cellStyle name="Calculation 2 3 2 13" xfId="14256" xr:uid="{00000000-0005-0000-0000-0000C9090000}"/>
    <cellStyle name="Calculation 2 3 2 14" xfId="21862" xr:uid="{00000000-0005-0000-0000-0000CA090000}"/>
    <cellStyle name="Calculation 2 3 2 15" xfId="13797" xr:uid="{00000000-0005-0000-0000-0000CB090000}"/>
    <cellStyle name="Calculation 2 3 2 16" xfId="26093" xr:uid="{00000000-0005-0000-0000-0000CC090000}"/>
    <cellStyle name="Calculation 2 3 2 17" xfId="27266" xr:uid="{00000000-0005-0000-0000-0000CD090000}"/>
    <cellStyle name="Calculation 2 3 2 18" xfId="28757" xr:uid="{00000000-0005-0000-0000-0000CE090000}"/>
    <cellStyle name="Calculation 2 3 2 19" xfId="27301" xr:uid="{00000000-0005-0000-0000-0000CF090000}"/>
    <cellStyle name="Calculation 2 3 2 2" xfId="673" xr:uid="{00000000-0005-0000-0000-0000D0090000}"/>
    <cellStyle name="Calculation 2 3 2 2 10" xfId="15507" xr:uid="{00000000-0005-0000-0000-0000D1090000}"/>
    <cellStyle name="Calculation 2 3 2 2 11" xfId="13810" xr:uid="{00000000-0005-0000-0000-0000D2090000}"/>
    <cellStyle name="Calculation 2 3 2 2 12" xfId="26314" xr:uid="{00000000-0005-0000-0000-0000D3090000}"/>
    <cellStyle name="Calculation 2 3 2 2 13" xfId="27178" xr:uid="{00000000-0005-0000-0000-0000D4090000}"/>
    <cellStyle name="Calculation 2 3 2 2 14" xfId="25886" xr:uid="{00000000-0005-0000-0000-0000D5090000}"/>
    <cellStyle name="Calculation 2 3 2 2 15" xfId="26059" xr:uid="{00000000-0005-0000-0000-0000D6090000}"/>
    <cellStyle name="Calculation 2 3 2 2 16" xfId="27224" xr:uid="{00000000-0005-0000-0000-0000D7090000}"/>
    <cellStyle name="Calculation 2 3 2 2 17" xfId="26633" xr:uid="{00000000-0005-0000-0000-0000D8090000}"/>
    <cellStyle name="Calculation 2 3 2 2 18" xfId="35010" xr:uid="{00000000-0005-0000-0000-0000D9090000}"/>
    <cellStyle name="Calculation 2 3 2 2 19" xfId="35333" xr:uid="{00000000-0005-0000-0000-0000DA090000}"/>
    <cellStyle name="Calculation 2 3 2 2 2" xfId="674" xr:uid="{00000000-0005-0000-0000-0000DB090000}"/>
    <cellStyle name="Calculation 2 3 2 2 2 10" xfId="23019" xr:uid="{00000000-0005-0000-0000-0000DC090000}"/>
    <cellStyle name="Calculation 2 3 2 2 2 11" xfId="23991" xr:uid="{00000000-0005-0000-0000-0000DD090000}"/>
    <cellStyle name="Calculation 2 3 2 2 2 12" xfId="24990" xr:uid="{00000000-0005-0000-0000-0000DE090000}"/>
    <cellStyle name="Calculation 2 3 2 2 2 13" xfId="27935" xr:uid="{00000000-0005-0000-0000-0000DF090000}"/>
    <cellStyle name="Calculation 2 3 2 2 2 14" xfId="28904" xr:uid="{00000000-0005-0000-0000-0000E0090000}"/>
    <cellStyle name="Calculation 2 3 2 2 2 15" xfId="29943" xr:uid="{00000000-0005-0000-0000-0000E1090000}"/>
    <cellStyle name="Calculation 2 3 2 2 2 16" xfId="30936" xr:uid="{00000000-0005-0000-0000-0000E2090000}"/>
    <cellStyle name="Calculation 2 3 2 2 2 17" xfId="31945" xr:uid="{00000000-0005-0000-0000-0000E3090000}"/>
    <cellStyle name="Calculation 2 3 2 2 2 18" xfId="32948" xr:uid="{00000000-0005-0000-0000-0000E4090000}"/>
    <cellStyle name="Calculation 2 3 2 2 2 19" xfId="33947" xr:uid="{00000000-0005-0000-0000-0000E5090000}"/>
    <cellStyle name="Calculation 2 3 2 2 2 2" xfId="675" xr:uid="{00000000-0005-0000-0000-0000E6090000}"/>
    <cellStyle name="Calculation 2 3 2 2 2 2 10" xfId="23992" xr:uid="{00000000-0005-0000-0000-0000E7090000}"/>
    <cellStyle name="Calculation 2 3 2 2 2 2 11" xfId="24991" xr:uid="{00000000-0005-0000-0000-0000E8090000}"/>
    <cellStyle name="Calculation 2 3 2 2 2 2 12" xfId="27936" xr:uid="{00000000-0005-0000-0000-0000E9090000}"/>
    <cellStyle name="Calculation 2 3 2 2 2 2 13" xfId="28905" xr:uid="{00000000-0005-0000-0000-0000EA090000}"/>
    <cellStyle name="Calculation 2 3 2 2 2 2 14" xfId="29944" xr:uid="{00000000-0005-0000-0000-0000EB090000}"/>
    <cellStyle name="Calculation 2 3 2 2 2 2 15" xfId="30937" xr:uid="{00000000-0005-0000-0000-0000EC090000}"/>
    <cellStyle name="Calculation 2 3 2 2 2 2 16" xfId="31946" xr:uid="{00000000-0005-0000-0000-0000ED090000}"/>
    <cellStyle name="Calculation 2 3 2 2 2 2 17" xfId="32949" xr:uid="{00000000-0005-0000-0000-0000EE090000}"/>
    <cellStyle name="Calculation 2 3 2 2 2 2 18" xfId="33948" xr:uid="{00000000-0005-0000-0000-0000EF090000}"/>
    <cellStyle name="Calculation 2 3 2 2 2 2 19" xfId="35569" xr:uid="{00000000-0005-0000-0000-0000F0090000}"/>
    <cellStyle name="Calculation 2 3 2 2 2 2 2" xfId="15972" xr:uid="{00000000-0005-0000-0000-0000F1090000}"/>
    <cellStyle name="Calculation 2 3 2 2 2 2 20" xfId="36508" xr:uid="{00000000-0005-0000-0000-0000F2090000}"/>
    <cellStyle name="Calculation 2 3 2 2 2 2 3" xfId="16950" xr:uid="{00000000-0005-0000-0000-0000F3090000}"/>
    <cellStyle name="Calculation 2 3 2 2 2 2 4" xfId="17978" xr:uid="{00000000-0005-0000-0000-0000F4090000}"/>
    <cellStyle name="Calculation 2 3 2 2 2 2 5" xfId="19010" xr:uid="{00000000-0005-0000-0000-0000F5090000}"/>
    <cellStyle name="Calculation 2 3 2 2 2 2 6" xfId="20032" xr:uid="{00000000-0005-0000-0000-0000F6090000}"/>
    <cellStyle name="Calculation 2 3 2 2 2 2 7" xfId="21041" xr:uid="{00000000-0005-0000-0000-0000F7090000}"/>
    <cellStyle name="Calculation 2 3 2 2 2 2 8" xfId="22015" xr:uid="{00000000-0005-0000-0000-0000F8090000}"/>
    <cellStyle name="Calculation 2 3 2 2 2 2 9" xfId="23020" xr:uid="{00000000-0005-0000-0000-0000F9090000}"/>
    <cellStyle name="Calculation 2 3 2 2 2 20" xfId="35568" xr:uid="{00000000-0005-0000-0000-0000FA090000}"/>
    <cellStyle name="Calculation 2 3 2 2 2 21" xfId="36507" xr:uid="{00000000-0005-0000-0000-0000FB090000}"/>
    <cellStyle name="Calculation 2 3 2 2 2 3" xfId="15971" xr:uid="{00000000-0005-0000-0000-0000FC090000}"/>
    <cellStyle name="Calculation 2 3 2 2 2 4" xfId="16949" xr:uid="{00000000-0005-0000-0000-0000FD090000}"/>
    <cellStyle name="Calculation 2 3 2 2 2 5" xfId="17977" xr:uid="{00000000-0005-0000-0000-0000FE090000}"/>
    <cellStyle name="Calculation 2 3 2 2 2 6" xfId="19009" xr:uid="{00000000-0005-0000-0000-0000FF090000}"/>
    <cellStyle name="Calculation 2 3 2 2 2 7" xfId="20031" xr:uid="{00000000-0005-0000-0000-0000000A0000}"/>
    <cellStyle name="Calculation 2 3 2 2 2 8" xfId="21040" xr:uid="{00000000-0005-0000-0000-0000010A0000}"/>
    <cellStyle name="Calculation 2 3 2 2 2 9" xfId="22014" xr:uid="{00000000-0005-0000-0000-0000020A0000}"/>
    <cellStyle name="Calculation 2 3 2 2 3" xfId="676" xr:uid="{00000000-0005-0000-0000-0000030A0000}"/>
    <cellStyle name="Calculation 2 3 2 2 3 10" xfId="23021" xr:uid="{00000000-0005-0000-0000-0000040A0000}"/>
    <cellStyle name="Calculation 2 3 2 2 3 11" xfId="23993" xr:uid="{00000000-0005-0000-0000-0000050A0000}"/>
    <cellStyle name="Calculation 2 3 2 2 3 12" xfId="24992" xr:uid="{00000000-0005-0000-0000-0000060A0000}"/>
    <cellStyle name="Calculation 2 3 2 2 3 13" xfId="27937" xr:uid="{00000000-0005-0000-0000-0000070A0000}"/>
    <cellStyle name="Calculation 2 3 2 2 3 14" xfId="28906" xr:uid="{00000000-0005-0000-0000-0000080A0000}"/>
    <cellStyle name="Calculation 2 3 2 2 3 15" xfId="29945" xr:uid="{00000000-0005-0000-0000-0000090A0000}"/>
    <cellStyle name="Calculation 2 3 2 2 3 16" xfId="30938" xr:uid="{00000000-0005-0000-0000-00000A0A0000}"/>
    <cellStyle name="Calculation 2 3 2 2 3 17" xfId="31947" xr:uid="{00000000-0005-0000-0000-00000B0A0000}"/>
    <cellStyle name="Calculation 2 3 2 2 3 18" xfId="32950" xr:uid="{00000000-0005-0000-0000-00000C0A0000}"/>
    <cellStyle name="Calculation 2 3 2 2 3 19" xfId="33949" xr:uid="{00000000-0005-0000-0000-00000D0A0000}"/>
    <cellStyle name="Calculation 2 3 2 2 3 2" xfId="677" xr:uid="{00000000-0005-0000-0000-00000E0A0000}"/>
    <cellStyle name="Calculation 2 3 2 2 3 2 10" xfId="23994" xr:uid="{00000000-0005-0000-0000-00000F0A0000}"/>
    <cellStyle name="Calculation 2 3 2 2 3 2 11" xfId="24993" xr:uid="{00000000-0005-0000-0000-0000100A0000}"/>
    <cellStyle name="Calculation 2 3 2 2 3 2 12" xfId="27938" xr:uid="{00000000-0005-0000-0000-0000110A0000}"/>
    <cellStyle name="Calculation 2 3 2 2 3 2 13" xfId="28907" xr:uid="{00000000-0005-0000-0000-0000120A0000}"/>
    <cellStyle name="Calculation 2 3 2 2 3 2 14" xfId="29946" xr:uid="{00000000-0005-0000-0000-0000130A0000}"/>
    <cellStyle name="Calculation 2 3 2 2 3 2 15" xfId="30939" xr:uid="{00000000-0005-0000-0000-0000140A0000}"/>
    <cellStyle name="Calculation 2 3 2 2 3 2 16" xfId="31948" xr:uid="{00000000-0005-0000-0000-0000150A0000}"/>
    <cellStyle name="Calculation 2 3 2 2 3 2 17" xfId="32951" xr:uid="{00000000-0005-0000-0000-0000160A0000}"/>
    <cellStyle name="Calculation 2 3 2 2 3 2 18" xfId="33950" xr:uid="{00000000-0005-0000-0000-0000170A0000}"/>
    <cellStyle name="Calculation 2 3 2 2 3 2 19" xfId="35571" xr:uid="{00000000-0005-0000-0000-0000180A0000}"/>
    <cellStyle name="Calculation 2 3 2 2 3 2 2" xfId="15974" xr:uid="{00000000-0005-0000-0000-0000190A0000}"/>
    <cellStyle name="Calculation 2 3 2 2 3 2 20" xfId="36510" xr:uid="{00000000-0005-0000-0000-00001A0A0000}"/>
    <cellStyle name="Calculation 2 3 2 2 3 2 3" xfId="16952" xr:uid="{00000000-0005-0000-0000-00001B0A0000}"/>
    <cellStyle name="Calculation 2 3 2 2 3 2 4" xfId="17980" xr:uid="{00000000-0005-0000-0000-00001C0A0000}"/>
    <cellStyle name="Calculation 2 3 2 2 3 2 5" xfId="19012" xr:uid="{00000000-0005-0000-0000-00001D0A0000}"/>
    <cellStyle name="Calculation 2 3 2 2 3 2 6" xfId="20034" xr:uid="{00000000-0005-0000-0000-00001E0A0000}"/>
    <cellStyle name="Calculation 2 3 2 2 3 2 7" xfId="21043" xr:uid="{00000000-0005-0000-0000-00001F0A0000}"/>
    <cellStyle name="Calculation 2 3 2 2 3 2 8" xfId="22017" xr:uid="{00000000-0005-0000-0000-0000200A0000}"/>
    <cellStyle name="Calculation 2 3 2 2 3 2 9" xfId="23022" xr:uid="{00000000-0005-0000-0000-0000210A0000}"/>
    <cellStyle name="Calculation 2 3 2 2 3 20" xfId="35570" xr:uid="{00000000-0005-0000-0000-0000220A0000}"/>
    <cellStyle name="Calculation 2 3 2 2 3 21" xfId="36509" xr:uid="{00000000-0005-0000-0000-0000230A0000}"/>
    <cellStyle name="Calculation 2 3 2 2 3 3" xfId="15973" xr:uid="{00000000-0005-0000-0000-0000240A0000}"/>
    <cellStyle name="Calculation 2 3 2 2 3 4" xfId="16951" xr:uid="{00000000-0005-0000-0000-0000250A0000}"/>
    <cellStyle name="Calculation 2 3 2 2 3 5" xfId="17979" xr:uid="{00000000-0005-0000-0000-0000260A0000}"/>
    <cellStyle name="Calculation 2 3 2 2 3 6" xfId="19011" xr:uid="{00000000-0005-0000-0000-0000270A0000}"/>
    <cellStyle name="Calculation 2 3 2 2 3 7" xfId="20033" xr:uid="{00000000-0005-0000-0000-0000280A0000}"/>
    <cellStyle name="Calculation 2 3 2 2 3 8" xfId="21042" xr:uid="{00000000-0005-0000-0000-0000290A0000}"/>
    <cellStyle name="Calculation 2 3 2 2 3 9" xfId="22016" xr:uid="{00000000-0005-0000-0000-00002A0A0000}"/>
    <cellStyle name="Calculation 2 3 2 2 4" xfId="678" xr:uid="{00000000-0005-0000-0000-00002B0A0000}"/>
    <cellStyle name="Calculation 2 3 2 2 4 10" xfId="23023" xr:uid="{00000000-0005-0000-0000-00002C0A0000}"/>
    <cellStyle name="Calculation 2 3 2 2 4 11" xfId="23995" xr:uid="{00000000-0005-0000-0000-00002D0A0000}"/>
    <cellStyle name="Calculation 2 3 2 2 4 12" xfId="24994" xr:uid="{00000000-0005-0000-0000-00002E0A0000}"/>
    <cellStyle name="Calculation 2 3 2 2 4 13" xfId="27939" xr:uid="{00000000-0005-0000-0000-00002F0A0000}"/>
    <cellStyle name="Calculation 2 3 2 2 4 14" xfId="28908" xr:uid="{00000000-0005-0000-0000-0000300A0000}"/>
    <cellStyle name="Calculation 2 3 2 2 4 15" xfId="29947" xr:uid="{00000000-0005-0000-0000-0000310A0000}"/>
    <cellStyle name="Calculation 2 3 2 2 4 16" xfId="30940" xr:uid="{00000000-0005-0000-0000-0000320A0000}"/>
    <cellStyle name="Calculation 2 3 2 2 4 17" xfId="31949" xr:uid="{00000000-0005-0000-0000-0000330A0000}"/>
    <cellStyle name="Calculation 2 3 2 2 4 18" xfId="32952" xr:uid="{00000000-0005-0000-0000-0000340A0000}"/>
    <cellStyle name="Calculation 2 3 2 2 4 19" xfId="33951" xr:uid="{00000000-0005-0000-0000-0000350A0000}"/>
    <cellStyle name="Calculation 2 3 2 2 4 2" xfId="679" xr:uid="{00000000-0005-0000-0000-0000360A0000}"/>
    <cellStyle name="Calculation 2 3 2 2 4 2 10" xfId="23996" xr:uid="{00000000-0005-0000-0000-0000370A0000}"/>
    <cellStyle name="Calculation 2 3 2 2 4 2 11" xfId="24995" xr:uid="{00000000-0005-0000-0000-0000380A0000}"/>
    <cellStyle name="Calculation 2 3 2 2 4 2 12" xfId="27940" xr:uid="{00000000-0005-0000-0000-0000390A0000}"/>
    <cellStyle name="Calculation 2 3 2 2 4 2 13" xfId="28909" xr:uid="{00000000-0005-0000-0000-00003A0A0000}"/>
    <cellStyle name="Calculation 2 3 2 2 4 2 14" xfId="29948" xr:uid="{00000000-0005-0000-0000-00003B0A0000}"/>
    <cellStyle name="Calculation 2 3 2 2 4 2 15" xfId="30941" xr:uid="{00000000-0005-0000-0000-00003C0A0000}"/>
    <cellStyle name="Calculation 2 3 2 2 4 2 16" xfId="31950" xr:uid="{00000000-0005-0000-0000-00003D0A0000}"/>
    <cellStyle name="Calculation 2 3 2 2 4 2 17" xfId="32953" xr:uid="{00000000-0005-0000-0000-00003E0A0000}"/>
    <cellStyle name="Calculation 2 3 2 2 4 2 18" xfId="33952" xr:uid="{00000000-0005-0000-0000-00003F0A0000}"/>
    <cellStyle name="Calculation 2 3 2 2 4 2 19" xfId="35573" xr:uid="{00000000-0005-0000-0000-0000400A0000}"/>
    <cellStyle name="Calculation 2 3 2 2 4 2 2" xfId="15976" xr:uid="{00000000-0005-0000-0000-0000410A0000}"/>
    <cellStyle name="Calculation 2 3 2 2 4 2 20" xfId="36512" xr:uid="{00000000-0005-0000-0000-0000420A0000}"/>
    <cellStyle name="Calculation 2 3 2 2 4 2 3" xfId="16954" xr:uid="{00000000-0005-0000-0000-0000430A0000}"/>
    <cellStyle name="Calculation 2 3 2 2 4 2 4" xfId="17982" xr:uid="{00000000-0005-0000-0000-0000440A0000}"/>
    <cellStyle name="Calculation 2 3 2 2 4 2 5" xfId="19014" xr:uid="{00000000-0005-0000-0000-0000450A0000}"/>
    <cellStyle name="Calculation 2 3 2 2 4 2 6" xfId="20036" xr:uid="{00000000-0005-0000-0000-0000460A0000}"/>
    <cellStyle name="Calculation 2 3 2 2 4 2 7" xfId="21045" xr:uid="{00000000-0005-0000-0000-0000470A0000}"/>
    <cellStyle name="Calculation 2 3 2 2 4 2 8" xfId="22019" xr:uid="{00000000-0005-0000-0000-0000480A0000}"/>
    <cellStyle name="Calculation 2 3 2 2 4 2 9" xfId="23024" xr:uid="{00000000-0005-0000-0000-0000490A0000}"/>
    <cellStyle name="Calculation 2 3 2 2 4 20" xfId="35572" xr:uid="{00000000-0005-0000-0000-00004A0A0000}"/>
    <cellStyle name="Calculation 2 3 2 2 4 21" xfId="36511" xr:uid="{00000000-0005-0000-0000-00004B0A0000}"/>
    <cellStyle name="Calculation 2 3 2 2 4 3" xfId="15975" xr:uid="{00000000-0005-0000-0000-00004C0A0000}"/>
    <cellStyle name="Calculation 2 3 2 2 4 4" xfId="16953" xr:uid="{00000000-0005-0000-0000-00004D0A0000}"/>
    <cellStyle name="Calculation 2 3 2 2 4 5" xfId="17981" xr:uid="{00000000-0005-0000-0000-00004E0A0000}"/>
    <cellStyle name="Calculation 2 3 2 2 4 6" xfId="19013" xr:uid="{00000000-0005-0000-0000-00004F0A0000}"/>
    <cellStyle name="Calculation 2 3 2 2 4 7" xfId="20035" xr:uid="{00000000-0005-0000-0000-0000500A0000}"/>
    <cellStyle name="Calculation 2 3 2 2 4 8" xfId="21044" xr:uid="{00000000-0005-0000-0000-0000510A0000}"/>
    <cellStyle name="Calculation 2 3 2 2 4 9" xfId="22018" xr:uid="{00000000-0005-0000-0000-0000520A0000}"/>
    <cellStyle name="Calculation 2 3 2 2 5" xfId="680" xr:uid="{00000000-0005-0000-0000-0000530A0000}"/>
    <cellStyle name="Calculation 2 3 2 2 5 10" xfId="23997" xr:uid="{00000000-0005-0000-0000-0000540A0000}"/>
    <cellStyle name="Calculation 2 3 2 2 5 11" xfId="24996" xr:uid="{00000000-0005-0000-0000-0000550A0000}"/>
    <cellStyle name="Calculation 2 3 2 2 5 12" xfId="27941" xr:uid="{00000000-0005-0000-0000-0000560A0000}"/>
    <cellStyle name="Calculation 2 3 2 2 5 13" xfId="28910" xr:uid="{00000000-0005-0000-0000-0000570A0000}"/>
    <cellStyle name="Calculation 2 3 2 2 5 14" xfId="29949" xr:uid="{00000000-0005-0000-0000-0000580A0000}"/>
    <cellStyle name="Calculation 2 3 2 2 5 15" xfId="30942" xr:uid="{00000000-0005-0000-0000-0000590A0000}"/>
    <cellStyle name="Calculation 2 3 2 2 5 16" xfId="31951" xr:uid="{00000000-0005-0000-0000-00005A0A0000}"/>
    <cellStyle name="Calculation 2 3 2 2 5 17" xfId="32954" xr:uid="{00000000-0005-0000-0000-00005B0A0000}"/>
    <cellStyle name="Calculation 2 3 2 2 5 18" xfId="33953" xr:uid="{00000000-0005-0000-0000-00005C0A0000}"/>
    <cellStyle name="Calculation 2 3 2 2 5 19" xfId="35574" xr:uid="{00000000-0005-0000-0000-00005D0A0000}"/>
    <cellStyle name="Calculation 2 3 2 2 5 2" xfId="15977" xr:uid="{00000000-0005-0000-0000-00005E0A0000}"/>
    <cellStyle name="Calculation 2 3 2 2 5 20" xfId="36513" xr:uid="{00000000-0005-0000-0000-00005F0A0000}"/>
    <cellStyle name="Calculation 2 3 2 2 5 3" xfId="16955" xr:uid="{00000000-0005-0000-0000-0000600A0000}"/>
    <cellStyle name="Calculation 2 3 2 2 5 4" xfId="17983" xr:uid="{00000000-0005-0000-0000-0000610A0000}"/>
    <cellStyle name="Calculation 2 3 2 2 5 5" xfId="19015" xr:uid="{00000000-0005-0000-0000-0000620A0000}"/>
    <cellStyle name="Calculation 2 3 2 2 5 6" xfId="20037" xr:uid="{00000000-0005-0000-0000-0000630A0000}"/>
    <cellStyle name="Calculation 2 3 2 2 5 7" xfId="21046" xr:uid="{00000000-0005-0000-0000-0000640A0000}"/>
    <cellStyle name="Calculation 2 3 2 2 5 8" xfId="22020" xr:uid="{00000000-0005-0000-0000-0000650A0000}"/>
    <cellStyle name="Calculation 2 3 2 2 5 9" xfId="23025" xr:uid="{00000000-0005-0000-0000-0000660A0000}"/>
    <cellStyle name="Calculation 2 3 2 2 6" xfId="13728" xr:uid="{00000000-0005-0000-0000-0000670A0000}"/>
    <cellStyle name="Calculation 2 3 2 2 7" xfId="15388" xr:uid="{00000000-0005-0000-0000-0000680A0000}"/>
    <cellStyle name="Calculation 2 3 2 2 8" xfId="14300" xr:uid="{00000000-0005-0000-0000-0000690A0000}"/>
    <cellStyle name="Calculation 2 3 2 2 9" xfId="13871" xr:uid="{00000000-0005-0000-0000-00006A0A0000}"/>
    <cellStyle name="Calculation 2 3 2 20" xfId="27458" xr:uid="{00000000-0005-0000-0000-00006B0A0000}"/>
    <cellStyle name="Calculation 2 3 2 21" xfId="27630" xr:uid="{00000000-0005-0000-0000-00006C0A0000}"/>
    <cellStyle name="Calculation 2 3 2 22" xfId="34953" xr:uid="{00000000-0005-0000-0000-00006D0A0000}"/>
    <cellStyle name="Calculation 2 3 2 23" xfId="34971" xr:uid="{00000000-0005-0000-0000-00006E0A0000}"/>
    <cellStyle name="Calculation 2 3 2 3" xfId="681" xr:uid="{00000000-0005-0000-0000-00006F0A0000}"/>
    <cellStyle name="Calculation 2 3 2 3 10" xfId="17822" xr:uid="{00000000-0005-0000-0000-0000700A0000}"/>
    <cellStyle name="Calculation 2 3 2 3 11" xfId="15317" xr:uid="{00000000-0005-0000-0000-0000710A0000}"/>
    <cellStyle name="Calculation 2 3 2 3 12" xfId="26394" xr:uid="{00000000-0005-0000-0000-0000720A0000}"/>
    <cellStyle name="Calculation 2 3 2 3 13" xfId="27707" xr:uid="{00000000-0005-0000-0000-0000730A0000}"/>
    <cellStyle name="Calculation 2 3 2 3 14" xfId="27533" xr:uid="{00000000-0005-0000-0000-0000740A0000}"/>
    <cellStyle name="Calculation 2 3 2 3 15" xfId="26776" xr:uid="{00000000-0005-0000-0000-0000750A0000}"/>
    <cellStyle name="Calculation 2 3 2 3 16" xfId="26027" xr:uid="{00000000-0005-0000-0000-0000760A0000}"/>
    <cellStyle name="Calculation 2 3 2 3 17" xfId="26567" xr:uid="{00000000-0005-0000-0000-0000770A0000}"/>
    <cellStyle name="Calculation 2 3 2 3 18" xfId="35085" xr:uid="{00000000-0005-0000-0000-0000780A0000}"/>
    <cellStyle name="Calculation 2 3 2 3 19" xfId="35431" xr:uid="{00000000-0005-0000-0000-0000790A0000}"/>
    <cellStyle name="Calculation 2 3 2 3 2" xfId="682" xr:uid="{00000000-0005-0000-0000-00007A0A0000}"/>
    <cellStyle name="Calculation 2 3 2 3 2 10" xfId="23026" xr:uid="{00000000-0005-0000-0000-00007B0A0000}"/>
    <cellStyle name="Calculation 2 3 2 3 2 11" xfId="23998" xr:uid="{00000000-0005-0000-0000-00007C0A0000}"/>
    <cellStyle name="Calculation 2 3 2 3 2 12" xfId="24997" xr:uid="{00000000-0005-0000-0000-00007D0A0000}"/>
    <cellStyle name="Calculation 2 3 2 3 2 13" xfId="27942" xr:uid="{00000000-0005-0000-0000-00007E0A0000}"/>
    <cellStyle name="Calculation 2 3 2 3 2 14" xfId="28911" xr:uid="{00000000-0005-0000-0000-00007F0A0000}"/>
    <cellStyle name="Calculation 2 3 2 3 2 15" xfId="29950" xr:uid="{00000000-0005-0000-0000-0000800A0000}"/>
    <cellStyle name="Calculation 2 3 2 3 2 16" xfId="30943" xr:uid="{00000000-0005-0000-0000-0000810A0000}"/>
    <cellStyle name="Calculation 2 3 2 3 2 17" xfId="31952" xr:uid="{00000000-0005-0000-0000-0000820A0000}"/>
    <cellStyle name="Calculation 2 3 2 3 2 18" xfId="32955" xr:uid="{00000000-0005-0000-0000-0000830A0000}"/>
    <cellStyle name="Calculation 2 3 2 3 2 19" xfId="33954" xr:uid="{00000000-0005-0000-0000-0000840A0000}"/>
    <cellStyle name="Calculation 2 3 2 3 2 2" xfId="683" xr:uid="{00000000-0005-0000-0000-0000850A0000}"/>
    <cellStyle name="Calculation 2 3 2 3 2 2 10" xfId="23999" xr:uid="{00000000-0005-0000-0000-0000860A0000}"/>
    <cellStyle name="Calculation 2 3 2 3 2 2 11" xfId="24998" xr:uid="{00000000-0005-0000-0000-0000870A0000}"/>
    <cellStyle name="Calculation 2 3 2 3 2 2 12" xfId="27943" xr:uid="{00000000-0005-0000-0000-0000880A0000}"/>
    <cellStyle name="Calculation 2 3 2 3 2 2 13" xfId="28912" xr:uid="{00000000-0005-0000-0000-0000890A0000}"/>
    <cellStyle name="Calculation 2 3 2 3 2 2 14" xfId="29951" xr:uid="{00000000-0005-0000-0000-00008A0A0000}"/>
    <cellStyle name="Calculation 2 3 2 3 2 2 15" xfId="30944" xr:uid="{00000000-0005-0000-0000-00008B0A0000}"/>
    <cellStyle name="Calculation 2 3 2 3 2 2 16" xfId="31953" xr:uid="{00000000-0005-0000-0000-00008C0A0000}"/>
    <cellStyle name="Calculation 2 3 2 3 2 2 17" xfId="32956" xr:uid="{00000000-0005-0000-0000-00008D0A0000}"/>
    <cellStyle name="Calculation 2 3 2 3 2 2 18" xfId="33955" xr:uid="{00000000-0005-0000-0000-00008E0A0000}"/>
    <cellStyle name="Calculation 2 3 2 3 2 2 19" xfId="35576" xr:uid="{00000000-0005-0000-0000-00008F0A0000}"/>
    <cellStyle name="Calculation 2 3 2 3 2 2 2" xfId="15979" xr:uid="{00000000-0005-0000-0000-0000900A0000}"/>
    <cellStyle name="Calculation 2 3 2 3 2 2 20" xfId="36515" xr:uid="{00000000-0005-0000-0000-0000910A0000}"/>
    <cellStyle name="Calculation 2 3 2 3 2 2 3" xfId="16957" xr:uid="{00000000-0005-0000-0000-0000920A0000}"/>
    <cellStyle name="Calculation 2 3 2 3 2 2 4" xfId="17985" xr:uid="{00000000-0005-0000-0000-0000930A0000}"/>
    <cellStyle name="Calculation 2 3 2 3 2 2 5" xfId="19017" xr:uid="{00000000-0005-0000-0000-0000940A0000}"/>
    <cellStyle name="Calculation 2 3 2 3 2 2 6" xfId="20039" xr:uid="{00000000-0005-0000-0000-0000950A0000}"/>
    <cellStyle name="Calculation 2 3 2 3 2 2 7" xfId="21048" xr:uid="{00000000-0005-0000-0000-0000960A0000}"/>
    <cellStyle name="Calculation 2 3 2 3 2 2 8" xfId="22022" xr:uid="{00000000-0005-0000-0000-0000970A0000}"/>
    <cellStyle name="Calculation 2 3 2 3 2 2 9" xfId="23027" xr:uid="{00000000-0005-0000-0000-0000980A0000}"/>
    <cellStyle name="Calculation 2 3 2 3 2 20" xfId="35575" xr:uid="{00000000-0005-0000-0000-0000990A0000}"/>
    <cellStyle name="Calculation 2 3 2 3 2 21" xfId="36514" xr:uid="{00000000-0005-0000-0000-00009A0A0000}"/>
    <cellStyle name="Calculation 2 3 2 3 2 3" xfId="15978" xr:uid="{00000000-0005-0000-0000-00009B0A0000}"/>
    <cellStyle name="Calculation 2 3 2 3 2 4" xfId="16956" xr:uid="{00000000-0005-0000-0000-00009C0A0000}"/>
    <cellStyle name="Calculation 2 3 2 3 2 5" xfId="17984" xr:uid="{00000000-0005-0000-0000-00009D0A0000}"/>
    <cellStyle name="Calculation 2 3 2 3 2 6" xfId="19016" xr:uid="{00000000-0005-0000-0000-00009E0A0000}"/>
    <cellStyle name="Calculation 2 3 2 3 2 7" xfId="20038" xr:uid="{00000000-0005-0000-0000-00009F0A0000}"/>
    <cellStyle name="Calculation 2 3 2 3 2 8" xfId="21047" xr:uid="{00000000-0005-0000-0000-0000A00A0000}"/>
    <cellStyle name="Calculation 2 3 2 3 2 9" xfId="22021" xr:uid="{00000000-0005-0000-0000-0000A10A0000}"/>
    <cellStyle name="Calculation 2 3 2 3 3" xfId="684" xr:uid="{00000000-0005-0000-0000-0000A20A0000}"/>
    <cellStyle name="Calculation 2 3 2 3 3 10" xfId="23028" xr:uid="{00000000-0005-0000-0000-0000A30A0000}"/>
    <cellStyle name="Calculation 2 3 2 3 3 11" xfId="24000" xr:uid="{00000000-0005-0000-0000-0000A40A0000}"/>
    <cellStyle name="Calculation 2 3 2 3 3 12" xfId="24999" xr:uid="{00000000-0005-0000-0000-0000A50A0000}"/>
    <cellStyle name="Calculation 2 3 2 3 3 13" xfId="27944" xr:uid="{00000000-0005-0000-0000-0000A60A0000}"/>
    <cellStyle name="Calculation 2 3 2 3 3 14" xfId="28913" xr:uid="{00000000-0005-0000-0000-0000A70A0000}"/>
    <cellStyle name="Calculation 2 3 2 3 3 15" xfId="29952" xr:uid="{00000000-0005-0000-0000-0000A80A0000}"/>
    <cellStyle name="Calculation 2 3 2 3 3 16" xfId="30945" xr:uid="{00000000-0005-0000-0000-0000A90A0000}"/>
    <cellStyle name="Calculation 2 3 2 3 3 17" xfId="31954" xr:uid="{00000000-0005-0000-0000-0000AA0A0000}"/>
    <cellStyle name="Calculation 2 3 2 3 3 18" xfId="32957" xr:uid="{00000000-0005-0000-0000-0000AB0A0000}"/>
    <cellStyle name="Calculation 2 3 2 3 3 19" xfId="33956" xr:uid="{00000000-0005-0000-0000-0000AC0A0000}"/>
    <cellStyle name="Calculation 2 3 2 3 3 2" xfId="685" xr:uid="{00000000-0005-0000-0000-0000AD0A0000}"/>
    <cellStyle name="Calculation 2 3 2 3 3 2 10" xfId="24001" xr:uid="{00000000-0005-0000-0000-0000AE0A0000}"/>
    <cellStyle name="Calculation 2 3 2 3 3 2 11" xfId="25000" xr:uid="{00000000-0005-0000-0000-0000AF0A0000}"/>
    <cellStyle name="Calculation 2 3 2 3 3 2 12" xfId="27945" xr:uid="{00000000-0005-0000-0000-0000B00A0000}"/>
    <cellStyle name="Calculation 2 3 2 3 3 2 13" xfId="28914" xr:uid="{00000000-0005-0000-0000-0000B10A0000}"/>
    <cellStyle name="Calculation 2 3 2 3 3 2 14" xfId="29953" xr:uid="{00000000-0005-0000-0000-0000B20A0000}"/>
    <cellStyle name="Calculation 2 3 2 3 3 2 15" xfId="30946" xr:uid="{00000000-0005-0000-0000-0000B30A0000}"/>
    <cellStyle name="Calculation 2 3 2 3 3 2 16" xfId="31955" xr:uid="{00000000-0005-0000-0000-0000B40A0000}"/>
    <cellStyle name="Calculation 2 3 2 3 3 2 17" xfId="32958" xr:uid="{00000000-0005-0000-0000-0000B50A0000}"/>
    <cellStyle name="Calculation 2 3 2 3 3 2 18" xfId="33957" xr:uid="{00000000-0005-0000-0000-0000B60A0000}"/>
    <cellStyle name="Calculation 2 3 2 3 3 2 19" xfId="35578" xr:uid="{00000000-0005-0000-0000-0000B70A0000}"/>
    <cellStyle name="Calculation 2 3 2 3 3 2 2" xfId="15981" xr:uid="{00000000-0005-0000-0000-0000B80A0000}"/>
    <cellStyle name="Calculation 2 3 2 3 3 2 20" xfId="36517" xr:uid="{00000000-0005-0000-0000-0000B90A0000}"/>
    <cellStyle name="Calculation 2 3 2 3 3 2 3" xfId="16959" xr:uid="{00000000-0005-0000-0000-0000BA0A0000}"/>
    <cellStyle name="Calculation 2 3 2 3 3 2 4" xfId="17987" xr:uid="{00000000-0005-0000-0000-0000BB0A0000}"/>
    <cellStyle name="Calculation 2 3 2 3 3 2 5" xfId="19019" xr:uid="{00000000-0005-0000-0000-0000BC0A0000}"/>
    <cellStyle name="Calculation 2 3 2 3 3 2 6" xfId="20041" xr:uid="{00000000-0005-0000-0000-0000BD0A0000}"/>
    <cellStyle name="Calculation 2 3 2 3 3 2 7" xfId="21050" xr:uid="{00000000-0005-0000-0000-0000BE0A0000}"/>
    <cellStyle name="Calculation 2 3 2 3 3 2 8" xfId="22024" xr:uid="{00000000-0005-0000-0000-0000BF0A0000}"/>
    <cellStyle name="Calculation 2 3 2 3 3 2 9" xfId="23029" xr:uid="{00000000-0005-0000-0000-0000C00A0000}"/>
    <cellStyle name="Calculation 2 3 2 3 3 20" xfId="35577" xr:uid="{00000000-0005-0000-0000-0000C10A0000}"/>
    <cellStyle name="Calculation 2 3 2 3 3 21" xfId="36516" xr:uid="{00000000-0005-0000-0000-0000C20A0000}"/>
    <cellStyle name="Calculation 2 3 2 3 3 3" xfId="15980" xr:uid="{00000000-0005-0000-0000-0000C30A0000}"/>
    <cellStyle name="Calculation 2 3 2 3 3 4" xfId="16958" xr:uid="{00000000-0005-0000-0000-0000C40A0000}"/>
    <cellStyle name="Calculation 2 3 2 3 3 5" xfId="17986" xr:uid="{00000000-0005-0000-0000-0000C50A0000}"/>
    <cellStyle name="Calculation 2 3 2 3 3 6" xfId="19018" xr:uid="{00000000-0005-0000-0000-0000C60A0000}"/>
    <cellStyle name="Calculation 2 3 2 3 3 7" xfId="20040" xr:uid="{00000000-0005-0000-0000-0000C70A0000}"/>
    <cellStyle name="Calculation 2 3 2 3 3 8" xfId="21049" xr:uid="{00000000-0005-0000-0000-0000C80A0000}"/>
    <cellStyle name="Calculation 2 3 2 3 3 9" xfId="22023" xr:uid="{00000000-0005-0000-0000-0000C90A0000}"/>
    <cellStyle name="Calculation 2 3 2 3 4" xfId="686" xr:uid="{00000000-0005-0000-0000-0000CA0A0000}"/>
    <cellStyle name="Calculation 2 3 2 3 4 10" xfId="23030" xr:uid="{00000000-0005-0000-0000-0000CB0A0000}"/>
    <cellStyle name="Calculation 2 3 2 3 4 11" xfId="24002" xr:uid="{00000000-0005-0000-0000-0000CC0A0000}"/>
    <cellStyle name="Calculation 2 3 2 3 4 12" xfId="25001" xr:uid="{00000000-0005-0000-0000-0000CD0A0000}"/>
    <cellStyle name="Calculation 2 3 2 3 4 13" xfId="27946" xr:uid="{00000000-0005-0000-0000-0000CE0A0000}"/>
    <cellStyle name="Calculation 2 3 2 3 4 14" xfId="28915" xr:uid="{00000000-0005-0000-0000-0000CF0A0000}"/>
    <cellStyle name="Calculation 2 3 2 3 4 15" xfId="29954" xr:uid="{00000000-0005-0000-0000-0000D00A0000}"/>
    <cellStyle name="Calculation 2 3 2 3 4 16" xfId="30947" xr:uid="{00000000-0005-0000-0000-0000D10A0000}"/>
    <cellStyle name="Calculation 2 3 2 3 4 17" xfId="31956" xr:uid="{00000000-0005-0000-0000-0000D20A0000}"/>
    <cellStyle name="Calculation 2 3 2 3 4 18" xfId="32959" xr:uid="{00000000-0005-0000-0000-0000D30A0000}"/>
    <cellStyle name="Calculation 2 3 2 3 4 19" xfId="33958" xr:uid="{00000000-0005-0000-0000-0000D40A0000}"/>
    <cellStyle name="Calculation 2 3 2 3 4 2" xfId="687" xr:uid="{00000000-0005-0000-0000-0000D50A0000}"/>
    <cellStyle name="Calculation 2 3 2 3 4 2 10" xfId="24003" xr:uid="{00000000-0005-0000-0000-0000D60A0000}"/>
    <cellStyle name="Calculation 2 3 2 3 4 2 11" xfId="25002" xr:uid="{00000000-0005-0000-0000-0000D70A0000}"/>
    <cellStyle name="Calculation 2 3 2 3 4 2 12" xfId="27947" xr:uid="{00000000-0005-0000-0000-0000D80A0000}"/>
    <cellStyle name="Calculation 2 3 2 3 4 2 13" xfId="28916" xr:uid="{00000000-0005-0000-0000-0000D90A0000}"/>
    <cellStyle name="Calculation 2 3 2 3 4 2 14" xfId="29955" xr:uid="{00000000-0005-0000-0000-0000DA0A0000}"/>
    <cellStyle name="Calculation 2 3 2 3 4 2 15" xfId="30948" xr:uid="{00000000-0005-0000-0000-0000DB0A0000}"/>
    <cellStyle name="Calculation 2 3 2 3 4 2 16" xfId="31957" xr:uid="{00000000-0005-0000-0000-0000DC0A0000}"/>
    <cellStyle name="Calculation 2 3 2 3 4 2 17" xfId="32960" xr:uid="{00000000-0005-0000-0000-0000DD0A0000}"/>
    <cellStyle name="Calculation 2 3 2 3 4 2 18" xfId="33959" xr:uid="{00000000-0005-0000-0000-0000DE0A0000}"/>
    <cellStyle name="Calculation 2 3 2 3 4 2 19" xfId="35580" xr:uid="{00000000-0005-0000-0000-0000DF0A0000}"/>
    <cellStyle name="Calculation 2 3 2 3 4 2 2" xfId="15983" xr:uid="{00000000-0005-0000-0000-0000E00A0000}"/>
    <cellStyle name="Calculation 2 3 2 3 4 2 20" xfId="36519" xr:uid="{00000000-0005-0000-0000-0000E10A0000}"/>
    <cellStyle name="Calculation 2 3 2 3 4 2 3" xfId="16961" xr:uid="{00000000-0005-0000-0000-0000E20A0000}"/>
    <cellStyle name="Calculation 2 3 2 3 4 2 4" xfId="17989" xr:uid="{00000000-0005-0000-0000-0000E30A0000}"/>
    <cellStyle name="Calculation 2 3 2 3 4 2 5" xfId="19021" xr:uid="{00000000-0005-0000-0000-0000E40A0000}"/>
    <cellStyle name="Calculation 2 3 2 3 4 2 6" xfId="20043" xr:uid="{00000000-0005-0000-0000-0000E50A0000}"/>
    <cellStyle name="Calculation 2 3 2 3 4 2 7" xfId="21052" xr:uid="{00000000-0005-0000-0000-0000E60A0000}"/>
    <cellStyle name="Calculation 2 3 2 3 4 2 8" xfId="22026" xr:uid="{00000000-0005-0000-0000-0000E70A0000}"/>
    <cellStyle name="Calculation 2 3 2 3 4 2 9" xfId="23031" xr:uid="{00000000-0005-0000-0000-0000E80A0000}"/>
    <cellStyle name="Calculation 2 3 2 3 4 20" xfId="35579" xr:uid="{00000000-0005-0000-0000-0000E90A0000}"/>
    <cellStyle name="Calculation 2 3 2 3 4 21" xfId="36518" xr:uid="{00000000-0005-0000-0000-0000EA0A0000}"/>
    <cellStyle name="Calculation 2 3 2 3 4 3" xfId="15982" xr:uid="{00000000-0005-0000-0000-0000EB0A0000}"/>
    <cellStyle name="Calculation 2 3 2 3 4 4" xfId="16960" xr:uid="{00000000-0005-0000-0000-0000EC0A0000}"/>
    <cellStyle name="Calculation 2 3 2 3 4 5" xfId="17988" xr:uid="{00000000-0005-0000-0000-0000ED0A0000}"/>
    <cellStyle name="Calculation 2 3 2 3 4 6" xfId="19020" xr:uid="{00000000-0005-0000-0000-0000EE0A0000}"/>
    <cellStyle name="Calculation 2 3 2 3 4 7" xfId="20042" xr:uid="{00000000-0005-0000-0000-0000EF0A0000}"/>
    <cellStyle name="Calculation 2 3 2 3 4 8" xfId="21051" xr:uid="{00000000-0005-0000-0000-0000F00A0000}"/>
    <cellStyle name="Calculation 2 3 2 3 4 9" xfId="22025" xr:uid="{00000000-0005-0000-0000-0000F10A0000}"/>
    <cellStyle name="Calculation 2 3 2 3 5" xfId="688" xr:uid="{00000000-0005-0000-0000-0000F20A0000}"/>
    <cellStyle name="Calculation 2 3 2 3 5 10" xfId="24004" xr:uid="{00000000-0005-0000-0000-0000F30A0000}"/>
    <cellStyle name="Calculation 2 3 2 3 5 11" xfId="25003" xr:uid="{00000000-0005-0000-0000-0000F40A0000}"/>
    <cellStyle name="Calculation 2 3 2 3 5 12" xfId="27948" xr:uid="{00000000-0005-0000-0000-0000F50A0000}"/>
    <cellStyle name="Calculation 2 3 2 3 5 13" xfId="28917" xr:uid="{00000000-0005-0000-0000-0000F60A0000}"/>
    <cellStyle name="Calculation 2 3 2 3 5 14" xfId="29956" xr:uid="{00000000-0005-0000-0000-0000F70A0000}"/>
    <cellStyle name="Calculation 2 3 2 3 5 15" xfId="30949" xr:uid="{00000000-0005-0000-0000-0000F80A0000}"/>
    <cellStyle name="Calculation 2 3 2 3 5 16" xfId="31958" xr:uid="{00000000-0005-0000-0000-0000F90A0000}"/>
    <cellStyle name="Calculation 2 3 2 3 5 17" xfId="32961" xr:uid="{00000000-0005-0000-0000-0000FA0A0000}"/>
    <cellStyle name="Calculation 2 3 2 3 5 18" xfId="33960" xr:uid="{00000000-0005-0000-0000-0000FB0A0000}"/>
    <cellStyle name="Calculation 2 3 2 3 5 19" xfId="35581" xr:uid="{00000000-0005-0000-0000-0000FC0A0000}"/>
    <cellStyle name="Calculation 2 3 2 3 5 2" xfId="15984" xr:uid="{00000000-0005-0000-0000-0000FD0A0000}"/>
    <cellStyle name="Calculation 2 3 2 3 5 20" xfId="36520" xr:uid="{00000000-0005-0000-0000-0000FE0A0000}"/>
    <cellStyle name="Calculation 2 3 2 3 5 3" xfId="16962" xr:uid="{00000000-0005-0000-0000-0000FF0A0000}"/>
    <cellStyle name="Calculation 2 3 2 3 5 4" xfId="17990" xr:uid="{00000000-0005-0000-0000-0000000B0000}"/>
    <cellStyle name="Calculation 2 3 2 3 5 5" xfId="19022" xr:uid="{00000000-0005-0000-0000-0000010B0000}"/>
    <cellStyle name="Calculation 2 3 2 3 5 6" xfId="20044" xr:uid="{00000000-0005-0000-0000-0000020B0000}"/>
    <cellStyle name="Calculation 2 3 2 3 5 7" xfId="21053" xr:uid="{00000000-0005-0000-0000-0000030B0000}"/>
    <cellStyle name="Calculation 2 3 2 3 5 8" xfId="22027" xr:uid="{00000000-0005-0000-0000-0000040B0000}"/>
    <cellStyle name="Calculation 2 3 2 3 5 9" xfId="23032" xr:uid="{00000000-0005-0000-0000-0000050B0000}"/>
    <cellStyle name="Calculation 2 3 2 3 6" xfId="13774" xr:uid="{00000000-0005-0000-0000-0000060B0000}"/>
    <cellStyle name="Calculation 2 3 2 3 7" xfId="15251" xr:uid="{00000000-0005-0000-0000-0000070B0000}"/>
    <cellStyle name="Calculation 2 3 2 3 8" xfId="15328" xr:uid="{00000000-0005-0000-0000-0000080B0000}"/>
    <cellStyle name="Calculation 2 3 2 3 9" xfId="14260" xr:uid="{00000000-0005-0000-0000-0000090B0000}"/>
    <cellStyle name="Calculation 2 3 2 4" xfId="689" xr:uid="{00000000-0005-0000-0000-00000A0B0000}"/>
    <cellStyle name="Calculation 2 3 2 4 10" xfId="15513" xr:uid="{00000000-0005-0000-0000-00000B0B0000}"/>
    <cellStyle name="Calculation 2 3 2 4 11" xfId="14727" xr:uid="{00000000-0005-0000-0000-00000C0B0000}"/>
    <cellStyle name="Calculation 2 3 2 4 12" xfId="26350" xr:uid="{00000000-0005-0000-0000-00000D0B0000}"/>
    <cellStyle name="Calculation 2 3 2 4 13" xfId="27721" xr:uid="{00000000-0005-0000-0000-00000E0B0000}"/>
    <cellStyle name="Calculation 2 3 2 4 14" xfId="26260" xr:uid="{00000000-0005-0000-0000-00000F0B0000}"/>
    <cellStyle name="Calculation 2 3 2 4 15" xfId="26579" xr:uid="{00000000-0005-0000-0000-0000100B0000}"/>
    <cellStyle name="Calculation 2 3 2 4 16" xfId="27809" xr:uid="{00000000-0005-0000-0000-0000110B0000}"/>
    <cellStyle name="Calculation 2 3 2 4 17" xfId="27754" xr:uid="{00000000-0005-0000-0000-0000120B0000}"/>
    <cellStyle name="Calculation 2 3 2 4 18" xfId="35044" xr:uid="{00000000-0005-0000-0000-0000130B0000}"/>
    <cellStyle name="Calculation 2 3 2 4 19" xfId="35308" xr:uid="{00000000-0005-0000-0000-0000140B0000}"/>
    <cellStyle name="Calculation 2 3 2 4 2" xfId="690" xr:uid="{00000000-0005-0000-0000-0000150B0000}"/>
    <cellStyle name="Calculation 2 3 2 4 2 10" xfId="23033" xr:uid="{00000000-0005-0000-0000-0000160B0000}"/>
    <cellStyle name="Calculation 2 3 2 4 2 11" xfId="24005" xr:uid="{00000000-0005-0000-0000-0000170B0000}"/>
    <cellStyle name="Calculation 2 3 2 4 2 12" xfId="25004" xr:uid="{00000000-0005-0000-0000-0000180B0000}"/>
    <cellStyle name="Calculation 2 3 2 4 2 13" xfId="27949" xr:uid="{00000000-0005-0000-0000-0000190B0000}"/>
    <cellStyle name="Calculation 2 3 2 4 2 14" xfId="28918" xr:uid="{00000000-0005-0000-0000-00001A0B0000}"/>
    <cellStyle name="Calculation 2 3 2 4 2 15" xfId="29957" xr:uid="{00000000-0005-0000-0000-00001B0B0000}"/>
    <cellStyle name="Calculation 2 3 2 4 2 16" xfId="30950" xr:uid="{00000000-0005-0000-0000-00001C0B0000}"/>
    <cellStyle name="Calculation 2 3 2 4 2 17" xfId="31959" xr:uid="{00000000-0005-0000-0000-00001D0B0000}"/>
    <cellStyle name="Calculation 2 3 2 4 2 18" xfId="32962" xr:uid="{00000000-0005-0000-0000-00001E0B0000}"/>
    <cellStyle name="Calculation 2 3 2 4 2 19" xfId="33961" xr:uid="{00000000-0005-0000-0000-00001F0B0000}"/>
    <cellStyle name="Calculation 2 3 2 4 2 2" xfId="691" xr:uid="{00000000-0005-0000-0000-0000200B0000}"/>
    <cellStyle name="Calculation 2 3 2 4 2 2 10" xfId="24006" xr:uid="{00000000-0005-0000-0000-0000210B0000}"/>
    <cellStyle name="Calculation 2 3 2 4 2 2 11" xfId="25005" xr:uid="{00000000-0005-0000-0000-0000220B0000}"/>
    <cellStyle name="Calculation 2 3 2 4 2 2 12" xfId="27950" xr:uid="{00000000-0005-0000-0000-0000230B0000}"/>
    <cellStyle name="Calculation 2 3 2 4 2 2 13" xfId="28919" xr:uid="{00000000-0005-0000-0000-0000240B0000}"/>
    <cellStyle name="Calculation 2 3 2 4 2 2 14" xfId="29958" xr:uid="{00000000-0005-0000-0000-0000250B0000}"/>
    <cellStyle name="Calculation 2 3 2 4 2 2 15" xfId="30951" xr:uid="{00000000-0005-0000-0000-0000260B0000}"/>
    <cellStyle name="Calculation 2 3 2 4 2 2 16" xfId="31960" xr:uid="{00000000-0005-0000-0000-0000270B0000}"/>
    <cellStyle name="Calculation 2 3 2 4 2 2 17" xfId="32963" xr:uid="{00000000-0005-0000-0000-0000280B0000}"/>
    <cellStyle name="Calculation 2 3 2 4 2 2 18" xfId="33962" xr:uid="{00000000-0005-0000-0000-0000290B0000}"/>
    <cellStyle name="Calculation 2 3 2 4 2 2 19" xfId="35583" xr:uid="{00000000-0005-0000-0000-00002A0B0000}"/>
    <cellStyle name="Calculation 2 3 2 4 2 2 2" xfId="15986" xr:uid="{00000000-0005-0000-0000-00002B0B0000}"/>
    <cellStyle name="Calculation 2 3 2 4 2 2 20" xfId="36522" xr:uid="{00000000-0005-0000-0000-00002C0B0000}"/>
    <cellStyle name="Calculation 2 3 2 4 2 2 3" xfId="16964" xr:uid="{00000000-0005-0000-0000-00002D0B0000}"/>
    <cellStyle name="Calculation 2 3 2 4 2 2 4" xfId="17992" xr:uid="{00000000-0005-0000-0000-00002E0B0000}"/>
    <cellStyle name="Calculation 2 3 2 4 2 2 5" xfId="19024" xr:uid="{00000000-0005-0000-0000-00002F0B0000}"/>
    <cellStyle name="Calculation 2 3 2 4 2 2 6" xfId="20046" xr:uid="{00000000-0005-0000-0000-0000300B0000}"/>
    <cellStyle name="Calculation 2 3 2 4 2 2 7" xfId="21055" xr:uid="{00000000-0005-0000-0000-0000310B0000}"/>
    <cellStyle name="Calculation 2 3 2 4 2 2 8" xfId="22029" xr:uid="{00000000-0005-0000-0000-0000320B0000}"/>
    <cellStyle name="Calculation 2 3 2 4 2 2 9" xfId="23034" xr:uid="{00000000-0005-0000-0000-0000330B0000}"/>
    <cellStyle name="Calculation 2 3 2 4 2 20" xfId="35582" xr:uid="{00000000-0005-0000-0000-0000340B0000}"/>
    <cellStyle name="Calculation 2 3 2 4 2 21" xfId="36521" xr:uid="{00000000-0005-0000-0000-0000350B0000}"/>
    <cellStyle name="Calculation 2 3 2 4 2 3" xfId="15985" xr:uid="{00000000-0005-0000-0000-0000360B0000}"/>
    <cellStyle name="Calculation 2 3 2 4 2 4" xfId="16963" xr:uid="{00000000-0005-0000-0000-0000370B0000}"/>
    <cellStyle name="Calculation 2 3 2 4 2 5" xfId="17991" xr:uid="{00000000-0005-0000-0000-0000380B0000}"/>
    <cellStyle name="Calculation 2 3 2 4 2 6" xfId="19023" xr:uid="{00000000-0005-0000-0000-0000390B0000}"/>
    <cellStyle name="Calculation 2 3 2 4 2 7" xfId="20045" xr:uid="{00000000-0005-0000-0000-00003A0B0000}"/>
    <cellStyle name="Calculation 2 3 2 4 2 8" xfId="21054" xr:uid="{00000000-0005-0000-0000-00003B0B0000}"/>
    <cellStyle name="Calculation 2 3 2 4 2 9" xfId="22028" xr:uid="{00000000-0005-0000-0000-00003C0B0000}"/>
    <cellStyle name="Calculation 2 3 2 4 3" xfId="692" xr:uid="{00000000-0005-0000-0000-00003D0B0000}"/>
    <cellStyle name="Calculation 2 3 2 4 3 10" xfId="23035" xr:uid="{00000000-0005-0000-0000-00003E0B0000}"/>
    <cellStyle name="Calculation 2 3 2 4 3 11" xfId="24007" xr:uid="{00000000-0005-0000-0000-00003F0B0000}"/>
    <cellStyle name="Calculation 2 3 2 4 3 12" xfId="25006" xr:uid="{00000000-0005-0000-0000-0000400B0000}"/>
    <cellStyle name="Calculation 2 3 2 4 3 13" xfId="27951" xr:uid="{00000000-0005-0000-0000-0000410B0000}"/>
    <cellStyle name="Calculation 2 3 2 4 3 14" xfId="28920" xr:uid="{00000000-0005-0000-0000-0000420B0000}"/>
    <cellStyle name="Calculation 2 3 2 4 3 15" xfId="29959" xr:uid="{00000000-0005-0000-0000-0000430B0000}"/>
    <cellStyle name="Calculation 2 3 2 4 3 16" xfId="30952" xr:uid="{00000000-0005-0000-0000-0000440B0000}"/>
    <cellStyle name="Calculation 2 3 2 4 3 17" xfId="31961" xr:uid="{00000000-0005-0000-0000-0000450B0000}"/>
    <cellStyle name="Calculation 2 3 2 4 3 18" xfId="32964" xr:uid="{00000000-0005-0000-0000-0000460B0000}"/>
    <cellStyle name="Calculation 2 3 2 4 3 19" xfId="33963" xr:uid="{00000000-0005-0000-0000-0000470B0000}"/>
    <cellStyle name="Calculation 2 3 2 4 3 2" xfId="693" xr:uid="{00000000-0005-0000-0000-0000480B0000}"/>
    <cellStyle name="Calculation 2 3 2 4 3 2 10" xfId="24008" xr:uid="{00000000-0005-0000-0000-0000490B0000}"/>
    <cellStyle name="Calculation 2 3 2 4 3 2 11" xfId="25007" xr:uid="{00000000-0005-0000-0000-00004A0B0000}"/>
    <cellStyle name="Calculation 2 3 2 4 3 2 12" xfId="27952" xr:uid="{00000000-0005-0000-0000-00004B0B0000}"/>
    <cellStyle name="Calculation 2 3 2 4 3 2 13" xfId="28921" xr:uid="{00000000-0005-0000-0000-00004C0B0000}"/>
    <cellStyle name="Calculation 2 3 2 4 3 2 14" xfId="29960" xr:uid="{00000000-0005-0000-0000-00004D0B0000}"/>
    <cellStyle name="Calculation 2 3 2 4 3 2 15" xfId="30953" xr:uid="{00000000-0005-0000-0000-00004E0B0000}"/>
    <cellStyle name="Calculation 2 3 2 4 3 2 16" xfId="31962" xr:uid="{00000000-0005-0000-0000-00004F0B0000}"/>
    <cellStyle name="Calculation 2 3 2 4 3 2 17" xfId="32965" xr:uid="{00000000-0005-0000-0000-0000500B0000}"/>
    <cellStyle name="Calculation 2 3 2 4 3 2 18" xfId="33964" xr:uid="{00000000-0005-0000-0000-0000510B0000}"/>
    <cellStyle name="Calculation 2 3 2 4 3 2 19" xfId="35585" xr:uid="{00000000-0005-0000-0000-0000520B0000}"/>
    <cellStyle name="Calculation 2 3 2 4 3 2 2" xfId="15988" xr:uid="{00000000-0005-0000-0000-0000530B0000}"/>
    <cellStyle name="Calculation 2 3 2 4 3 2 20" xfId="36524" xr:uid="{00000000-0005-0000-0000-0000540B0000}"/>
    <cellStyle name="Calculation 2 3 2 4 3 2 3" xfId="16966" xr:uid="{00000000-0005-0000-0000-0000550B0000}"/>
    <cellStyle name="Calculation 2 3 2 4 3 2 4" xfId="17994" xr:uid="{00000000-0005-0000-0000-0000560B0000}"/>
    <cellStyle name="Calculation 2 3 2 4 3 2 5" xfId="19026" xr:uid="{00000000-0005-0000-0000-0000570B0000}"/>
    <cellStyle name="Calculation 2 3 2 4 3 2 6" xfId="20048" xr:uid="{00000000-0005-0000-0000-0000580B0000}"/>
    <cellStyle name="Calculation 2 3 2 4 3 2 7" xfId="21057" xr:uid="{00000000-0005-0000-0000-0000590B0000}"/>
    <cellStyle name="Calculation 2 3 2 4 3 2 8" xfId="22031" xr:uid="{00000000-0005-0000-0000-00005A0B0000}"/>
    <cellStyle name="Calculation 2 3 2 4 3 2 9" xfId="23036" xr:uid="{00000000-0005-0000-0000-00005B0B0000}"/>
    <cellStyle name="Calculation 2 3 2 4 3 20" xfId="35584" xr:uid="{00000000-0005-0000-0000-00005C0B0000}"/>
    <cellStyle name="Calculation 2 3 2 4 3 21" xfId="36523" xr:uid="{00000000-0005-0000-0000-00005D0B0000}"/>
    <cellStyle name="Calculation 2 3 2 4 3 3" xfId="15987" xr:uid="{00000000-0005-0000-0000-00005E0B0000}"/>
    <cellStyle name="Calculation 2 3 2 4 3 4" xfId="16965" xr:uid="{00000000-0005-0000-0000-00005F0B0000}"/>
    <cellStyle name="Calculation 2 3 2 4 3 5" xfId="17993" xr:uid="{00000000-0005-0000-0000-0000600B0000}"/>
    <cellStyle name="Calculation 2 3 2 4 3 6" xfId="19025" xr:uid="{00000000-0005-0000-0000-0000610B0000}"/>
    <cellStyle name="Calculation 2 3 2 4 3 7" xfId="20047" xr:uid="{00000000-0005-0000-0000-0000620B0000}"/>
    <cellStyle name="Calculation 2 3 2 4 3 8" xfId="21056" xr:uid="{00000000-0005-0000-0000-0000630B0000}"/>
    <cellStyle name="Calculation 2 3 2 4 3 9" xfId="22030" xr:uid="{00000000-0005-0000-0000-0000640B0000}"/>
    <cellStyle name="Calculation 2 3 2 4 4" xfId="694" xr:uid="{00000000-0005-0000-0000-0000650B0000}"/>
    <cellStyle name="Calculation 2 3 2 4 4 10" xfId="23037" xr:uid="{00000000-0005-0000-0000-0000660B0000}"/>
    <cellStyle name="Calculation 2 3 2 4 4 11" xfId="24009" xr:uid="{00000000-0005-0000-0000-0000670B0000}"/>
    <cellStyle name="Calculation 2 3 2 4 4 12" xfId="25008" xr:uid="{00000000-0005-0000-0000-0000680B0000}"/>
    <cellStyle name="Calculation 2 3 2 4 4 13" xfId="27953" xr:uid="{00000000-0005-0000-0000-0000690B0000}"/>
    <cellStyle name="Calculation 2 3 2 4 4 14" xfId="28922" xr:uid="{00000000-0005-0000-0000-00006A0B0000}"/>
    <cellStyle name="Calculation 2 3 2 4 4 15" xfId="29961" xr:uid="{00000000-0005-0000-0000-00006B0B0000}"/>
    <cellStyle name="Calculation 2 3 2 4 4 16" xfId="30954" xr:uid="{00000000-0005-0000-0000-00006C0B0000}"/>
    <cellStyle name="Calculation 2 3 2 4 4 17" xfId="31963" xr:uid="{00000000-0005-0000-0000-00006D0B0000}"/>
    <cellStyle name="Calculation 2 3 2 4 4 18" xfId="32966" xr:uid="{00000000-0005-0000-0000-00006E0B0000}"/>
    <cellStyle name="Calculation 2 3 2 4 4 19" xfId="33965" xr:uid="{00000000-0005-0000-0000-00006F0B0000}"/>
    <cellStyle name="Calculation 2 3 2 4 4 2" xfId="695" xr:uid="{00000000-0005-0000-0000-0000700B0000}"/>
    <cellStyle name="Calculation 2 3 2 4 4 2 10" xfId="24010" xr:uid="{00000000-0005-0000-0000-0000710B0000}"/>
    <cellStyle name="Calculation 2 3 2 4 4 2 11" xfId="25009" xr:uid="{00000000-0005-0000-0000-0000720B0000}"/>
    <cellStyle name="Calculation 2 3 2 4 4 2 12" xfId="27954" xr:uid="{00000000-0005-0000-0000-0000730B0000}"/>
    <cellStyle name="Calculation 2 3 2 4 4 2 13" xfId="28923" xr:uid="{00000000-0005-0000-0000-0000740B0000}"/>
    <cellStyle name="Calculation 2 3 2 4 4 2 14" xfId="29962" xr:uid="{00000000-0005-0000-0000-0000750B0000}"/>
    <cellStyle name="Calculation 2 3 2 4 4 2 15" xfId="30955" xr:uid="{00000000-0005-0000-0000-0000760B0000}"/>
    <cellStyle name="Calculation 2 3 2 4 4 2 16" xfId="31964" xr:uid="{00000000-0005-0000-0000-0000770B0000}"/>
    <cellStyle name="Calculation 2 3 2 4 4 2 17" xfId="32967" xr:uid="{00000000-0005-0000-0000-0000780B0000}"/>
    <cellStyle name="Calculation 2 3 2 4 4 2 18" xfId="33966" xr:uid="{00000000-0005-0000-0000-0000790B0000}"/>
    <cellStyle name="Calculation 2 3 2 4 4 2 19" xfId="35587" xr:uid="{00000000-0005-0000-0000-00007A0B0000}"/>
    <cellStyle name="Calculation 2 3 2 4 4 2 2" xfId="15990" xr:uid="{00000000-0005-0000-0000-00007B0B0000}"/>
    <cellStyle name="Calculation 2 3 2 4 4 2 20" xfId="36526" xr:uid="{00000000-0005-0000-0000-00007C0B0000}"/>
    <cellStyle name="Calculation 2 3 2 4 4 2 3" xfId="16968" xr:uid="{00000000-0005-0000-0000-00007D0B0000}"/>
    <cellStyle name="Calculation 2 3 2 4 4 2 4" xfId="17996" xr:uid="{00000000-0005-0000-0000-00007E0B0000}"/>
    <cellStyle name="Calculation 2 3 2 4 4 2 5" xfId="19028" xr:uid="{00000000-0005-0000-0000-00007F0B0000}"/>
    <cellStyle name="Calculation 2 3 2 4 4 2 6" xfId="20050" xr:uid="{00000000-0005-0000-0000-0000800B0000}"/>
    <cellStyle name="Calculation 2 3 2 4 4 2 7" xfId="21059" xr:uid="{00000000-0005-0000-0000-0000810B0000}"/>
    <cellStyle name="Calculation 2 3 2 4 4 2 8" xfId="22033" xr:uid="{00000000-0005-0000-0000-0000820B0000}"/>
    <cellStyle name="Calculation 2 3 2 4 4 2 9" xfId="23038" xr:uid="{00000000-0005-0000-0000-0000830B0000}"/>
    <cellStyle name="Calculation 2 3 2 4 4 20" xfId="35586" xr:uid="{00000000-0005-0000-0000-0000840B0000}"/>
    <cellStyle name="Calculation 2 3 2 4 4 21" xfId="36525" xr:uid="{00000000-0005-0000-0000-0000850B0000}"/>
    <cellStyle name="Calculation 2 3 2 4 4 3" xfId="15989" xr:uid="{00000000-0005-0000-0000-0000860B0000}"/>
    <cellStyle name="Calculation 2 3 2 4 4 4" xfId="16967" xr:uid="{00000000-0005-0000-0000-0000870B0000}"/>
    <cellStyle name="Calculation 2 3 2 4 4 5" xfId="17995" xr:uid="{00000000-0005-0000-0000-0000880B0000}"/>
    <cellStyle name="Calculation 2 3 2 4 4 6" xfId="19027" xr:uid="{00000000-0005-0000-0000-0000890B0000}"/>
    <cellStyle name="Calculation 2 3 2 4 4 7" xfId="20049" xr:uid="{00000000-0005-0000-0000-00008A0B0000}"/>
    <cellStyle name="Calculation 2 3 2 4 4 8" xfId="21058" xr:uid="{00000000-0005-0000-0000-00008B0B0000}"/>
    <cellStyle name="Calculation 2 3 2 4 4 9" xfId="22032" xr:uid="{00000000-0005-0000-0000-00008C0B0000}"/>
    <cellStyle name="Calculation 2 3 2 4 5" xfId="696" xr:uid="{00000000-0005-0000-0000-00008D0B0000}"/>
    <cellStyle name="Calculation 2 3 2 4 5 10" xfId="24011" xr:uid="{00000000-0005-0000-0000-00008E0B0000}"/>
    <cellStyle name="Calculation 2 3 2 4 5 11" xfId="25010" xr:uid="{00000000-0005-0000-0000-00008F0B0000}"/>
    <cellStyle name="Calculation 2 3 2 4 5 12" xfId="27955" xr:uid="{00000000-0005-0000-0000-0000900B0000}"/>
    <cellStyle name="Calculation 2 3 2 4 5 13" xfId="28924" xr:uid="{00000000-0005-0000-0000-0000910B0000}"/>
    <cellStyle name="Calculation 2 3 2 4 5 14" xfId="29963" xr:uid="{00000000-0005-0000-0000-0000920B0000}"/>
    <cellStyle name="Calculation 2 3 2 4 5 15" xfId="30956" xr:uid="{00000000-0005-0000-0000-0000930B0000}"/>
    <cellStyle name="Calculation 2 3 2 4 5 16" xfId="31965" xr:uid="{00000000-0005-0000-0000-0000940B0000}"/>
    <cellStyle name="Calculation 2 3 2 4 5 17" xfId="32968" xr:uid="{00000000-0005-0000-0000-0000950B0000}"/>
    <cellStyle name="Calculation 2 3 2 4 5 18" xfId="33967" xr:uid="{00000000-0005-0000-0000-0000960B0000}"/>
    <cellStyle name="Calculation 2 3 2 4 5 19" xfId="35588" xr:uid="{00000000-0005-0000-0000-0000970B0000}"/>
    <cellStyle name="Calculation 2 3 2 4 5 2" xfId="15991" xr:uid="{00000000-0005-0000-0000-0000980B0000}"/>
    <cellStyle name="Calculation 2 3 2 4 5 20" xfId="36527" xr:uid="{00000000-0005-0000-0000-0000990B0000}"/>
    <cellStyle name="Calculation 2 3 2 4 5 3" xfId="16969" xr:uid="{00000000-0005-0000-0000-00009A0B0000}"/>
    <cellStyle name="Calculation 2 3 2 4 5 4" xfId="17997" xr:uid="{00000000-0005-0000-0000-00009B0B0000}"/>
    <cellStyle name="Calculation 2 3 2 4 5 5" xfId="19029" xr:uid="{00000000-0005-0000-0000-00009C0B0000}"/>
    <cellStyle name="Calculation 2 3 2 4 5 6" xfId="20051" xr:uid="{00000000-0005-0000-0000-00009D0B0000}"/>
    <cellStyle name="Calculation 2 3 2 4 5 7" xfId="21060" xr:uid="{00000000-0005-0000-0000-00009E0B0000}"/>
    <cellStyle name="Calculation 2 3 2 4 5 8" xfId="22034" xr:uid="{00000000-0005-0000-0000-00009F0B0000}"/>
    <cellStyle name="Calculation 2 3 2 4 5 9" xfId="23039" xr:uid="{00000000-0005-0000-0000-0000A00B0000}"/>
    <cellStyle name="Calculation 2 3 2 4 6" xfId="13881" xr:uid="{00000000-0005-0000-0000-0000A10B0000}"/>
    <cellStyle name="Calculation 2 3 2 4 7" xfId="13943" xr:uid="{00000000-0005-0000-0000-0000A20B0000}"/>
    <cellStyle name="Calculation 2 3 2 4 8" xfId="14648" xr:uid="{00000000-0005-0000-0000-0000A30B0000}"/>
    <cellStyle name="Calculation 2 3 2 4 9" xfId="15647" xr:uid="{00000000-0005-0000-0000-0000A40B0000}"/>
    <cellStyle name="Calculation 2 3 2 5" xfId="697" xr:uid="{00000000-0005-0000-0000-0000A50B0000}"/>
    <cellStyle name="Calculation 2 3 2 5 10" xfId="14253" xr:uid="{00000000-0005-0000-0000-0000A60B0000}"/>
    <cellStyle name="Calculation 2 3 2 5 11" xfId="14653" xr:uid="{00000000-0005-0000-0000-0000A70B0000}"/>
    <cellStyle name="Calculation 2 3 2 5 12" xfId="26444" xr:uid="{00000000-0005-0000-0000-0000A80B0000}"/>
    <cellStyle name="Calculation 2 3 2 5 13" xfId="27095" xr:uid="{00000000-0005-0000-0000-0000A90B0000}"/>
    <cellStyle name="Calculation 2 3 2 5 14" xfId="26122" xr:uid="{00000000-0005-0000-0000-0000AA0B0000}"/>
    <cellStyle name="Calculation 2 3 2 5 15" xfId="27200" xr:uid="{00000000-0005-0000-0000-0000AB0B0000}"/>
    <cellStyle name="Calculation 2 3 2 5 16" xfId="27812" xr:uid="{00000000-0005-0000-0000-0000AC0B0000}"/>
    <cellStyle name="Calculation 2 3 2 5 17" xfId="27578" xr:uid="{00000000-0005-0000-0000-0000AD0B0000}"/>
    <cellStyle name="Calculation 2 3 2 5 18" xfId="35128" xr:uid="{00000000-0005-0000-0000-0000AE0B0000}"/>
    <cellStyle name="Calculation 2 3 2 5 19" xfId="35250" xr:uid="{00000000-0005-0000-0000-0000AF0B0000}"/>
    <cellStyle name="Calculation 2 3 2 5 2" xfId="698" xr:uid="{00000000-0005-0000-0000-0000B00B0000}"/>
    <cellStyle name="Calculation 2 3 2 5 2 10" xfId="23040" xr:uid="{00000000-0005-0000-0000-0000B10B0000}"/>
    <cellStyle name="Calculation 2 3 2 5 2 11" xfId="24012" xr:uid="{00000000-0005-0000-0000-0000B20B0000}"/>
    <cellStyle name="Calculation 2 3 2 5 2 12" xfId="25011" xr:uid="{00000000-0005-0000-0000-0000B30B0000}"/>
    <cellStyle name="Calculation 2 3 2 5 2 13" xfId="27956" xr:uid="{00000000-0005-0000-0000-0000B40B0000}"/>
    <cellStyle name="Calculation 2 3 2 5 2 14" xfId="28925" xr:uid="{00000000-0005-0000-0000-0000B50B0000}"/>
    <cellStyle name="Calculation 2 3 2 5 2 15" xfId="29964" xr:uid="{00000000-0005-0000-0000-0000B60B0000}"/>
    <cellStyle name="Calculation 2 3 2 5 2 16" xfId="30957" xr:uid="{00000000-0005-0000-0000-0000B70B0000}"/>
    <cellStyle name="Calculation 2 3 2 5 2 17" xfId="31966" xr:uid="{00000000-0005-0000-0000-0000B80B0000}"/>
    <cellStyle name="Calculation 2 3 2 5 2 18" xfId="32969" xr:uid="{00000000-0005-0000-0000-0000B90B0000}"/>
    <cellStyle name="Calculation 2 3 2 5 2 19" xfId="33968" xr:uid="{00000000-0005-0000-0000-0000BA0B0000}"/>
    <cellStyle name="Calculation 2 3 2 5 2 2" xfId="699" xr:uid="{00000000-0005-0000-0000-0000BB0B0000}"/>
    <cellStyle name="Calculation 2 3 2 5 2 2 10" xfId="24013" xr:uid="{00000000-0005-0000-0000-0000BC0B0000}"/>
    <cellStyle name="Calculation 2 3 2 5 2 2 11" xfId="25012" xr:uid="{00000000-0005-0000-0000-0000BD0B0000}"/>
    <cellStyle name="Calculation 2 3 2 5 2 2 12" xfId="27957" xr:uid="{00000000-0005-0000-0000-0000BE0B0000}"/>
    <cellStyle name="Calculation 2 3 2 5 2 2 13" xfId="28926" xr:uid="{00000000-0005-0000-0000-0000BF0B0000}"/>
    <cellStyle name="Calculation 2 3 2 5 2 2 14" xfId="29965" xr:uid="{00000000-0005-0000-0000-0000C00B0000}"/>
    <cellStyle name="Calculation 2 3 2 5 2 2 15" xfId="30958" xr:uid="{00000000-0005-0000-0000-0000C10B0000}"/>
    <cellStyle name="Calculation 2 3 2 5 2 2 16" xfId="31967" xr:uid="{00000000-0005-0000-0000-0000C20B0000}"/>
    <cellStyle name="Calculation 2 3 2 5 2 2 17" xfId="32970" xr:uid="{00000000-0005-0000-0000-0000C30B0000}"/>
    <cellStyle name="Calculation 2 3 2 5 2 2 18" xfId="33969" xr:uid="{00000000-0005-0000-0000-0000C40B0000}"/>
    <cellStyle name="Calculation 2 3 2 5 2 2 19" xfId="35590" xr:uid="{00000000-0005-0000-0000-0000C50B0000}"/>
    <cellStyle name="Calculation 2 3 2 5 2 2 2" xfId="15993" xr:uid="{00000000-0005-0000-0000-0000C60B0000}"/>
    <cellStyle name="Calculation 2 3 2 5 2 2 20" xfId="36529" xr:uid="{00000000-0005-0000-0000-0000C70B0000}"/>
    <cellStyle name="Calculation 2 3 2 5 2 2 3" xfId="16971" xr:uid="{00000000-0005-0000-0000-0000C80B0000}"/>
    <cellStyle name="Calculation 2 3 2 5 2 2 4" xfId="17999" xr:uid="{00000000-0005-0000-0000-0000C90B0000}"/>
    <cellStyle name="Calculation 2 3 2 5 2 2 5" xfId="19031" xr:uid="{00000000-0005-0000-0000-0000CA0B0000}"/>
    <cellStyle name="Calculation 2 3 2 5 2 2 6" xfId="20053" xr:uid="{00000000-0005-0000-0000-0000CB0B0000}"/>
    <cellStyle name="Calculation 2 3 2 5 2 2 7" xfId="21062" xr:uid="{00000000-0005-0000-0000-0000CC0B0000}"/>
    <cellStyle name="Calculation 2 3 2 5 2 2 8" xfId="22036" xr:uid="{00000000-0005-0000-0000-0000CD0B0000}"/>
    <cellStyle name="Calculation 2 3 2 5 2 2 9" xfId="23041" xr:uid="{00000000-0005-0000-0000-0000CE0B0000}"/>
    <cellStyle name="Calculation 2 3 2 5 2 20" xfId="35589" xr:uid="{00000000-0005-0000-0000-0000CF0B0000}"/>
    <cellStyle name="Calculation 2 3 2 5 2 21" xfId="36528" xr:uid="{00000000-0005-0000-0000-0000D00B0000}"/>
    <cellStyle name="Calculation 2 3 2 5 2 3" xfId="15992" xr:uid="{00000000-0005-0000-0000-0000D10B0000}"/>
    <cellStyle name="Calculation 2 3 2 5 2 4" xfId="16970" xr:uid="{00000000-0005-0000-0000-0000D20B0000}"/>
    <cellStyle name="Calculation 2 3 2 5 2 5" xfId="17998" xr:uid="{00000000-0005-0000-0000-0000D30B0000}"/>
    <cellStyle name="Calculation 2 3 2 5 2 6" xfId="19030" xr:uid="{00000000-0005-0000-0000-0000D40B0000}"/>
    <cellStyle name="Calculation 2 3 2 5 2 7" xfId="20052" xr:uid="{00000000-0005-0000-0000-0000D50B0000}"/>
    <cellStyle name="Calculation 2 3 2 5 2 8" xfId="21061" xr:uid="{00000000-0005-0000-0000-0000D60B0000}"/>
    <cellStyle name="Calculation 2 3 2 5 2 9" xfId="22035" xr:uid="{00000000-0005-0000-0000-0000D70B0000}"/>
    <cellStyle name="Calculation 2 3 2 5 3" xfId="700" xr:uid="{00000000-0005-0000-0000-0000D80B0000}"/>
    <cellStyle name="Calculation 2 3 2 5 3 10" xfId="23042" xr:uid="{00000000-0005-0000-0000-0000D90B0000}"/>
    <cellStyle name="Calculation 2 3 2 5 3 11" xfId="24014" xr:uid="{00000000-0005-0000-0000-0000DA0B0000}"/>
    <cellStyle name="Calculation 2 3 2 5 3 12" xfId="25013" xr:uid="{00000000-0005-0000-0000-0000DB0B0000}"/>
    <cellStyle name="Calculation 2 3 2 5 3 13" xfId="27958" xr:uid="{00000000-0005-0000-0000-0000DC0B0000}"/>
    <cellStyle name="Calculation 2 3 2 5 3 14" xfId="28927" xr:uid="{00000000-0005-0000-0000-0000DD0B0000}"/>
    <cellStyle name="Calculation 2 3 2 5 3 15" xfId="29966" xr:uid="{00000000-0005-0000-0000-0000DE0B0000}"/>
    <cellStyle name="Calculation 2 3 2 5 3 16" xfId="30959" xr:uid="{00000000-0005-0000-0000-0000DF0B0000}"/>
    <cellStyle name="Calculation 2 3 2 5 3 17" xfId="31968" xr:uid="{00000000-0005-0000-0000-0000E00B0000}"/>
    <cellStyle name="Calculation 2 3 2 5 3 18" xfId="32971" xr:uid="{00000000-0005-0000-0000-0000E10B0000}"/>
    <cellStyle name="Calculation 2 3 2 5 3 19" xfId="33970" xr:uid="{00000000-0005-0000-0000-0000E20B0000}"/>
    <cellStyle name="Calculation 2 3 2 5 3 2" xfId="701" xr:uid="{00000000-0005-0000-0000-0000E30B0000}"/>
    <cellStyle name="Calculation 2 3 2 5 3 2 10" xfId="24015" xr:uid="{00000000-0005-0000-0000-0000E40B0000}"/>
    <cellStyle name="Calculation 2 3 2 5 3 2 11" xfId="25014" xr:uid="{00000000-0005-0000-0000-0000E50B0000}"/>
    <cellStyle name="Calculation 2 3 2 5 3 2 12" xfId="27959" xr:uid="{00000000-0005-0000-0000-0000E60B0000}"/>
    <cellStyle name="Calculation 2 3 2 5 3 2 13" xfId="28928" xr:uid="{00000000-0005-0000-0000-0000E70B0000}"/>
    <cellStyle name="Calculation 2 3 2 5 3 2 14" xfId="29967" xr:uid="{00000000-0005-0000-0000-0000E80B0000}"/>
    <cellStyle name="Calculation 2 3 2 5 3 2 15" xfId="30960" xr:uid="{00000000-0005-0000-0000-0000E90B0000}"/>
    <cellStyle name="Calculation 2 3 2 5 3 2 16" xfId="31969" xr:uid="{00000000-0005-0000-0000-0000EA0B0000}"/>
    <cellStyle name="Calculation 2 3 2 5 3 2 17" xfId="32972" xr:uid="{00000000-0005-0000-0000-0000EB0B0000}"/>
    <cellStyle name="Calculation 2 3 2 5 3 2 18" xfId="33971" xr:uid="{00000000-0005-0000-0000-0000EC0B0000}"/>
    <cellStyle name="Calculation 2 3 2 5 3 2 19" xfId="35592" xr:uid="{00000000-0005-0000-0000-0000ED0B0000}"/>
    <cellStyle name="Calculation 2 3 2 5 3 2 2" xfId="15995" xr:uid="{00000000-0005-0000-0000-0000EE0B0000}"/>
    <cellStyle name="Calculation 2 3 2 5 3 2 20" xfId="36531" xr:uid="{00000000-0005-0000-0000-0000EF0B0000}"/>
    <cellStyle name="Calculation 2 3 2 5 3 2 3" xfId="16973" xr:uid="{00000000-0005-0000-0000-0000F00B0000}"/>
    <cellStyle name="Calculation 2 3 2 5 3 2 4" xfId="18001" xr:uid="{00000000-0005-0000-0000-0000F10B0000}"/>
    <cellStyle name="Calculation 2 3 2 5 3 2 5" xfId="19033" xr:uid="{00000000-0005-0000-0000-0000F20B0000}"/>
    <cellStyle name="Calculation 2 3 2 5 3 2 6" xfId="20055" xr:uid="{00000000-0005-0000-0000-0000F30B0000}"/>
    <cellStyle name="Calculation 2 3 2 5 3 2 7" xfId="21064" xr:uid="{00000000-0005-0000-0000-0000F40B0000}"/>
    <cellStyle name="Calculation 2 3 2 5 3 2 8" xfId="22038" xr:uid="{00000000-0005-0000-0000-0000F50B0000}"/>
    <cellStyle name="Calculation 2 3 2 5 3 2 9" xfId="23043" xr:uid="{00000000-0005-0000-0000-0000F60B0000}"/>
    <cellStyle name="Calculation 2 3 2 5 3 20" xfId="35591" xr:uid="{00000000-0005-0000-0000-0000F70B0000}"/>
    <cellStyle name="Calculation 2 3 2 5 3 21" xfId="36530" xr:uid="{00000000-0005-0000-0000-0000F80B0000}"/>
    <cellStyle name="Calculation 2 3 2 5 3 3" xfId="15994" xr:uid="{00000000-0005-0000-0000-0000F90B0000}"/>
    <cellStyle name="Calculation 2 3 2 5 3 4" xfId="16972" xr:uid="{00000000-0005-0000-0000-0000FA0B0000}"/>
    <cellStyle name="Calculation 2 3 2 5 3 5" xfId="18000" xr:uid="{00000000-0005-0000-0000-0000FB0B0000}"/>
    <cellStyle name="Calculation 2 3 2 5 3 6" xfId="19032" xr:uid="{00000000-0005-0000-0000-0000FC0B0000}"/>
    <cellStyle name="Calculation 2 3 2 5 3 7" xfId="20054" xr:uid="{00000000-0005-0000-0000-0000FD0B0000}"/>
    <cellStyle name="Calculation 2 3 2 5 3 8" xfId="21063" xr:uid="{00000000-0005-0000-0000-0000FE0B0000}"/>
    <cellStyle name="Calculation 2 3 2 5 3 9" xfId="22037" xr:uid="{00000000-0005-0000-0000-0000FF0B0000}"/>
    <cellStyle name="Calculation 2 3 2 5 4" xfId="702" xr:uid="{00000000-0005-0000-0000-0000000C0000}"/>
    <cellStyle name="Calculation 2 3 2 5 4 10" xfId="23044" xr:uid="{00000000-0005-0000-0000-0000010C0000}"/>
    <cellStyle name="Calculation 2 3 2 5 4 11" xfId="24016" xr:uid="{00000000-0005-0000-0000-0000020C0000}"/>
    <cellStyle name="Calculation 2 3 2 5 4 12" xfId="25015" xr:uid="{00000000-0005-0000-0000-0000030C0000}"/>
    <cellStyle name="Calculation 2 3 2 5 4 13" xfId="27960" xr:uid="{00000000-0005-0000-0000-0000040C0000}"/>
    <cellStyle name="Calculation 2 3 2 5 4 14" xfId="28929" xr:uid="{00000000-0005-0000-0000-0000050C0000}"/>
    <cellStyle name="Calculation 2 3 2 5 4 15" xfId="29968" xr:uid="{00000000-0005-0000-0000-0000060C0000}"/>
    <cellStyle name="Calculation 2 3 2 5 4 16" xfId="30961" xr:uid="{00000000-0005-0000-0000-0000070C0000}"/>
    <cellStyle name="Calculation 2 3 2 5 4 17" xfId="31970" xr:uid="{00000000-0005-0000-0000-0000080C0000}"/>
    <cellStyle name="Calculation 2 3 2 5 4 18" xfId="32973" xr:uid="{00000000-0005-0000-0000-0000090C0000}"/>
    <cellStyle name="Calculation 2 3 2 5 4 19" xfId="33972" xr:uid="{00000000-0005-0000-0000-00000A0C0000}"/>
    <cellStyle name="Calculation 2 3 2 5 4 2" xfId="703" xr:uid="{00000000-0005-0000-0000-00000B0C0000}"/>
    <cellStyle name="Calculation 2 3 2 5 4 2 10" xfId="24017" xr:uid="{00000000-0005-0000-0000-00000C0C0000}"/>
    <cellStyle name="Calculation 2 3 2 5 4 2 11" xfId="25016" xr:uid="{00000000-0005-0000-0000-00000D0C0000}"/>
    <cellStyle name="Calculation 2 3 2 5 4 2 12" xfId="27961" xr:uid="{00000000-0005-0000-0000-00000E0C0000}"/>
    <cellStyle name="Calculation 2 3 2 5 4 2 13" xfId="28930" xr:uid="{00000000-0005-0000-0000-00000F0C0000}"/>
    <cellStyle name="Calculation 2 3 2 5 4 2 14" xfId="29969" xr:uid="{00000000-0005-0000-0000-0000100C0000}"/>
    <cellStyle name="Calculation 2 3 2 5 4 2 15" xfId="30962" xr:uid="{00000000-0005-0000-0000-0000110C0000}"/>
    <cellStyle name="Calculation 2 3 2 5 4 2 16" xfId="31971" xr:uid="{00000000-0005-0000-0000-0000120C0000}"/>
    <cellStyle name="Calculation 2 3 2 5 4 2 17" xfId="32974" xr:uid="{00000000-0005-0000-0000-0000130C0000}"/>
    <cellStyle name="Calculation 2 3 2 5 4 2 18" xfId="33973" xr:uid="{00000000-0005-0000-0000-0000140C0000}"/>
    <cellStyle name="Calculation 2 3 2 5 4 2 19" xfId="35594" xr:uid="{00000000-0005-0000-0000-0000150C0000}"/>
    <cellStyle name="Calculation 2 3 2 5 4 2 2" xfId="15997" xr:uid="{00000000-0005-0000-0000-0000160C0000}"/>
    <cellStyle name="Calculation 2 3 2 5 4 2 20" xfId="36533" xr:uid="{00000000-0005-0000-0000-0000170C0000}"/>
    <cellStyle name="Calculation 2 3 2 5 4 2 3" xfId="16975" xr:uid="{00000000-0005-0000-0000-0000180C0000}"/>
    <cellStyle name="Calculation 2 3 2 5 4 2 4" xfId="18003" xr:uid="{00000000-0005-0000-0000-0000190C0000}"/>
    <cellStyle name="Calculation 2 3 2 5 4 2 5" xfId="19035" xr:uid="{00000000-0005-0000-0000-00001A0C0000}"/>
    <cellStyle name="Calculation 2 3 2 5 4 2 6" xfId="20057" xr:uid="{00000000-0005-0000-0000-00001B0C0000}"/>
    <cellStyle name="Calculation 2 3 2 5 4 2 7" xfId="21066" xr:uid="{00000000-0005-0000-0000-00001C0C0000}"/>
    <cellStyle name="Calculation 2 3 2 5 4 2 8" xfId="22040" xr:uid="{00000000-0005-0000-0000-00001D0C0000}"/>
    <cellStyle name="Calculation 2 3 2 5 4 2 9" xfId="23045" xr:uid="{00000000-0005-0000-0000-00001E0C0000}"/>
    <cellStyle name="Calculation 2 3 2 5 4 20" xfId="35593" xr:uid="{00000000-0005-0000-0000-00001F0C0000}"/>
    <cellStyle name="Calculation 2 3 2 5 4 21" xfId="36532" xr:uid="{00000000-0005-0000-0000-0000200C0000}"/>
    <cellStyle name="Calculation 2 3 2 5 4 3" xfId="15996" xr:uid="{00000000-0005-0000-0000-0000210C0000}"/>
    <cellStyle name="Calculation 2 3 2 5 4 4" xfId="16974" xr:uid="{00000000-0005-0000-0000-0000220C0000}"/>
    <cellStyle name="Calculation 2 3 2 5 4 5" xfId="18002" xr:uid="{00000000-0005-0000-0000-0000230C0000}"/>
    <cellStyle name="Calculation 2 3 2 5 4 6" xfId="19034" xr:uid="{00000000-0005-0000-0000-0000240C0000}"/>
    <cellStyle name="Calculation 2 3 2 5 4 7" xfId="20056" xr:uid="{00000000-0005-0000-0000-0000250C0000}"/>
    <cellStyle name="Calculation 2 3 2 5 4 8" xfId="21065" xr:uid="{00000000-0005-0000-0000-0000260C0000}"/>
    <cellStyle name="Calculation 2 3 2 5 4 9" xfId="22039" xr:uid="{00000000-0005-0000-0000-0000270C0000}"/>
    <cellStyle name="Calculation 2 3 2 5 5" xfId="704" xr:uid="{00000000-0005-0000-0000-0000280C0000}"/>
    <cellStyle name="Calculation 2 3 2 5 5 10" xfId="24018" xr:uid="{00000000-0005-0000-0000-0000290C0000}"/>
    <cellStyle name="Calculation 2 3 2 5 5 11" xfId="25017" xr:uid="{00000000-0005-0000-0000-00002A0C0000}"/>
    <cellStyle name="Calculation 2 3 2 5 5 12" xfId="27962" xr:uid="{00000000-0005-0000-0000-00002B0C0000}"/>
    <cellStyle name="Calculation 2 3 2 5 5 13" xfId="28931" xr:uid="{00000000-0005-0000-0000-00002C0C0000}"/>
    <cellStyle name="Calculation 2 3 2 5 5 14" xfId="29970" xr:uid="{00000000-0005-0000-0000-00002D0C0000}"/>
    <cellStyle name="Calculation 2 3 2 5 5 15" xfId="30963" xr:uid="{00000000-0005-0000-0000-00002E0C0000}"/>
    <cellStyle name="Calculation 2 3 2 5 5 16" xfId="31972" xr:uid="{00000000-0005-0000-0000-00002F0C0000}"/>
    <cellStyle name="Calculation 2 3 2 5 5 17" xfId="32975" xr:uid="{00000000-0005-0000-0000-0000300C0000}"/>
    <cellStyle name="Calculation 2 3 2 5 5 18" xfId="33974" xr:uid="{00000000-0005-0000-0000-0000310C0000}"/>
    <cellStyle name="Calculation 2 3 2 5 5 19" xfId="35595" xr:uid="{00000000-0005-0000-0000-0000320C0000}"/>
    <cellStyle name="Calculation 2 3 2 5 5 2" xfId="15998" xr:uid="{00000000-0005-0000-0000-0000330C0000}"/>
    <cellStyle name="Calculation 2 3 2 5 5 20" xfId="36534" xr:uid="{00000000-0005-0000-0000-0000340C0000}"/>
    <cellStyle name="Calculation 2 3 2 5 5 3" xfId="16976" xr:uid="{00000000-0005-0000-0000-0000350C0000}"/>
    <cellStyle name="Calculation 2 3 2 5 5 4" xfId="18004" xr:uid="{00000000-0005-0000-0000-0000360C0000}"/>
    <cellStyle name="Calculation 2 3 2 5 5 5" xfId="19036" xr:uid="{00000000-0005-0000-0000-0000370C0000}"/>
    <cellStyle name="Calculation 2 3 2 5 5 6" xfId="20058" xr:uid="{00000000-0005-0000-0000-0000380C0000}"/>
    <cellStyle name="Calculation 2 3 2 5 5 7" xfId="21067" xr:uid="{00000000-0005-0000-0000-0000390C0000}"/>
    <cellStyle name="Calculation 2 3 2 5 5 8" xfId="22041" xr:uid="{00000000-0005-0000-0000-00003A0C0000}"/>
    <cellStyle name="Calculation 2 3 2 5 5 9" xfId="23046" xr:uid="{00000000-0005-0000-0000-00003B0C0000}"/>
    <cellStyle name="Calculation 2 3 2 5 6" xfId="13493" xr:uid="{00000000-0005-0000-0000-00003C0C0000}"/>
    <cellStyle name="Calculation 2 3 2 5 7" xfId="15444" xr:uid="{00000000-0005-0000-0000-00003D0C0000}"/>
    <cellStyle name="Calculation 2 3 2 5 8" xfId="15814" xr:uid="{00000000-0005-0000-0000-00003E0C0000}"/>
    <cellStyle name="Calculation 2 3 2 5 9" xfId="14272" xr:uid="{00000000-0005-0000-0000-00003F0C0000}"/>
    <cellStyle name="Calculation 2 3 2 6" xfId="705" xr:uid="{00000000-0005-0000-0000-0000400C0000}"/>
    <cellStyle name="Calculation 2 3 2 6 10" xfId="23047" xr:uid="{00000000-0005-0000-0000-0000410C0000}"/>
    <cellStyle name="Calculation 2 3 2 6 11" xfId="24019" xr:uid="{00000000-0005-0000-0000-0000420C0000}"/>
    <cellStyle name="Calculation 2 3 2 6 12" xfId="25018" xr:uid="{00000000-0005-0000-0000-0000430C0000}"/>
    <cellStyle name="Calculation 2 3 2 6 13" xfId="27963" xr:uid="{00000000-0005-0000-0000-0000440C0000}"/>
    <cellStyle name="Calculation 2 3 2 6 14" xfId="28932" xr:uid="{00000000-0005-0000-0000-0000450C0000}"/>
    <cellStyle name="Calculation 2 3 2 6 15" xfId="29971" xr:uid="{00000000-0005-0000-0000-0000460C0000}"/>
    <cellStyle name="Calculation 2 3 2 6 16" xfId="30964" xr:uid="{00000000-0005-0000-0000-0000470C0000}"/>
    <cellStyle name="Calculation 2 3 2 6 17" xfId="31973" xr:uid="{00000000-0005-0000-0000-0000480C0000}"/>
    <cellStyle name="Calculation 2 3 2 6 18" xfId="32976" xr:uid="{00000000-0005-0000-0000-0000490C0000}"/>
    <cellStyle name="Calculation 2 3 2 6 19" xfId="33975" xr:uid="{00000000-0005-0000-0000-00004A0C0000}"/>
    <cellStyle name="Calculation 2 3 2 6 2" xfId="706" xr:uid="{00000000-0005-0000-0000-00004B0C0000}"/>
    <cellStyle name="Calculation 2 3 2 6 2 10" xfId="24020" xr:uid="{00000000-0005-0000-0000-00004C0C0000}"/>
    <cellStyle name="Calculation 2 3 2 6 2 11" xfId="25019" xr:uid="{00000000-0005-0000-0000-00004D0C0000}"/>
    <cellStyle name="Calculation 2 3 2 6 2 12" xfId="27964" xr:uid="{00000000-0005-0000-0000-00004E0C0000}"/>
    <cellStyle name="Calculation 2 3 2 6 2 13" xfId="28933" xr:uid="{00000000-0005-0000-0000-00004F0C0000}"/>
    <cellStyle name="Calculation 2 3 2 6 2 14" xfId="29972" xr:uid="{00000000-0005-0000-0000-0000500C0000}"/>
    <cellStyle name="Calculation 2 3 2 6 2 15" xfId="30965" xr:uid="{00000000-0005-0000-0000-0000510C0000}"/>
    <cellStyle name="Calculation 2 3 2 6 2 16" xfId="31974" xr:uid="{00000000-0005-0000-0000-0000520C0000}"/>
    <cellStyle name="Calculation 2 3 2 6 2 17" xfId="32977" xr:uid="{00000000-0005-0000-0000-0000530C0000}"/>
    <cellStyle name="Calculation 2 3 2 6 2 18" xfId="33976" xr:uid="{00000000-0005-0000-0000-0000540C0000}"/>
    <cellStyle name="Calculation 2 3 2 6 2 19" xfId="35597" xr:uid="{00000000-0005-0000-0000-0000550C0000}"/>
    <cellStyle name="Calculation 2 3 2 6 2 2" xfId="16000" xr:uid="{00000000-0005-0000-0000-0000560C0000}"/>
    <cellStyle name="Calculation 2 3 2 6 2 20" xfId="36536" xr:uid="{00000000-0005-0000-0000-0000570C0000}"/>
    <cellStyle name="Calculation 2 3 2 6 2 3" xfId="16978" xr:uid="{00000000-0005-0000-0000-0000580C0000}"/>
    <cellStyle name="Calculation 2 3 2 6 2 4" xfId="18006" xr:uid="{00000000-0005-0000-0000-0000590C0000}"/>
    <cellStyle name="Calculation 2 3 2 6 2 5" xfId="19038" xr:uid="{00000000-0005-0000-0000-00005A0C0000}"/>
    <cellStyle name="Calculation 2 3 2 6 2 6" xfId="20060" xr:uid="{00000000-0005-0000-0000-00005B0C0000}"/>
    <cellStyle name="Calculation 2 3 2 6 2 7" xfId="21069" xr:uid="{00000000-0005-0000-0000-00005C0C0000}"/>
    <cellStyle name="Calculation 2 3 2 6 2 8" xfId="22043" xr:uid="{00000000-0005-0000-0000-00005D0C0000}"/>
    <cellStyle name="Calculation 2 3 2 6 2 9" xfId="23048" xr:uid="{00000000-0005-0000-0000-00005E0C0000}"/>
    <cellStyle name="Calculation 2 3 2 6 20" xfId="35596" xr:uid="{00000000-0005-0000-0000-00005F0C0000}"/>
    <cellStyle name="Calculation 2 3 2 6 21" xfId="36535" xr:uid="{00000000-0005-0000-0000-0000600C0000}"/>
    <cellStyle name="Calculation 2 3 2 6 3" xfId="15999" xr:uid="{00000000-0005-0000-0000-0000610C0000}"/>
    <cellStyle name="Calculation 2 3 2 6 4" xfId="16977" xr:uid="{00000000-0005-0000-0000-0000620C0000}"/>
    <cellStyle name="Calculation 2 3 2 6 5" xfId="18005" xr:uid="{00000000-0005-0000-0000-0000630C0000}"/>
    <cellStyle name="Calculation 2 3 2 6 6" xfId="19037" xr:uid="{00000000-0005-0000-0000-0000640C0000}"/>
    <cellStyle name="Calculation 2 3 2 6 7" xfId="20059" xr:uid="{00000000-0005-0000-0000-0000650C0000}"/>
    <cellStyle name="Calculation 2 3 2 6 8" xfId="21068" xr:uid="{00000000-0005-0000-0000-0000660C0000}"/>
    <cellStyle name="Calculation 2 3 2 6 9" xfId="22042" xr:uid="{00000000-0005-0000-0000-0000670C0000}"/>
    <cellStyle name="Calculation 2 3 2 7" xfId="707" xr:uid="{00000000-0005-0000-0000-0000680C0000}"/>
    <cellStyle name="Calculation 2 3 2 7 10" xfId="23049" xr:uid="{00000000-0005-0000-0000-0000690C0000}"/>
    <cellStyle name="Calculation 2 3 2 7 11" xfId="24021" xr:uid="{00000000-0005-0000-0000-00006A0C0000}"/>
    <cellStyle name="Calculation 2 3 2 7 12" xfId="25020" xr:uid="{00000000-0005-0000-0000-00006B0C0000}"/>
    <cellStyle name="Calculation 2 3 2 7 13" xfId="27965" xr:uid="{00000000-0005-0000-0000-00006C0C0000}"/>
    <cellStyle name="Calculation 2 3 2 7 14" xfId="28934" xr:uid="{00000000-0005-0000-0000-00006D0C0000}"/>
    <cellStyle name="Calculation 2 3 2 7 15" xfId="29973" xr:uid="{00000000-0005-0000-0000-00006E0C0000}"/>
    <cellStyle name="Calculation 2 3 2 7 16" xfId="30966" xr:uid="{00000000-0005-0000-0000-00006F0C0000}"/>
    <cellStyle name="Calculation 2 3 2 7 17" xfId="31975" xr:uid="{00000000-0005-0000-0000-0000700C0000}"/>
    <cellStyle name="Calculation 2 3 2 7 18" xfId="32978" xr:uid="{00000000-0005-0000-0000-0000710C0000}"/>
    <cellStyle name="Calculation 2 3 2 7 19" xfId="33977" xr:uid="{00000000-0005-0000-0000-0000720C0000}"/>
    <cellStyle name="Calculation 2 3 2 7 2" xfId="708" xr:uid="{00000000-0005-0000-0000-0000730C0000}"/>
    <cellStyle name="Calculation 2 3 2 7 2 10" xfId="24022" xr:uid="{00000000-0005-0000-0000-0000740C0000}"/>
    <cellStyle name="Calculation 2 3 2 7 2 11" xfId="25021" xr:uid="{00000000-0005-0000-0000-0000750C0000}"/>
    <cellStyle name="Calculation 2 3 2 7 2 12" xfId="27966" xr:uid="{00000000-0005-0000-0000-0000760C0000}"/>
    <cellStyle name="Calculation 2 3 2 7 2 13" xfId="28935" xr:uid="{00000000-0005-0000-0000-0000770C0000}"/>
    <cellStyle name="Calculation 2 3 2 7 2 14" xfId="29974" xr:uid="{00000000-0005-0000-0000-0000780C0000}"/>
    <cellStyle name="Calculation 2 3 2 7 2 15" xfId="30967" xr:uid="{00000000-0005-0000-0000-0000790C0000}"/>
    <cellStyle name="Calculation 2 3 2 7 2 16" xfId="31976" xr:uid="{00000000-0005-0000-0000-00007A0C0000}"/>
    <cellStyle name="Calculation 2 3 2 7 2 17" xfId="32979" xr:uid="{00000000-0005-0000-0000-00007B0C0000}"/>
    <cellStyle name="Calculation 2 3 2 7 2 18" xfId="33978" xr:uid="{00000000-0005-0000-0000-00007C0C0000}"/>
    <cellStyle name="Calculation 2 3 2 7 2 19" xfId="35599" xr:uid="{00000000-0005-0000-0000-00007D0C0000}"/>
    <cellStyle name="Calculation 2 3 2 7 2 2" xfId="16002" xr:uid="{00000000-0005-0000-0000-00007E0C0000}"/>
    <cellStyle name="Calculation 2 3 2 7 2 20" xfId="36538" xr:uid="{00000000-0005-0000-0000-00007F0C0000}"/>
    <cellStyle name="Calculation 2 3 2 7 2 3" xfId="16980" xr:uid="{00000000-0005-0000-0000-0000800C0000}"/>
    <cellStyle name="Calculation 2 3 2 7 2 4" xfId="18008" xr:uid="{00000000-0005-0000-0000-0000810C0000}"/>
    <cellStyle name="Calculation 2 3 2 7 2 5" xfId="19040" xr:uid="{00000000-0005-0000-0000-0000820C0000}"/>
    <cellStyle name="Calculation 2 3 2 7 2 6" xfId="20062" xr:uid="{00000000-0005-0000-0000-0000830C0000}"/>
    <cellStyle name="Calculation 2 3 2 7 2 7" xfId="21071" xr:uid="{00000000-0005-0000-0000-0000840C0000}"/>
    <cellStyle name="Calculation 2 3 2 7 2 8" xfId="22045" xr:uid="{00000000-0005-0000-0000-0000850C0000}"/>
    <cellStyle name="Calculation 2 3 2 7 2 9" xfId="23050" xr:uid="{00000000-0005-0000-0000-0000860C0000}"/>
    <cellStyle name="Calculation 2 3 2 7 20" xfId="35598" xr:uid="{00000000-0005-0000-0000-0000870C0000}"/>
    <cellStyle name="Calculation 2 3 2 7 21" xfId="36537" xr:uid="{00000000-0005-0000-0000-0000880C0000}"/>
    <cellStyle name="Calculation 2 3 2 7 3" xfId="16001" xr:uid="{00000000-0005-0000-0000-0000890C0000}"/>
    <cellStyle name="Calculation 2 3 2 7 4" xfId="16979" xr:uid="{00000000-0005-0000-0000-00008A0C0000}"/>
    <cellStyle name="Calculation 2 3 2 7 5" xfId="18007" xr:uid="{00000000-0005-0000-0000-00008B0C0000}"/>
    <cellStyle name="Calculation 2 3 2 7 6" xfId="19039" xr:uid="{00000000-0005-0000-0000-00008C0C0000}"/>
    <cellStyle name="Calculation 2 3 2 7 7" xfId="20061" xr:uid="{00000000-0005-0000-0000-00008D0C0000}"/>
    <cellStyle name="Calculation 2 3 2 7 8" xfId="21070" xr:uid="{00000000-0005-0000-0000-00008E0C0000}"/>
    <cellStyle name="Calculation 2 3 2 7 9" xfId="22044" xr:uid="{00000000-0005-0000-0000-00008F0C0000}"/>
    <cellStyle name="Calculation 2 3 2 8" xfId="709" xr:uid="{00000000-0005-0000-0000-0000900C0000}"/>
    <cellStyle name="Calculation 2 3 2 8 10" xfId="23051" xr:uid="{00000000-0005-0000-0000-0000910C0000}"/>
    <cellStyle name="Calculation 2 3 2 8 11" xfId="24023" xr:uid="{00000000-0005-0000-0000-0000920C0000}"/>
    <cellStyle name="Calculation 2 3 2 8 12" xfId="25022" xr:uid="{00000000-0005-0000-0000-0000930C0000}"/>
    <cellStyle name="Calculation 2 3 2 8 13" xfId="27967" xr:uid="{00000000-0005-0000-0000-0000940C0000}"/>
    <cellStyle name="Calculation 2 3 2 8 14" xfId="28936" xr:uid="{00000000-0005-0000-0000-0000950C0000}"/>
    <cellStyle name="Calculation 2 3 2 8 15" xfId="29975" xr:uid="{00000000-0005-0000-0000-0000960C0000}"/>
    <cellStyle name="Calculation 2 3 2 8 16" xfId="30968" xr:uid="{00000000-0005-0000-0000-0000970C0000}"/>
    <cellStyle name="Calculation 2 3 2 8 17" xfId="31977" xr:uid="{00000000-0005-0000-0000-0000980C0000}"/>
    <cellStyle name="Calculation 2 3 2 8 18" xfId="32980" xr:uid="{00000000-0005-0000-0000-0000990C0000}"/>
    <cellStyle name="Calculation 2 3 2 8 19" xfId="33979" xr:uid="{00000000-0005-0000-0000-00009A0C0000}"/>
    <cellStyle name="Calculation 2 3 2 8 2" xfId="710" xr:uid="{00000000-0005-0000-0000-00009B0C0000}"/>
    <cellStyle name="Calculation 2 3 2 8 2 10" xfId="24024" xr:uid="{00000000-0005-0000-0000-00009C0C0000}"/>
    <cellStyle name="Calculation 2 3 2 8 2 11" xfId="25023" xr:uid="{00000000-0005-0000-0000-00009D0C0000}"/>
    <cellStyle name="Calculation 2 3 2 8 2 12" xfId="27968" xr:uid="{00000000-0005-0000-0000-00009E0C0000}"/>
    <cellStyle name="Calculation 2 3 2 8 2 13" xfId="28937" xr:uid="{00000000-0005-0000-0000-00009F0C0000}"/>
    <cellStyle name="Calculation 2 3 2 8 2 14" xfId="29976" xr:uid="{00000000-0005-0000-0000-0000A00C0000}"/>
    <cellStyle name="Calculation 2 3 2 8 2 15" xfId="30969" xr:uid="{00000000-0005-0000-0000-0000A10C0000}"/>
    <cellStyle name="Calculation 2 3 2 8 2 16" xfId="31978" xr:uid="{00000000-0005-0000-0000-0000A20C0000}"/>
    <cellStyle name="Calculation 2 3 2 8 2 17" xfId="32981" xr:uid="{00000000-0005-0000-0000-0000A30C0000}"/>
    <cellStyle name="Calculation 2 3 2 8 2 18" xfId="33980" xr:uid="{00000000-0005-0000-0000-0000A40C0000}"/>
    <cellStyle name="Calculation 2 3 2 8 2 19" xfId="35601" xr:uid="{00000000-0005-0000-0000-0000A50C0000}"/>
    <cellStyle name="Calculation 2 3 2 8 2 2" xfId="16004" xr:uid="{00000000-0005-0000-0000-0000A60C0000}"/>
    <cellStyle name="Calculation 2 3 2 8 2 20" xfId="36540" xr:uid="{00000000-0005-0000-0000-0000A70C0000}"/>
    <cellStyle name="Calculation 2 3 2 8 2 3" xfId="16982" xr:uid="{00000000-0005-0000-0000-0000A80C0000}"/>
    <cellStyle name="Calculation 2 3 2 8 2 4" xfId="18010" xr:uid="{00000000-0005-0000-0000-0000A90C0000}"/>
    <cellStyle name="Calculation 2 3 2 8 2 5" xfId="19042" xr:uid="{00000000-0005-0000-0000-0000AA0C0000}"/>
    <cellStyle name="Calculation 2 3 2 8 2 6" xfId="20064" xr:uid="{00000000-0005-0000-0000-0000AB0C0000}"/>
    <cellStyle name="Calculation 2 3 2 8 2 7" xfId="21073" xr:uid="{00000000-0005-0000-0000-0000AC0C0000}"/>
    <cellStyle name="Calculation 2 3 2 8 2 8" xfId="22047" xr:uid="{00000000-0005-0000-0000-0000AD0C0000}"/>
    <cellStyle name="Calculation 2 3 2 8 2 9" xfId="23052" xr:uid="{00000000-0005-0000-0000-0000AE0C0000}"/>
    <cellStyle name="Calculation 2 3 2 8 20" xfId="35600" xr:uid="{00000000-0005-0000-0000-0000AF0C0000}"/>
    <cellStyle name="Calculation 2 3 2 8 21" xfId="36539" xr:uid="{00000000-0005-0000-0000-0000B00C0000}"/>
    <cellStyle name="Calculation 2 3 2 8 3" xfId="16003" xr:uid="{00000000-0005-0000-0000-0000B10C0000}"/>
    <cellStyle name="Calculation 2 3 2 8 4" xfId="16981" xr:uid="{00000000-0005-0000-0000-0000B20C0000}"/>
    <cellStyle name="Calculation 2 3 2 8 5" xfId="18009" xr:uid="{00000000-0005-0000-0000-0000B30C0000}"/>
    <cellStyle name="Calculation 2 3 2 8 6" xfId="19041" xr:uid="{00000000-0005-0000-0000-0000B40C0000}"/>
    <cellStyle name="Calculation 2 3 2 8 7" xfId="20063" xr:uid="{00000000-0005-0000-0000-0000B50C0000}"/>
    <cellStyle name="Calculation 2 3 2 8 8" xfId="21072" xr:uid="{00000000-0005-0000-0000-0000B60C0000}"/>
    <cellStyle name="Calculation 2 3 2 8 9" xfId="22046" xr:uid="{00000000-0005-0000-0000-0000B70C0000}"/>
    <cellStyle name="Calculation 2 3 2 9" xfId="711" xr:uid="{00000000-0005-0000-0000-0000B80C0000}"/>
    <cellStyle name="Calculation 2 3 2 9 10" xfId="24025" xr:uid="{00000000-0005-0000-0000-0000B90C0000}"/>
    <cellStyle name="Calculation 2 3 2 9 11" xfId="25024" xr:uid="{00000000-0005-0000-0000-0000BA0C0000}"/>
    <cellStyle name="Calculation 2 3 2 9 12" xfId="27969" xr:uid="{00000000-0005-0000-0000-0000BB0C0000}"/>
    <cellStyle name="Calculation 2 3 2 9 13" xfId="28938" xr:uid="{00000000-0005-0000-0000-0000BC0C0000}"/>
    <cellStyle name="Calculation 2 3 2 9 14" xfId="29977" xr:uid="{00000000-0005-0000-0000-0000BD0C0000}"/>
    <cellStyle name="Calculation 2 3 2 9 15" xfId="30970" xr:uid="{00000000-0005-0000-0000-0000BE0C0000}"/>
    <cellStyle name="Calculation 2 3 2 9 16" xfId="31979" xr:uid="{00000000-0005-0000-0000-0000BF0C0000}"/>
    <cellStyle name="Calculation 2 3 2 9 17" xfId="32982" xr:uid="{00000000-0005-0000-0000-0000C00C0000}"/>
    <cellStyle name="Calculation 2 3 2 9 18" xfId="33981" xr:uid="{00000000-0005-0000-0000-0000C10C0000}"/>
    <cellStyle name="Calculation 2 3 2 9 19" xfId="35602" xr:uid="{00000000-0005-0000-0000-0000C20C0000}"/>
    <cellStyle name="Calculation 2 3 2 9 2" xfId="16005" xr:uid="{00000000-0005-0000-0000-0000C30C0000}"/>
    <cellStyle name="Calculation 2 3 2 9 20" xfId="36541" xr:uid="{00000000-0005-0000-0000-0000C40C0000}"/>
    <cellStyle name="Calculation 2 3 2 9 3" xfId="16983" xr:uid="{00000000-0005-0000-0000-0000C50C0000}"/>
    <cellStyle name="Calculation 2 3 2 9 4" xfId="18011" xr:uid="{00000000-0005-0000-0000-0000C60C0000}"/>
    <cellStyle name="Calculation 2 3 2 9 5" xfId="19043" xr:uid="{00000000-0005-0000-0000-0000C70C0000}"/>
    <cellStyle name="Calculation 2 3 2 9 6" xfId="20065" xr:uid="{00000000-0005-0000-0000-0000C80C0000}"/>
    <cellStyle name="Calculation 2 3 2 9 7" xfId="21074" xr:uid="{00000000-0005-0000-0000-0000C90C0000}"/>
    <cellStyle name="Calculation 2 3 2 9 8" xfId="22048" xr:uid="{00000000-0005-0000-0000-0000CA0C0000}"/>
    <cellStyle name="Calculation 2 3 2 9 9" xfId="23053" xr:uid="{00000000-0005-0000-0000-0000CB0C0000}"/>
    <cellStyle name="Calculation 2 3 20" xfId="34856" xr:uid="{00000000-0005-0000-0000-0000CC0C0000}"/>
    <cellStyle name="Calculation 2 3 21" xfId="34879" xr:uid="{00000000-0005-0000-0000-0000CD0C0000}"/>
    <cellStyle name="Calculation 2 3 22" xfId="35385" xr:uid="{00000000-0005-0000-0000-0000CE0C0000}"/>
    <cellStyle name="Calculation 2 3 3" xfId="712" xr:uid="{00000000-0005-0000-0000-0000CF0C0000}"/>
    <cellStyle name="Calculation 2 3 3 10" xfId="13515" xr:uid="{00000000-0005-0000-0000-0000D00C0000}"/>
    <cellStyle name="Calculation 2 3 3 11" xfId="14216" xr:uid="{00000000-0005-0000-0000-0000D10C0000}"/>
    <cellStyle name="Calculation 2 3 3 12" xfId="15591" xr:uid="{00000000-0005-0000-0000-0000D20C0000}"/>
    <cellStyle name="Calculation 2 3 3 13" xfId="15581" xr:uid="{00000000-0005-0000-0000-0000D30C0000}"/>
    <cellStyle name="Calculation 2 3 3 14" xfId="17867" xr:uid="{00000000-0005-0000-0000-0000D40C0000}"/>
    <cellStyle name="Calculation 2 3 3 15" xfId="13589" xr:uid="{00000000-0005-0000-0000-0000D50C0000}"/>
    <cellStyle name="Calculation 2 3 3 16" xfId="26511" xr:uid="{00000000-0005-0000-0000-0000D60C0000}"/>
    <cellStyle name="Calculation 2 3 3 17" xfId="27056" xr:uid="{00000000-0005-0000-0000-0000D70C0000}"/>
    <cellStyle name="Calculation 2 3 3 18" xfId="26196" xr:uid="{00000000-0005-0000-0000-0000D80C0000}"/>
    <cellStyle name="Calculation 2 3 3 19" xfId="26637" xr:uid="{00000000-0005-0000-0000-0000D90C0000}"/>
    <cellStyle name="Calculation 2 3 3 2" xfId="713" xr:uid="{00000000-0005-0000-0000-0000DA0C0000}"/>
    <cellStyle name="Calculation 2 3 3 2 10" xfId="23054" xr:uid="{00000000-0005-0000-0000-0000DB0C0000}"/>
    <cellStyle name="Calculation 2 3 3 2 11" xfId="24026" xr:uid="{00000000-0005-0000-0000-0000DC0C0000}"/>
    <cellStyle name="Calculation 2 3 3 2 12" xfId="25025" xr:uid="{00000000-0005-0000-0000-0000DD0C0000}"/>
    <cellStyle name="Calculation 2 3 3 2 13" xfId="27970" xr:uid="{00000000-0005-0000-0000-0000DE0C0000}"/>
    <cellStyle name="Calculation 2 3 3 2 14" xfId="28939" xr:uid="{00000000-0005-0000-0000-0000DF0C0000}"/>
    <cellStyle name="Calculation 2 3 3 2 15" xfId="29978" xr:uid="{00000000-0005-0000-0000-0000E00C0000}"/>
    <cellStyle name="Calculation 2 3 3 2 16" xfId="30971" xr:uid="{00000000-0005-0000-0000-0000E10C0000}"/>
    <cellStyle name="Calculation 2 3 3 2 17" xfId="31980" xr:uid="{00000000-0005-0000-0000-0000E20C0000}"/>
    <cellStyle name="Calculation 2 3 3 2 18" xfId="32983" xr:uid="{00000000-0005-0000-0000-0000E30C0000}"/>
    <cellStyle name="Calculation 2 3 3 2 19" xfId="33982" xr:uid="{00000000-0005-0000-0000-0000E40C0000}"/>
    <cellStyle name="Calculation 2 3 3 2 2" xfId="714" xr:uid="{00000000-0005-0000-0000-0000E50C0000}"/>
    <cellStyle name="Calculation 2 3 3 2 2 10" xfId="24027" xr:uid="{00000000-0005-0000-0000-0000E60C0000}"/>
    <cellStyle name="Calculation 2 3 3 2 2 11" xfId="25026" xr:uid="{00000000-0005-0000-0000-0000E70C0000}"/>
    <cellStyle name="Calculation 2 3 3 2 2 12" xfId="27971" xr:uid="{00000000-0005-0000-0000-0000E80C0000}"/>
    <cellStyle name="Calculation 2 3 3 2 2 13" xfId="28940" xr:uid="{00000000-0005-0000-0000-0000E90C0000}"/>
    <cellStyle name="Calculation 2 3 3 2 2 14" xfId="29979" xr:uid="{00000000-0005-0000-0000-0000EA0C0000}"/>
    <cellStyle name="Calculation 2 3 3 2 2 15" xfId="30972" xr:uid="{00000000-0005-0000-0000-0000EB0C0000}"/>
    <cellStyle name="Calculation 2 3 3 2 2 16" xfId="31981" xr:uid="{00000000-0005-0000-0000-0000EC0C0000}"/>
    <cellStyle name="Calculation 2 3 3 2 2 17" xfId="32984" xr:uid="{00000000-0005-0000-0000-0000ED0C0000}"/>
    <cellStyle name="Calculation 2 3 3 2 2 18" xfId="33983" xr:uid="{00000000-0005-0000-0000-0000EE0C0000}"/>
    <cellStyle name="Calculation 2 3 3 2 2 19" xfId="35604" xr:uid="{00000000-0005-0000-0000-0000EF0C0000}"/>
    <cellStyle name="Calculation 2 3 3 2 2 2" xfId="16007" xr:uid="{00000000-0005-0000-0000-0000F00C0000}"/>
    <cellStyle name="Calculation 2 3 3 2 2 20" xfId="36543" xr:uid="{00000000-0005-0000-0000-0000F10C0000}"/>
    <cellStyle name="Calculation 2 3 3 2 2 3" xfId="16985" xr:uid="{00000000-0005-0000-0000-0000F20C0000}"/>
    <cellStyle name="Calculation 2 3 3 2 2 4" xfId="18013" xr:uid="{00000000-0005-0000-0000-0000F30C0000}"/>
    <cellStyle name="Calculation 2 3 3 2 2 5" xfId="19045" xr:uid="{00000000-0005-0000-0000-0000F40C0000}"/>
    <cellStyle name="Calculation 2 3 3 2 2 6" xfId="20067" xr:uid="{00000000-0005-0000-0000-0000F50C0000}"/>
    <cellStyle name="Calculation 2 3 3 2 2 7" xfId="21076" xr:uid="{00000000-0005-0000-0000-0000F60C0000}"/>
    <cellStyle name="Calculation 2 3 3 2 2 8" xfId="22050" xr:uid="{00000000-0005-0000-0000-0000F70C0000}"/>
    <cellStyle name="Calculation 2 3 3 2 2 9" xfId="23055" xr:uid="{00000000-0005-0000-0000-0000F80C0000}"/>
    <cellStyle name="Calculation 2 3 3 2 20" xfId="35603" xr:uid="{00000000-0005-0000-0000-0000F90C0000}"/>
    <cellStyle name="Calculation 2 3 3 2 21" xfId="36542" xr:uid="{00000000-0005-0000-0000-0000FA0C0000}"/>
    <cellStyle name="Calculation 2 3 3 2 3" xfId="16006" xr:uid="{00000000-0005-0000-0000-0000FB0C0000}"/>
    <cellStyle name="Calculation 2 3 3 2 4" xfId="16984" xr:uid="{00000000-0005-0000-0000-0000FC0C0000}"/>
    <cellStyle name="Calculation 2 3 3 2 5" xfId="18012" xr:uid="{00000000-0005-0000-0000-0000FD0C0000}"/>
    <cellStyle name="Calculation 2 3 3 2 6" xfId="19044" xr:uid="{00000000-0005-0000-0000-0000FE0C0000}"/>
    <cellStyle name="Calculation 2 3 3 2 7" xfId="20066" xr:uid="{00000000-0005-0000-0000-0000FF0C0000}"/>
    <cellStyle name="Calculation 2 3 3 2 8" xfId="21075" xr:uid="{00000000-0005-0000-0000-0000000D0000}"/>
    <cellStyle name="Calculation 2 3 3 2 9" xfId="22049" xr:uid="{00000000-0005-0000-0000-0000010D0000}"/>
    <cellStyle name="Calculation 2 3 3 20" xfId="26595" xr:uid="{00000000-0005-0000-0000-0000020D0000}"/>
    <cellStyle name="Calculation 2 3 3 21" xfId="27834" xr:uid="{00000000-0005-0000-0000-0000030D0000}"/>
    <cellStyle name="Calculation 2 3 3 22" xfId="26006" xr:uid="{00000000-0005-0000-0000-0000040D0000}"/>
    <cellStyle name="Calculation 2 3 3 23" xfId="35182" xr:uid="{00000000-0005-0000-0000-0000050D0000}"/>
    <cellStyle name="Calculation 2 3 3 24" xfId="35212" xr:uid="{00000000-0005-0000-0000-0000060D0000}"/>
    <cellStyle name="Calculation 2 3 3 3" xfId="715" xr:uid="{00000000-0005-0000-0000-0000070D0000}"/>
    <cellStyle name="Calculation 2 3 3 3 10" xfId="23056" xr:uid="{00000000-0005-0000-0000-0000080D0000}"/>
    <cellStyle name="Calculation 2 3 3 3 11" xfId="24028" xr:uid="{00000000-0005-0000-0000-0000090D0000}"/>
    <cellStyle name="Calculation 2 3 3 3 12" xfId="25027" xr:uid="{00000000-0005-0000-0000-00000A0D0000}"/>
    <cellStyle name="Calculation 2 3 3 3 13" xfId="27972" xr:uid="{00000000-0005-0000-0000-00000B0D0000}"/>
    <cellStyle name="Calculation 2 3 3 3 14" xfId="28941" xr:uid="{00000000-0005-0000-0000-00000C0D0000}"/>
    <cellStyle name="Calculation 2 3 3 3 15" xfId="29980" xr:uid="{00000000-0005-0000-0000-00000D0D0000}"/>
    <cellStyle name="Calculation 2 3 3 3 16" xfId="30973" xr:uid="{00000000-0005-0000-0000-00000E0D0000}"/>
    <cellStyle name="Calculation 2 3 3 3 17" xfId="31982" xr:uid="{00000000-0005-0000-0000-00000F0D0000}"/>
    <cellStyle name="Calculation 2 3 3 3 18" xfId="32985" xr:uid="{00000000-0005-0000-0000-0000100D0000}"/>
    <cellStyle name="Calculation 2 3 3 3 19" xfId="33984" xr:uid="{00000000-0005-0000-0000-0000110D0000}"/>
    <cellStyle name="Calculation 2 3 3 3 2" xfId="716" xr:uid="{00000000-0005-0000-0000-0000120D0000}"/>
    <cellStyle name="Calculation 2 3 3 3 2 10" xfId="24029" xr:uid="{00000000-0005-0000-0000-0000130D0000}"/>
    <cellStyle name="Calculation 2 3 3 3 2 11" xfId="25028" xr:uid="{00000000-0005-0000-0000-0000140D0000}"/>
    <cellStyle name="Calculation 2 3 3 3 2 12" xfId="27973" xr:uid="{00000000-0005-0000-0000-0000150D0000}"/>
    <cellStyle name="Calculation 2 3 3 3 2 13" xfId="28942" xr:uid="{00000000-0005-0000-0000-0000160D0000}"/>
    <cellStyle name="Calculation 2 3 3 3 2 14" xfId="29981" xr:uid="{00000000-0005-0000-0000-0000170D0000}"/>
    <cellStyle name="Calculation 2 3 3 3 2 15" xfId="30974" xr:uid="{00000000-0005-0000-0000-0000180D0000}"/>
    <cellStyle name="Calculation 2 3 3 3 2 16" xfId="31983" xr:uid="{00000000-0005-0000-0000-0000190D0000}"/>
    <cellStyle name="Calculation 2 3 3 3 2 17" xfId="32986" xr:uid="{00000000-0005-0000-0000-00001A0D0000}"/>
    <cellStyle name="Calculation 2 3 3 3 2 18" xfId="33985" xr:uid="{00000000-0005-0000-0000-00001B0D0000}"/>
    <cellStyle name="Calculation 2 3 3 3 2 19" xfId="35606" xr:uid="{00000000-0005-0000-0000-00001C0D0000}"/>
    <cellStyle name="Calculation 2 3 3 3 2 2" xfId="16009" xr:uid="{00000000-0005-0000-0000-00001D0D0000}"/>
    <cellStyle name="Calculation 2 3 3 3 2 20" xfId="36545" xr:uid="{00000000-0005-0000-0000-00001E0D0000}"/>
    <cellStyle name="Calculation 2 3 3 3 2 3" xfId="16987" xr:uid="{00000000-0005-0000-0000-00001F0D0000}"/>
    <cellStyle name="Calculation 2 3 3 3 2 4" xfId="18015" xr:uid="{00000000-0005-0000-0000-0000200D0000}"/>
    <cellStyle name="Calculation 2 3 3 3 2 5" xfId="19047" xr:uid="{00000000-0005-0000-0000-0000210D0000}"/>
    <cellStyle name="Calculation 2 3 3 3 2 6" xfId="20069" xr:uid="{00000000-0005-0000-0000-0000220D0000}"/>
    <cellStyle name="Calculation 2 3 3 3 2 7" xfId="21078" xr:uid="{00000000-0005-0000-0000-0000230D0000}"/>
    <cellStyle name="Calculation 2 3 3 3 2 8" xfId="22052" xr:uid="{00000000-0005-0000-0000-0000240D0000}"/>
    <cellStyle name="Calculation 2 3 3 3 2 9" xfId="23057" xr:uid="{00000000-0005-0000-0000-0000250D0000}"/>
    <cellStyle name="Calculation 2 3 3 3 20" xfId="35605" xr:uid="{00000000-0005-0000-0000-0000260D0000}"/>
    <cellStyle name="Calculation 2 3 3 3 21" xfId="36544" xr:uid="{00000000-0005-0000-0000-0000270D0000}"/>
    <cellStyle name="Calculation 2 3 3 3 3" xfId="16008" xr:uid="{00000000-0005-0000-0000-0000280D0000}"/>
    <cellStyle name="Calculation 2 3 3 3 4" xfId="16986" xr:uid="{00000000-0005-0000-0000-0000290D0000}"/>
    <cellStyle name="Calculation 2 3 3 3 5" xfId="18014" xr:uid="{00000000-0005-0000-0000-00002A0D0000}"/>
    <cellStyle name="Calculation 2 3 3 3 6" xfId="19046" xr:uid="{00000000-0005-0000-0000-00002B0D0000}"/>
    <cellStyle name="Calculation 2 3 3 3 7" xfId="20068" xr:uid="{00000000-0005-0000-0000-00002C0D0000}"/>
    <cellStyle name="Calculation 2 3 3 3 8" xfId="21077" xr:uid="{00000000-0005-0000-0000-00002D0D0000}"/>
    <cellStyle name="Calculation 2 3 3 3 9" xfId="22051" xr:uid="{00000000-0005-0000-0000-00002E0D0000}"/>
    <cellStyle name="Calculation 2 3 3 4" xfId="717" xr:uid="{00000000-0005-0000-0000-00002F0D0000}"/>
    <cellStyle name="Calculation 2 3 3 4 10" xfId="23058" xr:uid="{00000000-0005-0000-0000-0000300D0000}"/>
    <cellStyle name="Calculation 2 3 3 4 11" xfId="24030" xr:uid="{00000000-0005-0000-0000-0000310D0000}"/>
    <cellStyle name="Calculation 2 3 3 4 12" xfId="25029" xr:uid="{00000000-0005-0000-0000-0000320D0000}"/>
    <cellStyle name="Calculation 2 3 3 4 13" xfId="27974" xr:uid="{00000000-0005-0000-0000-0000330D0000}"/>
    <cellStyle name="Calculation 2 3 3 4 14" xfId="28943" xr:uid="{00000000-0005-0000-0000-0000340D0000}"/>
    <cellStyle name="Calculation 2 3 3 4 15" xfId="29982" xr:uid="{00000000-0005-0000-0000-0000350D0000}"/>
    <cellStyle name="Calculation 2 3 3 4 16" xfId="30975" xr:uid="{00000000-0005-0000-0000-0000360D0000}"/>
    <cellStyle name="Calculation 2 3 3 4 17" xfId="31984" xr:uid="{00000000-0005-0000-0000-0000370D0000}"/>
    <cellStyle name="Calculation 2 3 3 4 18" xfId="32987" xr:uid="{00000000-0005-0000-0000-0000380D0000}"/>
    <cellStyle name="Calculation 2 3 3 4 19" xfId="33986" xr:uid="{00000000-0005-0000-0000-0000390D0000}"/>
    <cellStyle name="Calculation 2 3 3 4 2" xfId="718" xr:uid="{00000000-0005-0000-0000-00003A0D0000}"/>
    <cellStyle name="Calculation 2 3 3 4 2 10" xfId="24031" xr:uid="{00000000-0005-0000-0000-00003B0D0000}"/>
    <cellStyle name="Calculation 2 3 3 4 2 11" xfId="25030" xr:uid="{00000000-0005-0000-0000-00003C0D0000}"/>
    <cellStyle name="Calculation 2 3 3 4 2 12" xfId="27975" xr:uid="{00000000-0005-0000-0000-00003D0D0000}"/>
    <cellStyle name="Calculation 2 3 3 4 2 13" xfId="28944" xr:uid="{00000000-0005-0000-0000-00003E0D0000}"/>
    <cellStyle name="Calculation 2 3 3 4 2 14" xfId="29983" xr:uid="{00000000-0005-0000-0000-00003F0D0000}"/>
    <cellStyle name="Calculation 2 3 3 4 2 15" xfId="30976" xr:uid="{00000000-0005-0000-0000-0000400D0000}"/>
    <cellStyle name="Calculation 2 3 3 4 2 16" xfId="31985" xr:uid="{00000000-0005-0000-0000-0000410D0000}"/>
    <cellStyle name="Calculation 2 3 3 4 2 17" xfId="32988" xr:uid="{00000000-0005-0000-0000-0000420D0000}"/>
    <cellStyle name="Calculation 2 3 3 4 2 18" xfId="33987" xr:uid="{00000000-0005-0000-0000-0000430D0000}"/>
    <cellStyle name="Calculation 2 3 3 4 2 19" xfId="35608" xr:uid="{00000000-0005-0000-0000-0000440D0000}"/>
    <cellStyle name="Calculation 2 3 3 4 2 2" xfId="16011" xr:uid="{00000000-0005-0000-0000-0000450D0000}"/>
    <cellStyle name="Calculation 2 3 3 4 2 20" xfId="36547" xr:uid="{00000000-0005-0000-0000-0000460D0000}"/>
    <cellStyle name="Calculation 2 3 3 4 2 3" xfId="16989" xr:uid="{00000000-0005-0000-0000-0000470D0000}"/>
    <cellStyle name="Calculation 2 3 3 4 2 4" xfId="18017" xr:uid="{00000000-0005-0000-0000-0000480D0000}"/>
    <cellStyle name="Calculation 2 3 3 4 2 5" xfId="19049" xr:uid="{00000000-0005-0000-0000-0000490D0000}"/>
    <cellStyle name="Calculation 2 3 3 4 2 6" xfId="20071" xr:uid="{00000000-0005-0000-0000-00004A0D0000}"/>
    <cellStyle name="Calculation 2 3 3 4 2 7" xfId="21080" xr:uid="{00000000-0005-0000-0000-00004B0D0000}"/>
    <cellStyle name="Calculation 2 3 3 4 2 8" xfId="22054" xr:uid="{00000000-0005-0000-0000-00004C0D0000}"/>
    <cellStyle name="Calculation 2 3 3 4 2 9" xfId="23059" xr:uid="{00000000-0005-0000-0000-00004D0D0000}"/>
    <cellStyle name="Calculation 2 3 3 4 20" xfId="35607" xr:uid="{00000000-0005-0000-0000-00004E0D0000}"/>
    <cellStyle name="Calculation 2 3 3 4 21" xfId="36546" xr:uid="{00000000-0005-0000-0000-00004F0D0000}"/>
    <cellStyle name="Calculation 2 3 3 4 3" xfId="16010" xr:uid="{00000000-0005-0000-0000-0000500D0000}"/>
    <cellStyle name="Calculation 2 3 3 4 4" xfId="16988" xr:uid="{00000000-0005-0000-0000-0000510D0000}"/>
    <cellStyle name="Calculation 2 3 3 4 5" xfId="18016" xr:uid="{00000000-0005-0000-0000-0000520D0000}"/>
    <cellStyle name="Calculation 2 3 3 4 6" xfId="19048" xr:uid="{00000000-0005-0000-0000-0000530D0000}"/>
    <cellStyle name="Calculation 2 3 3 4 7" xfId="20070" xr:uid="{00000000-0005-0000-0000-0000540D0000}"/>
    <cellStyle name="Calculation 2 3 3 4 8" xfId="21079" xr:uid="{00000000-0005-0000-0000-0000550D0000}"/>
    <cellStyle name="Calculation 2 3 3 4 9" xfId="22053" xr:uid="{00000000-0005-0000-0000-0000560D0000}"/>
    <cellStyle name="Calculation 2 3 3 5" xfId="719" xr:uid="{00000000-0005-0000-0000-0000570D0000}"/>
    <cellStyle name="Calculation 2 3 3 5 10" xfId="24032" xr:uid="{00000000-0005-0000-0000-0000580D0000}"/>
    <cellStyle name="Calculation 2 3 3 5 11" xfId="25031" xr:uid="{00000000-0005-0000-0000-0000590D0000}"/>
    <cellStyle name="Calculation 2 3 3 5 12" xfId="27976" xr:uid="{00000000-0005-0000-0000-00005A0D0000}"/>
    <cellStyle name="Calculation 2 3 3 5 13" xfId="28945" xr:uid="{00000000-0005-0000-0000-00005B0D0000}"/>
    <cellStyle name="Calculation 2 3 3 5 14" xfId="29984" xr:uid="{00000000-0005-0000-0000-00005C0D0000}"/>
    <cellStyle name="Calculation 2 3 3 5 15" xfId="30977" xr:uid="{00000000-0005-0000-0000-00005D0D0000}"/>
    <cellStyle name="Calculation 2 3 3 5 16" xfId="31986" xr:uid="{00000000-0005-0000-0000-00005E0D0000}"/>
    <cellStyle name="Calculation 2 3 3 5 17" xfId="32989" xr:uid="{00000000-0005-0000-0000-00005F0D0000}"/>
    <cellStyle name="Calculation 2 3 3 5 18" xfId="33988" xr:uid="{00000000-0005-0000-0000-0000600D0000}"/>
    <cellStyle name="Calculation 2 3 3 5 19" xfId="35609" xr:uid="{00000000-0005-0000-0000-0000610D0000}"/>
    <cellStyle name="Calculation 2 3 3 5 2" xfId="16012" xr:uid="{00000000-0005-0000-0000-0000620D0000}"/>
    <cellStyle name="Calculation 2 3 3 5 20" xfId="36548" xr:uid="{00000000-0005-0000-0000-0000630D0000}"/>
    <cellStyle name="Calculation 2 3 3 5 3" xfId="16990" xr:uid="{00000000-0005-0000-0000-0000640D0000}"/>
    <cellStyle name="Calculation 2 3 3 5 4" xfId="18018" xr:uid="{00000000-0005-0000-0000-0000650D0000}"/>
    <cellStyle name="Calculation 2 3 3 5 5" xfId="19050" xr:uid="{00000000-0005-0000-0000-0000660D0000}"/>
    <cellStyle name="Calculation 2 3 3 5 6" xfId="20072" xr:uid="{00000000-0005-0000-0000-0000670D0000}"/>
    <cellStyle name="Calculation 2 3 3 5 7" xfId="21081" xr:uid="{00000000-0005-0000-0000-0000680D0000}"/>
    <cellStyle name="Calculation 2 3 3 5 8" xfId="22055" xr:uid="{00000000-0005-0000-0000-0000690D0000}"/>
    <cellStyle name="Calculation 2 3 3 5 9" xfId="23060" xr:uid="{00000000-0005-0000-0000-00006A0D0000}"/>
    <cellStyle name="Calculation 2 3 3 6" xfId="13950" xr:uid="{00000000-0005-0000-0000-00006B0D0000}"/>
    <cellStyle name="Calculation 2 3 3 7" xfId="14826" xr:uid="{00000000-0005-0000-0000-00006C0D0000}"/>
    <cellStyle name="Calculation 2 3 3 8" xfId="13494" xr:uid="{00000000-0005-0000-0000-00006D0D0000}"/>
    <cellStyle name="Calculation 2 3 3 9" xfId="15655" xr:uid="{00000000-0005-0000-0000-00006E0D0000}"/>
    <cellStyle name="Calculation 2 3 4" xfId="720" xr:uid="{00000000-0005-0000-0000-00006F0D0000}"/>
    <cellStyle name="Calculation 2 3 4 10" xfId="23061" xr:uid="{00000000-0005-0000-0000-0000700D0000}"/>
    <cellStyle name="Calculation 2 3 4 11" xfId="24033" xr:uid="{00000000-0005-0000-0000-0000710D0000}"/>
    <cellStyle name="Calculation 2 3 4 12" xfId="25032" xr:uid="{00000000-0005-0000-0000-0000720D0000}"/>
    <cellStyle name="Calculation 2 3 4 13" xfId="27977" xr:uid="{00000000-0005-0000-0000-0000730D0000}"/>
    <cellStyle name="Calculation 2 3 4 14" xfId="28946" xr:uid="{00000000-0005-0000-0000-0000740D0000}"/>
    <cellStyle name="Calculation 2 3 4 15" xfId="29985" xr:uid="{00000000-0005-0000-0000-0000750D0000}"/>
    <cellStyle name="Calculation 2 3 4 16" xfId="30978" xr:uid="{00000000-0005-0000-0000-0000760D0000}"/>
    <cellStyle name="Calculation 2 3 4 17" xfId="31987" xr:uid="{00000000-0005-0000-0000-0000770D0000}"/>
    <cellStyle name="Calculation 2 3 4 18" xfId="32990" xr:uid="{00000000-0005-0000-0000-0000780D0000}"/>
    <cellStyle name="Calculation 2 3 4 19" xfId="33989" xr:uid="{00000000-0005-0000-0000-0000790D0000}"/>
    <cellStyle name="Calculation 2 3 4 2" xfId="721" xr:uid="{00000000-0005-0000-0000-00007A0D0000}"/>
    <cellStyle name="Calculation 2 3 4 2 10" xfId="24034" xr:uid="{00000000-0005-0000-0000-00007B0D0000}"/>
    <cellStyle name="Calculation 2 3 4 2 11" xfId="25033" xr:uid="{00000000-0005-0000-0000-00007C0D0000}"/>
    <cellStyle name="Calculation 2 3 4 2 12" xfId="27978" xr:uid="{00000000-0005-0000-0000-00007D0D0000}"/>
    <cellStyle name="Calculation 2 3 4 2 13" xfId="28947" xr:uid="{00000000-0005-0000-0000-00007E0D0000}"/>
    <cellStyle name="Calculation 2 3 4 2 14" xfId="29986" xr:uid="{00000000-0005-0000-0000-00007F0D0000}"/>
    <cellStyle name="Calculation 2 3 4 2 15" xfId="30979" xr:uid="{00000000-0005-0000-0000-0000800D0000}"/>
    <cellStyle name="Calculation 2 3 4 2 16" xfId="31988" xr:uid="{00000000-0005-0000-0000-0000810D0000}"/>
    <cellStyle name="Calculation 2 3 4 2 17" xfId="32991" xr:uid="{00000000-0005-0000-0000-0000820D0000}"/>
    <cellStyle name="Calculation 2 3 4 2 18" xfId="33990" xr:uid="{00000000-0005-0000-0000-0000830D0000}"/>
    <cellStyle name="Calculation 2 3 4 2 19" xfId="35611" xr:uid="{00000000-0005-0000-0000-0000840D0000}"/>
    <cellStyle name="Calculation 2 3 4 2 2" xfId="16014" xr:uid="{00000000-0005-0000-0000-0000850D0000}"/>
    <cellStyle name="Calculation 2 3 4 2 20" xfId="36550" xr:uid="{00000000-0005-0000-0000-0000860D0000}"/>
    <cellStyle name="Calculation 2 3 4 2 3" xfId="16992" xr:uid="{00000000-0005-0000-0000-0000870D0000}"/>
    <cellStyle name="Calculation 2 3 4 2 4" xfId="18020" xr:uid="{00000000-0005-0000-0000-0000880D0000}"/>
    <cellStyle name="Calculation 2 3 4 2 5" xfId="19052" xr:uid="{00000000-0005-0000-0000-0000890D0000}"/>
    <cellStyle name="Calculation 2 3 4 2 6" xfId="20074" xr:uid="{00000000-0005-0000-0000-00008A0D0000}"/>
    <cellStyle name="Calculation 2 3 4 2 7" xfId="21083" xr:uid="{00000000-0005-0000-0000-00008B0D0000}"/>
    <cellStyle name="Calculation 2 3 4 2 8" xfId="22057" xr:uid="{00000000-0005-0000-0000-00008C0D0000}"/>
    <cellStyle name="Calculation 2 3 4 2 9" xfId="23062" xr:uid="{00000000-0005-0000-0000-00008D0D0000}"/>
    <cellStyle name="Calculation 2 3 4 20" xfId="35610" xr:uid="{00000000-0005-0000-0000-00008E0D0000}"/>
    <cellStyle name="Calculation 2 3 4 21" xfId="36549" xr:uid="{00000000-0005-0000-0000-00008F0D0000}"/>
    <cellStyle name="Calculation 2 3 4 3" xfId="16013" xr:uid="{00000000-0005-0000-0000-0000900D0000}"/>
    <cellStyle name="Calculation 2 3 4 4" xfId="16991" xr:uid="{00000000-0005-0000-0000-0000910D0000}"/>
    <cellStyle name="Calculation 2 3 4 5" xfId="18019" xr:uid="{00000000-0005-0000-0000-0000920D0000}"/>
    <cellStyle name="Calculation 2 3 4 6" xfId="19051" xr:uid="{00000000-0005-0000-0000-0000930D0000}"/>
    <cellStyle name="Calculation 2 3 4 7" xfId="20073" xr:uid="{00000000-0005-0000-0000-0000940D0000}"/>
    <cellStyle name="Calculation 2 3 4 8" xfId="21082" xr:uid="{00000000-0005-0000-0000-0000950D0000}"/>
    <cellStyle name="Calculation 2 3 4 9" xfId="22056" xr:uid="{00000000-0005-0000-0000-0000960D0000}"/>
    <cellStyle name="Calculation 2 3 5" xfId="722" xr:uid="{00000000-0005-0000-0000-0000970D0000}"/>
    <cellStyle name="Calculation 2 3 5 10" xfId="23063" xr:uid="{00000000-0005-0000-0000-0000980D0000}"/>
    <cellStyle name="Calculation 2 3 5 11" xfId="24035" xr:uid="{00000000-0005-0000-0000-0000990D0000}"/>
    <cellStyle name="Calculation 2 3 5 12" xfId="25034" xr:uid="{00000000-0005-0000-0000-00009A0D0000}"/>
    <cellStyle name="Calculation 2 3 5 13" xfId="27979" xr:uid="{00000000-0005-0000-0000-00009B0D0000}"/>
    <cellStyle name="Calculation 2 3 5 14" xfId="28948" xr:uid="{00000000-0005-0000-0000-00009C0D0000}"/>
    <cellStyle name="Calculation 2 3 5 15" xfId="29987" xr:uid="{00000000-0005-0000-0000-00009D0D0000}"/>
    <cellStyle name="Calculation 2 3 5 16" xfId="30980" xr:uid="{00000000-0005-0000-0000-00009E0D0000}"/>
    <cellStyle name="Calculation 2 3 5 17" xfId="31989" xr:uid="{00000000-0005-0000-0000-00009F0D0000}"/>
    <cellStyle name="Calculation 2 3 5 18" xfId="32992" xr:uid="{00000000-0005-0000-0000-0000A00D0000}"/>
    <cellStyle name="Calculation 2 3 5 19" xfId="33991" xr:uid="{00000000-0005-0000-0000-0000A10D0000}"/>
    <cellStyle name="Calculation 2 3 5 2" xfId="723" xr:uid="{00000000-0005-0000-0000-0000A20D0000}"/>
    <cellStyle name="Calculation 2 3 5 2 10" xfId="24036" xr:uid="{00000000-0005-0000-0000-0000A30D0000}"/>
    <cellStyle name="Calculation 2 3 5 2 11" xfId="25035" xr:uid="{00000000-0005-0000-0000-0000A40D0000}"/>
    <cellStyle name="Calculation 2 3 5 2 12" xfId="27980" xr:uid="{00000000-0005-0000-0000-0000A50D0000}"/>
    <cellStyle name="Calculation 2 3 5 2 13" xfId="28949" xr:uid="{00000000-0005-0000-0000-0000A60D0000}"/>
    <cellStyle name="Calculation 2 3 5 2 14" xfId="29988" xr:uid="{00000000-0005-0000-0000-0000A70D0000}"/>
    <cellStyle name="Calculation 2 3 5 2 15" xfId="30981" xr:uid="{00000000-0005-0000-0000-0000A80D0000}"/>
    <cellStyle name="Calculation 2 3 5 2 16" xfId="31990" xr:uid="{00000000-0005-0000-0000-0000A90D0000}"/>
    <cellStyle name="Calculation 2 3 5 2 17" xfId="32993" xr:uid="{00000000-0005-0000-0000-0000AA0D0000}"/>
    <cellStyle name="Calculation 2 3 5 2 18" xfId="33992" xr:uid="{00000000-0005-0000-0000-0000AB0D0000}"/>
    <cellStyle name="Calculation 2 3 5 2 19" xfId="35613" xr:uid="{00000000-0005-0000-0000-0000AC0D0000}"/>
    <cellStyle name="Calculation 2 3 5 2 2" xfId="16016" xr:uid="{00000000-0005-0000-0000-0000AD0D0000}"/>
    <cellStyle name="Calculation 2 3 5 2 20" xfId="36552" xr:uid="{00000000-0005-0000-0000-0000AE0D0000}"/>
    <cellStyle name="Calculation 2 3 5 2 3" xfId="16994" xr:uid="{00000000-0005-0000-0000-0000AF0D0000}"/>
    <cellStyle name="Calculation 2 3 5 2 4" xfId="18022" xr:uid="{00000000-0005-0000-0000-0000B00D0000}"/>
    <cellStyle name="Calculation 2 3 5 2 5" xfId="19054" xr:uid="{00000000-0005-0000-0000-0000B10D0000}"/>
    <cellStyle name="Calculation 2 3 5 2 6" xfId="20076" xr:uid="{00000000-0005-0000-0000-0000B20D0000}"/>
    <cellStyle name="Calculation 2 3 5 2 7" xfId="21085" xr:uid="{00000000-0005-0000-0000-0000B30D0000}"/>
    <cellStyle name="Calculation 2 3 5 2 8" xfId="22059" xr:uid="{00000000-0005-0000-0000-0000B40D0000}"/>
    <cellStyle name="Calculation 2 3 5 2 9" xfId="23064" xr:uid="{00000000-0005-0000-0000-0000B50D0000}"/>
    <cellStyle name="Calculation 2 3 5 20" xfId="35612" xr:uid="{00000000-0005-0000-0000-0000B60D0000}"/>
    <cellStyle name="Calculation 2 3 5 21" xfId="36551" xr:uid="{00000000-0005-0000-0000-0000B70D0000}"/>
    <cellStyle name="Calculation 2 3 5 3" xfId="16015" xr:uid="{00000000-0005-0000-0000-0000B80D0000}"/>
    <cellStyle name="Calculation 2 3 5 4" xfId="16993" xr:uid="{00000000-0005-0000-0000-0000B90D0000}"/>
    <cellStyle name="Calculation 2 3 5 5" xfId="18021" xr:uid="{00000000-0005-0000-0000-0000BA0D0000}"/>
    <cellStyle name="Calculation 2 3 5 6" xfId="19053" xr:uid="{00000000-0005-0000-0000-0000BB0D0000}"/>
    <cellStyle name="Calculation 2 3 5 7" xfId="20075" xr:uid="{00000000-0005-0000-0000-0000BC0D0000}"/>
    <cellStyle name="Calculation 2 3 5 8" xfId="21084" xr:uid="{00000000-0005-0000-0000-0000BD0D0000}"/>
    <cellStyle name="Calculation 2 3 5 9" xfId="22058" xr:uid="{00000000-0005-0000-0000-0000BE0D0000}"/>
    <cellStyle name="Calculation 2 3 6" xfId="724" xr:uid="{00000000-0005-0000-0000-0000BF0D0000}"/>
    <cellStyle name="Calculation 2 3 6 10" xfId="23065" xr:uid="{00000000-0005-0000-0000-0000C00D0000}"/>
    <cellStyle name="Calculation 2 3 6 11" xfId="24037" xr:uid="{00000000-0005-0000-0000-0000C10D0000}"/>
    <cellStyle name="Calculation 2 3 6 12" xfId="25036" xr:uid="{00000000-0005-0000-0000-0000C20D0000}"/>
    <cellStyle name="Calculation 2 3 6 13" xfId="27981" xr:uid="{00000000-0005-0000-0000-0000C30D0000}"/>
    <cellStyle name="Calculation 2 3 6 14" xfId="28950" xr:uid="{00000000-0005-0000-0000-0000C40D0000}"/>
    <cellStyle name="Calculation 2 3 6 15" xfId="29989" xr:uid="{00000000-0005-0000-0000-0000C50D0000}"/>
    <cellStyle name="Calculation 2 3 6 16" xfId="30982" xr:uid="{00000000-0005-0000-0000-0000C60D0000}"/>
    <cellStyle name="Calculation 2 3 6 17" xfId="31991" xr:uid="{00000000-0005-0000-0000-0000C70D0000}"/>
    <cellStyle name="Calculation 2 3 6 18" xfId="32994" xr:uid="{00000000-0005-0000-0000-0000C80D0000}"/>
    <cellStyle name="Calculation 2 3 6 19" xfId="33993" xr:uid="{00000000-0005-0000-0000-0000C90D0000}"/>
    <cellStyle name="Calculation 2 3 6 2" xfId="725" xr:uid="{00000000-0005-0000-0000-0000CA0D0000}"/>
    <cellStyle name="Calculation 2 3 6 2 10" xfId="24038" xr:uid="{00000000-0005-0000-0000-0000CB0D0000}"/>
    <cellStyle name="Calculation 2 3 6 2 11" xfId="25037" xr:uid="{00000000-0005-0000-0000-0000CC0D0000}"/>
    <cellStyle name="Calculation 2 3 6 2 12" xfId="27982" xr:uid="{00000000-0005-0000-0000-0000CD0D0000}"/>
    <cellStyle name="Calculation 2 3 6 2 13" xfId="28951" xr:uid="{00000000-0005-0000-0000-0000CE0D0000}"/>
    <cellStyle name="Calculation 2 3 6 2 14" xfId="29990" xr:uid="{00000000-0005-0000-0000-0000CF0D0000}"/>
    <cellStyle name="Calculation 2 3 6 2 15" xfId="30983" xr:uid="{00000000-0005-0000-0000-0000D00D0000}"/>
    <cellStyle name="Calculation 2 3 6 2 16" xfId="31992" xr:uid="{00000000-0005-0000-0000-0000D10D0000}"/>
    <cellStyle name="Calculation 2 3 6 2 17" xfId="32995" xr:uid="{00000000-0005-0000-0000-0000D20D0000}"/>
    <cellStyle name="Calculation 2 3 6 2 18" xfId="33994" xr:uid="{00000000-0005-0000-0000-0000D30D0000}"/>
    <cellStyle name="Calculation 2 3 6 2 19" xfId="35615" xr:uid="{00000000-0005-0000-0000-0000D40D0000}"/>
    <cellStyle name="Calculation 2 3 6 2 2" xfId="16018" xr:uid="{00000000-0005-0000-0000-0000D50D0000}"/>
    <cellStyle name="Calculation 2 3 6 2 20" xfId="36554" xr:uid="{00000000-0005-0000-0000-0000D60D0000}"/>
    <cellStyle name="Calculation 2 3 6 2 3" xfId="16996" xr:uid="{00000000-0005-0000-0000-0000D70D0000}"/>
    <cellStyle name="Calculation 2 3 6 2 4" xfId="18024" xr:uid="{00000000-0005-0000-0000-0000D80D0000}"/>
    <cellStyle name="Calculation 2 3 6 2 5" xfId="19056" xr:uid="{00000000-0005-0000-0000-0000D90D0000}"/>
    <cellStyle name="Calculation 2 3 6 2 6" xfId="20078" xr:uid="{00000000-0005-0000-0000-0000DA0D0000}"/>
    <cellStyle name="Calculation 2 3 6 2 7" xfId="21087" xr:uid="{00000000-0005-0000-0000-0000DB0D0000}"/>
    <cellStyle name="Calculation 2 3 6 2 8" xfId="22061" xr:uid="{00000000-0005-0000-0000-0000DC0D0000}"/>
    <cellStyle name="Calculation 2 3 6 2 9" xfId="23066" xr:uid="{00000000-0005-0000-0000-0000DD0D0000}"/>
    <cellStyle name="Calculation 2 3 6 20" xfId="35614" xr:uid="{00000000-0005-0000-0000-0000DE0D0000}"/>
    <cellStyle name="Calculation 2 3 6 21" xfId="36553" xr:uid="{00000000-0005-0000-0000-0000DF0D0000}"/>
    <cellStyle name="Calculation 2 3 6 3" xfId="16017" xr:uid="{00000000-0005-0000-0000-0000E00D0000}"/>
    <cellStyle name="Calculation 2 3 6 4" xfId="16995" xr:uid="{00000000-0005-0000-0000-0000E10D0000}"/>
    <cellStyle name="Calculation 2 3 6 5" xfId="18023" xr:uid="{00000000-0005-0000-0000-0000E20D0000}"/>
    <cellStyle name="Calculation 2 3 6 6" xfId="19055" xr:uid="{00000000-0005-0000-0000-0000E30D0000}"/>
    <cellStyle name="Calculation 2 3 6 7" xfId="20077" xr:uid="{00000000-0005-0000-0000-0000E40D0000}"/>
    <cellStyle name="Calculation 2 3 6 8" xfId="21086" xr:uid="{00000000-0005-0000-0000-0000E50D0000}"/>
    <cellStyle name="Calculation 2 3 6 9" xfId="22060" xr:uid="{00000000-0005-0000-0000-0000E60D0000}"/>
    <cellStyle name="Calculation 2 3 7" xfId="726" xr:uid="{00000000-0005-0000-0000-0000E70D0000}"/>
    <cellStyle name="Calculation 2 3 7 10" xfId="24039" xr:uid="{00000000-0005-0000-0000-0000E80D0000}"/>
    <cellStyle name="Calculation 2 3 7 11" xfId="25038" xr:uid="{00000000-0005-0000-0000-0000E90D0000}"/>
    <cellStyle name="Calculation 2 3 7 12" xfId="27983" xr:uid="{00000000-0005-0000-0000-0000EA0D0000}"/>
    <cellStyle name="Calculation 2 3 7 13" xfId="28952" xr:uid="{00000000-0005-0000-0000-0000EB0D0000}"/>
    <cellStyle name="Calculation 2 3 7 14" xfId="29991" xr:uid="{00000000-0005-0000-0000-0000EC0D0000}"/>
    <cellStyle name="Calculation 2 3 7 15" xfId="30984" xr:uid="{00000000-0005-0000-0000-0000ED0D0000}"/>
    <cellStyle name="Calculation 2 3 7 16" xfId="31993" xr:uid="{00000000-0005-0000-0000-0000EE0D0000}"/>
    <cellStyle name="Calculation 2 3 7 17" xfId="32996" xr:uid="{00000000-0005-0000-0000-0000EF0D0000}"/>
    <cellStyle name="Calculation 2 3 7 18" xfId="33995" xr:uid="{00000000-0005-0000-0000-0000F00D0000}"/>
    <cellStyle name="Calculation 2 3 7 19" xfId="35616" xr:uid="{00000000-0005-0000-0000-0000F10D0000}"/>
    <cellStyle name="Calculation 2 3 7 2" xfId="16019" xr:uid="{00000000-0005-0000-0000-0000F20D0000}"/>
    <cellStyle name="Calculation 2 3 7 20" xfId="36555" xr:uid="{00000000-0005-0000-0000-0000F30D0000}"/>
    <cellStyle name="Calculation 2 3 7 3" xfId="16997" xr:uid="{00000000-0005-0000-0000-0000F40D0000}"/>
    <cellStyle name="Calculation 2 3 7 4" xfId="18025" xr:uid="{00000000-0005-0000-0000-0000F50D0000}"/>
    <cellStyle name="Calculation 2 3 7 5" xfId="19057" xr:uid="{00000000-0005-0000-0000-0000F60D0000}"/>
    <cellStyle name="Calculation 2 3 7 6" xfId="20079" xr:uid="{00000000-0005-0000-0000-0000F70D0000}"/>
    <cellStyle name="Calculation 2 3 7 7" xfId="21088" xr:uid="{00000000-0005-0000-0000-0000F80D0000}"/>
    <cellStyle name="Calculation 2 3 7 8" xfId="22062" xr:uid="{00000000-0005-0000-0000-0000F90D0000}"/>
    <cellStyle name="Calculation 2 3 7 9" xfId="23067" xr:uid="{00000000-0005-0000-0000-0000FA0D0000}"/>
    <cellStyle name="Calculation 2 3 8" xfId="13524" xr:uid="{00000000-0005-0000-0000-0000FB0D0000}"/>
    <cellStyle name="Calculation 2 3 9" xfId="14379" xr:uid="{00000000-0005-0000-0000-0000FC0D0000}"/>
    <cellStyle name="Calculation 2 4" xfId="727" xr:uid="{00000000-0005-0000-0000-0000FD0D0000}"/>
    <cellStyle name="Calculation 2 4 10" xfId="15819" xr:uid="{00000000-0005-0000-0000-0000FE0D0000}"/>
    <cellStyle name="Calculation 2 4 11" xfId="20937" xr:uid="{00000000-0005-0000-0000-0000FF0D0000}"/>
    <cellStyle name="Calculation 2 4 12" xfId="15011" xr:uid="{00000000-0005-0000-0000-0000000E0000}"/>
    <cellStyle name="Calculation 2 4 13" xfId="23910" xr:uid="{00000000-0005-0000-0000-0000010E0000}"/>
    <cellStyle name="Calculation 2 4 14" xfId="25967" xr:uid="{00000000-0005-0000-0000-0000020E0000}"/>
    <cellStyle name="Calculation 2 4 15" xfId="27817" xr:uid="{00000000-0005-0000-0000-0000030E0000}"/>
    <cellStyle name="Calculation 2 4 16" xfId="25920" xr:uid="{00000000-0005-0000-0000-0000040E0000}"/>
    <cellStyle name="Calculation 2 4 17" xfId="27215" xr:uid="{00000000-0005-0000-0000-0000050E0000}"/>
    <cellStyle name="Calculation 2 4 18" xfId="26677" xr:uid="{00000000-0005-0000-0000-0000060E0000}"/>
    <cellStyle name="Calculation 2 4 19" xfId="26700" xr:uid="{00000000-0005-0000-0000-0000070E0000}"/>
    <cellStyle name="Calculation 2 4 2" xfId="728" xr:uid="{00000000-0005-0000-0000-0000080E0000}"/>
    <cellStyle name="Calculation 2 4 2 10" xfId="15172" xr:uid="{00000000-0005-0000-0000-0000090E0000}"/>
    <cellStyle name="Calculation 2 4 2 11" xfId="13469" xr:uid="{00000000-0005-0000-0000-00000A0E0000}"/>
    <cellStyle name="Calculation 2 4 2 12" xfId="13836" xr:uid="{00000000-0005-0000-0000-00000B0E0000}"/>
    <cellStyle name="Calculation 2 4 2 13" xfId="13798" xr:uid="{00000000-0005-0000-0000-00000C0E0000}"/>
    <cellStyle name="Calculation 2 4 2 14" xfId="21863" xr:uid="{00000000-0005-0000-0000-00000D0E0000}"/>
    <cellStyle name="Calculation 2 4 2 15" xfId="14752" xr:uid="{00000000-0005-0000-0000-00000E0E0000}"/>
    <cellStyle name="Calculation 2 4 2 16" xfId="26094" xr:uid="{00000000-0005-0000-0000-00000F0E0000}"/>
    <cellStyle name="Calculation 2 4 2 17" xfId="27782" xr:uid="{00000000-0005-0000-0000-0000100E0000}"/>
    <cellStyle name="Calculation 2 4 2 18" xfId="28758" xr:uid="{00000000-0005-0000-0000-0000110E0000}"/>
    <cellStyle name="Calculation 2 4 2 19" xfId="29776" xr:uid="{00000000-0005-0000-0000-0000120E0000}"/>
    <cellStyle name="Calculation 2 4 2 2" xfId="729" xr:uid="{00000000-0005-0000-0000-0000130E0000}"/>
    <cellStyle name="Calculation 2 4 2 2 10" xfId="14148" xr:uid="{00000000-0005-0000-0000-0000140E0000}"/>
    <cellStyle name="Calculation 2 4 2 2 11" xfId="13805" xr:uid="{00000000-0005-0000-0000-0000150E0000}"/>
    <cellStyle name="Calculation 2 4 2 2 12" xfId="26315" xr:uid="{00000000-0005-0000-0000-0000160E0000}"/>
    <cellStyle name="Calculation 2 4 2 2 13" xfId="27735" xr:uid="{00000000-0005-0000-0000-0000170E0000}"/>
    <cellStyle name="Calculation 2 4 2 2 14" xfId="27521" xr:uid="{00000000-0005-0000-0000-0000180E0000}"/>
    <cellStyle name="Calculation 2 4 2 2 15" xfId="26200" xr:uid="{00000000-0005-0000-0000-0000190E0000}"/>
    <cellStyle name="Calculation 2 4 2 2 16" xfId="26630" xr:uid="{00000000-0005-0000-0000-00001A0E0000}"/>
    <cellStyle name="Calculation 2 4 2 2 17" xfId="27615" xr:uid="{00000000-0005-0000-0000-00001B0E0000}"/>
    <cellStyle name="Calculation 2 4 2 2 18" xfId="35011" xr:uid="{00000000-0005-0000-0000-00001C0E0000}"/>
    <cellStyle name="Calculation 2 4 2 2 19" xfId="35332" xr:uid="{00000000-0005-0000-0000-00001D0E0000}"/>
    <cellStyle name="Calculation 2 4 2 2 2" xfId="730" xr:uid="{00000000-0005-0000-0000-00001E0E0000}"/>
    <cellStyle name="Calculation 2 4 2 2 2 10" xfId="23068" xr:uid="{00000000-0005-0000-0000-00001F0E0000}"/>
    <cellStyle name="Calculation 2 4 2 2 2 11" xfId="24040" xr:uid="{00000000-0005-0000-0000-0000200E0000}"/>
    <cellStyle name="Calculation 2 4 2 2 2 12" xfId="25039" xr:uid="{00000000-0005-0000-0000-0000210E0000}"/>
    <cellStyle name="Calculation 2 4 2 2 2 13" xfId="27984" xr:uid="{00000000-0005-0000-0000-0000220E0000}"/>
    <cellStyle name="Calculation 2 4 2 2 2 14" xfId="28953" xr:uid="{00000000-0005-0000-0000-0000230E0000}"/>
    <cellStyle name="Calculation 2 4 2 2 2 15" xfId="29992" xr:uid="{00000000-0005-0000-0000-0000240E0000}"/>
    <cellStyle name="Calculation 2 4 2 2 2 16" xfId="30985" xr:uid="{00000000-0005-0000-0000-0000250E0000}"/>
    <cellStyle name="Calculation 2 4 2 2 2 17" xfId="31994" xr:uid="{00000000-0005-0000-0000-0000260E0000}"/>
    <cellStyle name="Calculation 2 4 2 2 2 18" xfId="32997" xr:uid="{00000000-0005-0000-0000-0000270E0000}"/>
    <cellStyle name="Calculation 2 4 2 2 2 19" xfId="33996" xr:uid="{00000000-0005-0000-0000-0000280E0000}"/>
    <cellStyle name="Calculation 2 4 2 2 2 2" xfId="731" xr:uid="{00000000-0005-0000-0000-0000290E0000}"/>
    <cellStyle name="Calculation 2 4 2 2 2 2 10" xfId="24041" xr:uid="{00000000-0005-0000-0000-00002A0E0000}"/>
    <cellStyle name="Calculation 2 4 2 2 2 2 11" xfId="25040" xr:uid="{00000000-0005-0000-0000-00002B0E0000}"/>
    <cellStyle name="Calculation 2 4 2 2 2 2 12" xfId="27985" xr:uid="{00000000-0005-0000-0000-00002C0E0000}"/>
    <cellStyle name="Calculation 2 4 2 2 2 2 13" xfId="28954" xr:uid="{00000000-0005-0000-0000-00002D0E0000}"/>
    <cellStyle name="Calculation 2 4 2 2 2 2 14" xfId="29993" xr:uid="{00000000-0005-0000-0000-00002E0E0000}"/>
    <cellStyle name="Calculation 2 4 2 2 2 2 15" xfId="30986" xr:uid="{00000000-0005-0000-0000-00002F0E0000}"/>
    <cellStyle name="Calculation 2 4 2 2 2 2 16" xfId="31995" xr:uid="{00000000-0005-0000-0000-0000300E0000}"/>
    <cellStyle name="Calculation 2 4 2 2 2 2 17" xfId="32998" xr:uid="{00000000-0005-0000-0000-0000310E0000}"/>
    <cellStyle name="Calculation 2 4 2 2 2 2 18" xfId="33997" xr:uid="{00000000-0005-0000-0000-0000320E0000}"/>
    <cellStyle name="Calculation 2 4 2 2 2 2 19" xfId="35618" xr:uid="{00000000-0005-0000-0000-0000330E0000}"/>
    <cellStyle name="Calculation 2 4 2 2 2 2 2" xfId="16021" xr:uid="{00000000-0005-0000-0000-0000340E0000}"/>
    <cellStyle name="Calculation 2 4 2 2 2 2 20" xfId="36557" xr:uid="{00000000-0005-0000-0000-0000350E0000}"/>
    <cellStyle name="Calculation 2 4 2 2 2 2 3" xfId="16999" xr:uid="{00000000-0005-0000-0000-0000360E0000}"/>
    <cellStyle name="Calculation 2 4 2 2 2 2 4" xfId="18027" xr:uid="{00000000-0005-0000-0000-0000370E0000}"/>
    <cellStyle name="Calculation 2 4 2 2 2 2 5" xfId="19059" xr:uid="{00000000-0005-0000-0000-0000380E0000}"/>
    <cellStyle name="Calculation 2 4 2 2 2 2 6" xfId="20081" xr:uid="{00000000-0005-0000-0000-0000390E0000}"/>
    <cellStyle name="Calculation 2 4 2 2 2 2 7" xfId="21090" xr:uid="{00000000-0005-0000-0000-00003A0E0000}"/>
    <cellStyle name="Calculation 2 4 2 2 2 2 8" xfId="22064" xr:uid="{00000000-0005-0000-0000-00003B0E0000}"/>
    <cellStyle name="Calculation 2 4 2 2 2 2 9" xfId="23069" xr:uid="{00000000-0005-0000-0000-00003C0E0000}"/>
    <cellStyle name="Calculation 2 4 2 2 2 20" xfId="35617" xr:uid="{00000000-0005-0000-0000-00003D0E0000}"/>
    <cellStyle name="Calculation 2 4 2 2 2 21" xfId="36556" xr:uid="{00000000-0005-0000-0000-00003E0E0000}"/>
    <cellStyle name="Calculation 2 4 2 2 2 3" xfId="16020" xr:uid="{00000000-0005-0000-0000-00003F0E0000}"/>
    <cellStyle name="Calculation 2 4 2 2 2 4" xfId="16998" xr:uid="{00000000-0005-0000-0000-0000400E0000}"/>
    <cellStyle name="Calculation 2 4 2 2 2 5" xfId="18026" xr:uid="{00000000-0005-0000-0000-0000410E0000}"/>
    <cellStyle name="Calculation 2 4 2 2 2 6" xfId="19058" xr:uid="{00000000-0005-0000-0000-0000420E0000}"/>
    <cellStyle name="Calculation 2 4 2 2 2 7" xfId="20080" xr:uid="{00000000-0005-0000-0000-0000430E0000}"/>
    <cellStyle name="Calculation 2 4 2 2 2 8" xfId="21089" xr:uid="{00000000-0005-0000-0000-0000440E0000}"/>
    <cellStyle name="Calculation 2 4 2 2 2 9" xfId="22063" xr:uid="{00000000-0005-0000-0000-0000450E0000}"/>
    <cellStyle name="Calculation 2 4 2 2 3" xfId="732" xr:uid="{00000000-0005-0000-0000-0000460E0000}"/>
    <cellStyle name="Calculation 2 4 2 2 3 10" xfId="23070" xr:uid="{00000000-0005-0000-0000-0000470E0000}"/>
    <cellStyle name="Calculation 2 4 2 2 3 11" xfId="24042" xr:uid="{00000000-0005-0000-0000-0000480E0000}"/>
    <cellStyle name="Calculation 2 4 2 2 3 12" xfId="25041" xr:uid="{00000000-0005-0000-0000-0000490E0000}"/>
    <cellStyle name="Calculation 2 4 2 2 3 13" xfId="27986" xr:uid="{00000000-0005-0000-0000-00004A0E0000}"/>
    <cellStyle name="Calculation 2 4 2 2 3 14" xfId="28955" xr:uid="{00000000-0005-0000-0000-00004B0E0000}"/>
    <cellStyle name="Calculation 2 4 2 2 3 15" xfId="29994" xr:uid="{00000000-0005-0000-0000-00004C0E0000}"/>
    <cellStyle name="Calculation 2 4 2 2 3 16" xfId="30987" xr:uid="{00000000-0005-0000-0000-00004D0E0000}"/>
    <cellStyle name="Calculation 2 4 2 2 3 17" xfId="31996" xr:uid="{00000000-0005-0000-0000-00004E0E0000}"/>
    <cellStyle name="Calculation 2 4 2 2 3 18" xfId="32999" xr:uid="{00000000-0005-0000-0000-00004F0E0000}"/>
    <cellStyle name="Calculation 2 4 2 2 3 19" xfId="33998" xr:uid="{00000000-0005-0000-0000-0000500E0000}"/>
    <cellStyle name="Calculation 2 4 2 2 3 2" xfId="733" xr:uid="{00000000-0005-0000-0000-0000510E0000}"/>
    <cellStyle name="Calculation 2 4 2 2 3 2 10" xfId="24043" xr:uid="{00000000-0005-0000-0000-0000520E0000}"/>
    <cellStyle name="Calculation 2 4 2 2 3 2 11" xfId="25042" xr:uid="{00000000-0005-0000-0000-0000530E0000}"/>
    <cellStyle name="Calculation 2 4 2 2 3 2 12" xfId="27987" xr:uid="{00000000-0005-0000-0000-0000540E0000}"/>
    <cellStyle name="Calculation 2 4 2 2 3 2 13" xfId="28956" xr:uid="{00000000-0005-0000-0000-0000550E0000}"/>
    <cellStyle name="Calculation 2 4 2 2 3 2 14" xfId="29995" xr:uid="{00000000-0005-0000-0000-0000560E0000}"/>
    <cellStyle name="Calculation 2 4 2 2 3 2 15" xfId="30988" xr:uid="{00000000-0005-0000-0000-0000570E0000}"/>
    <cellStyle name="Calculation 2 4 2 2 3 2 16" xfId="31997" xr:uid="{00000000-0005-0000-0000-0000580E0000}"/>
    <cellStyle name="Calculation 2 4 2 2 3 2 17" xfId="33000" xr:uid="{00000000-0005-0000-0000-0000590E0000}"/>
    <cellStyle name="Calculation 2 4 2 2 3 2 18" xfId="33999" xr:uid="{00000000-0005-0000-0000-00005A0E0000}"/>
    <cellStyle name="Calculation 2 4 2 2 3 2 19" xfId="35620" xr:uid="{00000000-0005-0000-0000-00005B0E0000}"/>
    <cellStyle name="Calculation 2 4 2 2 3 2 2" xfId="16023" xr:uid="{00000000-0005-0000-0000-00005C0E0000}"/>
    <cellStyle name="Calculation 2 4 2 2 3 2 20" xfId="36559" xr:uid="{00000000-0005-0000-0000-00005D0E0000}"/>
    <cellStyle name="Calculation 2 4 2 2 3 2 3" xfId="17001" xr:uid="{00000000-0005-0000-0000-00005E0E0000}"/>
    <cellStyle name="Calculation 2 4 2 2 3 2 4" xfId="18029" xr:uid="{00000000-0005-0000-0000-00005F0E0000}"/>
    <cellStyle name="Calculation 2 4 2 2 3 2 5" xfId="19061" xr:uid="{00000000-0005-0000-0000-0000600E0000}"/>
    <cellStyle name="Calculation 2 4 2 2 3 2 6" xfId="20083" xr:uid="{00000000-0005-0000-0000-0000610E0000}"/>
    <cellStyle name="Calculation 2 4 2 2 3 2 7" xfId="21092" xr:uid="{00000000-0005-0000-0000-0000620E0000}"/>
    <cellStyle name="Calculation 2 4 2 2 3 2 8" xfId="22066" xr:uid="{00000000-0005-0000-0000-0000630E0000}"/>
    <cellStyle name="Calculation 2 4 2 2 3 2 9" xfId="23071" xr:uid="{00000000-0005-0000-0000-0000640E0000}"/>
    <cellStyle name="Calculation 2 4 2 2 3 20" xfId="35619" xr:uid="{00000000-0005-0000-0000-0000650E0000}"/>
    <cellStyle name="Calculation 2 4 2 2 3 21" xfId="36558" xr:uid="{00000000-0005-0000-0000-0000660E0000}"/>
    <cellStyle name="Calculation 2 4 2 2 3 3" xfId="16022" xr:uid="{00000000-0005-0000-0000-0000670E0000}"/>
    <cellStyle name="Calculation 2 4 2 2 3 4" xfId="17000" xr:uid="{00000000-0005-0000-0000-0000680E0000}"/>
    <cellStyle name="Calculation 2 4 2 2 3 5" xfId="18028" xr:uid="{00000000-0005-0000-0000-0000690E0000}"/>
    <cellStyle name="Calculation 2 4 2 2 3 6" xfId="19060" xr:uid="{00000000-0005-0000-0000-00006A0E0000}"/>
    <cellStyle name="Calculation 2 4 2 2 3 7" xfId="20082" xr:uid="{00000000-0005-0000-0000-00006B0E0000}"/>
    <cellStyle name="Calculation 2 4 2 2 3 8" xfId="21091" xr:uid="{00000000-0005-0000-0000-00006C0E0000}"/>
    <cellStyle name="Calculation 2 4 2 2 3 9" xfId="22065" xr:uid="{00000000-0005-0000-0000-00006D0E0000}"/>
    <cellStyle name="Calculation 2 4 2 2 4" xfId="734" xr:uid="{00000000-0005-0000-0000-00006E0E0000}"/>
    <cellStyle name="Calculation 2 4 2 2 4 10" xfId="23072" xr:uid="{00000000-0005-0000-0000-00006F0E0000}"/>
    <cellStyle name="Calculation 2 4 2 2 4 11" xfId="24044" xr:uid="{00000000-0005-0000-0000-0000700E0000}"/>
    <cellStyle name="Calculation 2 4 2 2 4 12" xfId="25043" xr:uid="{00000000-0005-0000-0000-0000710E0000}"/>
    <cellStyle name="Calculation 2 4 2 2 4 13" xfId="27988" xr:uid="{00000000-0005-0000-0000-0000720E0000}"/>
    <cellStyle name="Calculation 2 4 2 2 4 14" xfId="28957" xr:uid="{00000000-0005-0000-0000-0000730E0000}"/>
    <cellStyle name="Calculation 2 4 2 2 4 15" xfId="29996" xr:uid="{00000000-0005-0000-0000-0000740E0000}"/>
    <cellStyle name="Calculation 2 4 2 2 4 16" xfId="30989" xr:uid="{00000000-0005-0000-0000-0000750E0000}"/>
    <cellStyle name="Calculation 2 4 2 2 4 17" xfId="31998" xr:uid="{00000000-0005-0000-0000-0000760E0000}"/>
    <cellStyle name="Calculation 2 4 2 2 4 18" xfId="33001" xr:uid="{00000000-0005-0000-0000-0000770E0000}"/>
    <cellStyle name="Calculation 2 4 2 2 4 19" xfId="34000" xr:uid="{00000000-0005-0000-0000-0000780E0000}"/>
    <cellStyle name="Calculation 2 4 2 2 4 2" xfId="735" xr:uid="{00000000-0005-0000-0000-0000790E0000}"/>
    <cellStyle name="Calculation 2 4 2 2 4 2 10" xfId="24045" xr:uid="{00000000-0005-0000-0000-00007A0E0000}"/>
    <cellStyle name="Calculation 2 4 2 2 4 2 11" xfId="25044" xr:uid="{00000000-0005-0000-0000-00007B0E0000}"/>
    <cellStyle name="Calculation 2 4 2 2 4 2 12" xfId="27989" xr:uid="{00000000-0005-0000-0000-00007C0E0000}"/>
    <cellStyle name="Calculation 2 4 2 2 4 2 13" xfId="28958" xr:uid="{00000000-0005-0000-0000-00007D0E0000}"/>
    <cellStyle name="Calculation 2 4 2 2 4 2 14" xfId="29997" xr:uid="{00000000-0005-0000-0000-00007E0E0000}"/>
    <cellStyle name="Calculation 2 4 2 2 4 2 15" xfId="30990" xr:uid="{00000000-0005-0000-0000-00007F0E0000}"/>
    <cellStyle name="Calculation 2 4 2 2 4 2 16" xfId="31999" xr:uid="{00000000-0005-0000-0000-0000800E0000}"/>
    <cellStyle name="Calculation 2 4 2 2 4 2 17" xfId="33002" xr:uid="{00000000-0005-0000-0000-0000810E0000}"/>
    <cellStyle name="Calculation 2 4 2 2 4 2 18" xfId="34001" xr:uid="{00000000-0005-0000-0000-0000820E0000}"/>
    <cellStyle name="Calculation 2 4 2 2 4 2 19" xfId="35622" xr:uid="{00000000-0005-0000-0000-0000830E0000}"/>
    <cellStyle name="Calculation 2 4 2 2 4 2 2" xfId="16025" xr:uid="{00000000-0005-0000-0000-0000840E0000}"/>
    <cellStyle name="Calculation 2 4 2 2 4 2 20" xfId="36561" xr:uid="{00000000-0005-0000-0000-0000850E0000}"/>
    <cellStyle name="Calculation 2 4 2 2 4 2 3" xfId="17003" xr:uid="{00000000-0005-0000-0000-0000860E0000}"/>
    <cellStyle name="Calculation 2 4 2 2 4 2 4" xfId="18031" xr:uid="{00000000-0005-0000-0000-0000870E0000}"/>
    <cellStyle name="Calculation 2 4 2 2 4 2 5" xfId="19063" xr:uid="{00000000-0005-0000-0000-0000880E0000}"/>
    <cellStyle name="Calculation 2 4 2 2 4 2 6" xfId="20085" xr:uid="{00000000-0005-0000-0000-0000890E0000}"/>
    <cellStyle name="Calculation 2 4 2 2 4 2 7" xfId="21094" xr:uid="{00000000-0005-0000-0000-00008A0E0000}"/>
    <cellStyle name="Calculation 2 4 2 2 4 2 8" xfId="22068" xr:uid="{00000000-0005-0000-0000-00008B0E0000}"/>
    <cellStyle name="Calculation 2 4 2 2 4 2 9" xfId="23073" xr:uid="{00000000-0005-0000-0000-00008C0E0000}"/>
    <cellStyle name="Calculation 2 4 2 2 4 20" xfId="35621" xr:uid="{00000000-0005-0000-0000-00008D0E0000}"/>
    <cellStyle name="Calculation 2 4 2 2 4 21" xfId="36560" xr:uid="{00000000-0005-0000-0000-00008E0E0000}"/>
    <cellStyle name="Calculation 2 4 2 2 4 3" xfId="16024" xr:uid="{00000000-0005-0000-0000-00008F0E0000}"/>
    <cellStyle name="Calculation 2 4 2 2 4 4" xfId="17002" xr:uid="{00000000-0005-0000-0000-0000900E0000}"/>
    <cellStyle name="Calculation 2 4 2 2 4 5" xfId="18030" xr:uid="{00000000-0005-0000-0000-0000910E0000}"/>
    <cellStyle name="Calculation 2 4 2 2 4 6" xfId="19062" xr:uid="{00000000-0005-0000-0000-0000920E0000}"/>
    <cellStyle name="Calculation 2 4 2 2 4 7" xfId="20084" xr:uid="{00000000-0005-0000-0000-0000930E0000}"/>
    <cellStyle name="Calculation 2 4 2 2 4 8" xfId="21093" xr:uid="{00000000-0005-0000-0000-0000940E0000}"/>
    <cellStyle name="Calculation 2 4 2 2 4 9" xfId="22067" xr:uid="{00000000-0005-0000-0000-0000950E0000}"/>
    <cellStyle name="Calculation 2 4 2 2 5" xfId="736" xr:uid="{00000000-0005-0000-0000-0000960E0000}"/>
    <cellStyle name="Calculation 2 4 2 2 5 10" xfId="24046" xr:uid="{00000000-0005-0000-0000-0000970E0000}"/>
    <cellStyle name="Calculation 2 4 2 2 5 11" xfId="25045" xr:uid="{00000000-0005-0000-0000-0000980E0000}"/>
    <cellStyle name="Calculation 2 4 2 2 5 12" xfId="27990" xr:uid="{00000000-0005-0000-0000-0000990E0000}"/>
    <cellStyle name="Calculation 2 4 2 2 5 13" xfId="28959" xr:uid="{00000000-0005-0000-0000-00009A0E0000}"/>
    <cellStyle name="Calculation 2 4 2 2 5 14" xfId="29998" xr:uid="{00000000-0005-0000-0000-00009B0E0000}"/>
    <cellStyle name="Calculation 2 4 2 2 5 15" xfId="30991" xr:uid="{00000000-0005-0000-0000-00009C0E0000}"/>
    <cellStyle name="Calculation 2 4 2 2 5 16" xfId="32000" xr:uid="{00000000-0005-0000-0000-00009D0E0000}"/>
    <cellStyle name="Calculation 2 4 2 2 5 17" xfId="33003" xr:uid="{00000000-0005-0000-0000-00009E0E0000}"/>
    <cellStyle name="Calculation 2 4 2 2 5 18" xfId="34002" xr:uid="{00000000-0005-0000-0000-00009F0E0000}"/>
    <cellStyle name="Calculation 2 4 2 2 5 19" xfId="35623" xr:uid="{00000000-0005-0000-0000-0000A00E0000}"/>
    <cellStyle name="Calculation 2 4 2 2 5 2" xfId="16026" xr:uid="{00000000-0005-0000-0000-0000A10E0000}"/>
    <cellStyle name="Calculation 2 4 2 2 5 20" xfId="36562" xr:uid="{00000000-0005-0000-0000-0000A20E0000}"/>
    <cellStyle name="Calculation 2 4 2 2 5 3" xfId="17004" xr:uid="{00000000-0005-0000-0000-0000A30E0000}"/>
    <cellStyle name="Calculation 2 4 2 2 5 4" xfId="18032" xr:uid="{00000000-0005-0000-0000-0000A40E0000}"/>
    <cellStyle name="Calculation 2 4 2 2 5 5" xfId="19064" xr:uid="{00000000-0005-0000-0000-0000A50E0000}"/>
    <cellStyle name="Calculation 2 4 2 2 5 6" xfId="20086" xr:uid="{00000000-0005-0000-0000-0000A60E0000}"/>
    <cellStyle name="Calculation 2 4 2 2 5 7" xfId="21095" xr:uid="{00000000-0005-0000-0000-0000A70E0000}"/>
    <cellStyle name="Calculation 2 4 2 2 5 8" xfId="22069" xr:uid="{00000000-0005-0000-0000-0000A80E0000}"/>
    <cellStyle name="Calculation 2 4 2 2 5 9" xfId="23074" xr:uid="{00000000-0005-0000-0000-0000A90E0000}"/>
    <cellStyle name="Calculation 2 4 2 2 6" xfId="14037" xr:uid="{00000000-0005-0000-0000-0000AA0E0000}"/>
    <cellStyle name="Calculation 2 4 2 2 7" xfId="15223" xr:uid="{00000000-0005-0000-0000-0000AB0E0000}"/>
    <cellStyle name="Calculation 2 4 2 2 8" xfId="13470" xr:uid="{00000000-0005-0000-0000-0000AC0E0000}"/>
    <cellStyle name="Calculation 2 4 2 2 9" xfId="15520" xr:uid="{00000000-0005-0000-0000-0000AD0E0000}"/>
    <cellStyle name="Calculation 2 4 2 20" xfId="27414" xr:uid="{00000000-0005-0000-0000-0000AE0E0000}"/>
    <cellStyle name="Calculation 2 4 2 21" xfId="29820" xr:uid="{00000000-0005-0000-0000-0000AF0E0000}"/>
    <cellStyle name="Calculation 2 4 2 22" xfId="34954" xr:uid="{00000000-0005-0000-0000-0000B00E0000}"/>
    <cellStyle name="Calculation 2 4 2 23" xfId="34887" xr:uid="{00000000-0005-0000-0000-0000B10E0000}"/>
    <cellStyle name="Calculation 2 4 2 3" xfId="737" xr:uid="{00000000-0005-0000-0000-0000B20E0000}"/>
    <cellStyle name="Calculation 2 4 2 3 10" xfId="14371" xr:uid="{00000000-0005-0000-0000-0000B30E0000}"/>
    <cellStyle name="Calculation 2 4 2 3 11" xfId="14779" xr:uid="{00000000-0005-0000-0000-0000B40E0000}"/>
    <cellStyle name="Calculation 2 4 2 3 12" xfId="26395" xr:uid="{00000000-0005-0000-0000-0000B50E0000}"/>
    <cellStyle name="Calculation 2 4 2 3 13" xfId="27126" xr:uid="{00000000-0005-0000-0000-0000B60E0000}"/>
    <cellStyle name="Calculation 2 4 2 3 14" xfId="26502" xr:uid="{00000000-0005-0000-0000-0000B70E0000}"/>
    <cellStyle name="Calculation 2 4 2 3 15" xfId="26585" xr:uid="{00000000-0005-0000-0000-0000B80E0000}"/>
    <cellStyle name="Calculation 2 4 2 3 16" xfId="26635" xr:uid="{00000000-0005-0000-0000-0000B90E0000}"/>
    <cellStyle name="Calculation 2 4 2 3 17" xfId="26986" xr:uid="{00000000-0005-0000-0000-0000BA0E0000}"/>
    <cellStyle name="Calculation 2 4 2 3 18" xfId="35086" xr:uid="{00000000-0005-0000-0000-0000BB0E0000}"/>
    <cellStyle name="Calculation 2 4 2 3 19" xfId="35281" xr:uid="{00000000-0005-0000-0000-0000BC0E0000}"/>
    <cellStyle name="Calculation 2 4 2 3 2" xfId="738" xr:uid="{00000000-0005-0000-0000-0000BD0E0000}"/>
    <cellStyle name="Calculation 2 4 2 3 2 10" xfId="23075" xr:uid="{00000000-0005-0000-0000-0000BE0E0000}"/>
    <cellStyle name="Calculation 2 4 2 3 2 11" xfId="24047" xr:uid="{00000000-0005-0000-0000-0000BF0E0000}"/>
    <cellStyle name="Calculation 2 4 2 3 2 12" xfId="25046" xr:uid="{00000000-0005-0000-0000-0000C00E0000}"/>
    <cellStyle name="Calculation 2 4 2 3 2 13" xfId="27991" xr:uid="{00000000-0005-0000-0000-0000C10E0000}"/>
    <cellStyle name="Calculation 2 4 2 3 2 14" xfId="28960" xr:uid="{00000000-0005-0000-0000-0000C20E0000}"/>
    <cellStyle name="Calculation 2 4 2 3 2 15" xfId="29999" xr:uid="{00000000-0005-0000-0000-0000C30E0000}"/>
    <cellStyle name="Calculation 2 4 2 3 2 16" xfId="30992" xr:uid="{00000000-0005-0000-0000-0000C40E0000}"/>
    <cellStyle name="Calculation 2 4 2 3 2 17" xfId="32001" xr:uid="{00000000-0005-0000-0000-0000C50E0000}"/>
    <cellStyle name="Calculation 2 4 2 3 2 18" xfId="33004" xr:uid="{00000000-0005-0000-0000-0000C60E0000}"/>
    <cellStyle name="Calculation 2 4 2 3 2 19" xfId="34003" xr:uid="{00000000-0005-0000-0000-0000C70E0000}"/>
    <cellStyle name="Calculation 2 4 2 3 2 2" xfId="739" xr:uid="{00000000-0005-0000-0000-0000C80E0000}"/>
    <cellStyle name="Calculation 2 4 2 3 2 2 10" xfId="24048" xr:uid="{00000000-0005-0000-0000-0000C90E0000}"/>
    <cellStyle name="Calculation 2 4 2 3 2 2 11" xfId="25047" xr:uid="{00000000-0005-0000-0000-0000CA0E0000}"/>
    <cellStyle name="Calculation 2 4 2 3 2 2 12" xfId="27992" xr:uid="{00000000-0005-0000-0000-0000CB0E0000}"/>
    <cellStyle name="Calculation 2 4 2 3 2 2 13" xfId="28961" xr:uid="{00000000-0005-0000-0000-0000CC0E0000}"/>
    <cellStyle name="Calculation 2 4 2 3 2 2 14" xfId="30000" xr:uid="{00000000-0005-0000-0000-0000CD0E0000}"/>
    <cellStyle name="Calculation 2 4 2 3 2 2 15" xfId="30993" xr:uid="{00000000-0005-0000-0000-0000CE0E0000}"/>
    <cellStyle name="Calculation 2 4 2 3 2 2 16" xfId="32002" xr:uid="{00000000-0005-0000-0000-0000CF0E0000}"/>
    <cellStyle name="Calculation 2 4 2 3 2 2 17" xfId="33005" xr:uid="{00000000-0005-0000-0000-0000D00E0000}"/>
    <cellStyle name="Calculation 2 4 2 3 2 2 18" xfId="34004" xr:uid="{00000000-0005-0000-0000-0000D10E0000}"/>
    <cellStyle name="Calculation 2 4 2 3 2 2 19" xfId="35625" xr:uid="{00000000-0005-0000-0000-0000D20E0000}"/>
    <cellStyle name="Calculation 2 4 2 3 2 2 2" xfId="16028" xr:uid="{00000000-0005-0000-0000-0000D30E0000}"/>
    <cellStyle name="Calculation 2 4 2 3 2 2 20" xfId="36564" xr:uid="{00000000-0005-0000-0000-0000D40E0000}"/>
    <cellStyle name="Calculation 2 4 2 3 2 2 3" xfId="17006" xr:uid="{00000000-0005-0000-0000-0000D50E0000}"/>
    <cellStyle name="Calculation 2 4 2 3 2 2 4" xfId="18034" xr:uid="{00000000-0005-0000-0000-0000D60E0000}"/>
    <cellStyle name="Calculation 2 4 2 3 2 2 5" xfId="19066" xr:uid="{00000000-0005-0000-0000-0000D70E0000}"/>
    <cellStyle name="Calculation 2 4 2 3 2 2 6" xfId="20088" xr:uid="{00000000-0005-0000-0000-0000D80E0000}"/>
    <cellStyle name="Calculation 2 4 2 3 2 2 7" xfId="21097" xr:uid="{00000000-0005-0000-0000-0000D90E0000}"/>
    <cellStyle name="Calculation 2 4 2 3 2 2 8" xfId="22071" xr:uid="{00000000-0005-0000-0000-0000DA0E0000}"/>
    <cellStyle name="Calculation 2 4 2 3 2 2 9" xfId="23076" xr:uid="{00000000-0005-0000-0000-0000DB0E0000}"/>
    <cellStyle name="Calculation 2 4 2 3 2 20" xfId="35624" xr:uid="{00000000-0005-0000-0000-0000DC0E0000}"/>
    <cellStyle name="Calculation 2 4 2 3 2 21" xfId="36563" xr:uid="{00000000-0005-0000-0000-0000DD0E0000}"/>
    <cellStyle name="Calculation 2 4 2 3 2 3" xfId="16027" xr:uid="{00000000-0005-0000-0000-0000DE0E0000}"/>
    <cellStyle name="Calculation 2 4 2 3 2 4" xfId="17005" xr:uid="{00000000-0005-0000-0000-0000DF0E0000}"/>
    <cellStyle name="Calculation 2 4 2 3 2 5" xfId="18033" xr:uid="{00000000-0005-0000-0000-0000E00E0000}"/>
    <cellStyle name="Calculation 2 4 2 3 2 6" xfId="19065" xr:uid="{00000000-0005-0000-0000-0000E10E0000}"/>
    <cellStyle name="Calculation 2 4 2 3 2 7" xfId="20087" xr:uid="{00000000-0005-0000-0000-0000E20E0000}"/>
    <cellStyle name="Calculation 2 4 2 3 2 8" xfId="21096" xr:uid="{00000000-0005-0000-0000-0000E30E0000}"/>
    <cellStyle name="Calculation 2 4 2 3 2 9" xfId="22070" xr:uid="{00000000-0005-0000-0000-0000E40E0000}"/>
    <cellStyle name="Calculation 2 4 2 3 3" xfId="740" xr:uid="{00000000-0005-0000-0000-0000E50E0000}"/>
    <cellStyle name="Calculation 2 4 2 3 3 10" xfId="23077" xr:uid="{00000000-0005-0000-0000-0000E60E0000}"/>
    <cellStyle name="Calculation 2 4 2 3 3 11" xfId="24049" xr:uid="{00000000-0005-0000-0000-0000E70E0000}"/>
    <cellStyle name="Calculation 2 4 2 3 3 12" xfId="25048" xr:uid="{00000000-0005-0000-0000-0000E80E0000}"/>
    <cellStyle name="Calculation 2 4 2 3 3 13" xfId="27993" xr:uid="{00000000-0005-0000-0000-0000E90E0000}"/>
    <cellStyle name="Calculation 2 4 2 3 3 14" xfId="28962" xr:uid="{00000000-0005-0000-0000-0000EA0E0000}"/>
    <cellStyle name="Calculation 2 4 2 3 3 15" xfId="30001" xr:uid="{00000000-0005-0000-0000-0000EB0E0000}"/>
    <cellStyle name="Calculation 2 4 2 3 3 16" xfId="30994" xr:uid="{00000000-0005-0000-0000-0000EC0E0000}"/>
    <cellStyle name="Calculation 2 4 2 3 3 17" xfId="32003" xr:uid="{00000000-0005-0000-0000-0000ED0E0000}"/>
    <cellStyle name="Calculation 2 4 2 3 3 18" xfId="33006" xr:uid="{00000000-0005-0000-0000-0000EE0E0000}"/>
    <cellStyle name="Calculation 2 4 2 3 3 19" xfId="34005" xr:uid="{00000000-0005-0000-0000-0000EF0E0000}"/>
    <cellStyle name="Calculation 2 4 2 3 3 2" xfId="741" xr:uid="{00000000-0005-0000-0000-0000F00E0000}"/>
    <cellStyle name="Calculation 2 4 2 3 3 2 10" xfId="24050" xr:uid="{00000000-0005-0000-0000-0000F10E0000}"/>
    <cellStyle name="Calculation 2 4 2 3 3 2 11" xfId="25049" xr:uid="{00000000-0005-0000-0000-0000F20E0000}"/>
    <cellStyle name="Calculation 2 4 2 3 3 2 12" xfId="27994" xr:uid="{00000000-0005-0000-0000-0000F30E0000}"/>
    <cellStyle name="Calculation 2 4 2 3 3 2 13" xfId="28963" xr:uid="{00000000-0005-0000-0000-0000F40E0000}"/>
    <cellStyle name="Calculation 2 4 2 3 3 2 14" xfId="30002" xr:uid="{00000000-0005-0000-0000-0000F50E0000}"/>
    <cellStyle name="Calculation 2 4 2 3 3 2 15" xfId="30995" xr:uid="{00000000-0005-0000-0000-0000F60E0000}"/>
    <cellStyle name="Calculation 2 4 2 3 3 2 16" xfId="32004" xr:uid="{00000000-0005-0000-0000-0000F70E0000}"/>
    <cellStyle name="Calculation 2 4 2 3 3 2 17" xfId="33007" xr:uid="{00000000-0005-0000-0000-0000F80E0000}"/>
    <cellStyle name="Calculation 2 4 2 3 3 2 18" xfId="34006" xr:uid="{00000000-0005-0000-0000-0000F90E0000}"/>
    <cellStyle name="Calculation 2 4 2 3 3 2 19" xfId="35627" xr:uid="{00000000-0005-0000-0000-0000FA0E0000}"/>
    <cellStyle name="Calculation 2 4 2 3 3 2 2" xfId="16030" xr:uid="{00000000-0005-0000-0000-0000FB0E0000}"/>
    <cellStyle name="Calculation 2 4 2 3 3 2 20" xfId="36566" xr:uid="{00000000-0005-0000-0000-0000FC0E0000}"/>
    <cellStyle name="Calculation 2 4 2 3 3 2 3" xfId="17008" xr:uid="{00000000-0005-0000-0000-0000FD0E0000}"/>
    <cellStyle name="Calculation 2 4 2 3 3 2 4" xfId="18036" xr:uid="{00000000-0005-0000-0000-0000FE0E0000}"/>
    <cellStyle name="Calculation 2 4 2 3 3 2 5" xfId="19068" xr:uid="{00000000-0005-0000-0000-0000FF0E0000}"/>
    <cellStyle name="Calculation 2 4 2 3 3 2 6" xfId="20090" xr:uid="{00000000-0005-0000-0000-0000000F0000}"/>
    <cellStyle name="Calculation 2 4 2 3 3 2 7" xfId="21099" xr:uid="{00000000-0005-0000-0000-0000010F0000}"/>
    <cellStyle name="Calculation 2 4 2 3 3 2 8" xfId="22073" xr:uid="{00000000-0005-0000-0000-0000020F0000}"/>
    <cellStyle name="Calculation 2 4 2 3 3 2 9" xfId="23078" xr:uid="{00000000-0005-0000-0000-0000030F0000}"/>
    <cellStyle name="Calculation 2 4 2 3 3 20" xfId="35626" xr:uid="{00000000-0005-0000-0000-0000040F0000}"/>
    <cellStyle name="Calculation 2 4 2 3 3 21" xfId="36565" xr:uid="{00000000-0005-0000-0000-0000050F0000}"/>
    <cellStyle name="Calculation 2 4 2 3 3 3" xfId="16029" xr:uid="{00000000-0005-0000-0000-0000060F0000}"/>
    <cellStyle name="Calculation 2 4 2 3 3 4" xfId="17007" xr:uid="{00000000-0005-0000-0000-0000070F0000}"/>
    <cellStyle name="Calculation 2 4 2 3 3 5" xfId="18035" xr:uid="{00000000-0005-0000-0000-0000080F0000}"/>
    <cellStyle name="Calculation 2 4 2 3 3 6" xfId="19067" xr:uid="{00000000-0005-0000-0000-0000090F0000}"/>
    <cellStyle name="Calculation 2 4 2 3 3 7" xfId="20089" xr:uid="{00000000-0005-0000-0000-00000A0F0000}"/>
    <cellStyle name="Calculation 2 4 2 3 3 8" xfId="21098" xr:uid="{00000000-0005-0000-0000-00000B0F0000}"/>
    <cellStyle name="Calculation 2 4 2 3 3 9" xfId="22072" xr:uid="{00000000-0005-0000-0000-00000C0F0000}"/>
    <cellStyle name="Calculation 2 4 2 3 4" xfId="742" xr:uid="{00000000-0005-0000-0000-00000D0F0000}"/>
    <cellStyle name="Calculation 2 4 2 3 4 10" xfId="23079" xr:uid="{00000000-0005-0000-0000-00000E0F0000}"/>
    <cellStyle name="Calculation 2 4 2 3 4 11" xfId="24051" xr:uid="{00000000-0005-0000-0000-00000F0F0000}"/>
    <cellStyle name="Calculation 2 4 2 3 4 12" xfId="25050" xr:uid="{00000000-0005-0000-0000-0000100F0000}"/>
    <cellStyle name="Calculation 2 4 2 3 4 13" xfId="27995" xr:uid="{00000000-0005-0000-0000-0000110F0000}"/>
    <cellStyle name="Calculation 2 4 2 3 4 14" xfId="28964" xr:uid="{00000000-0005-0000-0000-0000120F0000}"/>
    <cellStyle name="Calculation 2 4 2 3 4 15" xfId="30003" xr:uid="{00000000-0005-0000-0000-0000130F0000}"/>
    <cellStyle name="Calculation 2 4 2 3 4 16" xfId="30996" xr:uid="{00000000-0005-0000-0000-0000140F0000}"/>
    <cellStyle name="Calculation 2 4 2 3 4 17" xfId="32005" xr:uid="{00000000-0005-0000-0000-0000150F0000}"/>
    <cellStyle name="Calculation 2 4 2 3 4 18" xfId="33008" xr:uid="{00000000-0005-0000-0000-0000160F0000}"/>
    <cellStyle name="Calculation 2 4 2 3 4 19" xfId="34007" xr:uid="{00000000-0005-0000-0000-0000170F0000}"/>
    <cellStyle name="Calculation 2 4 2 3 4 2" xfId="743" xr:uid="{00000000-0005-0000-0000-0000180F0000}"/>
    <cellStyle name="Calculation 2 4 2 3 4 2 10" xfId="24052" xr:uid="{00000000-0005-0000-0000-0000190F0000}"/>
    <cellStyle name="Calculation 2 4 2 3 4 2 11" xfId="25051" xr:uid="{00000000-0005-0000-0000-00001A0F0000}"/>
    <cellStyle name="Calculation 2 4 2 3 4 2 12" xfId="27996" xr:uid="{00000000-0005-0000-0000-00001B0F0000}"/>
    <cellStyle name="Calculation 2 4 2 3 4 2 13" xfId="28965" xr:uid="{00000000-0005-0000-0000-00001C0F0000}"/>
    <cellStyle name="Calculation 2 4 2 3 4 2 14" xfId="30004" xr:uid="{00000000-0005-0000-0000-00001D0F0000}"/>
    <cellStyle name="Calculation 2 4 2 3 4 2 15" xfId="30997" xr:uid="{00000000-0005-0000-0000-00001E0F0000}"/>
    <cellStyle name="Calculation 2 4 2 3 4 2 16" xfId="32006" xr:uid="{00000000-0005-0000-0000-00001F0F0000}"/>
    <cellStyle name="Calculation 2 4 2 3 4 2 17" xfId="33009" xr:uid="{00000000-0005-0000-0000-0000200F0000}"/>
    <cellStyle name="Calculation 2 4 2 3 4 2 18" xfId="34008" xr:uid="{00000000-0005-0000-0000-0000210F0000}"/>
    <cellStyle name="Calculation 2 4 2 3 4 2 19" xfId="35629" xr:uid="{00000000-0005-0000-0000-0000220F0000}"/>
    <cellStyle name="Calculation 2 4 2 3 4 2 2" xfId="16032" xr:uid="{00000000-0005-0000-0000-0000230F0000}"/>
    <cellStyle name="Calculation 2 4 2 3 4 2 20" xfId="36568" xr:uid="{00000000-0005-0000-0000-0000240F0000}"/>
    <cellStyle name="Calculation 2 4 2 3 4 2 3" xfId="17010" xr:uid="{00000000-0005-0000-0000-0000250F0000}"/>
    <cellStyle name="Calculation 2 4 2 3 4 2 4" xfId="18038" xr:uid="{00000000-0005-0000-0000-0000260F0000}"/>
    <cellStyle name="Calculation 2 4 2 3 4 2 5" xfId="19070" xr:uid="{00000000-0005-0000-0000-0000270F0000}"/>
    <cellStyle name="Calculation 2 4 2 3 4 2 6" xfId="20092" xr:uid="{00000000-0005-0000-0000-0000280F0000}"/>
    <cellStyle name="Calculation 2 4 2 3 4 2 7" xfId="21101" xr:uid="{00000000-0005-0000-0000-0000290F0000}"/>
    <cellStyle name="Calculation 2 4 2 3 4 2 8" xfId="22075" xr:uid="{00000000-0005-0000-0000-00002A0F0000}"/>
    <cellStyle name="Calculation 2 4 2 3 4 2 9" xfId="23080" xr:uid="{00000000-0005-0000-0000-00002B0F0000}"/>
    <cellStyle name="Calculation 2 4 2 3 4 20" xfId="35628" xr:uid="{00000000-0005-0000-0000-00002C0F0000}"/>
    <cellStyle name="Calculation 2 4 2 3 4 21" xfId="36567" xr:uid="{00000000-0005-0000-0000-00002D0F0000}"/>
    <cellStyle name="Calculation 2 4 2 3 4 3" xfId="16031" xr:uid="{00000000-0005-0000-0000-00002E0F0000}"/>
    <cellStyle name="Calculation 2 4 2 3 4 4" xfId="17009" xr:uid="{00000000-0005-0000-0000-00002F0F0000}"/>
    <cellStyle name="Calculation 2 4 2 3 4 5" xfId="18037" xr:uid="{00000000-0005-0000-0000-0000300F0000}"/>
    <cellStyle name="Calculation 2 4 2 3 4 6" xfId="19069" xr:uid="{00000000-0005-0000-0000-0000310F0000}"/>
    <cellStyle name="Calculation 2 4 2 3 4 7" xfId="20091" xr:uid="{00000000-0005-0000-0000-0000320F0000}"/>
    <cellStyle name="Calculation 2 4 2 3 4 8" xfId="21100" xr:uid="{00000000-0005-0000-0000-0000330F0000}"/>
    <cellStyle name="Calculation 2 4 2 3 4 9" xfId="22074" xr:uid="{00000000-0005-0000-0000-0000340F0000}"/>
    <cellStyle name="Calculation 2 4 2 3 5" xfId="744" xr:uid="{00000000-0005-0000-0000-0000350F0000}"/>
    <cellStyle name="Calculation 2 4 2 3 5 10" xfId="24053" xr:uid="{00000000-0005-0000-0000-0000360F0000}"/>
    <cellStyle name="Calculation 2 4 2 3 5 11" xfId="25052" xr:uid="{00000000-0005-0000-0000-0000370F0000}"/>
    <cellStyle name="Calculation 2 4 2 3 5 12" xfId="27997" xr:uid="{00000000-0005-0000-0000-0000380F0000}"/>
    <cellStyle name="Calculation 2 4 2 3 5 13" xfId="28966" xr:uid="{00000000-0005-0000-0000-0000390F0000}"/>
    <cellStyle name="Calculation 2 4 2 3 5 14" xfId="30005" xr:uid="{00000000-0005-0000-0000-00003A0F0000}"/>
    <cellStyle name="Calculation 2 4 2 3 5 15" xfId="30998" xr:uid="{00000000-0005-0000-0000-00003B0F0000}"/>
    <cellStyle name="Calculation 2 4 2 3 5 16" xfId="32007" xr:uid="{00000000-0005-0000-0000-00003C0F0000}"/>
    <cellStyle name="Calculation 2 4 2 3 5 17" xfId="33010" xr:uid="{00000000-0005-0000-0000-00003D0F0000}"/>
    <cellStyle name="Calculation 2 4 2 3 5 18" xfId="34009" xr:uid="{00000000-0005-0000-0000-00003E0F0000}"/>
    <cellStyle name="Calculation 2 4 2 3 5 19" xfId="35630" xr:uid="{00000000-0005-0000-0000-00003F0F0000}"/>
    <cellStyle name="Calculation 2 4 2 3 5 2" xfId="16033" xr:uid="{00000000-0005-0000-0000-0000400F0000}"/>
    <cellStyle name="Calculation 2 4 2 3 5 20" xfId="36569" xr:uid="{00000000-0005-0000-0000-0000410F0000}"/>
    <cellStyle name="Calculation 2 4 2 3 5 3" xfId="17011" xr:uid="{00000000-0005-0000-0000-0000420F0000}"/>
    <cellStyle name="Calculation 2 4 2 3 5 4" xfId="18039" xr:uid="{00000000-0005-0000-0000-0000430F0000}"/>
    <cellStyle name="Calculation 2 4 2 3 5 5" xfId="19071" xr:uid="{00000000-0005-0000-0000-0000440F0000}"/>
    <cellStyle name="Calculation 2 4 2 3 5 6" xfId="20093" xr:uid="{00000000-0005-0000-0000-0000450F0000}"/>
    <cellStyle name="Calculation 2 4 2 3 5 7" xfId="21102" xr:uid="{00000000-0005-0000-0000-0000460F0000}"/>
    <cellStyle name="Calculation 2 4 2 3 5 8" xfId="22076" xr:uid="{00000000-0005-0000-0000-0000470F0000}"/>
    <cellStyle name="Calculation 2 4 2 3 5 9" xfId="23081" xr:uid="{00000000-0005-0000-0000-0000480F0000}"/>
    <cellStyle name="Calculation 2 4 2 3 6" xfId="14055" xr:uid="{00000000-0005-0000-0000-0000490F0000}"/>
    <cellStyle name="Calculation 2 4 2 3 7" xfId="14474" xr:uid="{00000000-0005-0000-0000-00004A0F0000}"/>
    <cellStyle name="Calculation 2 4 2 3 8" xfId="14181" xr:uid="{00000000-0005-0000-0000-00004B0F0000}"/>
    <cellStyle name="Calculation 2 4 2 3 9" xfId="15564" xr:uid="{00000000-0005-0000-0000-00004C0F0000}"/>
    <cellStyle name="Calculation 2 4 2 4" xfId="745" xr:uid="{00000000-0005-0000-0000-00004D0F0000}"/>
    <cellStyle name="Calculation 2 4 2 4 10" xfId="13694" xr:uid="{00000000-0005-0000-0000-00004E0F0000}"/>
    <cellStyle name="Calculation 2 4 2 4 11" xfId="13521" xr:uid="{00000000-0005-0000-0000-00004F0F0000}"/>
    <cellStyle name="Calculation 2 4 2 4 12" xfId="26413" xr:uid="{00000000-0005-0000-0000-0000500F0000}"/>
    <cellStyle name="Calculation 2 4 2 4 13" xfId="27112" xr:uid="{00000000-0005-0000-0000-0000510F0000}"/>
    <cellStyle name="Calculation 2 4 2 4 14" xfId="26153" xr:uid="{00000000-0005-0000-0000-0000520F0000}"/>
    <cellStyle name="Calculation 2 4 2 4 15" xfId="26554" xr:uid="{00000000-0005-0000-0000-0000530F0000}"/>
    <cellStyle name="Calculation 2 4 2 4 16" xfId="27544" xr:uid="{00000000-0005-0000-0000-0000540F0000}"/>
    <cellStyle name="Calculation 2 4 2 4 17" xfId="27441" xr:uid="{00000000-0005-0000-0000-0000550F0000}"/>
    <cellStyle name="Calculation 2 4 2 4 18" xfId="35103" xr:uid="{00000000-0005-0000-0000-0000560F0000}"/>
    <cellStyle name="Calculation 2 4 2 4 19" xfId="35423" xr:uid="{00000000-0005-0000-0000-0000570F0000}"/>
    <cellStyle name="Calculation 2 4 2 4 2" xfId="746" xr:uid="{00000000-0005-0000-0000-0000580F0000}"/>
    <cellStyle name="Calculation 2 4 2 4 2 10" xfId="23082" xr:uid="{00000000-0005-0000-0000-0000590F0000}"/>
    <cellStyle name="Calculation 2 4 2 4 2 11" xfId="24054" xr:uid="{00000000-0005-0000-0000-00005A0F0000}"/>
    <cellStyle name="Calculation 2 4 2 4 2 12" xfId="25053" xr:uid="{00000000-0005-0000-0000-00005B0F0000}"/>
    <cellStyle name="Calculation 2 4 2 4 2 13" xfId="27998" xr:uid="{00000000-0005-0000-0000-00005C0F0000}"/>
    <cellStyle name="Calculation 2 4 2 4 2 14" xfId="28967" xr:uid="{00000000-0005-0000-0000-00005D0F0000}"/>
    <cellStyle name="Calculation 2 4 2 4 2 15" xfId="30006" xr:uid="{00000000-0005-0000-0000-00005E0F0000}"/>
    <cellStyle name="Calculation 2 4 2 4 2 16" xfId="30999" xr:uid="{00000000-0005-0000-0000-00005F0F0000}"/>
    <cellStyle name="Calculation 2 4 2 4 2 17" xfId="32008" xr:uid="{00000000-0005-0000-0000-0000600F0000}"/>
    <cellStyle name="Calculation 2 4 2 4 2 18" xfId="33011" xr:uid="{00000000-0005-0000-0000-0000610F0000}"/>
    <cellStyle name="Calculation 2 4 2 4 2 19" xfId="34010" xr:uid="{00000000-0005-0000-0000-0000620F0000}"/>
    <cellStyle name="Calculation 2 4 2 4 2 2" xfId="747" xr:uid="{00000000-0005-0000-0000-0000630F0000}"/>
    <cellStyle name="Calculation 2 4 2 4 2 2 10" xfId="24055" xr:uid="{00000000-0005-0000-0000-0000640F0000}"/>
    <cellStyle name="Calculation 2 4 2 4 2 2 11" xfId="25054" xr:uid="{00000000-0005-0000-0000-0000650F0000}"/>
    <cellStyle name="Calculation 2 4 2 4 2 2 12" xfId="27999" xr:uid="{00000000-0005-0000-0000-0000660F0000}"/>
    <cellStyle name="Calculation 2 4 2 4 2 2 13" xfId="28968" xr:uid="{00000000-0005-0000-0000-0000670F0000}"/>
    <cellStyle name="Calculation 2 4 2 4 2 2 14" xfId="30007" xr:uid="{00000000-0005-0000-0000-0000680F0000}"/>
    <cellStyle name="Calculation 2 4 2 4 2 2 15" xfId="31000" xr:uid="{00000000-0005-0000-0000-0000690F0000}"/>
    <cellStyle name="Calculation 2 4 2 4 2 2 16" xfId="32009" xr:uid="{00000000-0005-0000-0000-00006A0F0000}"/>
    <cellStyle name="Calculation 2 4 2 4 2 2 17" xfId="33012" xr:uid="{00000000-0005-0000-0000-00006B0F0000}"/>
    <cellStyle name="Calculation 2 4 2 4 2 2 18" xfId="34011" xr:uid="{00000000-0005-0000-0000-00006C0F0000}"/>
    <cellStyle name="Calculation 2 4 2 4 2 2 19" xfId="35632" xr:uid="{00000000-0005-0000-0000-00006D0F0000}"/>
    <cellStyle name="Calculation 2 4 2 4 2 2 2" xfId="16035" xr:uid="{00000000-0005-0000-0000-00006E0F0000}"/>
    <cellStyle name="Calculation 2 4 2 4 2 2 20" xfId="36571" xr:uid="{00000000-0005-0000-0000-00006F0F0000}"/>
    <cellStyle name="Calculation 2 4 2 4 2 2 3" xfId="17013" xr:uid="{00000000-0005-0000-0000-0000700F0000}"/>
    <cellStyle name="Calculation 2 4 2 4 2 2 4" xfId="18041" xr:uid="{00000000-0005-0000-0000-0000710F0000}"/>
    <cellStyle name="Calculation 2 4 2 4 2 2 5" xfId="19073" xr:uid="{00000000-0005-0000-0000-0000720F0000}"/>
    <cellStyle name="Calculation 2 4 2 4 2 2 6" xfId="20095" xr:uid="{00000000-0005-0000-0000-0000730F0000}"/>
    <cellStyle name="Calculation 2 4 2 4 2 2 7" xfId="21104" xr:uid="{00000000-0005-0000-0000-0000740F0000}"/>
    <cellStyle name="Calculation 2 4 2 4 2 2 8" xfId="22078" xr:uid="{00000000-0005-0000-0000-0000750F0000}"/>
    <cellStyle name="Calculation 2 4 2 4 2 2 9" xfId="23083" xr:uid="{00000000-0005-0000-0000-0000760F0000}"/>
    <cellStyle name="Calculation 2 4 2 4 2 20" xfId="35631" xr:uid="{00000000-0005-0000-0000-0000770F0000}"/>
    <cellStyle name="Calculation 2 4 2 4 2 21" xfId="36570" xr:uid="{00000000-0005-0000-0000-0000780F0000}"/>
    <cellStyle name="Calculation 2 4 2 4 2 3" xfId="16034" xr:uid="{00000000-0005-0000-0000-0000790F0000}"/>
    <cellStyle name="Calculation 2 4 2 4 2 4" xfId="17012" xr:uid="{00000000-0005-0000-0000-00007A0F0000}"/>
    <cellStyle name="Calculation 2 4 2 4 2 5" xfId="18040" xr:uid="{00000000-0005-0000-0000-00007B0F0000}"/>
    <cellStyle name="Calculation 2 4 2 4 2 6" xfId="19072" xr:uid="{00000000-0005-0000-0000-00007C0F0000}"/>
    <cellStyle name="Calculation 2 4 2 4 2 7" xfId="20094" xr:uid="{00000000-0005-0000-0000-00007D0F0000}"/>
    <cellStyle name="Calculation 2 4 2 4 2 8" xfId="21103" xr:uid="{00000000-0005-0000-0000-00007E0F0000}"/>
    <cellStyle name="Calculation 2 4 2 4 2 9" xfId="22077" xr:uid="{00000000-0005-0000-0000-00007F0F0000}"/>
    <cellStyle name="Calculation 2 4 2 4 3" xfId="748" xr:uid="{00000000-0005-0000-0000-0000800F0000}"/>
    <cellStyle name="Calculation 2 4 2 4 3 10" xfId="23084" xr:uid="{00000000-0005-0000-0000-0000810F0000}"/>
    <cellStyle name="Calculation 2 4 2 4 3 11" xfId="24056" xr:uid="{00000000-0005-0000-0000-0000820F0000}"/>
    <cellStyle name="Calculation 2 4 2 4 3 12" xfId="25055" xr:uid="{00000000-0005-0000-0000-0000830F0000}"/>
    <cellStyle name="Calculation 2 4 2 4 3 13" xfId="28000" xr:uid="{00000000-0005-0000-0000-0000840F0000}"/>
    <cellStyle name="Calculation 2 4 2 4 3 14" xfId="28969" xr:uid="{00000000-0005-0000-0000-0000850F0000}"/>
    <cellStyle name="Calculation 2 4 2 4 3 15" xfId="30008" xr:uid="{00000000-0005-0000-0000-0000860F0000}"/>
    <cellStyle name="Calculation 2 4 2 4 3 16" xfId="31001" xr:uid="{00000000-0005-0000-0000-0000870F0000}"/>
    <cellStyle name="Calculation 2 4 2 4 3 17" xfId="32010" xr:uid="{00000000-0005-0000-0000-0000880F0000}"/>
    <cellStyle name="Calculation 2 4 2 4 3 18" xfId="33013" xr:uid="{00000000-0005-0000-0000-0000890F0000}"/>
    <cellStyle name="Calculation 2 4 2 4 3 19" xfId="34012" xr:uid="{00000000-0005-0000-0000-00008A0F0000}"/>
    <cellStyle name="Calculation 2 4 2 4 3 2" xfId="749" xr:uid="{00000000-0005-0000-0000-00008B0F0000}"/>
    <cellStyle name="Calculation 2 4 2 4 3 2 10" xfId="24057" xr:uid="{00000000-0005-0000-0000-00008C0F0000}"/>
    <cellStyle name="Calculation 2 4 2 4 3 2 11" xfId="25056" xr:uid="{00000000-0005-0000-0000-00008D0F0000}"/>
    <cellStyle name="Calculation 2 4 2 4 3 2 12" xfId="28001" xr:uid="{00000000-0005-0000-0000-00008E0F0000}"/>
    <cellStyle name="Calculation 2 4 2 4 3 2 13" xfId="28970" xr:uid="{00000000-0005-0000-0000-00008F0F0000}"/>
    <cellStyle name="Calculation 2 4 2 4 3 2 14" xfId="30009" xr:uid="{00000000-0005-0000-0000-0000900F0000}"/>
    <cellStyle name="Calculation 2 4 2 4 3 2 15" xfId="31002" xr:uid="{00000000-0005-0000-0000-0000910F0000}"/>
    <cellStyle name="Calculation 2 4 2 4 3 2 16" xfId="32011" xr:uid="{00000000-0005-0000-0000-0000920F0000}"/>
    <cellStyle name="Calculation 2 4 2 4 3 2 17" xfId="33014" xr:uid="{00000000-0005-0000-0000-0000930F0000}"/>
    <cellStyle name="Calculation 2 4 2 4 3 2 18" xfId="34013" xr:uid="{00000000-0005-0000-0000-0000940F0000}"/>
    <cellStyle name="Calculation 2 4 2 4 3 2 19" xfId="35634" xr:uid="{00000000-0005-0000-0000-0000950F0000}"/>
    <cellStyle name="Calculation 2 4 2 4 3 2 2" xfId="16037" xr:uid="{00000000-0005-0000-0000-0000960F0000}"/>
    <cellStyle name="Calculation 2 4 2 4 3 2 20" xfId="36573" xr:uid="{00000000-0005-0000-0000-0000970F0000}"/>
    <cellStyle name="Calculation 2 4 2 4 3 2 3" xfId="17015" xr:uid="{00000000-0005-0000-0000-0000980F0000}"/>
    <cellStyle name="Calculation 2 4 2 4 3 2 4" xfId="18043" xr:uid="{00000000-0005-0000-0000-0000990F0000}"/>
    <cellStyle name="Calculation 2 4 2 4 3 2 5" xfId="19075" xr:uid="{00000000-0005-0000-0000-00009A0F0000}"/>
    <cellStyle name="Calculation 2 4 2 4 3 2 6" xfId="20097" xr:uid="{00000000-0005-0000-0000-00009B0F0000}"/>
    <cellStyle name="Calculation 2 4 2 4 3 2 7" xfId="21106" xr:uid="{00000000-0005-0000-0000-00009C0F0000}"/>
    <cellStyle name="Calculation 2 4 2 4 3 2 8" xfId="22080" xr:uid="{00000000-0005-0000-0000-00009D0F0000}"/>
    <cellStyle name="Calculation 2 4 2 4 3 2 9" xfId="23085" xr:uid="{00000000-0005-0000-0000-00009E0F0000}"/>
    <cellStyle name="Calculation 2 4 2 4 3 20" xfId="35633" xr:uid="{00000000-0005-0000-0000-00009F0F0000}"/>
    <cellStyle name="Calculation 2 4 2 4 3 21" xfId="36572" xr:uid="{00000000-0005-0000-0000-0000A00F0000}"/>
    <cellStyle name="Calculation 2 4 2 4 3 3" xfId="16036" xr:uid="{00000000-0005-0000-0000-0000A10F0000}"/>
    <cellStyle name="Calculation 2 4 2 4 3 4" xfId="17014" xr:uid="{00000000-0005-0000-0000-0000A20F0000}"/>
    <cellStyle name="Calculation 2 4 2 4 3 5" xfId="18042" xr:uid="{00000000-0005-0000-0000-0000A30F0000}"/>
    <cellStyle name="Calculation 2 4 2 4 3 6" xfId="19074" xr:uid="{00000000-0005-0000-0000-0000A40F0000}"/>
    <cellStyle name="Calculation 2 4 2 4 3 7" xfId="20096" xr:uid="{00000000-0005-0000-0000-0000A50F0000}"/>
    <cellStyle name="Calculation 2 4 2 4 3 8" xfId="21105" xr:uid="{00000000-0005-0000-0000-0000A60F0000}"/>
    <cellStyle name="Calculation 2 4 2 4 3 9" xfId="22079" xr:uid="{00000000-0005-0000-0000-0000A70F0000}"/>
    <cellStyle name="Calculation 2 4 2 4 4" xfId="750" xr:uid="{00000000-0005-0000-0000-0000A80F0000}"/>
    <cellStyle name="Calculation 2 4 2 4 4 10" xfId="23086" xr:uid="{00000000-0005-0000-0000-0000A90F0000}"/>
    <cellStyle name="Calculation 2 4 2 4 4 11" xfId="24058" xr:uid="{00000000-0005-0000-0000-0000AA0F0000}"/>
    <cellStyle name="Calculation 2 4 2 4 4 12" xfId="25057" xr:uid="{00000000-0005-0000-0000-0000AB0F0000}"/>
    <cellStyle name="Calculation 2 4 2 4 4 13" xfId="28002" xr:uid="{00000000-0005-0000-0000-0000AC0F0000}"/>
    <cellStyle name="Calculation 2 4 2 4 4 14" xfId="28971" xr:uid="{00000000-0005-0000-0000-0000AD0F0000}"/>
    <cellStyle name="Calculation 2 4 2 4 4 15" xfId="30010" xr:uid="{00000000-0005-0000-0000-0000AE0F0000}"/>
    <cellStyle name="Calculation 2 4 2 4 4 16" xfId="31003" xr:uid="{00000000-0005-0000-0000-0000AF0F0000}"/>
    <cellStyle name="Calculation 2 4 2 4 4 17" xfId="32012" xr:uid="{00000000-0005-0000-0000-0000B00F0000}"/>
    <cellStyle name="Calculation 2 4 2 4 4 18" xfId="33015" xr:uid="{00000000-0005-0000-0000-0000B10F0000}"/>
    <cellStyle name="Calculation 2 4 2 4 4 19" xfId="34014" xr:uid="{00000000-0005-0000-0000-0000B20F0000}"/>
    <cellStyle name="Calculation 2 4 2 4 4 2" xfId="751" xr:uid="{00000000-0005-0000-0000-0000B30F0000}"/>
    <cellStyle name="Calculation 2 4 2 4 4 2 10" xfId="24059" xr:uid="{00000000-0005-0000-0000-0000B40F0000}"/>
    <cellStyle name="Calculation 2 4 2 4 4 2 11" xfId="25058" xr:uid="{00000000-0005-0000-0000-0000B50F0000}"/>
    <cellStyle name="Calculation 2 4 2 4 4 2 12" xfId="28003" xr:uid="{00000000-0005-0000-0000-0000B60F0000}"/>
    <cellStyle name="Calculation 2 4 2 4 4 2 13" xfId="28972" xr:uid="{00000000-0005-0000-0000-0000B70F0000}"/>
    <cellStyle name="Calculation 2 4 2 4 4 2 14" xfId="30011" xr:uid="{00000000-0005-0000-0000-0000B80F0000}"/>
    <cellStyle name="Calculation 2 4 2 4 4 2 15" xfId="31004" xr:uid="{00000000-0005-0000-0000-0000B90F0000}"/>
    <cellStyle name="Calculation 2 4 2 4 4 2 16" xfId="32013" xr:uid="{00000000-0005-0000-0000-0000BA0F0000}"/>
    <cellStyle name="Calculation 2 4 2 4 4 2 17" xfId="33016" xr:uid="{00000000-0005-0000-0000-0000BB0F0000}"/>
    <cellStyle name="Calculation 2 4 2 4 4 2 18" xfId="34015" xr:uid="{00000000-0005-0000-0000-0000BC0F0000}"/>
    <cellStyle name="Calculation 2 4 2 4 4 2 19" xfId="35636" xr:uid="{00000000-0005-0000-0000-0000BD0F0000}"/>
    <cellStyle name="Calculation 2 4 2 4 4 2 2" xfId="16039" xr:uid="{00000000-0005-0000-0000-0000BE0F0000}"/>
    <cellStyle name="Calculation 2 4 2 4 4 2 20" xfId="36575" xr:uid="{00000000-0005-0000-0000-0000BF0F0000}"/>
    <cellStyle name="Calculation 2 4 2 4 4 2 3" xfId="17017" xr:uid="{00000000-0005-0000-0000-0000C00F0000}"/>
    <cellStyle name="Calculation 2 4 2 4 4 2 4" xfId="18045" xr:uid="{00000000-0005-0000-0000-0000C10F0000}"/>
    <cellStyle name="Calculation 2 4 2 4 4 2 5" xfId="19077" xr:uid="{00000000-0005-0000-0000-0000C20F0000}"/>
    <cellStyle name="Calculation 2 4 2 4 4 2 6" xfId="20099" xr:uid="{00000000-0005-0000-0000-0000C30F0000}"/>
    <cellStyle name="Calculation 2 4 2 4 4 2 7" xfId="21108" xr:uid="{00000000-0005-0000-0000-0000C40F0000}"/>
    <cellStyle name="Calculation 2 4 2 4 4 2 8" xfId="22082" xr:uid="{00000000-0005-0000-0000-0000C50F0000}"/>
    <cellStyle name="Calculation 2 4 2 4 4 2 9" xfId="23087" xr:uid="{00000000-0005-0000-0000-0000C60F0000}"/>
    <cellStyle name="Calculation 2 4 2 4 4 20" xfId="35635" xr:uid="{00000000-0005-0000-0000-0000C70F0000}"/>
    <cellStyle name="Calculation 2 4 2 4 4 21" xfId="36574" xr:uid="{00000000-0005-0000-0000-0000C80F0000}"/>
    <cellStyle name="Calculation 2 4 2 4 4 3" xfId="16038" xr:uid="{00000000-0005-0000-0000-0000C90F0000}"/>
    <cellStyle name="Calculation 2 4 2 4 4 4" xfId="17016" xr:uid="{00000000-0005-0000-0000-0000CA0F0000}"/>
    <cellStyle name="Calculation 2 4 2 4 4 5" xfId="18044" xr:uid="{00000000-0005-0000-0000-0000CB0F0000}"/>
    <cellStyle name="Calculation 2 4 2 4 4 6" xfId="19076" xr:uid="{00000000-0005-0000-0000-0000CC0F0000}"/>
    <cellStyle name="Calculation 2 4 2 4 4 7" xfId="20098" xr:uid="{00000000-0005-0000-0000-0000CD0F0000}"/>
    <cellStyle name="Calculation 2 4 2 4 4 8" xfId="21107" xr:uid="{00000000-0005-0000-0000-0000CE0F0000}"/>
    <cellStyle name="Calculation 2 4 2 4 4 9" xfId="22081" xr:uid="{00000000-0005-0000-0000-0000CF0F0000}"/>
    <cellStyle name="Calculation 2 4 2 4 5" xfId="752" xr:uid="{00000000-0005-0000-0000-0000D00F0000}"/>
    <cellStyle name="Calculation 2 4 2 4 5 10" xfId="24060" xr:uid="{00000000-0005-0000-0000-0000D10F0000}"/>
    <cellStyle name="Calculation 2 4 2 4 5 11" xfId="25059" xr:uid="{00000000-0005-0000-0000-0000D20F0000}"/>
    <cellStyle name="Calculation 2 4 2 4 5 12" xfId="28004" xr:uid="{00000000-0005-0000-0000-0000D30F0000}"/>
    <cellStyle name="Calculation 2 4 2 4 5 13" xfId="28973" xr:uid="{00000000-0005-0000-0000-0000D40F0000}"/>
    <cellStyle name="Calculation 2 4 2 4 5 14" xfId="30012" xr:uid="{00000000-0005-0000-0000-0000D50F0000}"/>
    <cellStyle name="Calculation 2 4 2 4 5 15" xfId="31005" xr:uid="{00000000-0005-0000-0000-0000D60F0000}"/>
    <cellStyle name="Calculation 2 4 2 4 5 16" xfId="32014" xr:uid="{00000000-0005-0000-0000-0000D70F0000}"/>
    <cellStyle name="Calculation 2 4 2 4 5 17" xfId="33017" xr:uid="{00000000-0005-0000-0000-0000D80F0000}"/>
    <cellStyle name="Calculation 2 4 2 4 5 18" xfId="34016" xr:uid="{00000000-0005-0000-0000-0000D90F0000}"/>
    <cellStyle name="Calculation 2 4 2 4 5 19" xfId="35637" xr:uid="{00000000-0005-0000-0000-0000DA0F0000}"/>
    <cellStyle name="Calculation 2 4 2 4 5 2" xfId="16040" xr:uid="{00000000-0005-0000-0000-0000DB0F0000}"/>
    <cellStyle name="Calculation 2 4 2 4 5 20" xfId="36576" xr:uid="{00000000-0005-0000-0000-0000DC0F0000}"/>
    <cellStyle name="Calculation 2 4 2 4 5 3" xfId="17018" xr:uid="{00000000-0005-0000-0000-0000DD0F0000}"/>
    <cellStyle name="Calculation 2 4 2 4 5 4" xfId="18046" xr:uid="{00000000-0005-0000-0000-0000DE0F0000}"/>
    <cellStyle name="Calculation 2 4 2 4 5 5" xfId="19078" xr:uid="{00000000-0005-0000-0000-0000DF0F0000}"/>
    <cellStyle name="Calculation 2 4 2 4 5 6" xfId="20100" xr:uid="{00000000-0005-0000-0000-0000E00F0000}"/>
    <cellStyle name="Calculation 2 4 2 4 5 7" xfId="21109" xr:uid="{00000000-0005-0000-0000-0000E10F0000}"/>
    <cellStyle name="Calculation 2 4 2 4 5 8" xfId="22083" xr:uid="{00000000-0005-0000-0000-0000E20F0000}"/>
    <cellStyle name="Calculation 2 4 2 4 5 9" xfId="23088" xr:uid="{00000000-0005-0000-0000-0000E30F0000}"/>
    <cellStyle name="Calculation 2 4 2 4 6" xfId="13780" xr:uid="{00000000-0005-0000-0000-0000E40F0000}"/>
    <cellStyle name="Calculation 2 4 2 4 7" xfId="15497" xr:uid="{00000000-0005-0000-0000-0000E50F0000}"/>
    <cellStyle name="Calculation 2 4 2 4 8" xfId="15313" xr:uid="{00000000-0005-0000-0000-0000E60F0000}"/>
    <cellStyle name="Calculation 2 4 2 4 9" xfId="15447" xr:uid="{00000000-0005-0000-0000-0000E70F0000}"/>
    <cellStyle name="Calculation 2 4 2 5" xfId="753" xr:uid="{00000000-0005-0000-0000-0000E80F0000}"/>
    <cellStyle name="Calculation 2 4 2 5 10" xfId="15135" xr:uid="{00000000-0005-0000-0000-0000E90F0000}"/>
    <cellStyle name="Calculation 2 4 2 5 11" xfId="15827" xr:uid="{00000000-0005-0000-0000-0000EA0F0000}"/>
    <cellStyle name="Calculation 2 4 2 5 12" xfId="26462" xr:uid="{00000000-0005-0000-0000-0000EB0F0000}"/>
    <cellStyle name="Calculation 2 4 2 5 13" xfId="27682" xr:uid="{00000000-0005-0000-0000-0000EC0F0000}"/>
    <cellStyle name="Calculation 2 4 2 5 14" xfId="26346" xr:uid="{00000000-0005-0000-0000-0000ED0F0000}"/>
    <cellStyle name="Calculation 2 4 2 5 15" xfId="26001" xr:uid="{00000000-0005-0000-0000-0000EE0F0000}"/>
    <cellStyle name="Calculation 2 4 2 5 16" xfId="26957" xr:uid="{00000000-0005-0000-0000-0000EF0F0000}"/>
    <cellStyle name="Calculation 2 4 2 5 17" xfId="27284" xr:uid="{00000000-0005-0000-0000-0000F00F0000}"/>
    <cellStyle name="Calculation 2 4 2 5 18" xfId="35145" xr:uid="{00000000-0005-0000-0000-0000F10F0000}"/>
    <cellStyle name="Calculation 2 4 2 5 19" xfId="35406" xr:uid="{00000000-0005-0000-0000-0000F20F0000}"/>
    <cellStyle name="Calculation 2 4 2 5 2" xfId="754" xr:uid="{00000000-0005-0000-0000-0000F30F0000}"/>
    <cellStyle name="Calculation 2 4 2 5 2 10" xfId="23089" xr:uid="{00000000-0005-0000-0000-0000F40F0000}"/>
    <cellStyle name="Calculation 2 4 2 5 2 11" xfId="24061" xr:uid="{00000000-0005-0000-0000-0000F50F0000}"/>
    <cellStyle name="Calculation 2 4 2 5 2 12" xfId="25060" xr:uid="{00000000-0005-0000-0000-0000F60F0000}"/>
    <cellStyle name="Calculation 2 4 2 5 2 13" xfId="28005" xr:uid="{00000000-0005-0000-0000-0000F70F0000}"/>
    <cellStyle name="Calculation 2 4 2 5 2 14" xfId="28974" xr:uid="{00000000-0005-0000-0000-0000F80F0000}"/>
    <cellStyle name="Calculation 2 4 2 5 2 15" xfId="30013" xr:uid="{00000000-0005-0000-0000-0000F90F0000}"/>
    <cellStyle name="Calculation 2 4 2 5 2 16" xfId="31006" xr:uid="{00000000-0005-0000-0000-0000FA0F0000}"/>
    <cellStyle name="Calculation 2 4 2 5 2 17" xfId="32015" xr:uid="{00000000-0005-0000-0000-0000FB0F0000}"/>
    <cellStyle name="Calculation 2 4 2 5 2 18" xfId="33018" xr:uid="{00000000-0005-0000-0000-0000FC0F0000}"/>
    <cellStyle name="Calculation 2 4 2 5 2 19" xfId="34017" xr:uid="{00000000-0005-0000-0000-0000FD0F0000}"/>
    <cellStyle name="Calculation 2 4 2 5 2 2" xfId="755" xr:uid="{00000000-0005-0000-0000-0000FE0F0000}"/>
    <cellStyle name="Calculation 2 4 2 5 2 2 10" xfId="24062" xr:uid="{00000000-0005-0000-0000-0000FF0F0000}"/>
    <cellStyle name="Calculation 2 4 2 5 2 2 11" xfId="25061" xr:uid="{00000000-0005-0000-0000-000000100000}"/>
    <cellStyle name="Calculation 2 4 2 5 2 2 12" xfId="28006" xr:uid="{00000000-0005-0000-0000-000001100000}"/>
    <cellStyle name="Calculation 2 4 2 5 2 2 13" xfId="28975" xr:uid="{00000000-0005-0000-0000-000002100000}"/>
    <cellStyle name="Calculation 2 4 2 5 2 2 14" xfId="30014" xr:uid="{00000000-0005-0000-0000-000003100000}"/>
    <cellStyle name="Calculation 2 4 2 5 2 2 15" xfId="31007" xr:uid="{00000000-0005-0000-0000-000004100000}"/>
    <cellStyle name="Calculation 2 4 2 5 2 2 16" xfId="32016" xr:uid="{00000000-0005-0000-0000-000005100000}"/>
    <cellStyle name="Calculation 2 4 2 5 2 2 17" xfId="33019" xr:uid="{00000000-0005-0000-0000-000006100000}"/>
    <cellStyle name="Calculation 2 4 2 5 2 2 18" xfId="34018" xr:uid="{00000000-0005-0000-0000-000007100000}"/>
    <cellStyle name="Calculation 2 4 2 5 2 2 19" xfId="35639" xr:uid="{00000000-0005-0000-0000-000008100000}"/>
    <cellStyle name="Calculation 2 4 2 5 2 2 2" xfId="16042" xr:uid="{00000000-0005-0000-0000-000009100000}"/>
    <cellStyle name="Calculation 2 4 2 5 2 2 20" xfId="36578" xr:uid="{00000000-0005-0000-0000-00000A100000}"/>
    <cellStyle name="Calculation 2 4 2 5 2 2 3" xfId="17020" xr:uid="{00000000-0005-0000-0000-00000B100000}"/>
    <cellStyle name="Calculation 2 4 2 5 2 2 4" xfId="18048" xr:uid="{00000000-0005-0000-0000-00000C100000}"/>
    <cellStyle name="Calculation 2 4 2 5 2 2 5" xfId="19080" xr:uid="{00000000-0005-0000-0000-00000D100000}"/>
    <cellStyle name="Calculation 2 4 2 5 2 2 6" xfId="20102" xr:uid="{00000000-0005-0000-0000-00000E100000}"/>
    <cellStyle name="Calculation 2 4 2 5 2 2 7" xfId="21111" xr:uid="{00000000-0005-0000-0000-00000F100000}"/>
    <cellStyle name="Calculation 2 4 2 5 2 2 8" xfId="22085" xr:uid="{00000000-0005-0000-0000-000010100000}"/>
    <cellStyle name="Calculation 2 4 2 5 2 2 9" xfId="23090" xr:uid="{00000000-0005-0000-0000-000011100000}"/>
    <cellStyle name="Calculation 2 4 2 5 2 20" xfId="35638" xr:uid="{00000000-0005-0000-0000-000012100000}"/>
    <cellStyle name="Calculation 2 4 2 5 2 21" xfId="36577" xr:uid="{00000000-0005-0000-0000-000013100000}"/>
    <cellStyle name="Calculation 2 4 2 5 2 3" xfId="16041" xr:uid="{00000000-0005-0000-0000-000014100000}"/>
    <cellStyle name="Calculation 2 4 2 5 2 4" xfId="17019" xr:uid="{00000000-0005-0000-0000-000015100000}"/>
    <cellStyle name="Calculation 2 4 2 5 2 5" xfId="18047" xr:uid="{00000000-0005-0000-0000-000016100000}"/>
    <cellStyle name="Calculation 2 4 2 5 2 6" xfId="19079" xr:uid="{00000000-0005-0000-0000-000017100000}"/>
    <cellStyle name="Calculation 2 4 2 5 2 7" xfId="20101" xr:uid="{00000000-0005-0000-0000-000018100000}"/>
    <cellStyle name="Calculation 2 4 2 5 2 8" xfId="21110" xr:uid="{00000000-0005-0000-0000-000019100000}"/>
    <cellStyle name="Calculation 2 4 2 5 2 9" xfId="22084" xr:uid="{00000000-0005-0000-0000-00001A100000}"/>
    <cellStyle name="Calculation 2 4 2 5 3" xfId="756" xr:uid="{00000000-0005-0000-0000-00001B100000}"/>
    <cellStyle name="Calculation 2 4 2 5 3 10" xfId="23091" xr:uid="{00000000-0005-0000-0000-00001C100000}"/>
    <cellStyle name="Calculation 2 4 2 5 3 11" xfId="24063" xr:uid="{00000000-0005-0000-0000-00001D100000}"/>
    <cellStyle name="Calculation 2 4 2 5 3 12" xfId="25062" xr:uid="{00000000-0005-0000-0000-00001E100000}"/>
    <cellStyle name="Calculation 2 4 2 5 3 13" xfId="28007" xr:uid="{00000000-0005-0000-0000-00001F100000}"/>
    <cellStyle name="Calculation 2 4 2 5 3 14" xfId="28976" xr:uid="{00000000-0005-0000-0000-000020100000}"/>
    <cellStyle name="Calculation 2 4 2 5 3 15" xfId="30015" xr:uid="{00000000-0005-0000-0000-000021100000}"/>
    <cellStyle name="Calculation 2 4 2 5 3 16" xfId="31008" xr:uid="{00000000-0005-0000-0000-000022100000}"/>
    <cellStyle name="Calculation 2 4 2 5 3 17" xfId="32017" xr:uid="{00000000-0005-0000-0000-000023100000}"/>
    <cellStyle name="Calculation 2 4 2 5 3 18" xfId="33020" xr:uid="{00000000-0005-0000-0000-000024100000}"/>
    <cellStyle name="Calculation 2 4 2 5 3 19" xfId="34019" xr:uid="{00000000-0005-0000-0000-000025100000}"/>
    <cellStyle name="Calculation 2 4 2 5 3 2" xfId="757" xr:uid="{00000000-0005-0000-0000-000026100000}"/>
    <cellStyle name="Calculation 2 4 2 5 3 2 10" xfId="24064" xr:uid="{00000000-0005-0000-0000-000027100000}"/>
    <cellStyle name="Calculation 2 4 2 5 3 2 11" xfId="25063" xr:uid="{00000000-0005-0000-0000-000028100000}"/>
    <cellStyle name="Calculation 2 4 2 5 3 2 12" xfId="28008" xr:uid="{00000000-0005-0000-0000-000029100000}"/>
    <cellStyle name="Calculation 2 4 2 5 3 2 13" xfId="28977" xr:uid="{00000000-0005-0000-0000-00002A100000}"/>
    <cellStyle name="Calculation 2 4 2 5 3 2 14" xfId="30016" xr:uid="{00000000-0005-0000-0000-00002B100000}"/>
    <cellStyle name="Calculation 2 4 2 5 3 2 15" xfId="31009" xr:uid="{00000000-0005-0000-0000-00002C100000}"/>
    <cellStyle name="Calculation 2 4 2 5 3 2 16" xfId="32018" xr:uid="{00000000-0005-0000-0000-00002D100000}"/>
    <cellStyle name="Calculation 2 4 2 5 3 2 17" xfId="33021" xr:uid="{00000000-0005-0000-0000-00002E100000}"/>
    <cellStyle name="Calculation 2 4 2 5 3 2 18" xfId="34020" xr:uid="{00000000-0005-0000-0000-00002F100000}"/>
    <cellStyle name="Calculation 2 4 2 5 3 2 19" xfId="35641" xr:uid="{00000000-0005-0000-0000-000030100000}"/>
    <cellStyle name="Calculation 2 4 2 5 3 2 2" xfId="16044" xr:uid="{00000000-0005-0000-0000-000031100000}"/>
    <cellStyle name="Calculation 2 4 2 5 3 2 20" xfId="36580" xr:uid="{00000000-0005-0000-0000-000032100000}"/>
    <cellStyle name="Calculation 2 4 2 5 3 2 3" xfId="17022" xr:uid="{00000000-0005-0000-0000-000033100000}"/>
    <cellStyle name="Calculation 2 4 2 5 3 2 4" xfId="18050" xr:uid="{00000000-0005-0000-0000-000034100000}"/>
    <cellStyle name="Calculation 2 4 2 5 3 2 5" xfId="19082" xr:uid="{00000000-0005-0000-0000-000035100000}"/>
    <cellStyle name="Calculation 2 4 2 5 3 2 6" xfId="20104" xr:uid="{00000000-0005-0000-0000-000036100000}"/>
    <cellStyle name="Calculation 2 4 2 5 3 2 7" xfId="21113" xr:uid="{00000000-0005-0000-0000-000037100000}"/>
    <cellStyle name="Calculation 2 4 2 5 3 2 8" xfId="22087" xr:uid="{00000000-0005-0000-0000-000038100000}"/>
    <cellStyle name="Calculation 2 4 2 5 3 2 9" xfId="23092" xr:uid="{00000000-0005-0000-0000-000039100000}"/>
    <cellStyle name="Calculation 2 4 2 5 3 20" xfId="35640" xr:uid="{00000000-0005-0000-0000-00003A100000}"/>
    <cellStyle name="Calculation 2 4 2 5 3 21" xfId="36579" xr:uid="{00000000-0005-0000-0000-00003B100000}"/>
    <cellStyle name="Calculation 2 4 2 5 3 3" xfId="16043" xr:uid="{00000000-0005-0000-0000-00003C100000}"/>
    <cellStyle name="Calculation 2 4 2 5 3 4" xfId="17021" xr:uid="{00000000-0005-0000-0000-00003D100000}"/>
    <cellStyle name="Calculation 2 4 2 5 3 5" xfId="18049" xr:uid="{00000000-0005-0000-0000-00003E100000}"/>
    <cellStyle name="Calculation 2 4 2 5 3 6" xfId="19081" xr:uid="{00000000-0005-0000-0000-00003F100000}"/>
    <cellStyle name="Calculation 2 4 2 5 3 7" xfId="20103" xr:uid="{00000000-0005-0000-0000-000040100000}"/>
    <cellStyle name="Calculation 2 4 2 5 3 8" xfId="21112" xr:uid="{00000000-0005-0000-0000-000041100000}"/>
    <cellStyle name="Calculation 2 4 2 5 3 9" xfId="22086" xr:uid="{00000000-0005-0000-0000-000042100000}"/>
    <cellStyle name="Calculation 2 4 2 5 4" xfId="758" xr:uid="{00000000-0005-0000-0000-000043100000}"/>
    <cellStyle name="Calculation 2 4 2 5 4 10" xfId="23093" xr:uid="{00000000-0005-0000-0000-000044100000}"/>
    <cellStyle name="Calculation 2 4 2 5 4 11" xfId="24065" xr:uid="{00000000-0005-0000-0000-000045100000}"/>
    <cellStyle name="Calculation 2 4 2 5 4 12" xfId="25064" xr:uid="{00000000-0005-0000-0000-000046100000}"/>
    <cellStyle name="Calculation 2 4 2 5 4 13" xfId="28009" xr:uid="{00000000-0005-0000-0000-000047100000}"/>
    <cellStyle name="Calculation 2 4 2 5 4 14" xfId="28978" xr:uid="{00000000-0005-0000-0000-000048100000}"/>
    <cellStyle name="Calculation 2 4 2 5 4 15" xfId="30017" xr:uid="{00000000-0005-0000-0000-000049100000}"/>
    <cellStyle name="Calculation 2 4 2 5 4 16" xfId="31010" xr:uid="{00000000-0005-0000-0000-00004A100000}"/>
    <cellStyle name="Calculation 2 4 2 5 4 17" xfId="32019" xr:uid="{00000000-0005-0000-0000-00004B100000}"/>
    <cellStyle name="Calculation 2 4 2 5 4 18" xfId="33022" xr:uid="{00000000-0005-0000-0000-00004C100000}"/>
    <cellStyle name="Calculation 2 4 2 5 4 19" xfId="34021" xr:uid="{00000000-0005-0000-0000-00004D100000}"/>
    <cellStyle name="Calculation 2 4 2 5 4 2" xfId="759" xr:uid="{00000000-0005-0000-0000-00004E100000}"/>
    <cellStyle name="Calculation 2 4 2 5 4 2 10" xfId="24066" xr:uid="{00000000-0005-0000-0000-00004F100000}"/>
    <cellStyle name="Calculation 2 4 2 5 4 2 11" xfId="25065" xr:uid="{00000000-0005-0000-0000-000050100000}"/>
    <cellStyle name="Calculation 2 4 2 5 4 2 12" xfId="28010" xr:uid="{00000000-0005-0000-0000-000051100000}"/>
    <cellStyle name="Calculation 2 4 2 5 4 2 13" xfId="28979" xr:uid="{00000000-0005-0000-0000-000052100000}"/>
    <cellStyle name="Calculation 2 4 2 5 4 2 14" xfId="30018" xr:uid="{00000000-0005-0000-0000-000053100000}"/>
    <cellStyle name="Calculation 2 4 2 5 4 2 15" xfId="31011" xr:uid="{00000000-0005-0000-0000-000054100000}"/>
    <cellStyle name="Calculation 2 4 2 5 4 2 16" xfId="32020" xr:uid="{00000000-0005-0000-0000-000055100000}"/>
    <cellStyle name="Calculation 2 4 2 5 4 2 17" xfId="33023" xr:uid="{00000000-0005-0000-0000-000056100000}"/>
    <cellStyle name="Calculation 2 4 2 5 4 2 18" xfId="34022" xr:uid="{00000000-0005-0000-0000-000057100000}"/>
    <cellStyle name="Calculation 2 4 2 5 4 2 19" xfId="35643" xr:uid="{00000000-0005-0000-0000-000058100000}"/>
    <cellStyle name="Calculation 2 4 2 5 4 2 2" xfId="16046" xr:uid="{00000000-0005-0000-0000-000059100000}"/>
    <cellStyle name="Calculation 2 4 2 5 4 2 20" xfId="36582" xr:uid="{00000000-0005-0000-0000-00005A100000}"/>
    <cellStyle name="Calculation 2 4 2 5 4 2 3" xfId="17024" xr:uid="{00000000-0005-0000-0000-00005B100000}"/>
    <cellStyle name="Calculation 2 4 2 5 4 2 4" xfId="18052" xr:uid="{00000000-0005-0000-0000-00005C100000}"/>
    <cellStyle name="Calculation 2 4 2 5 4 2 5" xfId="19084" xr:uid="{00000000-0005-0000-0000-00005D100000}"/>
    <cellStyle name="Calculation 2 4 2 5 4 2 6" xfId="20106" xr:uid="{00000000-0005-0000-0000-00005E100000}"/>
    <cellStyle name="Calculation 2 4 2 5 4 2 7" xfId="21115" xr:uid="{00000000-0005-0000-0000-00005F100000}"/>
    <cellStyle name="Calculation 2 4 2 5 4 2 8" xfId="22089" xr:uid="{00000000-0005-0000-0000-000060100000}"/>
    <cellStyle name="Calculation 2 4 2 5 4 2 9" xfId="23094" xr:uid="{00000000-0005-0000-0000-000061100000}"/>
    <cellStyle name="Calculation 2 4 2 5 4 20" xfId="35642" xr:uid="{00000000-0005-0000-0000-000062100000}"/>
    <cellStyle name="Calculation 2 4 2 5 4 21" xfId="36581" xr:uid="{00000000-0005-0000-0000-000063100000}"/>
    <cellStyle name="Calculation 2 4 2 5 4 3" xfId="16045" xr:uid="{00000000-0005-0000-0000-000064100000}"/>
    <cellStyle name="Calculation 2 4 2 5 4 4" xfId="17023" xr:uid="{00000000-0005-0000-0000-000065100000}"/>
    <cellStyle name="Calculation 2 4 2 5 4 5" xfId="18051" xr:uid="{00000000-0005-0000-0000-000066100000}"/>
    <cellStyle name="Calculation 2 4 2 5 4 6" xfId="19083" xr:uid="{00000000-0005-0000-0000-000067100000}"/>
    <cellStyle name="Calculation 2 4 2 5 4 7" xfId="20105" xr:uid="{00000000-0005-0000-0000-000068100000}"/>
    <cellStyle name="Calculation 2 4 2 5 4 8" xfId="21114" xr:uid="{00000000-0005-0000-0000-000069100000}"/>
    <cellStyle name="Calculation 2 4 2 5 4 9" xfId="22088" xr:uid="{00000000-0005-0000-0000-00006A100000}"/>
    <cellStyle name="Calculation 2 4 2 5 5" xfId="760" xr:uid="{00000000-0005-0000-0000-00006B100000}"/>
    <cellStyle name="Calculation 2 4 2 5 5 10" xfId="24067" xr:uid="{00000000-0005-0000-0000-00006C100000}"/>
    <cellStyle name="Calculation 2 4 2 5 5 11" xfId="25066" xr:uid="{00000000-0005-0000-0000-00006D100000}"/>
    <cellStyle name="Calculation 2 4 2 5 5 12" xfId="28011" xr:uid="{00000000-0005-0000-0000-00006E100000}"/>
    <cellStyle name="Calculation 2 4 2 5 5 13" xfId="28980" xr:uid="{00000000-0005-0000-0000-00006F100000}"/>
    <cellStyle name="Calculation 2 4 2 5 5 14" xfId="30019" xr:uid="{00000000-0005-0000-0000-000070100000}"/>
    <cellStyle name="Calculation 2 4 2 5 5 15" xfId="31012" xr:uid="{00000000-0005-0000-0000-000071100000}"/>
    <cellStyle name="Calculation 2 4 2 5 5 16" xfId="32021" xr:uid="{00000000-0005-0000-0000-000072100000}"/>
    <cellStyle name="Calculation 2 4 2 5 5 17" xfId="33024" xr:uid="{00000000-0005-0000-0000-000073100000}"/>
    <cellStyle name="Calculation 2 4 2 5 5 18" xfId="34023" xr:uid="{00000000-0005-0000-0000-000074100000}"/>
    <cellStyle name="Calculation 2 4 2 5 5 19" xfId="35644" xr:uid="{00000000-0005-0000-0000-000075100000}"/>
    <cellStyle name="Calculation 2 4 2 5 5 2" xfId="16047" xr:uid="{00000000-0005-0000-0000-000076100000}"/>
    <cellStyle name="Calculation 2 4 2 5 5 20" xfId="36583" xr:uid="{00000000-0005-0000-0000-000077100000}"/>
    <cellStyle name="Calculation 2 4 2 5 5 3" xfId="17025" xr:uid="{00000000-0005-0000-0000-000078100000}"/>
    <cellStyle name="Calculation 2 4 2 5 5 4" xfId="18053" xr:uid="{00000000-0005-0000-0000-000079100000}"/>
    <cellStyle name="Calculation 2 4 2 5 5 5" xfId="19085" xr:uid="{00000000-0005-0000-0000-00007A100000}"/>
    <cellStyle name="Calculation 2 4 2 5 5 6" xfId="20107" xr:uid="{00000000-0005-0000-0000-00007B100000}"/>
    <cellStyle name="Calculation 2 4 2 5 5 7" xfId="21116" xr:uid="{00000000-0005-0000-0000-00007C100000}"/>
    <cellStyle name="Calculation 2 4 2 5 5 8" xfId="22090" xr:uid="{00000000-0005-0000-0000-00007D100000}"/>
    <cellStyle name="Calculation 2 4 2 5 5 9" xfId="23095" xr:uid="{00000000-0005-0000-0000-00007E100000}"/>
    <cellStyle name="Calculation 2 4 2 5 6" xfId="14432" xr:uid="{00000000-0005-0000-0000-00007F100000}"/>
    <cellStyle name="Calculation 2 4 2 5 7" xfId="14393" xr:uid="{00000000-0005-0000-0000-000080100000}"/>
    <cellStyle name="Calculation 2 4 2 5 8" xfId="15818" xr:uid="{00000000-0005-0000-0000-000081100000}"/>
    <cellStyle name="Calculation 2 4 2 5 9" xfId="14517" xr:uid="{00000000-0005-0000-0000-000082100000}"/>
    <cellStyle name="Calculation 2 4 2 6" xfId="761" xr:uid="{00000000-0005-0000-0000-000083100000}"/>
    <cellStyle name="Calculation 2 4 2 6 10" xfId="23096" xr:uid="{00000000-0005-0000-0000-000084100000}"/>
    <cellStyle name="Calculation 2 4 2 6 11" xfId="24068" xr:uid="{00000000-0005-0000-0000-000085100000}"/>
    <cellStyle name="Calculation 2 4 2 6 12" xfId="25067" xr:uid="{00000000-0005-0000-0000-000086100000}"/>
    <cellStyle name="Calculation 2 4 2 6 13" xfId="28012" xr:uid="{00000000-0005-0000-0000-000087100000}"/>
    <cellStyle name="Calculation 2 4 2 6 14" xfId="28981" xr:uid="{00000000-0005-0000-0000-000088100000}"/>
    <cellStyle name="Calculation 2 4 2 6 15" xfId="30020" xr:uid="{00000000-0005-0000-0000-000089100000}"/>
    <cellStyle name="Calculation 2 4 2 6 16" xfId="31013" xr:uid="{00000000-0005-0000-0000-00008A100000}"/>
    <cellStyle name="Calculation 2 4 2 6 17" xfId="32022" xr:uid="{00000000-0005-0000-0000-00008B100000}"/>
    <cellStyle name="Calculation 2 4 2 6 18" xfId="33025" xr:uid="{00000000-0005-0000-0000-00008C100000}"/>
    <cellStyle name="Calculation 2 4 2 6 19" xfId="34024" xr:uid="{00000000-0005-0000-0000-00008D100000}"/>
    <cellStyle name="Calculation 2 4 2 6 2" xfId="762" xr:uid="{00000000-0005-0000-0000-00008E100000}"/>
    <cellStyle name="Calculation 2 4 2 6 2 10" xfId="24069" xr:uid="{00000000-0005-0000-0000-00008F100000}"/>
    <cellStyle name="Calculation 2 4 2 6 2 11" xfId="25068" xr:uid="{00000000-0005-0000-0000-000090100000}"/>
    <cellStyle name="Calculation 2 4 2 6 2 12" xfId="28013" xr:uid="{00000000-0005-0000-0000-000091100000}"/>
    <cellStyle name="Calculation 2 4 2 6 2 13" xfId="28982" xr:uid="{00000000-0005-0000-0000-000092100000}"/>
    <cellStyle name="Calculation 2 4 2 6 2 14" xfId="30021" xr:uid="{00000000-0005-0000-0000-000093100000}"/>
    <cellStyle name="Calculation 2 4 2 6 2 15" xfId="31014" xr:uid="{00000000-0005-0000-0000-000094100000}"/>
    <cellStyle name="Calculation 2 4 2 6 2 16" xfId="32023" xr:uid="{00000000-0005-0000-0000-000095100000}"/>
    <cellStyle name="Calculation 2 4 2 6 2 17" xfId="33026" xr:uid="{00000000-0005-0000-0000-000096100000}"/>
    <cellStyle name="Calculation 2 4 2 6 2 18" xfId="34025" xr:uid="{00000000-0005-0000-0000-000097100000}"/>
    <cellStyle name="Calculation 2 4 2 6 2 19" xfId="35646" xr:uid="{00000000-0005-0000-0000-000098100000}"/>
    <cellStyle name="Calculation 2 4 2 6 2 2" xfId="16049" xr:uid="{00000000-0005-0000-0000-000099100000}"/>
    <cellStyle name="Calculation 2 4 2 6 2 20" xfId="36585" xr:uid="{00000000-0005-0000-0000-00009A100000}"/>
    <cellStyle name="Calculation 2 4 2 6 2 3" xfId="17027" xr:uid="{00000000-0005-0000-0000-00009B100000}"/>
    <cellStyle name="Calculation 2 4 2 6 2 4" xfId="18055" xr:uid="{00000000-0005-0000-0000-00009C100000}"/>
    <cellStyle name="Calculation 2 4 2 6 2 5" xfId="19087" xr:uid="{00000000-0005-0000-0000-00009D100000}"/>
    <cellStyle name="Calculation 2 4 2 6 2 6" xfId="20109" xr:uid="{00000000-0005-0000-0000-00009E100000}"/>
    <cellStyle name="Calculation 2 4 2 6 2 7" xfId="21118" xr:uid="{00000000-0005-0000-0000-00009F100000}"/>
    <cellStyle name="Calculation 2 4 2 6 2 8" xfId="22092" xr:uid="{00000000-0005-0000-0000-0000A0100000}"/>
    <cellStyle name="Calculation 2 4 2 6 2 9" xfId="23097" xr:uid="{00000000-0005-0000-0000-0000A1100000}"/>
    <cellStyle name="Calculation 2 4 2 6 20" xfId="35645" xr:uid="{00000000-0005-0000-0000-0000A2100000}"/>
    <cellStyle name="Calculation 2 4 2 6 21" xfId="36584" xr:uid="{00000000-0005-0000-0000-0000A3100000}"/>
    <cellStyle name="Calculation 2 4 2 6 3" xfId="16048" xr:uid="{00000000-0005-0000-0000-0000A4100000}"/>
    <cellStyle name="Calculation 2 4 2 6 4" xfId="17026" xr:uid="{00000000-0005-0000-0000-0000A5100000}"/>
    <cellStyle name="Calculation 2 4 2 6 5" xfId="18054" xr:uid="{00000000-0005-0000-0000-0000A6100000}"/>
    <cellStyle name="Calculation 2 4 2 6 6" xfId="19086" xr:uid="{00000000-0005-0000-0000-0000A7100000}"/>
    <cellStyle name="Calculation 2 4 2 6 7" xfId="20108" xr:uid="{00000000-0005-0000-0000-0000A8100000}"/>
    <cellStyle name="Calculation 2 4 2 6 8" xfId="21117" xr:uid="{00000000-0005-0000-0000-0000A9100000}"/>
    <cellStyle name="Calculation 2 4 2 6 9" xfId="22091" xr:uid="{00000000-0005-0000-0000-0000AA100000}"/>
    <cellStyle name="Calculation 2 4 2 7" xfId="763" xr:uid="{00000000-0005-0000-0000-0000AB100000}"/>
    <cellStyle name="Calculation 2 4 2 7 10" xfId="23098" xr:uid="{00000000-0005-0000-0000-0000AC100000}"/>
    <cellStyle name="Calculation 2 4 2 7 11" xfId="24070" xr:uid="{00000000-0005-0000-0000-0000AD100000}"/>
    <cellStyle name="Calculation 2 4 2 7 12" xfId="25069" xr:uid="{00000000-0005-0000-0000-0000AE100000}"/>
    <cellStyle name="Calculation 2 4 2 7 13" xfId="28014" xr:uid="{00000000-0005-0000-0000-0000AF100000}"/>
    <cellStyle name="Calculation 2 4 2 7 14" xfId="28983" xr:uid="{00000000-0005-0000-0000-0000B0100000}"/>
    <cellStyle name="Calculation 2 4 2 7 15" xfId="30022" xr:uid="{00000000-0005-0000-0000-0000B1100000}"/>
    <cellStyle name="Calculation 2 4 2 7 16" xfId="31015" xr:uid="{00000000-0005-0000-0000-0000B2100000}"/>
    <cellStyle name="Calculation 2 4 2 7 17" xfId="32024" xr:uid="{00000000-0005-0000-0000-0000B3100000}"/>
    <cellStyle name="Calculation 2 4 2 7 18" xfId="33027" xr:uid="{00000000-0005-0000-0000-0000B4100000}"/>
    <cellStyle name="Calculation 2 4 2 7 19" xfId="34026" xr:uid="{00000000-0005-0000-0000-0000B5100000}"/>
    <cellStyle name="Calculation 2 4 2 7 2" xfId="764" xr:uid="{00000000-0005-0000-0000-0000B6100000}"/>
    <cellStyle name="Calculation 2 4 2 7 2 10" xfId="24071" xr:uid="{00000000-0005-0000-0000-0000B7100000}"/>
    <cellStyle name="Calculation 2 4 2 7 2 11" xfId="25070" xr:uid="{00000000-0005-0000-0000-0000B8100000}"/>
    <cellStyle name="Calculation 2 4 2 7 2 12" xfId="28015" xr:uid="{00000000-0005-0000-0000-0000B9100000}"/>
    <cellStyle name="Calculation 2 4 2 7 2 13" xfId="28984" xr:uid="{00000000-0005-0000-0000-0000BA100000}"/>
    <cellStyle name="Calculation 2 4 2 7 2 14" xfId="30023" xr:uid="{00000000-0005-0000-0000-0000BB100000}"/>
    <cellStyle name="Calculation 2 4 2 7 2 15" xfId="31016" xr:uid="{00000000-0005-0000-0000-0000BC100000}"/>
    <cellStyle name="Calculation 2 4 2 7 2 16" xfId="32025" xr:uid="{00000000-0005-0000-0000-0000BD100000}"/>
    <cellStyle name="Calculation 2 4 2 7 2 17" xfId="33028" xr:uid="{00000000-0005-0000-0000-0000BE100000}"/>
    <cellStyle name="Calculation 2 4 2 7 2 18" xfId="34027" xr:uid="{00000000-0005-0000-0000-0000BF100000}"/>
    <cellStyle name="Calculation 2 4 2 7 2 19" xfId="35648" xr:uid="{00000000-0005-0000-0000-0000C0100000}"/>
    <cellStyle name="Calculation 2 4 2 7 2 2" xfId="16051" xr:uid="{00000000-0005-0000-0000-0000C1100000}"/>
    <cellStyle name="Calculation 2 4 2 7 2 20" xfId="36587" xr:uid="{00000000-0005-0000-0000-0000C2100000}"/>
    <cellStyle name="Calculation 2 4 2 7 2 3" xfId="17029" xr:uid="{00000000-0005-0000-0000-0000C3100000}"/>
    <cellStyle name="Calculation 2 4 2 7 2 4" xfId="18057" xr:uid="{00000000-0005-0000-0000-0000C4100000}"/>
    <cellStyle name="Calculation 2 4 2 7 2 5" xfId="19089" xr:uid="{00000000-0005-0000-0000-0000C5100000}"/>
    <cellStyle name="Calculation 2 4 2 7 2 6" xfId="20111" xr:uid="{00000000-0005-0000-0000-0000C6100000}"/>
    <cellStyle name="Calculation 2 4 2 7 2 7" xfId="21120" xr:uid="{00000000-0005-0000-0000-0000C7100000}"/>
    <cellStyle name="Calculation 2 4 2 7 2 8" xfId="22094" xr:uid="{00000000-0005-0000-0000-0000C8100000}"/>
    <cellStyle name="Calculation 2 4 2 7 2 9" xfId="23099" xr:uid="{00000000-0005-0000-0000-0000C9100000}"/>
    <cellStyle name="Calculation 2 4 2 7 20" xfId="35647" xr:uid="{00000000-0005-0000-0000-0000CA100000}"/>
    <cellStyle name="Calculation 2 4 2 7 21" xfId="36586" xr:uid="{00000000-0005-0000-0000-0000CB100000}"/>
    <cellStyle name="Calculation 2 4 2 7 3" xfId="16050" xr:uid="{00000000-0005-0000-0000-0000CC100000}"/>
    <cellStyle name="Calculation 2 4 2 7 4" xfId="17028" xr:uid="{00000000-0005-0000-0000-0000CD100000}"/>
    <cellStyle name="Calculation 2 4 2 7 5" xfId="18056" xr:uid="{00000000-0005-0000-0000-0000CE100000}"/>
    <cellStyle name="Calculation 2 4 2 7 6" xfId="19088" xr:uid="{00000000-0005-0000-0000-0000CF100000}"/>
    <cellStyle name="Calculation 2 4 2 7 7" xfId="20110" xr:uid="{00000000-0005-0000-0000-0000D0100000}"/>
    <cellStyle name="Calculation 2 4 2 7 8" xfId="21119" xr:uid="{00000000-0005-0000-0000-0000D1100000}"/>
    <cellStyle name="Calculation 2 4 2 7 9" xfId="22093" xr:uid="{00000000-0005-0000-0000-0000D2100000}"/>
    <cellStyle name="Calculation 2 4 2 8" xfId="765" xr:uid="{00000000-0005-0000-0000-0000D3100000}"/>
    <cellStyle name="Calculation 2 4 2 8 10" xfId="23100" xr:uid="{00000000-0005-0000-0000-0000D4100000}"/>
    <cellStyle name="Calculation 2 4 2 8 11" xfId="24072" xr:uid="{00000000-0005-0000-0000-0000D5100000}"/>
    <cellStyle name="Calculation 2 4 2 8 12" xfId="25071" xr:uid="{00000000-0005-0000-0000-0000D6100000}"/>
    <cellStyle name="Calculation 2 4 2 8 13" xfId="28016" xr:uid="{00000000-0005-0000-0000-0000D7100000}"/>
    <cellStyle name="Calculation 2 4 2 8 14" xfId="28985" xr:uid="{00000000-0005-0000-0000-0000D8100000}"/>
    <cellStyle name="Calculation 2 4 2 8 15" xfId="30024" xr:uid="{00000000-0005-0000-0000-0000D9100000}"/>
    <cellStyle name="Calculation 2 4 2 8 16" xfId="31017" xr:uid="{00000000-0005-0000-0000-0000DA100000}"/>
    <cellStyle name="Calculation 2 4 2 8 17" xfId="32026" xr:uid="{00000000-0005-0000-0000-0000DB100000}"/>
    <cellStyle name="Calculation 2 4 2 8 18" xfId="33029" xr:uid="{00000000-0005-0000-0000-0000DC100000}"/>
    <cellStyle name="Calculation 2 4 2 8 19" xfId="34028" xr:uid="{00000000-0005-0000-0000-0000DD100000}"/>
    <cellStyle name="Calculation 2 4 2 8 2" xfId="766" xr:uid="{00000000-0005-0000-0000-0000DE100000}"/>
    <cellStyle name="Calculation 2 4 2 8 2 10" xfId="24073" xr:uid="{00000000-0005-0000-0000-0000DF100000}"/>
    <cellStyle name="Calculation 2 4 2 8 2 11" xfId="25072" xr:uid="{00000000-0005-0000-0000-0000E0100000}"/>
    <cellStyle name="Calculation 2 4 2 8 2 12" xfId="28017" xr:uid="{00000000-0005-0000-0000-0000E1100000}"/>
    <cellStyle name="Calculation 2 4 2 8 2 13" xfId="28986" xr:uid="{00000000-0005-0000-0000-0000E2100000}"/>
    <cellStyle name="Calculation 2 4 2 8 2 14" xfId="30025" xr:uid="{00000000-0005-0000-0000-0000E3100000}"/>
    <cellStyle name="Calculation 2 4 2 8 2 15" xfId="31018" xr:uid="{00000000-0005-0000-0000-0000E4100000}"/>
    <cellStyle name="Calculation 2 4 2 8 2 16" xfId="32027" xr:uid="{00000000-0005-0000-0000-0000E5100000}"/>
    <cellStyle name="Calculation 2 4 2 8 2 17" xfId="33030" xr:uid="{00000000-0005-0000-0000-0000E6100000}"/>
    <cellStyle name="Calculation 2 4 2 8 2 18" xfId="34029" xr:uid="{00000000-0005-0000-0000-0000E7100000}"/>
    <cellStyle name="Calculation 2 4 2 8 2 19" xfId="35650" xr:uid="{00000000-0005-0000-0000-0000E8100000}"/>
    <cellStyle name="Calculation 2 4 2 8 2 2" xfId="16053" xr:uid="{00000000-0005-0000-0000-0000E9100000}"/>
    <cellStyle name="Calculation 2 4 2 8 2 20" xfId="36589" xr:uid="{00000000-0005-0000-0000-0000EA100000}"/>
    <cellStyle name="Calculation 2 4 2 8 2 3" xfId="17031" xr:uid="{00000000-0005-0000-0000-0000EB100000}"/>
    <cellStyle name="Calculation 2 4 2 8 2 4" xfId="18059" xr:uid="{00000000-0005-0000-0000-0000EC100000}"/>
    <cellStyle name="Calculation 2 4 2 8 2 5" xfId="19091" xr:uid="{00000000-0005-0000-0000-0000ED100000}"/>
    <cellStyle name="Calculation 2 4 2 8 2 6" xfId="20113" xr:uid="{00000000-0005-0000-0000-0000EE100000}"/>
    <cellStyle name="Calculation 2 4 2 8 2 7" xfId="21122" xr:uid="{00000000-0005-0000-0000-0000EF100000}"/>
    <cellStyle name="Calculation 2 4 2 8 2 8" xfId="22096" xr:uid="{00000000-0005-0000-0000-0000F0100000}"/>
    <cellStyle name="Calculation 2 4 2 8 2 9" xfId="23101" xr:uid="{00000000-0005-0000-0000-0000F1100000}"/>
    <cellStyle name="Calculation 2 4 2 8 20" xfId="35649" xr:uid="{00000000-0005-0000-0000-0000F2100000}"/>
    <cellStyle name="Calculation 2 4 2 8 21" xfId="36588" xr:uid="{00000000-0005-0000-0000-0000F3100000}"/>
    <cellStyle name="Calculation 2 4 2 8 3" xfId="16052" xr:uid="{00000000-0005-0000-0000-0000F4100000}"/>
    <cellStyle name="Calculation 2 4 2 8 4" xfId="17030" xr:uid="{00000000-0005-0000-0000-0000F5100000}"/>
    <cellStyle name="Calculation 2 4 2 8 5" xfId="18058" xr:uid="{00000000-0005-0000-0000-0000F6100000}"/>
    <cellStyle name="Calculation 2 4 2 8 6" xfId="19090" xr:uid="{00000000-0005-0000-0000-0000F7100000}"/>
    <cellStyle name="Calculation 2 4 2 8 7" xfId="20112" xr:uid="{00000000-0005-0000-0000-0000F8100000}"/>
    <cellStyle name="Calculation 2 4 2 8 8" xfId="21121" xr:uid="{00000000-0005-0000-0000-0000F9100000}"/>
    <cellStyle name="Calculation 2 4 2 8 9" xfId="22095" xr:uid="{00000000-0005-0000-0000-0000FA100000}"/>
    <cellStyle name="Calculation 2 4 2 9" xfId="767" xr:uid="{00000000-0005-0000-0000-0000FB100000}"/>
    <cellStyle name="Calculation 2 4 2 9 10" xfId="24074" xr:uid="{00000000-0005-0000-0000-0000FC100000}"/>
    <cellStyle name="Calculation 2 4 2 9 11" xfId="25073" xr:uid="{00000000-0005-0000-0000-0000FD100000}"/>
    <cellStyle name="Calculation 2 4 2 9 12" xfId="28018" xr:uid="{00000000-0005-0000-0000-0000FE100000}"/>
    <cellStyle name="Calculation 2 4 2 9 13" xfId="28987" xr:uid="{00000000-0005-0000-0000-0000FF100000}"/>
    <cellStyle name="Calculation 2 4 2 9 14" xfId="30026" xr:uid="{00000000-0005-0000-0000-000000110000}"/>
    <cellStyle name="Calculation 2 4 2 9 15" xfId="31019" xr:uid="{00000000-0005-0000-0000-000001110000}"/>
    <cellStyle name="Calculation 2 4 2 9 16" xfId="32028" xr:uid="{00000000-0005-0000-0000-000002110000}"/>
    <cellStyle name="Calculation 2 4 2 9 17" xfId="33031" xr:uid="{00000000-0005-0000-0000-000003110000}"/>
    <cellStyle name="Calculation 2 4 2 9 18" xfId="34030" xr:uid="{00000000-0005-0000-0000-000004110000}"/>
    <cellStyle name="Calculation 2 4 2 9 19" xfId="35651" xr:uid="{00000000-0005-0000-0000-000005110000}"/>
    <cellStyle name="Calculation 2 4 2 9 2" xfId="16054" xr:uid="{00000000-0005-0000-0000-000006110000}"/>
    <cellStyle name="Calculation 2 4 2 9 20" xfId="36590" xr:uid="{00000000-0005-0000-0000-000007110000}"/>
    <cellStyle name="Calculation 2 4 2 9 3" xfId="17032" xr:uid="{00000000-0005-0000-0000-000008110000}"/>
    <cellStyle name="Calculation 2 4 2 9 4" xfId="18060" xr:uid="{00000000-0005-0000-0000-000009110000}"/>
    <cellStyle name="Calculation 2 4 2 9 5" xfId="19092" xr:uid="{00000000-0005-0000-0000-00000A110000}"/>
    <cellStyle name="Calculation 2 4 2 9 6" xfId="20114" xr:uid="{00000000-0005-0000-0000-00000B110000}"/>
    <cellStyle name="Calculation 2 4 2 9 7" xfId="21123" xr:uid="{00000000-0005-0000-0000-00000C110000}"/>
    <cellStyle name="Calculation 2 4 2 9 8" xfId="22097" xr:uid="{00000000-0005-0000-0000-00000D110000}"/>
    <cellStyle name="Calculation 2 4 2 9 9" xfId="23102" xr:uid="{00000000-0005-0000-0000-00000E110000}"/>
    <cellStyle name="Calculation 2 4 20" xfId="34857" xr:uid="{00000000-0005-0000-0000-00000F110000}"/>
    <cellStyle name="Calculation 2 4 21" xfId="34878" xr:uid="{00000000-0005-0000-0000-000010110000}"/>
    <cellStyle name="Calculation 2 4 22" xfId="35488" xr:uid="{00000000-0005-0000-0000-000011110000}"/>
    <cellStyle name="Calculation 2 4 3" xfId="768" xr:uid="{00000000-0005-0000-0000-000012110000}"/>
    <cellStyle name="Calculation 2 4 3 10" xfId="14401" xr:uid="{00000000-0005-0000-0000-000013110000}"/>
    <cellStyle name="Calculation 2 4 3 11" xfId="15119" xr:uid="{00000000-0005-0000-0000-000014110000}"/>
    <cellStyle name="Calculation 2 4 3 12" xfId="13874" xr:uid="{00000000-0005-0000-0000-000015110000}"/>
    <cellStyle name="Calculation 2 4 3 13" xfId="14680" xr:uid="{00000000-0005-0000-0000-000016110000}"/>
    <cellStyle name="Calculation 2 4 3 14" xfId="14236" xr:uid="{00000000-0005-0000-0000-000017110000}"/>
    <cellStyle name="Calculation 2 4 3 15" xfId="15072" xr:uid="{00000000-0005-0000-0000-000018110000}"/>
    <cellStyle name="Calculation 2 4 3 16" xfId="26512" xr:uid="{00000000-0005-0000-0000-000019110000}"/>
    <cellStyle name="Calculation 2 4 3 17" xfId="27055" xr:uid="{00000000-0005-0000-0000-00001A110000}"/>
    <cellStyle name="Calculation 2 4 3 18" xfId="26197" xr:uid="{00000000-0005-0000-0000-00001B110000}"/>
    <cellStyle name="Calculation 2 4 3 19" xfId="27579" xr:uid="{00000000-0005-0000-0000-00001C110000}"/>
    <cellStyle name="Calculation 2 4 3 2" xfId="769" xr:uid="{00000000-0005-0000-0000-00001D110000}"/>
    <cellStyle name="Calculation 2 4 3 2 10" xfId="23103" xr:uid="{00000000-0005-0000-0000-00001E110000}"/>
    <cellStyle name="Calculation 2 4 3 2 11" xfId="24075" xr:uid="{00000000-0005-0000-0000-00001F110000}"/>
    <cellStyle name="Calculation 2 4 3 2 12" xfId="25074" xr:uid="{00000000-0005-0000-0000-000020110000}"/>
    <cellStyle name="Calculation 2 4 3 2 13" xfId="28019" xr:uid="{00000000-0005-0000-0000-000021110000}"/>
    <cellStyle name="Calculation 2 4 3 2 14" xfId="28988" xr:uid="{00000000-0005-0000-0000-000022110000}"/>
    <cellStyle name="Calculation 2 4 3 2 15" xfId="30027" xr:uid="{00000000-0005-0000-0000-000023110000}"/>
    <cellStyle name="Calculation 2 4 3 2 16" xfId="31020" xr:uid="{00000000-0005-0000-0000-000024110000}"/>
    <cellStyle name="Calculation 2 4 3 2 17" xfId="32029" xr:uid="{00000000-0005-0000-0000-000025110000}"/>
    <cellStyle name="Calculation 2 4 3 2 18" xfId="33032" xr:uid="{00000000-0005-0000-0000-000026110000}"/>
    <cellStyle name="Calculation 2 4 3 2 19" xfId="34031" xr:uid="{00000000-0005-0000-0000-000027110000}"/>
    <cellStyle name="Calculation 2 4 3 2 2" xfId="770" xr:uid="{00000000-0005-0000-0000-000028110000}"/>
    <cellStyle name="Calculation 2 4 3 2 2 10" xfId="24076" xr:uid="{00000000-0005-0000-0000-000029110000}"/>
    <cellStyle name="Calculation 2 4 3 2 2 11" xfId="25075" xr:uid="{00000000-0005-0000-0000-00002A110000}"/>
    <cellStyle name="Calculation 2 4 3 2 2 12" xfId="28020" xr:uid="{00000000-0005-0000-0000-00002B110000}"/>
    <cellStyle name="Calculation 2 4 3 2 2 13" xfId="28989" xr:uid="{00000000-0005-0000-0000-00002C110000}"/>
    <cellStyle name="Calculation 2 4 3 2 2 14" xfId="30028" xr:uid="{00000000-0005-0000-0000-00002D110000}"/>
    <cellStyle name="Calculation 2 4 3 2 2 15" xfId="31021" xr:uid="{00000000-0005-0000-0000-00002E110000}"/>
    <cellStyle name="Calculation 2 4 3 2 2 16" xfId="32030" xr:uid="{00000000-0005-0000-0000-00002F110000}"/>
    <cellStyle name="Calculation 2 4 3 2 2 17" xfId="33033" xr:uid="{00000000-0005-0000-0000-000030110000}"/>
    <cellStyle name="Calculation 2 4 3 2 2 18" xfId="34032" xr:uid="{00000000-0005-0000-0000-000031110000}"/>
    <cellStyle name="Calculation 2 4 3 2 2 19" xfId="35653" xr:uid="{00000000-0005-0000-0000-000032110000}"/>
    <cellStyle name="Calculation 2 4 3 2 2 2" xfId="16056" xr:uid="{00000000-0005-0000-0000-000033110000}"/>
    <cellStyle name="Calculation 2 4 3 2 2 20" xfId="36592" xr:uid="{00000000-0005-0000-0000-000034110000}"/>
    <cellStyle name="Calculation 2 4 3 2 2 3" xfId="17034" xr:uid="{00000000-0005-0000-0000-000035110000}"/>
    <cellStyle name="Calculation 2 4 3 2 2 4" xfId="18062" xr:uid="{00000000-0005-0000-0000-000036110000}"/>
    <cellStyle name="Calculation 2 4 3 2 2 5" xfId="19094" xr:uid="{00000000-0005-0000-0000-000037110000}"/>
    <cellStyle name="Calculation 2 4 3 2 2 6" xfId="20116" xr:uid="{00000000-0005-0000-0000-000038110000}"/>
    <cellStyle name="Calculation 2 4 3 2 2 7" xfId="21125" xr:uid="{00000000-0005-0000-0000-000039110000}"/>
    <cellStyle name="Calculation 2 4 3 2 2 8" xfId="22099" xr:uid="{00000000-0005-0000-0000-00003A110000}"/>
    <cellStyle name="Calculation 2 4 3 2 2 9" xfId="23104" xr:uid="{00000000-0005-0000-0000-00003B110000}"/>
    <cellStyle name="Calculation 2 4 3 2 20" xfId="35652" xr:uid="{00000000-0005-0000-0000-00003C110000}"/>
    <cellStyle name="Calculation 2 4 3 2 21" xfId="36591" xr:uid="{00000000-0005-0000-0000-00003D110000}"/>
    <cellStyle name="Calculation 2 4 3 2 3" xfId="16055" xr:uid="{00000000-0005-0000-0000-00003E110000}"/>
    <cellStyle name="Calculation 2 4 3 2 4" xfId="17033" xr:uid="{00000000-0005-0000-0000-00003F110000}"/>
    <cellStyle name="Calculation 2 4 3 2 5" xfId="18061" xr:uid="{00000000-0005-0000-0000-000040110000}"/>
    <cellStyle name="Calculation 2 4 3 2 6" xfId="19093" xr:uid="{00000000-0005-0000-0000-000041110000}"/>
    <cellStyle name="Calculation 2 4 3 2 7" xfId="20115" xr:uid="{00000000-0005-0000-0000-000042110000}"/>
    <cellStyle name="Calculation 2 4 3 2 8" xfId="21124" xr:uid="{00000000-0005-0000-0000-000043110000}"/>
    <cellStyle name="Calculation 2 4 3 2 9" xfId="22098" xr:uid="{00000000-0005-0000-0000-000044110000}"/>
    <cellStyle name="Calculation 2 4 3 20" xfId="27045" xr:uid="{00000000-0005-0000-0000-000045110000}"/>
    <cellStyle name="Calculation 2 4 3 21" xfId="27423" xr:uid="{00000000-0005-0000-0000-000046110000}"/>
    <cellStyle name="Calculation 2 4 3 22" xfId="26662" xr:uid="{00000000-0005-0000-0000-000047110000}"/>
    <cellStyle name="Calculation 2 4 3 23" xfId="35183" xr:uid="{00000000-0005-0000-0000-000048110000}"/>
    <cellStyle name="Calculation 2 4 3 24" xfId="35211" xr:uid="{00000000-0005-0000-0000-000049110000}"/>
    <cellStyle name="Calculation 2 4 3 3" xfId="771" xr:uid="{00000000-0005-0000-0000-00004A110000}"/>
    <cellStyle name="Calculation 2 4 3 3 10" xfId="23105" xr:uid="{00000000-0005-0000-0000-00004B110000}"/>
    <cellStyle name="Calculation 2 4 3 3 11" xfId="24077" xr:uid="{00000000-0005-0000-0000-00004C110000}"/>
    <cellStyle name="Calculation 2 4 3 3 12" xfId="25076" xr:uid="{00000000-0005-0000-0000-00004D110000}"/>
    <cellStyle name="Calculation 2 4 3 3 13" xfId="28021" xr:uid="{00000000-0005-0000-0000-00004E110000}"/>
    <cellStyle name="Calculation 2 4 3 3 14" xfId="28990" xr:uid="{00000000-0005-0000-0000-00004F110000}"/>
    <cellStyle name="Calculation 2 4 3 3 15" xfId="30029" xr:uid="{00000000-0005-0000-0000-000050110000}"/>
    <cellStyle name="Calculation 2 4 3 3 16" xfId="31022" xr:uid="{00000000-0005-0000-0000-000051110000}"/>
    <cellStyle name="Calculation 2 4 3 3 17" xfId="32031" xr:uid="{00000000-0005-0000-0000-000052110000}"/>
    <cellStyle name="Calculation 2 4 3 3 18" xfId="33034" xr:uid="{00000000-0005-0000-0000-000053110000}"/>
    <cellStyle name="Calculation 2 4 3 3 19" xfId="34033" xr:uid="{00000000-0005-0000-0000-000054110000}"/>
    <cellStyle name="Calculation 2 4 3 3 2" xfId="772" xr:uid="{00000000-0005-0000-0000-000055110000}"/>
    <cellStyle name="Calculation 2 4 3 3 2 10" xfId="24078" xr:uid="{00000000-0005-0000-0000-000056110000}"/>
    <cellStyle name="Calculation 2 4 3 3 2 11" xfId="25077" xr:uid="{00000000-0005-0000-0000-000057110000}"/>
    <cellStyle name="Calculation 2 4 3 3 2 12" xfId="28022" xr:uid="{00000000-0005-0000-0000-000058110000}"/>
    <cellStyle name="Calculation 2 4 3 3 2 13" xfId="28991" xr:uid="{00000000-0005-0000-0000-000059110000}"/>
    <cellStyle name="Calculation 2 4 3 3 2 14" xfId="30030" xr:uid="{00000000-0005-0000-0000-00005A110000}"/>
    <cellStyle name="Calculation 2 4 3 3 2 15" xfId="31023" xr:uid="{00000000-0005-0000-0000-00005B110000}"/>
    <cellStyle name="Calculation 2 4 3 3 2 16" xfId="32032" xr:uid="{00000000-0005-0000-0000-00005C110000}"/>
    <cellStyle name="Calculation 2 4 3 3 2 17" xfId="33035" xr:uid="{00000000-0005-0000-0000-00005D110000}"/>
    <cellStyle name="Calculation 2 4 3 3 2 18" xfId="34034" xr:uid="{00000000-0005-0000-0000-00005E110000}"/>
    <cellStyle name="Calculation 2 4 3 3 2 19" xfId="35655" xr:uid="{00000000-0005-0000-0000-00005F110000}"/>
    <cellStyle name="Calculation 2 4 3 3 2 2" xfId="16058" xr:uid="{00000000-0005-0000-0000-000060110000}"/>
    <cellStyle name="Calculation 2 4 3 3 2 20" xfId="36594" xr:uid="{00000000-0005-0000-0000-000061110000}"/>
    <cellStyle name="Calculation 2 4 3 3 2 3" xfId="17036" xr:uid="{00000000-0005-0000-0000-000062110000}"/>
    <cellStyle name="Calculation 2 4 3 3 2 4" xfId="18064" xr:uid="{00000000-0005-0000-0000-000063110000}"/>
    <cellStyle name="Calculation 2 4 3 3 2 5" xfId="19096" xr:uid="{00000000-0005-0000-0000-000064110000}"/>
    <cellStyle name="Calculation 2 4 3 3 2 6" xfId="20118" xr:uid="{00000000-0005-0000-0000-000065110000}"/>
    <cellStyle name="Calculation 2 4 3 3 2 7" xfId="21127" xr:uid="{00000000-0005-0000-0000-000066110000}"/>
    <cellStyle name="Calculation 2 4 3 3 2 8" xfId="22101" xr:uid="{00000000-0005-0000-0000-000067110000}"/>
    <cellStyle name="Calculation 2 4 3 3 2 9" xfId="23106" xr:uid="{00000000-0005-0000-0000-000068110000}"/>
    <cellStyle name="Calculation 2 4 3 3 20" xfId="35654" xr:uid="{00000000-0005-0000-0000-000069110000}"/>
    <cellStyle name="Calculation 2 4 3 3 21" xfId="36593" xr:uid="{00000000-0005-0000-0000-00006A110000}"/>
    <cellStyle name="Calculation 2 4 3 3 3" xfId="16057" xr:uid="{00000000-0005-0000-0000-00006B110000}"/>
    <cellStyle name="Calculation 2 4 3 3 4" xfId="17035" xr:uid="{00000000-0005-0000-0000-00006C110000}"/>
    <cellStyle name="Calculation 2 4 3 3 5" xfId="18063" xr:uid="{00000000-0005-0000-0000-00006D110000}"/>
    <cellStyle name="Calculation 2 4 3 3 6" xfId="19095" xr:uid="{00000000-0005-0000-0000-00006E110000}"/>
    <cellStyle name="Calculation 2 4 3 3 7" xfId="20117" xr:uid="{00000000-0005-0000-0000-00006F110000}"/>
    <cellStyle name="Calculation 2 4 3 3 8" xfId="21126" xr:uid="{00000000-0005-0000-0000-000070110000}"/>
    <cellStyle name="Calculation 2 4 3 3 9" xfId="22100" xr:uid="{00000000-0005-0000-0000-000071110000}"/>
    <cellStyle name="Calculation 2 4 3 4" xfId="773" xr:uid="{00000000-0005-0000-0000-000072110000}"/>
    <cellStyle name="Calculation 2 4 3 4 10" xfId="23107" xr:uid="{00000000-0005-0000-0000-000073110000}"/>
    <cellStyle name="Calculation 2 4 3 4 11" xfId="24079" xr:uid="{00000000-0005-0000-0000-000074110000}"/>
    <cellStyle name="Calculation 2 4 3 4 12" xfId="25078" xr:uid="{00000000-0005-0000-0000-000075110000}"/>
    <cellStyle name="Calculation 2 4 3 4 13" xfId="28023" xr:uid="{00000000-0005-0000-0000-000076110000}"/>
    <cellStyle name="Calculation 2 4 3 4 14" xfId="28992" xr:uid="{00000000-0005-0000-0000-000077110000}"/>
    <cellStyle name="Calculation 2 4 3 4 15" xfId="30031" xr:uid="{00000000-0005-0000-0000-000078110000}"/>
    <cellStyle name="Calculation 2 4 3 4 16" xfId="31024" xr:uid="{00000000-0005-0000-0000-000079110000}"/>
    <cellStyle name="Calculation 2 4 3 4 17" xfId="32033" xr:uid="{00000000-0005-0000-0000-00007A110000}"/>
    <cellStyle name="Calculation 2 4 3 4 18" xfId="33036" xr:uid="{00000000-0005-0000-0000-00007B110000}"/>
    <cellStyle name="Calculation 2 4 3 4 19" xfId="34035" xr:uid="{00000000-0005-0000-0000-00007C110000}"/>
    <cellStyle name="Calculation 2 4 3 4 2" xfId="774" xr:uid="{00000000-0005-0000-0000-00007D110000}"/>
    <cellStyle name="Calculation 2 4 3 4 2 10" xfId="24080" xr:uid="{00000000-0005-0000-0000-00007E110000}"/>
    <cellStyle name="Calculation 2 4 3 4 2 11" xfId="25079" xr:uid="{00000000-0005-0000-0000-00007F110000}"/>
    <cellStyle name="Calculation 2 4 3 4 2 12" xfId="28024" xr:uid="{00000000-0005-0000-0000-000080110000}"/>
    <cellStyle name="Calculation 2 4 3 4 2 13" xfId="28993" xr:uid="{00000000-0005-0000-0000-000081110000}"/>
    <cellStyle name="Calculation 2 4 3 4 2 14" xfId="30032" xr:uid="{00000000-0005-0000-0000-000082110000}"/>
    <cellStyle name="Calculation 2 4 3 4 2 15" xfId="31025" xr:uid="{00000000-0005-0000-0000-000083110000}"/>
    <cellStyle name="Calculation 2 4 3 4 2 16" xfId="32034" xr:uid="{00000000-0005-0000-0000-000084110000}"/>
    <cellStyle name="Calculation 2 4 3 4 2 17" xfId="33037" xr:uid="{00000000-0005-0000-0000-000085110000}"/>
    <cellStyle name="Calculation 2 4 3 4 2 18" xfId="34036" xr:uid="{00000000-0005-0000-0000-000086110000}"/>
    <cellStyle name="Calculation 2 4 3 4 2 19" xfId="35657" xr:uid="{00000000-0005-0000-0000-000087110000}"/>
    <cellStyle name="Calculation 2 4 3 4 2 2" xfId="16060" xr:uid="{00000000-0005-0000-0000-000088110000}"/>
    <cellStyle name="Calculation 2 4 3 4 2 20" xfId="36596" xr:uid="{00000000-0005-0000-0000-000089110000}"/>
    <cellStyle name="Calculation 2 4 3 4 2 3" xfId="17038" xr:uid="{00000000-0005-0000-0000-00008A110000}"/>
    <cellStyle name="Calculation 2 4 3 4 2 4" xfId="18066" xr:uid="{00000000-0005-0000-0000-00008B110000}"/>
    <cellStyle name="Calculation 2 4 3 4 2 5" xfId="19098" xr:uid="{00000000-0005-0000-0000-00008C110000}"/>
    <cellStyle name="Calculation 2 4 3 4 2 6" xfId="20120" xr:uid="{00000000-0005-0000-0000-00008D110000}"/>
    <cellStyle name="Calculation 2 4 3 4 2 7" xfId="21129" xr:uid="{00000000-0005-0000-0000-00008E110000}"/>
    <cellStyle name="Calculation 2 4 3 4 2 8" xfId="22103" xr:uid="{00000000-0005-0000-0000-00008F110000}"/>
    <cellStyle name="Calculation 2 4 3 4 2 9" xfId="23108" xr:uid="{00000000-0005-0000-0000-000090110000}"/>
    <cellStyle name="Calculation 2 4 3 4 20" xfId="35656" xr:uid="{00000000-0005-0000-0000-000091110000}"/>
    <cellStyle name="Calculation 2 4 3 4 21" xfId="36595" xr:uid="{00000000-0005-0000-0000-000092110000}"/>
    <cellStyle name="Calculation 2 4 3 4 3" xfId="16059" xr:uid="{00000000-0005-0000-0000-000093110000}"/>
    <cellStyle name="Calculation 2 4 3 4 4" xfId="17037" xr:uid="{00000000-0005-0000-0000-000094110000}"/>
    <cellStyle name="Calculation 2 4 3 4 5" xfId="18065" xr:uid="{00000000-0005-0000-0000-000095110000}"/>
    <cellStyle name="Calculation 2 4 3 4 6" xfId="19097" xr:uid="{00000000-0005-0000-0000-000096110000}"/>
    <cellStyle name="Calculation 2 4 3 4 7" xfId="20119" xr:uid="{00000000-0005-0000-0000-000097110000}"/>
    <cellStyle name="Calculation 2 4 3 4 8" xfId="21128" xr:uid="{00000000-0005-0000-0000-000098110000}"/>
    <cellStyle name="Calculation 2 4 3 4 9" xfId="22102" xr:uid="{00000000-0005-0000-0000-000099110000}"/>
    <cellStyle name="Calculation 2 4 3 5" xfId="775" xr:uid="{00000000-0005-0000-0000-00009A110000}"/>
    <cellStyle name="Calculation 2 4 3 5 10" xfId="24081" xr:uid="{00000000-0005-0000-0000-00009B110000}"/>
    <cellStyle name="Calculation 2 4 3 5 11" xfId="25080" xr:uid="{00000000-0005-0000-0000-00009C110000}"/>
    <cellStyle name="Calculation 2 4 3 5 12" xfId="28025" xr:uid="{00000000-0005-0000-0000-00009D110000}"/>
    <cellStyle name="Calculation 2 4 3 5 13" xfId="28994" xr:uid="{00000000-0005-0000-0000-00009E110000}"/>
    <cellStyle name="Calculation 2 4 3 5 14" xfId="30033" xr:uid="{00000000-0005-0000-0000-00009F110000}"/>
    <cellStyle name="Calculation 2 4 3 5 15" xfId="31026" xr:uid="{00000000-0005-0000-0000-0000A0110000}"/>
    <cellStyle name="Calculation 2 4 3 5 16" xfId="32035" xr:uid="{00000000-0005-0000-0000-0000A1110000}"/>
    <cellStyle name="Calculation 2 4 3 5 17" xfId="33038" xr:uid="{00000000-0005-0000-0000-0000A2110000}"/>
    <cellStyle name="Calculation 2 4 3 5 18" xfId="34037" xr:uid="{00000000-0005-0000-0000-0000A3110000}"/>
    <cellStyle name="Calculation 2 4 3 5 19" xfId="35658" xr:uid="{00000000-0005-0000-0000-0000A4110000}"/>
    <cellStyle name="Calculation 2 4 3 5 2" xfId="16061" xr:uid="{00000000-0005-0000-0000-0000A5110000}"/>
    <cellStyle name="Calculation 2 4 3 5 20" xfId="36597" xr:uid="{00000000-0005-0000-0000-0000A6110000}"/>
    <cellStyle name="Calculation 2 4 3 5 3" xfId="17039" xr:uid="{00000000-0005-0000-0000-0000A7110000}"/>
    <cellStyle name="Calculation 2 4 3 5 4" xfId="18067" xr:uid="{00000000-0005-0000-0000-0000A8110000}"/>
    <cellStyle name="Calculation 2 4 3 5 5" xfId="19099" xr:uid="{00000000-0005-0000-0000-0000A9110000}"/>
    <cellStyle name="Calculation 2 4 3 5 6" xfId="20121" xr:uid="{00000000-0005-0000-0000-0000AA110000}"/>
    <cellStyle name="Calculation 2 4 3 5 7" xfId="21130" xr:uid="{00000000-0005-0000-0000-0000AB110000}"/>
    <cellStyle name="Calculation 2 4 3 5 8" xfId="22104" xr:uid="{00000000-0005-0000-0000-0000AC110000}"/>
    <cellStyle name="Calculation 2 4 3 5 9" xfId="23109" xr:uid="{00000000-0005-0000-0000-0000AD110000}"/>
    <cellStyle name="Calculation 2 4 3 6" xfId="13951" xr:uid="{00000000-0005-0000-0000-0000AE110000}"/>
    <cellStyle name="Calculation 2 4 3 7" xfId="15652" xr:uid="{00000000-0005-0000-0000-0000AF110000}"/>
    <cellStyle name="Calculation 2 4 3 8" xfId="14448" xr:uid="{00000000-0005-0000-0000-0000B0110000}"/>
    <cellStyle name="Calculation 2 4 3 9" xfId="13624" xr:uid="{00000000-0005-0000-0000-0000B1110000}"/>
    <cellStyle name="Calculation 2 4 4" xfId="776" xr:uid="{00000000-0005-0000-0000-0000B2110000}"/>
    <cellStyle name="Calculation 2 4 4 10" xfId="23110" xr:uid="{00000000-0005-0000-0000-0000B3110000}"/>
    <cellStyle name="Calculation 2 4 4 11" xfId="24082" xr:uid="{00000000-0005-0000-0000-0000B4110000}"/>
    <cellStyle name="Calculation 2 4 4 12" xfId="25081" xr:uid="{00000000-0005-0000-0000-0000B5110000}"/>
    <cellStyle name="Calculation 2 4 4 13" xfId="28026" xr:uid="{00000000-0005-0000-0000-0000B6110000}"/>
    <cellStyle name="Calculation 2 4 4 14" xfId="28995" xr:uid="{00000000-0005-0000-0000-0000B7110000}"/>
    <cellStyle name="Calculation 2 4 4 15" xfId="30034" xr:uid="{00000000-0005-0000-0000-0000B8110000}"/>
    <cellStyle name="Calculation 2 4 4 16" xfId="31027" xr:uid="{00000000-0005-0000-0000-0000B9110000}"/>
    <cellStyle name="Calculation 2 4 4 17" xfId="32036" xr:uid="{00000000-0005-0000-0000-0000BA110000}"/>
    <cellStyle name="Calculation 2 4 4 18" xfId="33039" xr:uid="{00000000-0005-0000-0000-0000BB110000}"/>
    <cellStyle name="Calculation 2 4 4 19" xfId="34038" xr:uid="{00000000-0005-0000-0000-0000BC110000}"/>
    <cellStyle name="Calculation 2 4 4 2" xfId="777" xr:uid="{00000000-0005-0000-0000-0000BD110000}"/>
    <cellStyle name="Calculation 2 4 4 2 10" xfId="24083" xr:uid="{00000000-0005-0000-0000-0000BE110000}"/>
    <cellStyle name="Calculation 2 4 4 2 11" xfId="25082" xr:uid="{00000000-0005-0000-0000-0000BF110000}"/>
    <cellStyle name="Calculation 2 4 4 2 12" xfId="28027" xr:uid="{00000000-0005-0000-0000-0000C0110000}"/>
    <cellStyle name="Calculation 2 4 4 2 13" xfId="28996" xr:uid="{00000000-0005-0000-0000-0000C1110000}"/>
    <cellStyle name="Calculation 2 4 4 2 14" xfId="30035" xr:uid="{00000000-0005-0000-0000-0000C2110000}"/>
    <cellStyle name="Calculation 2 4 4 2 15" xfId="31028" xr:uid="{00000000-0005-0000-0000-0000C3110000}"/>
    <cellStyle name="Calculation 2 4 4 2 16" xfId="32037" xr:uid="{00000000-0005-0000-0000-0000C4110000}"/>
    <cellStyle name="Calculation 2 4 4 2 17" xfId="33040" xr:uid="{00000000-0005-0000-0000-0000C5110000}"/>
    <cellStyle name="Calculation 2 4 4 2 18" xfId="34039" xr:uid="{00000000-0005-0000-0000-0000C6110000}"/>
    <cellStyle name="Calculation 2 4 4 2 19" xfId="35660" xr:uid="{00000000-0005-0000-0000-0000C7110000}"/>
    <cellStyle name="Calculation 2 4 4 2 2" xfId="16063" xr:uid="{00000000-0005-0000-0000-0000C8110000}"/>
    <cellStyle name="Calculation 2 4 4 2 20" xfId="36599" xr:uid="{00000000-0005-0000-0000-0000C9110000}"/>
    <cellStyle name="Calculation 2 4 4 2 3" xfId="17041" xr:uid="{00000000-0005-0000-0000-0000CA110000}"/>
    <cellStyle name="Calculation 2 4 4 2 4" xfId="18069" xr:uid="{00000000-0005-0000-0000-0000CB110000}"/>
    <cellStyle name="Calculation 2 4 4 2 5" xfId="19101" xr:uid="{00000000-0005-0000-0000-0000CC110000}"/>
    <cellStyle name="Calculation 2 4 4 2 6" xfId="20123" xr:uid="{00000000-0005-0000-0000-0000CD110000}"/>
    <cellStyle name="Calculation 2 4 4 2 7" xfId="21132" xr:uid="{00000000-0005-0000-0000-0000CE110000}"/>
    <cellStyle name="Calculation 2 4 4 2 8" xfId="22106" xr:uid="{00000000-0005-0000-0000-0000CF110000}"/>
    <cellStyle name="Calculation 2 4 4 2 9" xfId="23111" xr:uid="{00000000-0005-0000-0000-0000D0110000}"/>
    <cellStyle name="Calculation 2 4 4 20" xfId="35659" xr:uid="{00000000-0005-0000-0000-0000D1110000}"/>
    <cellStyle name="Calculation 2 4 4 21" xfId="36598" xr:uid="{00000000-0005-0000-0000-0000D2110000}"/>
    <cellStyle name="Calculation 2 4 4 3" xfId="16062" xr:uid="{00000000-0005-0000-0000-0000D3110000}"/>
    <cellStyle name="Calculation 2 4 4 4" xfId="17040" xr:uid="{00000000-0005-0000-0000-0000D4110000}"/>
    <cellStyle name="Calculation 2 4 4 5" xfId="18068" xr:uid="{00000000-0005-0000-0000-0000D5110000}"/>
    <cellStyle name="Calculation 2 4 4 6" xfId="19100" xr:uid="{00000000-0005-0000-0000-0000D6110000}"/>
    <cellStyle name="Calculation 2 4 4 7" xfId="20122" xr:uid="{00000000-0005-0000-0000-0000D7110000}"/>
    <cellStyle name="Calculation 2 4 4 8" xfId="21131" xr:uid="{00000000-0005-0000-0000-0000D8110000}"/>
    <cellStyle name="Calculation 2 4 4 9" xfId="22105" xr:uid="{00000000-0005-0000-0000-0000D9110000}"/>
    <cellStyle name="Calculation 2 4 5" xfId="778" xr:uid="{00000000-0005-0000-0000-0000DA110000}"/>
    <cellStyle name="Calculation 2 4 5 10" xfId="23112" xr:uid="{00000000-0005-0000-0000-0000DB110000}"/>
    <cellStyle name="Calculation 2 4 5 11" xfId="24084" xr:uid="{00000000-0005-0000-0000-0000DC110000}"/>
    <cellStyle name="Calculation 2 4 5 12" xfId="25083" xr:uid="{00000000-0005-0000-0000-0000DD110000}"/>
    <cellStyle name="Calculation 2 4 5 13" xfId="28028" xr:uid="{00000000-0005-0000-0000-0000DE110000}"/>
    <cellStyle name="Calculation 2 4 5 14" xfId="28997" xr:uid="{00000000-0005-0000-0000-0000DF110000}"/>
    <cellStyle name="Calculation 2 4 5 15" xfId="30036" xr:uid="{00000000-0005-0000-0000-0000E0110000}"/>
    <cellStyle name="Calculation 2 4 5 16" xfId="31029" xr:uid="{00000000-0005-0000-0000-0000E1110000}"/>
    <cellStyle name="Calculation 2 4 5 17" xfId="32038" xr:uid="{00000000-0005-0000-0000-0000E2110000}"/>
    <cellStyle name="Calculation 2 4 5 18" xfId="33041" xr:uid="{00000000-0005-0000-0000-0000E3110000}"/>
    <cellStyle name="Calculation 2 4 5 19" xfId="34040" xr:uid="{00000000-0005-0000-0000-0000E4110000}"/>
    <cellStyle name="Calculation 2 4 5 2" xfId="779" xr:uid="{00000000-0005-0000-0000-0000E5110000}"/>
    <cellStyle name="Calculation 2 4 5 2 10" xfId="24085" xr:uid="{00000000-0005-0000-0000-0000E6110000}"/>
    <cellStyle name="Calculation 2 4 5 2 11" xfId="25084" xr:uid="{00000000-0005-0000-0000-0000E7110000}"/>
    <cellStyle name="Calculation 2 4 5 2 12" xfId="28029" xr:uid="{00000000-0005-0000-0000-0000E8110000}"/>
    <cellStyle name="Calculation 2 4 5 2 13" xfId="28998" xr:uid="{00000000-0005-0000-0000-0000E9110000}"/>
    <cellStyle name="Calculation 2 4 5 2 14" xfId="30037" xr:uid="{00000000-0005-0000-0000-0000EA110000}"/>
    <cellStyle name="Calculation 2 4 5 2 15" xfId="31030" xr:uid="{00000000-0005-0000-0000-0000EB110000}"/>
    <cellStyle name="Calculation 2 4 5 2 16" xfId="32039" xr:uid="{00000000-0005-0000-0000-0000EC110000}"/>
    <cellStyle name="Calculation 2 4 5 2 17" xfId="33042" xr:uid="{00000000-0005-0000-0000-0000ED110000}"/>
    <cellStyle name="Calculation 2 4 5 2 18" xfId="34041" xr:uid="{00000000-0005-0000-0000-0000EE110000}"/>
    <cellStyle name="Calculation 2 4 5 2 19" xfId="35662" xr:uid="{00000000-0005-0000-0000-0000EF110000}"/>
    <cellStyle name="Calculation 2 4 5 2 2" xfId="16065" xr:uid="{00000000-0005-0000-0000-0000F0110000}"/>
    <cellStyle name="Calculation 2 4 5 2 20" xfId="36601" xr:uid="{00000000-0005-0000-0000-0000F1110000}"/>
    <cellStyle name="Calculation 2 4 5 2 3" xfId="17043" xr:uid="{00000000-0005-0000-0000-0000F2110000}"/>
    <cellStyle name="Calculation 2 4 5 2 4" xfId="18071" xr:uid="{00000000-0005-0000-0000-0000F3110000}"/>
    <cellStyle name="Calculation 2 4 5 2 5" xfId="19103" xr:uid="{00000000-0005-0000-0000-0000F4110000}"/>
    <cellStyle name="Calculation 2 4 5 2 6" xfId="20125" xr:uid="{00000000-0005-0000-0000-0000F5110000}"/>
    <cellStyle name="Calculation 2 4 5 2 7" xfId="21134" xr:uid="{00000000-0005-0000-0000-0000F6110000}"/>
    <cellStyle name="Calculation 2 4 5 2 8" xfId="22108" xr:uid="{00000000-0005-0000-0000-0000F7110000}"/>
    <cellStyle name="Calculation 2 4 5 2 9" xfId="23113" xr:uid="{00000000-0005-0000-0000-0000F8110000}"/>
    <cellStyle name="Calculation 2 4 5 20" xfId="35661" xr:uid="{00000000-0005-0000-0000-0000F9110000}"/>
    <cellStyle name="Calculation 2 4 5 21" xfId="36600" xr:uid="{00000000-0005-0000-0000-0000FA110000}"/>
    <cellStyle name="Calculation 2 4 5 3" xfId="16064" xr:uid="{00000000-0005-0000-0000-0000FB110000}"/>
    <cellStyle name="Calculation 2 4 5 4" xfId="17042" xr:uid="{00000000-0005-0000-0000-0000FC110000}"/>
    <cellStyle name="Calculation 2 4 5 5" xfId="18070" xr:uid="{00000000-0005-0000-0000-0000FD110000}"/>
    <cellStyle name="Calculation 2 4 5 6" xfId="19102" xr:uid="{00000000-0005-0000-0000-0000FE110000}"/>
    <cellStyle name="Calculation 2 4 5 7" xfId="20124" xr:uid="{00000000-0005-0000-0000-0000FF110000}"/>
    <cellStyle name="Calculation 2 4 5 8" xfId="21133" xr:uid="{00000000-0005-0000-0000-000000120000}"/>
    <cellStyle name="Calculation 2 4 5 9" xfId="22107" xr:uid="{00000000-0005-0000-0000-000001120000}"/>
    <cellStyle name="Calculation 2 4 6" xfId="780" xr:uid="{00000000-0005-0000-0000-000002120000}"/>
    <cellStyle name="Calculation 2 4 6 10" xfId="23114" xr:uid="{00000000-0005-0000-0000-000003120000}"/>
    <cellStyle name="Calculation 2 4 6 11" xfId="24086" xr:uid="{00000000-0005-0000-0000-000004120000}"/>
    <cellStyle name="Calculation 2 4 6 12" xfId="25085" xr:uid="{00000000-0005-0000-0000-000005120000}"/>
    <cellStyle name="Calculation 2 4 6 13" xfId="28030" xr:uid="{00000000-0005-0000-0000-000006120000}"/>
    <cellStyle name="Calculation 2 4 6 14" xfId="28999" xr:uid="{00000000-0005-0000-0000-000007120000}"/>
    <cellStyle name="Calculation 2 4 6 15" xfId="30038" xr:uid="{00000000-0005-0000-0000-000008120000}"/>
    <cellStyle name="Calculation 2 4 6 16" xfId="31031" xr:uid="{00000000-0005-0000-0000-000009120000}"/>
    <cellStyle name="Calculation 2 4 6 17" xfId="32040" xr:uid="{00000000-0005-0000-0000-00000A120000}"/>
    <cellStyle name="Calculation 2 4 6 18" xfId="33043" xr:uid="{00000000-0005-0000-0000-00000B120000}"/>
    <cellStyle name="Calculation 2 4 6 19" xfId="34042" xr:uid="{00000000-0005-0000-0000-00000C120000}"/>
    <cellStyle name="Calculation 2 4 6 2" xfId="781" xr:uid="{00000000-0005-0000-0000-00000D120000}"/>
    <cellStyle name="Calculation 2 4 6 2 10" xfId="24087" xr:uid="{00000000-0005-0000-0000-00000E120000}"/>
    <cellStyle name="Calculation 2 4 6 2 11" xfId="25086" xr:uid="{00000000-0005-0000-0000-00000F120000}"/>
    <cellStyle name="Calculation 2 4 6 2 12" xfId="28031" xr:uid="{00000000-0005-0000-0000-000010120000}"/>
    <cellStyle name="Calculation 2 4 6 2 13" xfId="29000" xr:uid="{00000000-0005-0000-0000-000011120000}"/>
    <cellStyle name="Calculation 2 4 6 2 14" xfId="30039" xr:uid="{00000000-0005-0000-0000-000012120000}"/>
    <cellStyle name="Calculation 2 4 6 2 15" xfId="31032" xr:uid="{00000000-0005-0000-0000-000013120000}"/>
    <cellStyle name="Calculation 2 4 6 2 16" xfId="32041" xr:uid="{00000000-0005-0000-0000-000014120000}"/>
    <cellStyle name="Calculation 2 4 6 2 17" xfId="33044" xr:uid="{00000000-0005-0000-0000-000015120000}"/>
    <cellStyle name="Calculation 2 4 6 2 18" xfId="34043" xr:uid="{00000000-0005-0000-0000-000016120000}"/>
    <cellStyle name="Calculation 2 4 6 2 19" xfId="35664" xr:uid="{00000000-0005-0000-0000-000017120000}"/>
    <cellStyle name="Calculation 2 4 6 2 2" xfId="16067" xr:uid="{00000000-0005-0000-0000-000018120000}"/>
    <cellStyle name="Calculation 2 4 6 2 20" xfId="36603" xr:uid="{00000000-0005-0000-0000-000019120000}"/>
    <cellStyle name="Calculation 2 4 6 2 3" xfId="17045" xr:uid="{00000000-0005-0000-0000-00001A120000}"/>
    <cellStyle name="Calculation 2 4 6 2 4" xfId="18073" xr:uid="{00000000-0005-0000-0000-00001B120000}"/>
    <cellStyle name="Calculation 2 4 6 2 5" xfId="19105" xr:uid="{00000000-0005-0000-0000-00001C120000}"/>
    <cellStyle name="Calculation 2 4 6 2 6" xfId="20127" xr:uid="{00000000-0005-0000-0000-00001D120000}"/>
    <cellStyle name="Calculation 2 4 6 2 7" xfId="21136" xr:uid="{00000000-0005-0000-0000-00001E120000}"/>
    <cellStyle name="Calculation 2 4 6 2 8" xfId="22110" xr:uid="{00000000-0005-0000-0000-00001F120000}"/>
    <cellStyle name="Calculation 2 4 6 2 9" xfId="23115" xr:uid="{00000000-0005-0000-0000-000020120000}"/>
    <cellStyle name="Calculation 2 4 6 20" xfId="35663" xr:uid="{00000000-0005-0000-0000-000021120000}"/>
    <cellStyle name="Calculation 2 4 6 21" xfId="36602" xr:uid="{00000000-0005-0000-0000-000022120000}"/>
    <cellStyle name="Calculation 2 4 6 3" xfId="16066" xr:uid="{00000000-0005-0000-0000-000023120000}"/>
    <cellStyle name="Calculation 2 4 6 4" xfId="17044" xr:uid="{00000000-0005-0000-0000-000024120000}"/>
    <cellStyle name="Calculation 2 4 6 5" xfId="18072" xr:uid="{00000000-0005-0000-0000-000025120000}"/>
    <cellStyle name="Calculation 2 4 6 6" xfId="19104" xr:uid="{00000000-0005-0000-0000-000026120000}"/>
    <cellStyle name="Calculation 2 4 6 7" xfId="20126" xr:uid="{00000000-0005-0000-0000-000027120000}"/>
    <cellStyle name="Calculation 2 4 6 8" xfId="21135" xr:uid="{00000000-0005-0000-0000-000028120000}"/>
    <cellStyle name="Calculation 2 4 6 9" xfId="22109" xr:uid="{00000000-0005-0000-0000-000029120000}"/>
    <cellStyle name="Calculation 2 4 7" xfId="782" xr:uid="{00000000-0005-0000-0000-00002A120000}"/>
    <cellStyle name="Calculation 2 4 7 10" xfId="24088" xr:uid="{00000000-0005-0000-0000-00002B120000}"/>
    <cellStyle name="Calculation 2 4 7 11" xfId="25087" xr:uid="{00000000-0005-0000-0000-00002C120000}"/>
    <cellStyle name="Calculation 2 4 7 12" xfId="28032" xr:uid="{00000000-0005-0000-0000-00002D120000}"/>
    <cellStyle name="Calculation 2 4 7 13" xfId="29001" xr:uid="{00000000-0005-0000-0000-00002E120000}"/>
    <cellStyle name="Calculation 2 4 7 14" xfId="30040" xr:uid="{00000000-0005-0000-0000-00002F120000}"/>
    <cellStyle name="Calculation 2 4 7 15" xfId="31033" xr:uid="{00000000-0005-0000-0000-000030120000}"/>
    <cellStyle name="Calculation 2 4 7 16" xfId="32042" xr:uid="{00000000-0005-0000-0000-000031120000}"/>
    <cellStyle name="Calculation 2 4 7 17" xfId="33045" xr:uid="{00000000-0005-0000-0000-000032120000}"/>
    <cellStyle name="Calculation 2 4 7 18" xfId="34044" xr:uid="{00000000-0005-0000-0000-000033120000}"/>
    <cellStyle name="Calculation 2 4 7 19" xfId="35665" xr:uid="{00000000-0005-0000-0000-000034120000}"/>
    <cellStyle name="Calculation 2 4 7 2" xfId="16068" xr:uid="{00000000-0005-0000-0000-000035120000}"/>
    <cellStyle name="Calculation 2 4 7 20" xfId="36604" xr:uid="{00000000-0005-0000-0000-000036120000}"/>
    <cellStyle name="Calculation 2 4 7 3" xfId="17046" xr:uid="{00000000-0005-0000-0000-000037120000}"/>
    <cellStyle name="Calculation 2 4 7 4" xfId="18074" xr:uid="{00000000-0005-0000-0000-000038120000}"/>
    <cellStyle name="Calculation 2 4 7 5" xfId="19106" xr:uid="{00000000-0005-0000-0000-000039120000}"/>
    <cellStyle name="Calculation 2 4 7 6" xfId="20128" xr:uid="{00000000-0005-0000-0000-00003A120000}"/>
    <cellStyle name="Calculation 2 4 7 7" xfId="21137" xr:uid="{00000000-0005-0000-0000-00003B120000}"/>
    <cellStyle name="Calculation 2 4 7 8" xfId="22111" xr:uid="{00000000-0005-0000-0000-00003C120000}"/>
    <cellStyle name="Calculation 2 4 7 9" xfId="23116" xr:uid="{00000000-0005-0000-0000-00003D120000}"/>
    <cellStyle name="Calculation 2 4 8" xfId="13477" xr:uid="{00000000-0005-0000-0000-00003E120000}"/>
    <cellStyle name="Calculation 2 4 9" xfId="18885" xr:uid="{00000000-0005-0000-0000-00003F120000}"/>
    <cellStyle name="Calculation 2 5" xfId="783" xr:uid="{00000000-0005-0000-0000-000040120000}"/>
    <cellStyle name="Calculation 2 5 10" xfId="15068" xr:uid="{00000000-0005-0000-0000-000041120000}"/>
    <cellStyle name="Calculation 2 5 11" xfId="13986" xr:uid="{00000000-0005-0000-0000-000042120000}"/>
    <cellStyle name="Calculation 2 5 12" xfId="14224" xr:uid="{00000000-0005-0000-0000-000043120000}"/>
    <cellStyle name="Calculation 2 5 13" xfId="14830" xr:uid="{00000000-0005-0000-0000-000044120000}"/>
    <cellStyle name="Calculation 2 5 14" xfId="15464" xr:uid="{00000000-0005-0000-0000-000045120000}"/>
    <cellStyle name="Calculation 2 5 15" xfId="14724" xr:uid="{00000000-0005-0000-0000-000046120000}"/>
    <cellStyle name="Calculation 2 5 16" xfId="26075" xr:uid="{00000000-0005-0000-0000-000047120000}"/>
    <cellStyle name="Calculation 2 5 17" xfId="26058" xr:uid="{00000000-0005-0000-0000-000048120000}"/>
    <cellStyle name="Calculation 2 5 18" xfId="28751" xr:uid="{00000000-0005-0000-0000-000049120000}"/>
    <cellStyle name="Calculation 2 5 19" xfId="26577" xr:uid="{00000000-0005-0000-0000-00004A120000}"/>
    <cellStyle name="Calculation 2 5 2" xfId="784" xr:uid="{00000000-0005-0000-0000-00004B120000}"/>
    <cellStyle name="Calculation 2 5 2 10" xfId="15301" xr:uid="{00000000-0005-0000-0000-00004C120000}"/>
    <cellStyle name="Calculation 2 5 2 11" xfId="14726" xr:uid="{00000000-0005-0000-0000-00004D120000}"/>
    <cellStyle name="Calculation 2 5 2 12" xfId="26298" xr:uid="{00000000-0005-0000-0000-00004E120000}"/>
    <cellStyle name="Calculation 2 5 2 13" xfId="27741" xr:uid="{00000000-0005-0000-0000-00004F120000}"/>
    <cellStyle name="Calculation 2 5 2 14" xfId="26815" xr:uid="{00000000-0005-0000-0000-000050120000}"/>
    <cellStyle name="Calculation 2 5 2 15" xfId="26757" xr:uid="{00000000-0005-0000-0000-000051120000}"/>
    <cellStyle name="Calculation 2 5 2 16" xfId="26631" xr:uid="{00000000-0005-0000-0000-000052120000}"/>
    <cellStyle name="Calculation 2 5 2 17" xfId="27221" xr:uid="{00000000-0005-0000-0000-000053120000}"/>
    <cellStyle name="Calculation 2 5 2 18" xfId="34994" xr:uid="{00000000-0005-0000-0000-000054120000}"/>
    <cellStyle name="Calculation 2 5 2 19" xfId="35342" xr:uid="{00000000-0005-0000-0000-000055120000}"/>
    <cellStyle name="Calculation 2 5 2 2" xfId="785" xr:uid="{00000000-0005-0000-0000-000056120000}"/>
    <cellStyle name="Calculation 2 5 2 2 10" xfId="23117" xr:uid="{00000000-0005-0000-0000-000057120000}"/>
    <cellStyle name="Calculation 2 5 2 2 11" xfId="24089" xr:uid="{00000000-0005-0000-0000-000058120000}"/>
    <cellStyle name="Calculation 2 5 2 2 12" xfId="25088" xr:uid="{00000000-0005-0000-0000-000059120000}"/>
    <cellStyle name="Calculation 2 5 2 2 13" xfId="28033" xr:uid="{00000000-0005-0000-0000-00005A120000}"/>
    <cellStyle name="Calculation 2 5 2 2 14" xfId="29002" xr:uid="{00000000-0005-0000-0000-00005B120000}"/>
    <cellStyle name="Calculation 2 5 2 2 15" xfId="30041" xr:uid="{00000000-0005-0000-0000-00005C120000}"/>
    <cellStyle name="Calculation 2 5 2 2 16" xfId="31034" xr:uid="{00000000-0005-0000-0000-00005D120000}"/>
    <cellStyle name="Calculation 2 5 2 2 17" xfId="32043" xr:uid="{00000000-0005-0000-0000-00005E120000}"/>
    <cellStyle name="Calculation 2 5 2 2 18" xfId="33046" xr:uid="{00000000-0005-0000-0000-00005F120000}"/>
    <cellStyle name="Calculation 2 5 2 2 19" xfId="34045" xr:uid="{00000000-0005-0000-0000-000060120000}"/>
    <cellStyle name="Calculation 2 5 2 2 2" xfId="786" xr:uid="{00000000-0005-0000-0000-000061120000}"/>
    <cellStyle name="Calculation 2 5 2 2 2 10" xfId="24090" xr:uid="{00000000-0005-0000-0000-000062120000}"/>
    <cellStyle name="Calculation 2 5 2 2 2 11" xfId="25089" xr:uid="{00000000-0005-0000-0000-000063120000}"/>
    <cellStyle name="Calculation 2 5 2 2 2 12" xfId="28034" xr:uid="{00000000-0005-0000-0000-000064120000}"/>
    <cellStyle name="Calculation 2 5 2 2 2 13" xfId="29003" xr:uid="{00000000-0005-0000-0000-000065120000}"/>
    <cellStyle name="Calculation 2 5 2 2 2 14" xfId="30042" xr:uid="{00000000-0005-0000-0000-000066120000}"/>
    <cellStyle name="Calculation 2 5 2 2 2 15" xfId="31035" xr:uid="{00000000-0005-0000-0000-000067120000}"/>
    <cellStyle name="Calculation 2 5 2 2 2 16" xfId="32044" xr:uid="{00000000-0005-0000-0000-000068120000}"/>
    <cellStyle name="Calculation 2 5 2 2 2 17" xfId="33047" xr:uid="{00000000-0005-0000-0000-000069120000}"/>
    <cellStyle name="Calculation 2 5 2 2 2 18" xfId="34046" xr:uid="{00000000-0005-0000-0000-00006A120000}"/>
    <cellStyle name="Calculation 2 5 2 2 2 19" xfId="35667" xr:uid="{00000000-0005-0000-0000-00006B120000}"/>
    <cellStyle name="Calculation 2 5 2 2 2 2" xfId="16070" xr:uid="{00000000-0005-0000-0000-00006C120000}"/>
    <cellStyle name="Calculation 2 5 2 2 2 20" xfId="36606" xr:uid="{00000000-0005-0000-0000-00006D120000}"/>
    <cellStyle name="Calculation 2 5 2 2 2 3" xfId="17048" xr:uid="{00000000-0005-0000-0000-00006E120000}"/>
    <cellStyle name="Calculation 2 5 2 2 2 4" xfId="18076" xr:uid="{00000000-0005-0000-0000-00006F120000}"/>
    <cellStyle name="Calculation 2 5 2 2 2 5" xfId="19108" xr:uid="{00000000-0005-0000-0000-000070120000}"/>
    <cellStyle name="Calculation 2 5 2 2 2 6" xfId="20130" xr:uid="{00000000-0005-0000-0000-000071120000}"/>
    <cellStyle name="Calculation 2 5 2 2 2 7" xfId="21139" xr:uid="{00000000-0005-0000-0000-000072120000}"/>
    <cellStyle name="Calculation 2 5 2 2 2 8" xfId="22113" xr:uid="{00000000-0005-0000-0000-000073120000}"/>
    <cellStyle name="Calculation 2 5 2 2 2 9" xfId="23118" xr:uid="{00000000-0005-0000-0000-000074120000}"/>
    <cellStyle name="Calculation 2 5 2 2 20" xfId="35666" xr:uid="{00000000-0005-0000-0000-000075120000}"/>
    <cellStyle name="Calculation 2 5 2 2 21" xfId="36605" xr:uid="{00000000-0005-0000-0000-000076120000}"/>
    <cellStyle name="Calculation 2 5 2 2 3" xfId="16069" xr:uid="{00000000-0005-0000-0000-000077120000}"/>
    <cellStyle name="Calculation 2 5 2 2 4" xfId="17047" xr:uid="{00000000-0005-0000-0000-000078120000}"/>
    <cellStyle name="Calculation 2 5 2 2 5" xfId="18075" xr:uid="{00000000-0005-0000-0000-000079120000}"/>
    <cellStyle name="Calculation 2 5 2 2 6" xfId="19107" xr:uid="{00000000-0005-0000-0000-00007A120000}"/>
    <cellStyle name="Calculation 2 5 2 2 7" xfId="20129" xr:uid="{00000000-0005-0000-0000-00007B120000}"/>
    <cellStyle name="Calculation 2 5 2 2 8" xfId="21138" xr:uid="{00000000-0005-0000-0000-00007C120000}"/>
    <cellStyle name="Calculation 2 5 2 2 9" xfId="22112" xr:uid="{00000000-0005-0000-0000-00007D120000}"/>
    <cellStyle name="Calculation 2 5 2 3" xfId="787" xr:uid="{00000000-0005-0000-0000-00007E120000}"/>
    <cellStyle name="Calculation 2 5 2 3 10" xfId="23119" xr:uid="{00000000-0005-0000-0000-00007F120000}"/>
    <cellStyle name="Calculation 2 5 2 3 11" xfId="24091" xr:uid="{00000000-0005-0000-0000-000080120000}"/>
    <cellStyle name="Calculation 2 5 2 3 12" xfId="25090" xr:uid="{00000000-0005-0000-0000-000081120000}"/>
    <cellStyle name="Calculation 2 5 2 3 13" xfId="28035" xr:uid="{00000000-0005-0000-0000-000082120000}"/>
    <cellStyle name="Calculation 2 5 2 3 14" xfId="29004" xr:uid="{00000000-0005-0000-0000-000083120000}"/>
    <cellStyle name="Calculation 2 5 2 3 15" xfId="30043" xr:uid="{00000000-0005-0000-0000-000084120000}"/>
    <cellStyle name="Calculation 2 5 2 3 16" xfId="31036" xr:uid="{00000000-0005-0000-0000-000085120000}"/>
    <cellStyle name="Calculation 2 5 2 3 17" xfId="32045" xr:uid="{00000000-0005-0000-0000-000086120000}"/>
    <cellStyle name="Calculation 2 5 2 3 18" xfId="33048" xr:uid="{00000000-0005-0000-0000-000087120000}"/>
    <cellStyle name="Calculation 2 5 2 3 19" xfId="34047" xr:uid="{00000000-0005-0000-0000-000088120000}"/>
    <cellStyle name="Calculation 2 5 2 3 2" xfId="788" xr:uid="{00000000-0005-0000-0000-000089120000}"/>
    <cellStyle name="Calculation 2 5 2 3 2 10" xfId="24092" xr:uid="{00000000-0005-0000-0000-00008A120000}"/>
    <cellStyle name="Calculation 2 5 2 3 2 11" xfId="25091" xr:uid="{00000000-0005-0000-0000-00008B120000}"/>
    <cellStyle name="Calculation 2 5 2 3 2 12" xfId="28036" xr:uid="{00000000-0005-0000-0000-00008C120000}"/>
    <cellStyle name="Calculation 2 5 2 3 2 13" xfId="29005" xr:uid="{00000000-0005-0000-0000-00008D120000}"/>
    <cellStyle name="Calculation 2 5 2 3 2 14" xfId="30044" xr:uid="{00000000-0005-0000-0000-00008E120000}"/>
    <cellStyle name="Calculation 2 5 2 3 2 15" xfId="31037" xr:uid="{00000000-0005-0000-0000-00008F120000}"/>
    <cellStyle name="Calculation 2 5 2 3 2 16" xfId="32046" xr:uid="{00000000-0005-0000-0000-000090120000}"/>
    <cellStyle name="Calculation 2 5 2 3 2 17" xfId="33049" xr:uid="{00000000-0005-0000-0000-000091120000}"/>
    <cellStyle name="Calculation 2 5 2 3 2 18" xfId="34048" xr:uid="{00000000-0005-0000-0000-000092120000}"/>
    <cellStyle name="Calculation 2 5 2 3 2 19" xfId="35669" xr:uid="{00000000-0005-0000-0000-000093120000}"/>
    <cellStyle name="Calculation 2 5 2 3 2 2" xfId="16072" xr:uid="{00000000-0005-0000-0000-000094120000}"/>
    <cellStyle name="Calculation 2 5 2 3 2 20" xfId="36608" xr:uid="{00000000-0005-0000-0000-000095120000}"/>
    <cellStyle name="Calculation 2 5 2 3 2 3" xfId="17050" xr:uid="{00000000-0005-0000-0000-000096120000}"/>
    <cellStyle name="Calculation 2 5 2 3 2 4" xfId="18078" xr:uid="{00000000-0005-0000-0000-000097120000}"/>
    <cellStyle name="Calculation 2 5 2 3 2 5" xfId="19110" xr:uid="{00000000-0005-0000-0000-000098120000}"/>
    <cellStyle name="Calculation 2 5 2 3 2 6" xfId="20132" xr:uid="{00000000-0005-0000-0000-000099120000}"/>
    <cellStyle name="Calculation 2 5 2 3 2 7" xfId="21141" xr:uid="{00000000-0005-0000-0000-00009A120000}"/>
    <cellStyle name="Calculation 2 5 2 3 2 8" xfId="22115" xr:uid="{00000000-0005-0000-0000-00009B120000}"/>
    <cellStyle name="Calculation 2 5 2 3 2 9" xfId="23120" xr:uid="{00000000-0005-0000-0000-00009C120000}"/>
    <cellStyle name="Calculation 2 5 2 3 20" xfId="35668" xr:uid="{00000000-0005-0000-0000-00009D120000}"/>
    <cellStyle name="Calculation 2 5 2 3 21" xfId="36607" xr:uid="{00000000-0005-0000-0000-00009E120000}"/>
    <cellStyle name="Calculation 2 5 2 3 3" xfId="16071" xr:uid="{00000000-0005-0000-0000-00009F120000}"/>
    <cellStyle name="Calculation 2 5 2 3 4" xfId="17049" xr:uid="{00000000-0005-0000-0000-0000A0120000}"/>
    <cellStyle name="Calculation 2 5 2 3 5" xfId="18077" xr:uid="{00000000-0005-0000-0000-0000A1120000}"/>
    <cellStyle name="Calculation 2 5 2 3 6" xfId="19109" xr:uid="{00000000-0005-0000-0000-0000A2120000}"/>
    <cellStyle name="Calculation 2 5 2 3 7" xfId="20131" xr:uid="{00000000-0005-0000-0000-0000A3120000}"/>
    <cellStyle name="Calculation 2 5 2 3 8" xfId="21140" xr:uid="{00000000-0005-0000-0000-0000A4120000}"/>
    <cellStyle name="Calculation 2 5 2 3 9" xfId="22114" xr:uid="{00000000-0005-0000-0000-0000A5120000}"/>
    <cellStyle name="Calculation 2 5 2 4" xfId="789" xr:uid="{00000000-0005-0000-0000-0000A6120000}"/>
    <cellStyle name="Calculation 2 5 2 4 10" xfId="23121" xr:uid="{00000000-0005-0000-0000-0000A7120000}"/>
    <cellStyle name="Calculation 2 5 2 4 11" xfId="24093" xr:uid="{00000000-0005-0000-0000-0000A8120000}"/>
    <cellStyle name="Calculation 2 5 2 4 12" xfId="25092" xr:uid="{00000000-0005-0000-0000-0000A9120000}"/>
    <cellStyle name="Calculation 2 5 2 4 13" xfId="28037" xr:uid="{00000000-0005-0000-0000-0000AA120000}"/>
    <cellStyle name="Calculation 2 5 2 4 14" xfId="29006" xr:uid="{00000000-0005-0000-0000-0000AB120000}"/>
    <cellStyle name="Calculation 2 5 2 4 15" xfId="30045" xr:uid="{00000000-0005-0000-0000-0000AC120000}"/>
    <cellStyle name="Calculation 2 5 2 4 16" xfId="31038" xr:uid="{00000000-0005-0000-0000-0000AD120000}"/>
    <cellStyle name="Calculation 2 5 2 4 17" xfId="32047" xr:uid="{00000000-0005-0000-0000-0000AE120000}"/>
    <cellStyle name="Calculation 2 5 2 4 18" xfId="33050" xr:uid="{00000000-0005-0000-0000-0000AF120000}"/>
    <cellStyle name="Calculation 2 5 2 4 19" xfId="34049" xr:uid="{00000000-0005-0000-0000-0000B0120000}"/>
    <cellStyle name="Calculation 2 5 2 4 2" xfId="790" xr:uid="{00000000-0005-0000-0000-0000B1120000}"/>
    <cellStyle name="Calculation 2 5 2 4 2 10" xfId="24094" xr:uid="{00000000-0005-0000-0000-0000B2120000}"/>
    <cellStyle name="Calculation 2 5 2 4 2 11" xfId="25093" xr:uid="{00000000-0005-0000-0000-0000B3120000}"/>
    <cellStyle name="Calculation 2 5 2 4 2 12" xfId="28038" xr:uid="{00000000-0005-0000-0000-0000B4120000}"/>
    <cellStyle name="Calculation 2 5 2 4 2 13" xfId="29007" xr:uid="{00000000-0005-0000-0000-0000B5120000}"/>
    <cellStyle name="Calculation 2 5 2 4 2 14" xfId="30046" xr:uid="{00000000-0005-0000-0000-0000B6120000}"/>
    <cellStyle name="Calculation 2 5 2 4 2 15" xfId="31039" xr:uid="{00000000-0005-0000-0000-0000B7120000}"/>
    <cellStyle name="Calculation 2 5 2 4 2 16" xfId="32048" xr:uid="{00000000-0005-0000-0000-0000B8120000}"/>
    <cellStyle name="Calculation 2 5 2 4 2 17" xfId="33051" xr:uid="{00000000-0005-0000-0000-0000B9120000}"/>
    <cellStyle name="Calculation 2 5 2 4 2 18" xfId="34050" xr:uid="{00000000-0005-0000-0000-0000BA120000}"/>
    <cellStyle name="Calculation 2 5 2 4 2 19" xfId="35671" xr:uid="{00000000-0005-0000-0000-0000BB120000}"/>
    <cellStyle name="Calculation 2 5 2 4 2 2" xfId="16074" xr:uid="{00000000-0005-0000-0000-0000BC120000}"/>
    <cellStyle name="Calculation 2 5 2 4 2 20" xfId="36610" xr:uid="{00000000-0005-0000-0000-0000BD120000}"/>
    <cellStyle name="Calculation 2 5 2 4 2 3" xfId="17052" xr:uid="{00000000-0005-0000-0000-0000BE120000}"/>
    <cellStyle name="Calculation 2 5 2 4 2 4" xfId="18080" xr:uid="{00000000-0005-0000-0000-0000BF120000}"/>
    <cellStyle name="Calculation 2 5 2 4 2 5" xfId="19112" xr:uid="{00000000-0005-0000-0000-0000C0120000}"/>
    <cellStyle name="Calculation 2 5 2 4 2 6" xfId="20134" xr:uid="{00000000-0005-0000-0000-0000C1120000}"/>
    <cellStyle name="Calculation 2 5 2 4 2 7" xfId="21143" xr:uid="{00000000-0005-0000-0000-0000C2120000}"/>
    <cellStyle name="Calculation 2 5 2 4 2 8" xfId="22117" xr:uid="{00000000-0005-0000-0000-0000C3120000}"/>
    <cellStyle name="Calculation 2 5 2 4 2 9" xfId="23122" xr:uid="{00000000-0005-0000-0000-0000C4120000}"/>
    <cellStyle name="Calculation 2 5 2 4 20" xfId="35670" xr:uid="{00000000-0005-0000-0000-0000C5120000}"/>
    <cellStyle name="Calculation 2 5 2 4 21" xfId="36609" xr:uid="{00000000-0005-0000-0000-0000C6120000}"/>
    <cellStyle name="Calculation 2 5 2 4 3" xfId="16073" xr:uid="{00000000-0005-0000-0000-0000C7120000}"/>
    <cellStyle name="Calculation 2 5 2 4 4" xfId="17051" xr:uid="{00000000-0005-0000-0000-0000C8120000}"/>
    <cellStyle name="Calculation 2 5 2 4 5" xfId="18079" xr:uid="{00000000-0005-0000-0000-0000C9120000}"/>
    <cellStyle name="Calculation 2 5 2 4 6" xfId="19111" xr:uid="{00000000-0005-0000-0000-0000CA120000}"/>
    <cellStyle name="Calculation 2 5 2 4 7" xfId="20133" xr:uid="{00000000-0005-0000-0000-0000CB120000}"/>
    <cellStyle name="Calculation 2 5 2 4 8" xfId="21142" xr:uid="{00000000-0005-0000-0000-0000CC120000}"/>
    <cellStyle name="Calculation 2 5 2 4 9" xfId="22116" xr:uid="{00000000-0005-0000-0000-0000CD120000}"/>
    <cellStyle name="Calculation 2 5 2 5" xfId="791" xr:uid="{00000000-0005-0000-0000-0000CE120000}"/>
    <cellStyle name="Calculation 2 5 2 5 10" xfId="24095" xr:uid="{00000000-0005-0000-0000-0000CF120000}"/>
    <cellStyle name="Calculation 2 5 2 5 11" xfId="25094" xr:uid="{00000000-0005-0000-0000-0000D0120000}"/>
    <cellStyle name="Calculation 2 5 2 5 12" xfId="28039" xr:uid="{00000000-0005-0000-0000-0000D1120000}"/>
    <cellStyle name="Calculation 2 5 2 5 13" xfId="29008" xr:uid="{00000000-0005-0000-0000-0000D2120000}"/>
    <cellStyle name="Calculation 2 5 2 5 14" xfId="30047" xr:uid="{00000000-0005-0000-0000-0000D3120000}"/>
    <cellStyle name="Calculation 2 5 2 5 15" xfId="31040" xr:uid="{00000000-0005-0000-0000-0000D4120000}"/>
    <cellStyle name="Calculation 2 5 2 5 16" xfId="32049" xr:uid="{00000000-0005-0000-0000-0000D5120000}"/>
    <cellStyle name="Calculation 2 5 2 5 17" xfId="33052" xr:uid="{00000000-0005-0000-0000-0000D6120000}"/>
    <cellStyle name="Calculation 2 5 2 5 18" xfId="34051" xr:uid="{00000000-0005-0000-0000-0000D7120000}"/>
    <cellStyle name="Calculation 2 5 2 5 19" xfId="35672" xr:uid="{00000000-0005-0000-0000-0000D8120000}"/>
    <cellStyle name="Calculation 2 5 2 5 2" xfId="16075" xr:uid="{00000000-0005-0000-0000-0000D9120000}"/>
    <cellStyle name="Calculation 2 5 2 5 20" xfId="36611" xr:uid="{00000000-0005-0000-0000-0000DA120000}"/>
    <cellStyle name="Calculation 2 5 2 5 3" xfId="17053" xr:uid="{00000000-0005-0000-0000-0000DB120000}"/>
    <cellStyle name="Calculation 2 5 2 5 4" xfId="18081" xr:uid="{00000000-0005-0000-0000-0000DC120000}"/>
    <cellStyle name="Calculation 2 5 2 5 5" xfId="19113" xr:uid="{00000000-0005-0000-0000-0000DD120000}"/>
    <cellStyle name="Calculation 2 5 2 5 6" xfId="20135" xr:uid="{00000000-0005-0000-0000-0000DE120000}"/>
    <cellStyle name="Calculation 2 5 2 5 7" xfId="21144" xr:uid="{00000000-0005-0000-0000-0000DF120000}"/>
    <cellStyle name="Calculation 2 5 2 5 8" xfId="22118" xr:uid="{00000000-0005-0000-0000-0000E0120000}"/>
    <cellStyle name="Calculation 2 5 2 5 9" xfId="23123" xr:uid="{00000000-0005-0000-0000-0000E1120000}"/>
    <cellStyle name="Calculation 2 5 2 6" xfId="13718" xr:uid="{00000000-0005-0000-0000-0000E2120000}"/>
    <cellStyle name="Calculation 2 5 2 7" xfId="14731" xr:uid="{00000000-0005-0000-0000-0000E3120000}"/>
    <cellStyle name="Calculation 2 5 2 8" xfId="14579" xr:uid="{00000000-0005-0000-0000-0000E4120000}"/>
    <cellStyle name="Calculation 2 5 2 9" xfId="14829" xr:uid="{00000000-0005-0000-0000-0000E5120000}"/>
    <cellStyle name="Calculation 2 5 20" xfId="26297" xr:uid="{00000000-0005-0000-0000-0000E6120000}"/>
    <cellStyle name="Calculation 2 5 21" xfId="26517" xr:uid="{00000000-0005-0000-0000-0000E7120000}"/>
    <cellStyle name="Calculation 2 5 22" xfId="34937" xr:uid="{00000000-0005-0000-0000-0000E8120000}"/>
    <cellStyle name="Calculation 2 5 23" xfId="35483" xr:uid="{00000000-0005-0000-0000-0000E9120000}"/>
    <cellStyle name="Calculation 2 5 3" xfId="792" xr:uid="{00000000-0005-0000-0000-0000EA120000}"/>
    <cellStyle name="Calculation 2 5 3 10" xfId="14499" xr:uid="{00000000-0005-0000-0000-0000EB120000}"/>
    <cellStyle name="Calculation 2 5 3 11" xfId="15164" xr:uid="{00000000-0005-0000-0000-0000EC120000}"/>
    <cellStyle name="Calculation 2 5 3 12" xfId="26378" xr:uid="{00000000-0005-0000-0000-0000ED120000}"/>
    <cellStyle name="Calculation 2 5 3 13" xfId="27137" xr:uid="{00000000-0005-0000-0000-0000EE120000}"/>
    <cellStyle name="Calculation 2 5 3 14" xfId="25978" xr:uid="{00000000-0005-0000-0000-0000EF120000}"/>
    <cellStyle name="Calculation 2 5 3 15" xfId="26194" xr:uid="{00000000-0005-0000-0000-0000F0120000}"/>
    <cellStyle name="Calculation 2 5 3 16" xfId="26907" xr:uid="{00000000-0005-0000-0000-0000F1120000}"/>
    <cellStyle name="Calculation 2 5 3 17" xfId="27363" xr:uid="{00000000-0005-0000-0000-0000F2120000}"/>
    <cellStyle name="Calculation 2 5 3 18" xfId="35069" xr:uid="{00000000-0005-0000-0000-0000F3120000}"/>
    <cellStyle name="Calculation 2 5 3 19" xfId="35292" xr:uid="{00000000-0005-0000-0000-0000F4120000}"/>
    <cellStyle name="Calculation 2 5 3 2" xfId="793" xr:uid="{00000000-0005-0000-0000-0000F5120000}"/>
    <cellStyle name="Calculation 2 5 3 2 10" xfId="23124" xr:uid="{00000000-0005-0000-0000-0000F6120000}"/>
    <cellStyle name="Calculation 2 5 3 2 11" xfId="24096" xr:uid="{00000000-0005-0000-0000-0000F7120000}"/>
    <cellStyle name="Calculation 2 5 3 2 12" xfId="25095" xr:uid="{00000000-0005-0000-0000-0000F8120000}"/>
    <cellStyle name="Calculation 2 5 3 2 13" xfId="28040" xr:uid="{00000000-0005-0000-0000-0000F9120000}"/>
    <cellStyle name="Calculation 2 5 3 2 14" xfId="29009" xr:uid="{00000000-0005-0000-0000-0000FA120000}"/>
    <cellStyle name="Calculation 2 5 3 2 15" xfId="30048" xr:uid="{00000000-0005-0000-0000-0000FB120000}"/>
    <cellStyle name="Calculation 2 5 3 2 16" xfId="31041" xr:uid="{00000000-0005-0000-0000-0000FC120000}"/>
    <cellStyle name="Calculation 2 5 3 2 17" xfId="32050" xr:uid="{00000000-0005-0000-0000-0000FD120000}"/>
    <cellStyle name="Calculation 2 5 3 2 18" xfId="33053" xr:uid="{00000000-0005-0000-0000-0000FE120000}"/>
    <cellStyle name="Calculation 2 5 3 2 19" xfId="34052" xr:uid="{00000000-0005-0000-0000-0000FF120000}"/>
    <cellStyle name="Calculation 2 5 3 2 2" xfId="794" xr:uid="{00000000-0005-0000-0000-000000130000}"/>
    <cellStyle name="Calculation 2 5 3 2 2 10" xfId="24097" xr:uid="{00000000-0005-0000-0000-000001130000}"/>
    <cellStyle name="Calculation 2 5 3 2 2 11" xfId="25096" xr:uid="{00000000-0005-0000-0000-000002130000}"/>
    <cellStyle name="Calculation 2 5 3 2 2 12" xfId="28041" xr:uid="{00000000-0005-0000-0000-000003130000}"/>
    <cellStyle name="Calculation 2 5 3 2 2 13" xfId="29010" xr:uid="{00000000-0005-0000-0000-000004130000}"/>
    <cellStyle name="Calculation 2 5 3 2 2 14" xfId="30049" xr:uid="{00000000-0005-0000-0000-000005130000}"/>
    <cellStyle name="Calculation 2 5 3 2 2 15" xfId="31042" xr:uid="{00000000-0005-0000-0000-000006130000}"/>
    <cellStyle name="Calculation 2 5 3 2 2 16" xfId="32051" xr:uid="{00000000-0005-0000-0000-000007130000}"/>
    <cellStyle name="Calculation 2 5 3 2 2 17" xfId="33054" xr:uid="{00000000-0005-0000-0000-000008130000}"/>
    <cellStyle name="Calculation 2 5 3 2 2 18" xfId="34053" xr:uid="{00000000-0005-0000-0000-000009130000}"/>
    <cellStyle name="Calculation 2 5 3 2 2 19" xfId="35674" xr:uid="{00000000-0005-0000-0000-00000A130000}"/>
    <cellStyle name="Calculation 2 5 3 2 2 2" xfId="16077" xr:uid="{00000000-0005-0000-0000-00000B130000}"/>
    <cellStyle name="Calculation 2 5 3 2 2 20" xfId="36613" xr:uid="{00000000-0005-0000-0000-00000C130000}"/>
    <cellStyle name="Calculation 2 5 3 2 2 3" xfId="17055" xr:uid="{00000000-0005-0000-0000-00000D130000}"/>
    <cellStyle name="Calculation 2 5 3 2 2 4" xfId="18083" xr:uid="{00000000-0005-0000-0000-00000E130000}"/>
    <cellStyle name="Calculation 2 5 3 2 2 5" xfId="19115" xr:uid="{00000000-0005-0000-0000-00000F130000}"/>
    <cellStyle name="Calculation 2 5 3 2 2 6" xfId="20137" xr:uid="{00000000-0005-0000-0000-000010130000}"/>
    <cellStyle name="Calculation 2 5 3 2 2 7" xfId="21146" xr:uid="{00000000-0005-0000-0000-000011130000}"/>
    <cellStyle name="Calculation 2 5 3 2 2 8" xfId="22120" xr:uid="{00000000-0005-0000-0000-000012130000}"/>
    <cellStyle name="Calculation 2 5 3 2 2 9" xfId="23125" xr:uid="{00000000-0005-0000-0000-000013130000}"/>
    <cellStyle name="Calculation 2 5 3 2 20" xfId="35673" xr:uid="{00000000-0005-0000-0000-000014130000}"/>
    <cellStyle name="Calculation 2 5 3 2 21" xfId="36612" xr:uid="{00000000-0005-0000-0000-000015130000}"/>
    <cellStyle name="Calculation 2 5 3 2 3" xfId="16076" xr:uid="{00000000-0005-0000-0000-000016130000}"/>
    <cellStyle name="Calculation 2 5 3 2 4" xfId="17054" xr:uid="{00000000-0005-0000-0000-000017130000}"/>
    <cellStyle name="Calculation 2 5 3 2 5" xfId="18082" xr:uid="{00000000-0005-0000-0000-000018130000}"/>
    <cellStyle name="Calculation 2 5 3 2 6" xfId="19114" xr:uid="{00000000-0005-0000-0000-000019130000}"/>
    <cellStyle name="Calculation 2 5 3 2 7" xfId="20136" xr:uid="{00000000-0005-0000-0000-00001A130000}"/>
    <cellStyle name="Calculation 2 5 3 2 8" xfId="21145" xr:uid="{00000000-0005-0000-0000-00001B130000}"/>
    <cellStyle name="Calculation 2 5 3 2 9" xfId="22119" xr:uid="{00000000-0005-0000-0000-00001C130000}"/>
    <cellStyle name="Calculation 2 5 3 3" xfId="795" xr:uid="{00000000-0005-0000-0000-00001D130000}"/>
    <cellStyle name="Calculation 2 5 3 3 10" xfId="23126" xr:uid="{00000000-0005-0000-0000-00001E130000}"/>
    <cellStyle name="Calculation 2 5 3 3 11" xfId="24098" xr:uid="{00000000-0005-0000-0000-00001F130000}"/>
    <cellStyle name="Calculation 2 5 3 3 12" xfId="25097" xr:uid="{00000000-0005-0000-0000-000020130000}"/>
    <cellStyle name="Calculation 2 5 3 3 13" xfId="28042" xr:uid="{00000000-0005-0000-0000-000021130000}"/>
    <cellStyle name="Calculation 2 5 3 3 14" xfId="29011" xr:uid="{00000000-0005-0000-0000-000022130000}"/>
    <cellStyle name="Calculation 2 5 3 3 15" xfId="30050" xr:uid="{00000000-0005-0000-0000-000023130000}"/>
    <cellStyle name="Calculation 2 5 3 3 16" xfId="31043" xr:uid="{00000000-0005-0000-0000-000024130000}"/>
    <cellStyle name="Calculation 2 5 3 3 17" xfId="32052" xr:uid="{00000000-0005-0000-0000-000025130000}"/>
    <cellStyle name="Calculation 2 5 3 3 18" xfId="33055" xr:uid="{00000000-0005-0000-0000-000026130000}"/>
    <cellStyle name="Calculation 2 5 3 3 19" xfId="34054" xr:uid="{00000000-0005-0000-0000-000027130000}"/>
    <cellStyle name="Calculation 2 5 3 3 2" xfId="796" xr:uid="{00000000-0005-0000-0000-000028130000}"/>
    <cellStyle name="Calculation 2 5 3 3 2 10" xfId="24099" xr:uid="{00000000-0005-0000-0000-000029130000}"/>
    <cellStyle name="Calculation 2 5 3 3 2 11" xfId="25098" xr:uid="{00000000-0005-0000-0000-00002A130000}"/>
    <cellStyle name="Calculation 2 5 3 3 2 12" xfId="28043" xr:uid="{00000000-0005-0000-0000-00002B130000}"/>
    <cellStyle name="Calculation 2 5 3 3 2 13" xfId="29012" xr:uid="{00000000-0005-0000-0000-00002C130000}"/>
    <cellStyle name="Calculation 2 5 3 3 2 14" xfId="30051" xr:uid="{00000000-0005-0000-0000-00002D130000}"/>
    <cellStyle name="Calculation 2 5 3 3 2 15" xfId="31044" xr:uid="{00000000-0005-0000-0000-00002E130000}"/>
    <cellStyle name="Calculation 2 5 3 3 2 16" xfId="32053" xr:uid="{00000000-0005-0000-0000-00002F130000}"/>
    <cellStyle name="Calculation 2 5 3 3 2 17" xfId="33056" xr:uid="{00000000-0005-0000-0000-000030130000}"/>
    <cellStyle name="Calculation 2 5 3 3 2 18" xfId="34055" xr:uid="{00000000-0005-0000-0000-000031130000}"/>
    <cellStyle name="Calculation 2 5 3 3 2 19" xfId="35676" xr:uid="{00000000-0005-0000-0000-000032130000}"/>
    <cellStyle name="Calculation 2 5 3 3 2 2" xfId="16079" xr:uid="{00000000-0005-0000-0000-000033130000}"/>
    <cellStyle name="Calculation 2 5 3 3 2 20" xfId="36615" xr:uid="{00000000-0005-0000-0000-000034130000}"/>
    <cellStyle name="Calculation 2 5 3 3 2 3" xfId="17057" xr:uid="{00000000-0005-0000-0000-000035130000}"/>
    <cellStyle name="Calculation 2 5 3 3 2 4" xfId="18085" xr:uid="{00000000-0005-0000-0000-000036130000}"/>
    <cellStyle name="Calculation 2 5 3 3 2 5" xfId="19117" xr:uid="{00000000-0005-0000-0000-000037130000}"/>
    <cellStyle name="Calculation 2 5 3 3 2 6" xfId="20139" xr:uid="{00000000-0005-0000-0000-000038130000}"/>
    <cellStyle name="Calculation 2 5 3 3 2 7" xfId="21148" xr:uid="{00000000-0005-0000-0000-000039130000}"/>
    <cellStyle name="Calculation 2 5 3 3 2 8" xfId="22122" xr:uid="{00000000-0005-0000-0000-00003A130000}"/>
    <cellStyle name="Calculation 2 5 3 3 2 9" xfId="23127" xr:uid="{00000000-0005-0000-0000-00003B130000}"/>
    <cellStyle name="Calculation 2 5 3 3 20" xfId="35675" xr:uid="{00000000-0005-0000-0000-00003C130000}"/>
    <cellStyle name="Calculation 2 5 3 3 21" xfId="36614" xr:uid="{00000000-0005-0000-0000-00003D130000}"/>
    <cellStyle name="Calculation 2 5 3 3 3" xfId="16078" xr:uid="{00000000-0005-0000-0000-00003E130000}"/>
    <cellStyle name="Calculation 2 5 3 3 4" xfId="17056" xr:uid="{00000000-0005-0000-0000-00003F130000}"/>
    <cellStyle name="Calculation 2 5 3 3 5" xfId="18084" xr:uid="{00000000-0005-0000-0000-000040130000}"/>
    <cellStyle name="Calculation 2 5 3 3 6" xfId="19116" xr:uid="{00000000-0005-0000-0000-000041130000}"/>
    <cellStyle name="Calculation 2 5 3 3 7" xfId="20138" xr:uid="{00000000-0005-0000-0000-000042130000}"/>
    <cellStyle name="Calculation 2 5 3 3 8" xfId="21147" xr:uid="{00000000-0005-0000-0000-000043130000}"/>
    <cellStyle name="Calculation 2 5 3 3 9" xfId="22121" xr:uid="{00000000-0005-0000-0000-000044130000}"/>
    <cellStyle name="Calculation 2 5 3 4" xfId="797" xr:uid="{00000000-0005-0000-0000-000045130000}"/>
    <cellStyle name="Calculation 2 5 3 4 10" xfId="23128" xr:uid="{00000000-0005-0000-0000-000046130000}"/>
    <cellStyle name="Calculation 2 5 3 4 11" xfId="24100" xr:uid="{00000000-0005-0000-0000-000047130000}"/>
    <cellStyle name="Calculation 2 5 3 4 12" xfId="25099" xr:uid="{00000000-0005-0000-0000-000048130000}"/>
    <cellStyle name="Calculation 2 5 3 4 13" xfId="28044" xr:uid="{00000000-0005-0000-0000-000049130000}"/>
    <cellStyle name="Calculation 2 5 3 4 14" xfId="29013" xr:uid="{00000000-0005-0000-0000-00004A130000}"/>
    <cellStyle name="Calculation 2 5 3 4 15" xfId="30052" xr:uid="{00000000-0005-0000-0000-00004B130000}"/>
    <cellStyle name="Calculation 2 5 3 4 16" xfId="31045" xr:uid="{00000000-0005-0000-0000-00004C130000}"/>
    <cellStyle name="Calculation 2 5 3 4 17" xfId="32054" xr:uid="{00000000-0005-0000-0000-00004D130000}"/>
    <cellStyle name="Calculation 2 5 3 4 18" xfId="33057" xr:uid="{00000000-0005-0000-0000-00004E130000}"/>
    <cellStyle name="Calculation 2 5 3 4 19" xfId="34056" xr:uid="{00000000-0005-0000-0000-00004F130000}"/>
    <cellStyle name="Calculation 2 5 3 4 2" xfId="798" xr:uid="{00000000-0005-0000-0000-000050130000}"/>
    <cellStyle name="Calculation 2 5 3 4 2 10" xfId="24101" xr:uid="{00000000-0005-0000-0000-000051130000}"/>
    <cellStyle name="Calculation 2 5 3 4 2 11" xfId="25100" xr:uid="{00000000-0005-0000-0000-000052130000}"/>
    <cellStyle name="Calculation 2 5 3 4 2 12" xfId="28045" xr:uid="{00000000-0005-0000-0000-000053130000}"/>
    <cellStyle name="Calculation 2 5 3 4 2 13" xfId="29014" xr:uid="{00000000-0005-0000-0000-000054130000}"/>
    <cellStyle name="Calculation 2 5 3 4 2 14" xfId="30053" xr:uid="{00000000-0005-0000-0000-000055130000}"/>
    <cellStyle name="Calculation 2 5 3 4 2 15" xfId="31046" xr:uid="{00000000-0005-0000-0000-000056130000}"/>
    <cellStyle name="Calculation 2 5 3 4 2 16" xfId="32055" xr:uid="{00000000-0005-0000-0000-000057130000}"/>
    <cellStyle name="Calculation 2 5 3 4 2 17" xfId="33058" xr:uid="{00000000-0005-0000-0000-000058130000}"/>
    <cellStyle name="Calculation 2 5 3 4 2 18" xfId="34057" xr:uid="{00000000-0005-0000-0000-000059130000}"/>
    <cellStyle name="Calculation 2 5 3 4 2 19" xfId="35678" xr:uid="{00000000-0005-0000-0000-00005A130000}"/>
    <cellStyle name="Calculation 2 5 3 4 2 2" xfId="16081" xr:uid="{00000000-0005-0000-0000-00005B130000}"/>
    <cellStyle name="Calculation 2 5 3 4 2 20" xfId="36617" xr:uid="{00000000-0005-0000-0000-00005C130000}"/>
    <cellStyle name="Calculation 2 5 3 4 2 3" xfId="17059" xr:uid="{00000000-0005-0000-0000-00005D130000}"/>
    <cellStyle name="Calculation 2 5 3 4 2 4" xfId="18087" xr:uid="{00000000-0005-0000-0000-00005E130000}"/>
    <cellStyle name="Calculation 2 5 3 4 2 5" xfId="19119" xr:uid="{00000000-0005-0000-0000-00005F130000}"/>
    <cellStyle name="Calculation 2 5 3 4 2 6" xfId="20141" xr:uid="{00000000-0005-0000-0000-000060130000}"/>
    <cellStyle name="Calculation 2 5 3 4 2 7" xfId="21150" xr:uid="{00000000-0005-0000-0000-000061130000}"/>
    <cellStyle name="Calculation 2 5 3 4 2 8" xfId="22124" xr:uid="{00000000-0005-0000-0000-000062130000}"/>
    <cellStyle name="Calculation 2 5 3 4 2 9" xfId="23129" xr:uid="{00000000-0005-0000-0000-000063130000}"/>
    <cellStyle name="Calculation 2 5 3 4 20" xfId="35677" xr:uid="{00000000-0005-0000-0000-000064130000}"/>
    <cellStyle name="Calculation 2 5 3 4 21" xfId="36616" xr:uid="{00000000-0005-0000-0000-000065130000}"/>
    <cellStyle name="Calculation 2 5 3 4 3" xfId="16080" xr:uid="{00000000-0005-0000-0000-000066130000}"/>
    <cellStyle name="Calculation 2 5 3 4 4" xfId="17058" xr:uid="{00000000-0005-0000-0000-000067130000}"/>
    <cellStyle name="Calculation 2 5 3 4 5" xfId="18086" xr:uid="{00000000-0005-0000-0000-000068130000}"/>
    <cellStyle name="Calculation 2 5 3 4 6" xfId="19118" xr:uid="{00000000-0005-0000-0000-000069130000}"/>
    <cellStyle name="Calculation 2 5 3 4 7" xfId="20140" xr:uid="{00000000-0005-0000-0000-00006A130000}"/>
    <cellStyle name="Calculation 2 5 3 4 8" xfId="21149" xr:uid="{00000000-0005-0000-0000-00006B130000}"/>
    <cellStyle name="Calculation 2 5 3 4 9" xfId="22123" xr:uid="{00000000-0005-0000-0000-00006C130000}"/>
    <cellStyle name="Calculation 2 5 3 5" xfId="799" xr:uid="{00000000-0005-0000-0000-00006D130000}"/>
    <cellStyle name="Calculation 2 5 3 5 10" xfId="24102" xr:uid="{00000000-0005-0000-0000-00006E130000}"/>
    <cellStyle name="Calculation 2 5 3 5 11" xfId="25101" xr:uid="{00000000-0005-0000-0000-00006F130000}"/>
    <cellStyle name="Calculation 2 5 3 5 12" xfId="28046" xr:uid="{00000000-0005-0000-0000-000070130000}"/>
    <cellStyle name="Calculation 2 5 3 5 13" xfId="29015" xr:uid="{00000000-0005-0000-0000-000071130000}"/>
    <cellStyle name="Calculation 2 5 3 5 14" xfId="30054" xr:uid="{00000000-0005-0000-0000-000072130000}"/>
    <cellStyle name="Calculation 2 5 3 5 15" xfId="31047" xr:uid="{00000000-0005-0000-0000-000073130000}"/>
    <cellStyle name="Calculation 2 5 3 5 16" xfId="32056" xr:uid="{00000000-0005-0000-0000-000074130000}"/>
    <cellStyle name="Calculation 2 5 3 5 17" xfId="33059" xr:uid="{00000000-0005-0000-0000-000075130000}"/>
    <cellStyle name="Calculation 2 5 3 5 18" xfId="34058" xr:uid="{00000000-0005-0000-0000-000076130000}"/>
    <cellStyle name="Calculation 2 5 3 5 19" xfId="35679" xr:uid="{00000000-0005-0000-0000-000077130000}"/>
    <cellStyle name="Calculation 2 5 3 5 2" xfId="16082" xr:uid="{00000000-0005-0000-0000-000078130000}"/>
    <cellStyle name="Calculation 2 5 3 5 20" xfId="36618" xr:uid="{00000000-0005-0000-0000-000079130000}"/>
    <cellStyle name="Calculation 2 5 3 5 3" xfId="17060" xr:uid="{00000000-0005-0000-0000-00007A130000}"/>
    <cellStyle name="Calculation 2 5 3 5 4" xfId="18088" xr:uid="{00000000-0005-0000-0000-00007B130000}"/>
    <cellStyle name="Calculation 2 5 3 5 5" xfId="19120" xr:uid="{00000000-0005-0000-0000-00007C130000}"/>
    <cellStyle name="Calculation 2 5 3 5 6" xfId="20142" xr:uid="{00000000-0005-0000-0000-00007D130000}"/>
    <cellStyle name="Calculation 2 5 3 5 7" xfId="21151" xr:uid="{00000000-0005-0000-0000-00007E130000}"/>
    <cellStyle name="Calculation 2 5 3 5 8" xfId="22125" xr:uid="{00000000-0005-0000-0000-00007F130000}"/>
    <cellStyle name="Calculation 2 5 3 5 9" xfId="23130" xr:uid="{00000000-0005-0000-0000-000080130000}"/>
    <cellStyle name="Calculation 2 5 3 6" xfId="15205" xr:uid="{00000000-0005-0000-0000-000081130000}"/>
    <cellStyle name="Calculation 2 5 3 7" xfId="13496" xr:uid="{00000000-0005-0000-0000-000082130000}"/>
    <cellStyle name="Calculation 2 5 3 8" xfId="15628" xr:uid="{00000000-0005-0000-0000-000083130000}"/>
    <cellStyle name="Calculation 2 5 3 9" xfId="15501" xr:uid="{00000000-0005-0000-0000-000084130000}"/>
    <cellStyle name="Calculation 2 5 4" xfId="800" xr:uid="{00000000-0005-0000-0000-000085130000}"/>
    <cellStyle name="Calculation 2 5 4 10" xfId="14821" xr:uid="{00000000-0005-0000-0000-000086130000}"/>
    <cellStyle name="Calculation 2 5 4 11" xfId="22907" xr:uid="{00000000-0005-0000-0000-000087130000}"/>
    <cellStyle name="Calculation 2 5 4 12" xfId="26359" xr:uid="{00000000-0005-0000-0000-000088130000}"/>
    <cellStyle name="Calculation 2 5 4 13" xfId="25909" xr:uid="{00000000-0005-0000-0000-000089130000}"/>
    <cellStyle name="Calculation 2 5 4 14" xfId="25890" xr:uid="{00000000-0005-0000-0000-00008A130000}"/>
    <cellStyle name="Calculation 2 5 4 15" xfId="28787" xr:uid="{00000000-0005-0000-0000-00008B130000}"/>
    <cellStyle name="Calculation 2 5 4 16" xfId="27520" xr:uid="{00000000-0005-0000-0000-00008C130000}"/>
    <cellStyle name="Calculation 2 5 4 17" xfId="26268" xr:uid="{00000000-0005-0000-0000-00008D130000}"/>
    <cellStyle name="Calculation 2 5 4 18" xfId="35051" xr:uid="{00000000-0005-0000-0000-00008E130000}"/>
    <cellStyle name="Calculation 2 5 4 19" xfId="35441" xr:uid="{00000000-0005-0000-0000-00008F130000}"/>
    <cellStyle name="Calculation 2 5 4 2" xfId="801" xr:uid="{00000000-0005-0000-0000-000090130000}"/>
    <cellStyle name="Calculation 2 5 4 2 10" xfId="23131" xr:uid="{00000000-0005-0000-0000-000091130000}"/>
    <cellStyle name="Calculation 2 5 4 2 11" xfId="24103" xr:uid="{00000000-0005-0000-0000-000092130000}"/>
    <cellStyle name="Calculation 2 5 4 2 12" xfId="25102" xr:uid="{00000000-0005-0000-0000-000093130000}"/>
    <cellStyle name="Calculation 2 5 4 2 13" xfId="28047" xr:uid="{00000000-0005-0000-0000-000094130000}"/>
    <cellStyle name="Calculation 2 5 4 2 14" xfId="29016" xr:uid="{00000000-0005-0000-0000-000095130000}"/>
    <cellStyle name="Calculation 2 5 4 2 15" xfId="30055" xr:uid="{00000000-0005-0000-0000-000096130000}"/>
    <cellStyle name="Calculation 2 5 4 2 16" xfId="31048" xr:uid="{00000000-0005-0000-0000-000097130000}"/>
    <cellStyle name="Calculation 2 5 4 2 17" xfId="32057" xr:uid="{00000000-0005-0000-0000-000098130000}"/>
    <cellStyle name="Calculation 2 5 4 2 18" xfId="33060" xr:uid="{00000000-0005-0000-0000-000099130000}"/>
    <cellStyle name="Calculation 2 5 4 2 19" xfId="34059" xr:uid="{00000000-0005-0000-0000-00009A130000}"/>
    <cellStyle name="Calculation 2 5 4 2 2" xfId="802" xr:uid="{00000000-0005-0000-0000-00009B130000}"/>
    <cellStyle name="Calculation 2 5 4 2 2 10" xfId="24104" xr:uid="{00000000-0005-0000-0000-00009C130000}"/>
    <cellStyle name="Calculation 2 5 4 2 2 11" xfId="25103" xr:uid="{00000000-0005-0000-0000-00009D130000}"/>
    <cellStyle name="Calculation 2 5 4 2 2 12" xfId="28048" xr:uid="{00000000-0005-0000-0000-00009E130000}"/>
    <cellStyle name="Calculation 2 5 4 2 2 13" xfId="29017" xr:uid="{00000000-0005-0000-0000-00009F130000}"/>
    <cellStyle name="Calculation 2 5 4 2 2 14" xfId="30056" xr:uid="{00000000-0005-0000-0000-0000A0130000}"/>
    <cellStyle name="Calculation 2 5 4 2 2 15" xfId="31049" xr:uid="{00000000-0005-0000-0000-0000A1130000}"/>
    <cellStyle name="Calculation 2 5 4 2 2 16" xfId="32058" xr:uid="{00000000-0005-0000-0000-0000A2130000}"/>
    <cellStyle name="Calculation 2 5 4 2 2 17" xfId="33061" xr:uid="{00000000-0005-0000-0000-0000A3130000}"/>
    <cellStyle name="Calculation 2 5 4 2 2 18" xfId="34060" xr:uid="{00000000-0005-0000-0000-0000A4130000}"/>
    <cellStyle name="Calculation 2 5 4 2 2 19" xfId="35681" xr:uid="{00000000-0005-0000-0000-0000A5130000}"/>
    <cellStyle name="Calculation 2 5 4 2 2 2" xfId="16084" xr:uid="{00000000-0005-0000-0000-0000A6130000}"/>
    <cellStyle name="Calculation 2 5 4 2 2 20" xfId="36620" xr:uid="{00000000-0005-0000-0000-0000A7130000}"/>
    <cellStyle name="Calculation 2 5 4 2 2 3" xfId="17062" xr:uid="{00000000-0005-0000-0000-0000A8130000}"/>
    <cellStyle name="Calculation 2 5 4 2 2 4" xfId="18090" xr:uid="{00000000-0005-0000-0000-0000A9130000}"/>
    <cellStyle name="Calculation 2 5 4 2 2 5" xfId="19122" xr:uid="{00000000-0005-0000-0000-0000AA130000}"/>
    <cellStyle name="Calculation 2 5 4 2 2 6" xfId="20144" xr:uid="{00000000-0005-0000-0000-0000AB130000}"/>
    <cellStyle name="Calculation 2 5 4 2 2 7" xfId="21153" xr:uid="{00000000-0005-0000-0000-0000AC130000}"/>
    <cellStyle name="Calculation 2 5 4 2 2 8" xfId="22127" xr:uid="{00000000-0005-0000-0000-0000AD130000}"/>
    <cellStyle name="Calculation 2 5 4 2 2 9" xfId="23132" xr:uid="{00000000-0005-0000-0000-0000AE130000}"/>
    <cellStyle name="Calculation 2 5 4 2 20" xfId="35680" xr:uid="{00000000-0005-0000-0000-0000AF130000}"/>
    <cellStyle name="Calculation 2 5 4 2 21" xfId="36619" xr:uid="{00000000-0005-0000-0000-0000B0130000}"/>
    <cellStyle name="Calculation 2 5 4 2 3" xfId="16083" xr:uid="{00000000-0005-0000-0000-0000B1130000}"/>
    <cellStyle name="Calculation 2 5 4 2 4" xfId="17061" xr:uid="{00000000-0005-0000-0000-0000B2130000}"/>
    <cellStyle name="Calculation 2 5 4 2 5" xfId="18089" xr:uid="{00000000-0005-0000-0000-0000B3130000}"/>
    <cellStyle name="Calculation 2 5 4 2 6" xfId="19121" xr:uid="{00000000-0005-0000-0000-0000B4130000}"/>
    <cellStyle name="Calculation 2 5 4 2 7" xfId="20143" xr:uid="{00000000-0005-0000-0000-0000B5130000}"/>
    <cellStyle name="Calculation 2 5 4 2 8" xfId="21152" xr:uid="{00000000-0005-0000-0000-0000B6130000}"/>
    <cellStyle name="Calculation 2 5 4 2 9" xfId="22126" xr:uid="{00000000-0005-0000-0000-0000B7130000}"/>
    <cellStyle name="Calculation 2 5 4 3" xfId="803" xr:uid="{00000000-0005-0000-0000-0000B8130000}"/>
    <cellStyle name="Calculation 2 5 4 3 10" xfId="23133" xr:uid="{00000000-0005-0000-0000-0000B9130000}"/>
    <cellStyle name="Calculation 2 5 4 3 11" xfId="24105" xr:uid="{00000000-0005-0000-0000-0000BA130000}"/>
    <cellStyle name="Calculation 2 5 4 3 12" xfId="25104" xr:uid="{00000000-0005-0000-0000-0000BB130000}"/>
    <cellStyle name="Calculation 2 5 4 3 13" xfId="28049" xr:uid="{00000000-0005-0000-0000-0000BC130000}"/>
    <cellStyle name="Calculation 2 5 4 3 14" xfId="29018" xr:uid="{00000000-0005-0000-0000-0000BD130000}"/>
    <cellStyle name="Calculation 2 5 4 3 15" xfId="30057" xr:uid="{00000000-0005-0000-0000-0000BE130000}"/>
    <cellStyle name="Calculation 2 5 4 3 16" xfId="31050" xr:uid="{00000000-0005-0000-0000-0000BF130000}"/>
    <cellStyle name="Calculation 2 5 4 3 17" xfId="32059" xr:uid="{00000000-0005-0000-0000-0000C0130000}"/>
    <cellStyle name="Calculation 2 5 4 3 18" xfId="33062" xr:uid="{00000000-0005-0000-0000-0000C1130000}"/>
    <cellStyle name="Calculation 2 5 4 3 19" xfId="34061" xr:uid="{00000000-0005-0000-0000-0000C2130000}"/>
    <cellStyle name="Calculation 2 5 4 3 2" xfId="804" xr:uid="{00000000-0005-0000-0000-0000C3130000}"/>
    <cellStyle name="Calculation 2 5 4 3 2 10" xfId="24106" xr:uid="{00000000-0005-0000-0000-0000C4130000}"/>
    <cellStyle name="Calculation 2 5 4 3 2 11" xfId="25105" xr:uid="{00000000-0005-0000-0000-0000C5130000}"/>
    <cellStyle name="Calculation 2 5 4 3 2 12" xfId="28050" xr:uid="{00000000-0005-0000-0000-0000C6130000}"/>
    <cellStyle name="Calculation 2 5 4 3 2 13" xfId="29019" xr:uid="{00000000-0005-0000-0000-0000C7130000}"/>
    <cellStyle name="Calculation 2 5 4 3 2 14" xfId="30058" xr:uid="{00000000-0005-0000-0000-0000C8130000}"/>
    <cellStyle name="Calculation 2 5 4 3 2 15" xfId="31051" xr:uid="{00000000-0005-0000-0000-0000C9130000}"/>
    <cellStyle name="Calculation 2 5 4 3 2 16" xfId="32060" xr:uid="{00000000-0005-0000-0000-0000CA130000}"/>
    <cellStyle name="Calculation 2 5 4 3 2 17" xfId="33063" xr:uid="{00000000-0005-0000-0000-0000CB130000}"/>
    <cellStyle name="Calculation 2 5 4 3 2 18" xfId="34062" xr:uid="{00000000-0005-0000-0000-0000CC130000}"/>
    <cellStyle name="Calculation 2 5 4 3 2 19" xfId="35683" xr:uid="{00000000-0005-0000-0000-0000CD130000}"/>
    <cellStyle name="Calculation 2 5 4 3 2 2" xfId="16086" xr:uid="{00000000-0005-0000-0000-0000CE130000}"/>
    <cellStyle name="Calculation 2 5 4 3 2 20" xfId="36622" xr:uid="{00000000-0005-0000-0000-0000CF130000}"/>
    <cellStyle name="Calculation 2 5 4 3 2 3" xfId="17064" xr:uid="{00000000-0005-0000-0000-0000D0130000}"/>
    <cellStyle name="Calculation 2 5 4 3 2 4" xfId="18092" xr:uid="{00000000-0005-0000-0000-0000D1130000}"/>
    <cellStyle name="Calculation 2 5 4 3 2 5" xfId="19124" xr:uid="{00000000-0005-0000-0000-0000D2130000}"/>
    <cellStyle name="Calculation 2 5 4 3 2 6" xfId="20146" xr:uid="{00000000-0005-0000-0000-0000D3130000}"/>
    <cellStyle name="Calculation 2 5 4 3 2 7" xfId="21155" xr:uid="{00000000-0005-0000-0000-0000D4130000}"/>
    <cellStyle name="Calculation 2 5 4 3 2 8" xfId="22129" xr:uid="{00000000-0005-0000-0000-0000D5130000}"/>
    <cellStyle name="Calculation 2 5 4 3 2 9" xfId="23134" xr:uid="{00000000-0005-0000-0000-0000D6130000}"/>
    <cellStyle name="Calculation 2 5 4 3 20" xfId="35682" xr:uid="{00000000-0005-0000-0000-0000D7130000}"/>
    <cellStyle name="Calculation 2 5 4 3 21" xfId="36621" xr:uid="{00000000-0005-0000-0000-0000D8130000}"/>
    <cellStyle name="Calculation 2 5 4 3 3" xfId="16085" xr:uid="{00000000-0005-0000-0000-0000D9130000}"/>
    <cellStyle name="Calculation 2 5 4 3 4" xfId="17063" xr:uid="{00000000-0005-0000-0000-0000DA130000}"/>
    <cellStyle name="Calculation 2 5 4 3 5" xfId="18091" xr:uid="{00000000-0005-0000-0000-0000DB130000}"/>
    <cellStyle name="Calculation 2 5 4 3 6" xfId="19123" xr:uid="{00000000-0005-0000-0000-0000DC130000}"/>
    <cellStyle name="Calculation 2 5 4 3 7" xfId="20145" xr:uid="{00000000-0005-0000-0000-0000DD130000}"/>
    <cellStyle name="Calculation 2 5 4 3 8" xfId="21154" xr:uid="{00000000-0005-0000-0000-0000DE130000}"/>
    <cellStyle name="Calculation 2 5 4 3 9" xfId="22128" xr:uid="{00000000-0005-0000-0000-0000DF130000}"/>
    <cellStyle name="Calculation 2 5 4 4" xfId="805" xr:uid="{00000000-0005-0000-0000-0000E0130000}"/>
    <cellStyle name="Calculation 2 5 4 4 10" xfId="23135" xr:uid="{00000000-0005-0000-0000-0000E1130000}"/>
    <cellStyle name="Calculation 2 5 4 4 11" xfId="24107" xr:uid="{00000000-0005-0000-0000-0000E2130000}"/>
    <cellStyle name="Calculation 2 5 4 4 12" xfId="25106" xr:uid="{00000000-0005-0000-0000-0000E3130000}"/>
    <cellStyle name="Calculation 2 5 4 4 13" xfId="28051" xr:uid="{00000000-0005-0000-0000-0000E4130000}"/>
    <cellStyle name="Calculation 2 5 4 4 14" xfId="29020" xr:uid="{00000000-0005-0000-0000-0000E5130000}"/>
    <cellStyle name="Calculation 2 5 4 4 15" xfId="30059" xr:uid="{00000000-0005-0000-0000-0000E6130000}"/>
    <cellStyle name="Calculation 2 5 4 4 16" xfId="31052" xr:uid="{00000000-0005-0000-0000-0000E7130000}"/>
    <cellStyle name="Calculation 2 5 4 4 17" xfId="32061" xr:uid="{00000000-0005-0000-0000-0000E8130000}"/>
    <cellStyle name="Calculation 2 5 4 4 18" xfId="33064" xr:uid="{00000000-0005-0000-0000-0000E9130000}"/>
    <cellStyle name="Calculation 2 5 4 4 19" xfId="34063" xr:uid="{00000000-0005-0000-0000-0000EA130000}"/>
    <cellStyle name="Calculation 2 5 4 4 2" xfId="806" xr:uid="{00000000-0005-0000-0000-0000EB130000}"/>
    <cellStyle name="Calculation 2 5 4 4 2 10" xfId="24108" xr:uid="{00000000-0005-0000-0000-0000EC130000}"/>
    <cellStyle name="Calculation 2 5 4 4 2 11" xfId="25107" xr:uid="{00000000-0005-0000-0000-0000ED130000}"/>
    <cellStyle name="Calculation 2 5 4 4 2 12" xfId="28052" xr:uid="{00000000-0005-0000-0000-0000EE130000}"/>
    <cellStyle name="Calculation 2 5 4 4 2 13" xfId="29021" xr:uid="{00000000-0005-0000-0000-0000EF130000}"/>
    <cellStyle name="Calculation 2 5 4 4 2 14" xfId="30060" xr:uid="{00000000-0005-0000-0000-0000F0130000}"/>
    <cellStyle name="Calculation 2 5 4 4 2 15" xfId="31053" xr:uid="{00000000-0005-0000-0000-0000F1130000}"/>
    <cellStyle name="Calculation 2 5 4 4 2 16" xfId="32062" xr:uid="{00000000-0005-0000-0000-0000F2130000}"/>
    <cellStyle name="Calculation 2 5 4 4 2 17" xfId="33065" xr:uid="{00000000-0005-0000-0000-0000F3130000}"/>
    <cellStyle name="Calculation 2 5 4 4 2 18" xfId="34064" xr:uid="{00000000-0005-0000-0000-0000F4130000}"/>
    <cellStyle name="Calculation 2 5 4 4 2 19" xfId="35685" xr:uid="{00000000-0005-0000-0000-0000F5130000}"/>
    <cellStyle name="Calculation 2 5 4 4 2 2" xfId="16088" xr:uid="{00000000-0005-0000-0000-0000F6130000}"/>
    <cellStyle name="Calculation 2 5 4 4 2 20" xfId="36624" xr:uid="{00000000-0005-0000-0000-0000F7130000}"/>
    <cellStyle name="Calculation 2 5 4 4 2 3" xfId="17066" xr:uid="{00000000-0005-0000-0000-0000F8130000}"/>
    <cellStyle name="Calculation 2 5 4 4 2 4" xfId="18094" xr:uid="{00000000-0005-0000-0000-0000F9130000}"/>
    <cellStyle name="Calculation 2 5 4 4 2 5" xfId="19126" xr:uid="{00000000-0005-0000-0000-0000FA130000}"/>
    <cellStyle name="Calculation 2 5 4 4 2 6" xfId="20148" xr:uid="{00000000-0005-0000-0000-0000FB130000}"/>
    <cellStyle name="Calculation 2 5 4 4 2 7" xfId="21157" xr:uid="{00000000-0005-0000-0000-0000FC130000}"/>
    <cellStyle name="Calculation 2 5 4 4 2 8" xfId="22131" xr:uid="{00000000-0005-0000-0000-0000FD130000}"/>
    <cellStyle name="Calculation 2 5 4 4 2 9" xfId="23136" xr:uid="{00000000-0005-0000-0000-0000FE130000}"/>
    <cellStyle name="Calculation 2 5 4 4 20" xfId="35684" xr:uid="{00000000-0005-0000-0000-0000FF130000}"/>
    <cellStyle name="Calculation 2 5 4 4 21" xfId="36623" xr:uid="{00000000-0005-0000-0000-000000140000}"/>
    <cellStyle name="Calculation 2 5 4 4 3" xfId="16087" xr:uid="{00000000-0005-0000-0000-000001140000}"/>
    <cellStyle name="Calculation 2 5 4 4 4" xfId="17065" xr:uid="{00000000-0005-0000-0000-000002140000}"/>
    <cellStyle name="Calculation 2 5 4 4 5" xfId="18093" xr:uid="{00000000-0005-0000-0000-000003140000}"/>
    <cellStyle name="Calculation 2 5 4 4 6" xfId="19125" xr:uid="{00000000-0005-0000-0000-000004140000}"/>
    <cellStyle name="Calculation 2 5 4 4 7" xfId="20147" xr:uid="{00000000-0005-0000-0000-000005140000}"/>
    <cellStyle name="Calculation 2 5 4 4 8" xfId="21156" xr:uid="{00000000-0005-0000-0000-000006140000}"/>
    <cellStyle name="Calculation 2 5 4 4 9" xfId="22130" xr:uid="{00000000-0005-0000-0000-000007140000}"/>
    <cellStyle name="Calculation 2 5 4 5" xfId="807" xr:uid="{00000000-0005-0000-0000-000008140000}"/>
    <cellStyle name="Calculation 2 5 4 5 10" xfId="24109" xr:uid="{00000000-0005-0000-0000-000009140000}"/>
    <cellStyle name="Calculation 2 5 4 5 11" xfId="25108" xr:uid="{00000000-0005-0000-0000-00000A140000}"/>
    <cellStyle name="Calculation 2 5 4 5 12" xfId="28053" xr:uid="{00000000-0005-0000-0000-00000B140000}"/>
    <cellStyle name="Calculation 2 5 4 5 13" xfId="29022" xr:uid="{00000000-0005-0000-0000-00000C140000}"/>
    <cellStyle name="Calculation 2 5 4 5 14" xfId="30061" xr:uid="{00000000-0005-0000-0000-00000D140000}"/>
    <cellStyle name="Calculation 2 5 4 5 15" xfId="31054" xr:uid="{00000000-0005-0000-0000-00000E140000}"/>
    <cellStyle name="Calculation 2 5 4 5 16" xfId="32063" xr:uid="{00000000-0005-0000-0000-00000F140000}"/>
    <cellStyle name="Calculation 2 5 4 5 17" xfId="33066" xr:uid="{00000000-0005-0000-0000-000010140000}"/>
    <cellStyle name="Calculation 2 5 4 5 18" xfId="34065" xr:uid="{00000000-0005-0000-0000-000011140000}"/>
    <cellStyle name="Calculation 2 5 4 5 19" xfId="35686" xr:uid="{00000000-0005-0000-0000-000012140000}"/>
    <cellStyle name="Calculation 2 5 4 5 2" xfId="16089" xr:uid="{00000000-0005-0000-0000-000013140000}"/>
    <cellStyle name="Calculation 2 5 4 5 20" xfId="36625" xr:uid="{00000000-0005-0000-0000-000014140000}"/>
    <cellStyle name="Calculation 2 5 4 5 3" xfId="17067" xr:uid="{00000000-0005-0000-0000-000015140000}"/>
    <cellStyle name="Calculation 2 5 4 5 4" xfId="18095" xr:uid="{00000000-0005-0000-0000-000016140000}"/>
    <cellStyle name="Calculation 2 5 4 5 5" xfId="19127" xr:uid="{00000000-0005-0000-0000-000017140000}"/>
    <cellStyle name="Calculation 2 5 4 5 6" xfId="20149" xr:uid="{00000000-0005-0000-0000-000018140000}"/>
    <cellStyle name="Calculation 2 5 4 5 7" xfId="21158" xr:uid="{00000000-0005-0000-0000-000019140000}"/>
    <cellStyle name="Calculation 2 5 4 5 8" xfId="22132" xr:uid="{00000000-0005-0000-0000-00001A140000}"/>
    <cellStyle name="Calculation 2 5 4 5 9" xfId="23137" xr:uid="{00000000-0005-0000-0000-00001B140000}"/>
    <cellStyle name="Calculation 2 5 4 6" xfId="15202" xr:uid="{00000000-0005-0000-0000-00001C140000}"/>
    <cellStyle name="Calculation 2 5 4 7" xfId="13666" xr:uid="{00000000-0005-0000-0000-00001D140000}"/>
    <cellStyle name="Calculation 2 5 4 8" xfId="15349" xr:uid="{00000000-0005-0000-0000-00001E140000}"/>
    <cellStyle name="Calculation 2 5 4 9" xfId="14952" xr:uid="{00000000-0005-0000-0000-00001F140000}"/>
    <cellStyle name="Calculation 2 5 5" xfId="808" xr:uid="{00000000-0005-0000-0000-000020140000}"/>
    <cellStyle name="Calculation 2 5 5 10" xfId="17851" xr:uid="{00000000-0005-0000-0000-000021140000}"/>
    <cellStyle name="Calculation 2 5 5 11" xfId="14745" xr:uid="{00000000-0005-0000-0000-000022140000}"/>
    <cellStyle name="Calculation 2 5 5 12" xfId="26454" xr:uid="{00000000-0005-0000-0000-000023140000}"/>
    <cellStyle name="Calculation 2 5 5 13" xfId="27088" xr:uid="{00000000-0005-0000-0000-000024140000}"/>
    <cellStyle name="Calculation 2 5 5 14" xfId="26170" xr:uid="{00000000-0005-0000-0000-000025140000}"/>
    <cellStyle name="Calculation 2 5 5 15" xfId="26558" xr:uid="{00000000-0005-0000-0000-000026140000}"/>
    <cellStyle name="Calculation 2 5 5 16" xfId="26940" xr:uid="{00000000-0005-0000-0000-000027140000}"/>
    <cellStyle name="Calculation 2 5 5 17" xfId="27447" xr:uid="{00000000-0005-0000-0000-000028140000}"/>
    <cellStyle name="Calculation 2 5 5 18" xfId="35137" xr:uid="{00000000-0005-0000-0000-000029140000}"/>
    <cellStyle name="Calculation 2 5 5 19" xfId="35243" xr:uid="{00000000-0005-0000-0000-00002A140000}"/>
    <cellStyle name="Calculation 2 5 5 2" xfId="809" xr:uid="{00000000-0005-0000-0000-00002B140000}"/>
    <cellStyle name="Calculation 2 5 5 2 10" xfId="23138" xr:uid="{00000000-0005-0000-0000-00002C140000}"/>
    <cellStyle name="Calculation 2 5 5 2 11" xfId="24110" xr:uid="{00000000-0005-0000-0000-00002D140000}"/>
    <cellStyle name="Calculation 2 5 5 2 12" xfId="25109" xr:uid="{00000000-0005-0000-0000-00002E140000}"/>
    <cellStyle name="Calculation 2 5 5 2 13" xfId="28054" xr:uid="{00000000-0005-0000-0000-00002F140000}"/>
    <cellStyle name="Calculation 2 5 5 2 14" xfId="29023" xr:uid="{00000000-0005-0000-0000-000030140000}"/>
    <cellStyle name="Calculation 2 5 5 2 15" xfId="30062" xr:uid="{00000000-0005-0000-0000-000031140000}"/>
    <cellStyle name="Calculation 2 5 5 2 16" xfId="31055" xr:uid="{00000000-0005-0000-0000-000032140000}"/>
    <cellStyle name="Calculation 2 5 5 2 17" xfId="32064" xr:uid="{00000000-0005-0000-0000-000033140000}"/>
    <cellStyle name="Calculation 2 5 5 2 18" xfId="33067" xr:uid="{00000000-0005-0000-0000-000034140000}"/>
    <cellStyle name="Calculation 2 5 5 2 19" xfId="34066" xr:uid="{00000000-0005-0000-0000-000035140000}"/>
    <cellStyle name="Calculation 2 5 5 2 2" xfId="810" xr:uid="{00000000-0005-0000-0000-000036140000}"/>
    <cellStyle name="Calculation 2 5 5 2 2 10" xfId="24111" xr:uid="{00000000-0005-0000-0000-000037140000}"/>
    <cellStyle name="Calculation 2 5 5 2 2 11" xfId="25110" xr:uid="{00000000-0005-0000-0000-000038140000}"/>
    <cellStyle name="Calculation 2 5 5 2 2 12" xfId="28055" xr:uid="{00000000-0005-0000-0000-000039140000}"/>
    <cellStyle name="Calculation 2 5 5 2 2 13" xfId="29024" xr:uid="{00000000-0005-0000-0000-00003A140000}"/>
    <cellStyle name="Calculation 2 5 5 2 2 14" xfId="30063" xr:uid="{00000000-0005-0000-0000-00003B140000}"/>
    <cellStyle name="Calculation 2 5 5 2 2 15" xfId="31056" xr:uid="{00000000-0005-0000-0000-00003C140000}"/>
    <cellStyle name="Calculation 2 5 5 2 2 16" xfId="32065" xr:uid="{00000000-0005-0000-0000-00003D140000}"/>
    <cellStyle name="Calculation 2 5 5 2 2 17" xfId="33068" xr:uid="{00000000-0005-0000-0000-00003E140000}"/>
    <cellStyle name="Calculation 2 5 5 2 2 18" xfId="34067" xr:uid="{00000000-0005-0000-0000-00003F140000}"/>
    <cellStyle name="Calculation 2 5 5 2 2 19" xfId="35688" xr:uid="{00000000-0005-0000-0000-000040140000}"/>
    <cellStyle name="Calculation 2 5 5 2 2 2" xfId="16091" xr:uid="{00000000-0005-0000-0000-000041140000}"/>
    <cellStyle name="Calculation 2 5 5 2 2 20" xfId="36627" xr:uid="{00000000-0005-0000-0000-000042140000}"/>
    <cellStyle name="Calculation 2 5 5 2 2 3" xfId="17069" xr:uid="{00000000-0005-0000-0000-000043140000}"/>
    <cellStyle name="Calculation 2 5 5 2 2 4" xfId="18097" xr:uid="{00000000-0005-0000-0000-000044140000}"/>
    <cellStyle name="Calculation 2 5 5 2 2 5" xfId="19129" xr:uid="{00000000-0005-0000-0000-000045140000}"/>
    <cellStyle name="Calculation 2 5 5 2 2 6" xfId="20151" xr:uid="{00000000-0005-0000-0000-000046140000}"/>
    <cellStyle name="Calculation 2 5 5 2 2 7" xfId="21160" xr:uid="{00000000-0005-0000-0000-000047140000}"/>
    <cellStyle name="Calculation 2 5 5 2 2 8" xfId="22134" xr:uid="{00000000-0005-0000-0000-000048140000}"/>
    <cellStyle name="Calculation 2 5 5 2 2 9" xfId="23139" xr:uid="{00000000-0005-0000-0000-000049140000}"/>
    <cellStyle name="Calculation 2 5 5 2 20" xfId="35687" xr:uid="{00000000-0005-0000-0000-00004A140000}"/>
    <cellStyle name="Calculation 2 5 5 2 21" xfId="36626" xr:uid="{00000000-0005-0000-0000-00004B140000}"/>
    <cellStyle name="Calculation 2 5 5 2 3" xfId="16090" xr:uid="{00000000-0005-0000-0000-00004C140000}"/>
    <cellStyle name="Calculation 2 5 5 2 4" xfId="17068" xr:uid="{00000000-0005-0000-0000-00004D140000}"/>
    <cellStyle name="Calculation 2 5 5 2 5" xfId="18096" xr:uid="{00000000-0005-0000-0000-00004E140000}"/>
    <cellStyle name="Calculation 2 5 5 2 6" xfId="19128" xr:uid="{00000000-0005-0000-0000-00004F140000}"/>
    <cellStyle name="Calculation 2 5 5 2 7" xfId="20150" xr:uid="{00000000-0005-0000-0000-000050140000}"/>
    <cellStyle name="Calculation 2 5 5 2 8" xfId="21159" xr:uid="{00000000-0005-0000-0000-000051140000}"/>
    <cellStyle name="Calculation 2 5 5 2 9" xfId="22133" xr:uid="{00000000-0005-0000-0000-000052140000}"/>
    <cellStyle name="Calculation 2 5 5 3" xfId="811" xr:uid="{00000000-0005-0000-0000-000053140000}"/>
    <cellStyle name="Calculation 2 5 5 3 10" xfId="23140" xr:uid="{00000000-0005-0000-0000-000054140000}"/>
    <cellStyle name="Calculation 2 5 5 3 11" xfId="24112" xr:uid="{00000000-0005-0000-0000-000055140000}"/>
    <cellStyle name="Calculation 2 5 5 3 12" xfId="25111" xr:uid="{00000000-0005-0000-0000-000056140000}"/>
    <cellStyle name="Calculation 2 5 5 3 13" xfId="28056" xr:uid="{00000000-0005-0000-0000-000057140000}"/>
    <cellStyle name="Calculation 2 5 5 3 14" xfId="29025" xr:uid="{00000000-0005-0000-0000-000058140000}"/>
    <cellStyle name="Calculation 2 5 5 3 15" xfId="30064" xr:uid="{00000000-0005-0000-0000-000059140000}"/>
    <cellStyle name="Calculation 2 5 5 3 16" xfId="31057" xr:uid="{00000000-0005-0000-0000-00005A140000}"/>
    <cellStyle name="Calculation 2 5 5 3 17" xfId="32066" xr:uid="{00000000-0005-0000-0000-00005B140000}"/>
    <cellStyle name="Calculation 2 5 5 3 18" xfId="33069" xr:uid="{00000000-0005-0000-0000-00005C140000}"/>
    <cellStyle name="Calculation 2 5 5 3 19" xfId="34068" xr:uid="{00000000-0005-0000-0000-00005D140000}"/>
    <cellStyle name="Calculation 2 5 5 3 2" xfId="812" xr:uid="{00000000-0005-0000-0000-00005E140000}"/>
    <cellStyle name="Calculation 2 5 5 3 2 10" xfId="24113" xr:uid="{00000000-0005-0000-0000-00005F140000}"/>
    <cellStyle name="Calculation 2 5 5 3 2 11" xfId="25112" xr:uid="{00000000-0005-0000-0000-000060140000}"/>
    <cellStyle name="Calculation 2 5 5 3 2 12" xfId="28057" xr:uid="{00000000-0005-0000-0000-000061140000}"/>
    <cellStyle name="Calculation 2 5 5 3 2 13" xfId="29026" xr:uid="{00000000-0005-0000-0000-000062140000}"/>
    <cellStyle name="Calculation 2 5 5 3 2 14" xfId="30065" xr:uid="{00000000-0005-0000-0000-000063140000}"/>
    <cellStyle name="Calculation 2 5 5 3 2 15" xfId="31058" xr:uid="{00000000-0005-0000-0000-000064140000}"/>
    <cellStyle name="Calculation 2 5 5 3 2 16" xfId="32067" xr:uid="{00000000-0005-0000-0000-000065140000}"/>
    <cellStyle name="Calculation 2 5 5 3 2 17" xfId="33070" xr:uid="{00000000-0005-0000-0000-000066140000}"/>
    <cellStyle name="Calculation 2 5 5 3 2 18" xfId="34069" xr:uid="{00000000-0005-0000-0000-000067140000}"/>
    <cellStyle name="Calculation 2 5 5 3 2 19" xfId="35690" xr:uid="{00000000-0005-0000-0000-000068140000}"/>
    <cellStyle name="Calculation 2 5 5 3 2 2" xfId="16093" xr:uid="{00000000-0005-0000-0000-000069140000}"/>
    <cellStyle name="Calculation 2 5 5 3 2 20" xfId="36629" xr:uid="{00000000-0005-0000-0000-00006A140000}"/>
    <cellStyle name="Calculation 2 5 5 3 2 3" xfId="17071" xr:uid="{00000000-0005-0000-0000-00006B140000}"/>
    <cellStyle name="Calculation 2 5 5 3 2 4" xfId="18099" xr:uid="{00000000-0005-0000-0000-00006C140000}"/>
    <cellStyle name="Calculation 2 5 5 3 2 5" xfId="19131" xr:uid="{00000000-0005-0000-0000-00006D140000}"/>
    <cellStyle name="Calculation 2 5 5 3 2 6" xfId="20153" xr:uid="{00000000-0005-0000-0000-00006E140000}"/>
    <cellStyle name="Calculation 2 5 5 3 2 7" xfId="21162" xr:uid="{00000000-0005-0000-0000-00006F140000}"/>
    <cellStyle name="Calculation 2 5 5 3 2 8" xfId="22136" xr:uid="{00000000-0005-0000-0000-000070140000}"/>
    <cellStyle name="Calculation 2 5 5 3 2 9" xfId="23141" xr:uid="{00000000-0005-0000-0000-000071140000}"/>
    <cellStyle name="Calculation 2 5 5 3 20" xfId="35689" xr:uid="{00000000-0005-0000-0000-000072140000}"/>
    <cellStyle name="Calculation 2 5 5 3 21" xfId="36628" xr:uid="{00000000-0005-0000-0000-000073140000}"/>
    <cellStyle name="Calculation 2 5 5 3 3" xfId="16092" xr:uid="{00000000-0005-0000-0000-000074140000}"/>
    <cellStyle name="Calculation 2 5 5 3 4" xfId="17070" xr:uid="{00000000-0005-0000-0000-000075140000}"/>
    <cellStyle name="Calculation 2 5 5 3 5" xfId="18098" xr:uid="{00000000-0005-0000-0000-000076140000}"/>
    <cellStyle name="Calculation 2 5 5 3 6" xfId="19130" xr:uid="{00000000-0005-0000-0000-000077140000}"/>
    <cellStyle name="Calculation 2 5 5 3 7" xfId="20152" xr:uid="{00000000-0005-0000-0000-000078140000}"/>
    <cellStyle name="Calculation 2 5 5 3 8" xfId="21161" xr:uid="{00000000-0005-0000-0000-000079140000}"/>
    <cellStyle name="Calculation 2 5 5 3 9" xfId="22135" xr:uid="{00000000-0005-0000-0000-00007A140000}"/>
    <cellStyle name="Calculation 2 5 5 4" xfId="813" xr:uid="{00000000-0005-0000-0000-00007B140000}"/>
    <cellStyle name="Calculation 2 5 5 4 10" xfId="23142" xr:uid="{00000000-0005-0000-0000-00007C140000}"/>
    <cellStyle name="Calculation 2 5 5 4 11" xfId="24114" xr:uid="{00000000-0005-0000-0000-00007D140000}"/>
    <cellStyle name="Calculation 2 5 5 4 12" xfId="25113" xr:uid="{00000000-0005-0000-0000-00007E140000}"/>
    <cellStyle name="Calculation 2 5 5 4 13" xfId="28058" xr:uid="{00000000-0005-0000-0000-00007F140000}"/>
    <cellStyle name="Calculation 2 5 5 4 14" xfId="29027" xr:uid="{00000000-0005-0000-0000-000080140000}"/>
    <cellStyle name="Calculation 2 5 5 4 15" xfId="30066" xr:uid="{00000000-0005-0000-0000-000081140000}"/>
    <cellStyle name="Calculation 2 5 5 4 16" xfId="31059" xr:uid="{00000000-0005-0000-0000-000082140000}"/>
    <cellStyle name="Calculation 2 5 5 4 17" xfId="32068" xr:uid="{00000000-0005-0000-0000-000083140000}"/>
    <cellStyle name="Calculation 2 5 5 4 18" xfId="33071" xr:uid="{00000000-0005-0000-0000-000084140000}"/>
    <cellStyle name="Calculation 2 5 5 4 19" xfId="34070" xr:uid="{00000000-0005-0000-0000-000085140000}"/>
    <cellStyle name="Calculation 2 5 5 4 2" xfId="814" xr:uid="{00000000-0005-0000-0000-000086140000}"/>
    <cellStyle name="Calculation 2 5 5 4 2 10" xfId="24115" xr:uid="{00000000-0005-0000-0000-000087140000}"/>
    <cellStyle name="Calculation 2 5 5 4 2 11" xfId="25114" xr:uid="{00000000-0005-0000-0000-000088140000}"/>
    <cellStyle name="Calculation 2 5 5 4 2 12" xfId="28059" xr:uid="{00000000-0005-0000-0000-000089140000}"/>
    <cellStyle name="Calculation 2 5 5 4 2 13" xfId="29028" xr:uid="{00000000-0005-0000-0000-00008A140000}"/>
    <cellStyle name="Calculation 2 5 5 4 2 14" xfId="30067" xr:uid="{00000000-0005-0000-0000-00008B140000}"/>
    <cellStyle name="Calculation 2 5 5 4 2 15" xfId="31060" xr:uid="{00000000-0005-0000-0000-00008C140000}"/>
    <cellStyle name="Calculation 2 5 5 4 2 16" xfId="32069" xr:uid="{00000000-0005-0000-0000-00008D140000}"/>
    <cellStyle name="Calculation 2 5 5 4 2 17" xfId="33072" xr:uid="{00000000-0005-0000-0000-00008E140000}"/>
    <cellStyle name="Calculation 2 5 5 4 2 18" xfId="34071" xr:uid="{00000000-0005-0000-0000-00008F140000}"/>
    <cellStyle name="Calculation 2 5 5 4 2 19" xfId="35692" xr:uid="{00000000-0005-0000-0000-000090140000}"/>
    <cellStyle name="Calculation 2 5 5 4 2 2" xfId="16095" xr:uid="{00000000-0005-0000-0000-000091140000}"/>
    <cellStyle name="Calculation 2 5 5 4 2 20" xfId="36631" xr:uid="{00000000-0005-0000-0000-000092140000}"/>
    <cellStyle name="Calculation 2 5 5 4 2 3" xfId="17073" xr:uid="{00000000-0005-0000-0000-000093140000}"/>
    <cellStyle name="Calculation 2 5 5 4 2 4" xfId="18101" xr:uid="{00000000-0005-0000-0000-000094140000}"/>
    <cellStyle name="Calculation 2 5 5 4 2 5" xfId="19133" xr:uid="{00000000-0005-0000-0000-000095140000}"/>
    <cellStyle name="Calculation 2 5 5 4 2 6" xfId="20155" xr:uid="{00000000-0005-0000-0000-000096140000}"/>
    <cellStyle name="Calculation 2 5 5 4 2 7" xfId="21164" xr:uid="{00000000-0005-0000-0000-000097140000}"/>
    <cellStyle name="Calculation 2 5 5 4 2 8" xfId="22138" xr:uid="{00000000-0005-0000-0000-000098140000}"/>
    <cellStyle name="Calculation 2 5 5 4 2 9" xfId="23143" xr:uid="{00000000-0005-0000-0000-000099140000}"/>
    <cellStyle name="Calculation 2 5 5 4 20" xfId="35691" xr:uid="{00000000-0005-0000-0000-00009A140000}"/>
    <cellStyle name="Calculation 2 5 5 4 21" xfId="36630" xr:uid="{00000000-0005-0000-0000-00009B140000}"/>
    <cellStyle name="Calculation 2 5 5 4 3" xfId="16094" xr:uid="{00000000-0005-0000-0000-00009C140000}"/>
    <cellStyle name="Calculation 2 5 5 4 4" xfId="17072" xr:uid="{00000000-0005-0000-0000-00009D140000}"/>
    <cellStyle name="Calculation 2 5 5 4 5" xfId="18100" xr:uid="{00000000-0005-0000-0000-00009E140000}"/>
    <cellStyle name="Calculation 2 5 5 4 6" xfId="19132" xr:uid="{00000000-0005-0000-0000-00009F140000}"/>
    <cellStyle name="Calculation 2 5 5 4 7" xfId="20154" xr:uid="{00000000-0005-0000-0000-0000A0140000}"/>
    <cellStyle name="Calculation 2 5 5 4 8" xfId="21163" xr:uid="{00000000-0005-0000-0000-0000A1140000}"/>
    <cellStyle name="Calculation 2 5 5 4 9" xfId="22137" xr:uid="{00000000-0005-0000-0000-0000A2140000}"/>
    <cellStyle name="Calculation 2 5 5 5" xfId="815" xr:uid="{00000000-0005-0000-0000-0000A3140000}"/>
    <cellStyle name="Calculation 2 5 5 5 10" xfId="24116" xr:uid="{00000000-0005-0000-0000-0000A4140000}"/>
    <cellStyle name="Calculation 2 5 5 5 11" xfId="25115" xr:uid="{00000000-0005-0000-0000-0000A5140000}"/>
    <cellStyle name="Calculation 2 5 5 5 12" xfId="28060" xr:uid="{00000000-0005-0000-0000-0000A6140000}"/>
    <cellStyle name="Calculation 2 5 5 5 13" xfId="29029" xr:uid="{00000000-0005-0000-0000-0000A7140000}"/>
    <cellStyle name="Calculation 2 5 5 5 14" xfId="30068" xr:uid="{00000000-0005-0000-0000-0000A8140000}"/>
    <cellStyle name="Calculation 2 5 5 5 15" xfId="31061" xr:uid="{00000000-0005-0000-0000-0000A9140000}"/>
    <cellStyle name="Calculation 2 5 5 5 16" xfId="32070" xr:uid="{00000000-0005-0000-0000-0000AA140000}"/>
    <cellStyle name="Calculation 2 5 5 5 17" xfId="33073" xr:uid="{00000000-0005-0000-0000-0000AB140000}"/>
    <cellStyle name="Calculation 2 5 5 5 18" xfId="34072" xr:uid="{00000000-0005-0000-0000-0000AC140000}"/>
    <cellStyle name="Calculation 2 5 5 5 19" xfId="35693" xr:uid="{00000000-0005-0000-0000-0000AD140000}"/>
    <cellStyle name="Calculation 2 5 5 5 2" xfId="16096" xr:uid="{00000000-0005-0000-0000-0000AE140000}"/>
    <cellStyle name="Calculation 2 5 5 5 20" xfId="36632" xr:uid="{00000000-0005-0000-0000-0000AF140000}"/>
    <cellStyle name="Calculation 2 5 5 5 3" xfId="17074" xr:uid="{00000000-0005-0000-0000-0000B0140000}"/>
    <cellStyle name="Calculation 2 5 5 5 4" xfId="18102" xr:uid="{00000000-0005-0000-0000-0000B1140000}"/>
    <cellStyle name="Calculation 2 5 5 5 5" xfId="19134" xr:uid="{00000000-0005-0000-0000-0000B2140000}"/>
    <cellStyle name="Calculation 2 5 5 5 6" xfId="20156" xr:uid="{00000000-0005-0000-0000-0000B3140000}"/>
    <cellStyle name="Calculation 2 5 5 5 7" xfId="21165" xr:uid="{00000000-0005-0000-0000-0000B4140000}"/>
    <cellStyle name="Calculation 2 5 5 5 8" xfId="22139" xr:uid="{00000000-0005-0000-0000-0000B5140000}"/>
    <cellStyle name="Calculation 2 5 5 5 9" xfId="23144" xr:uid="{00000000-0005-0000-0000-0000B6140000}"/>
    <cellStyle name="Calculation 2 5 5 6" xfId="14431" xr:uid="{00000000-0005-0000-0000-0000B7140000}"/>
    <cellStyle name="Calculation 2 5 5 7" xfId="15392" xr:uid="{00000000-0005-0000-0000-0000B8140000}"/>
    <cellStyle name="Calculation 2 5 5 8" xfId="14665" xr:uid="{00000000-0005-0000-0000-0000B9140000}"/>
    <cellStyle name="Calculation 2 5 5 9" xfId="14130" xr:uid="{00000000-0005-0000-0000-0000BA140000}"/>
    <cellStyle name="Calculation 2 5 6" xfId="816" xr:uid="{00000000-0005-0000-0000-0000BB140000}"/>
    <cellStyle name="Calculation 2 5 6 10" xfId="23145" xr:uid="{00000000-0005-0000-0000-0000BC140000}"/>
    <cellStyle name="Calculation 2 5 6 11" xfId="24117" xr:uid="{00000000-0005-0000-0000-0000BD140000}"/>
    <cellStyle name="Calculation 2 5 6 12" xfId="25116" xr:uid="{00000000-0005-0000-0000-0000BE140000}"/>
    <cellStyle name="Calculation 2 5 6 13" xfId="28061" xr:uid="{00000000-0005-0000-0000-0000BF140000}"/>
    <cellStyle name="Calculation 2 5 6 14" xfId="29030" xr:uid="{00000000-0005-0000-0000-0000C0140000}"/>
    <cellStyle name="Calculation 2 5 6 15" xfId="30069" xr:uid="{00000000-0005-0000-0000-0000C1140000}"/>
    <cellStyle name="Calculation 2 5 6 16" xfId="31062" xr:uid="{00000000-0005-0000-0000-0000C2140000}"/>
    <cellStyle name="Calculation 2 5 6 17" xfId="32071" xr:uid="{00000000-0005-0000-0000-0000C3140000}"/>
    <cellStyle name="Calculation 2 5 6 18" xfId="33074" xr:uid="{00000000-0005-0000-0000-0000C4140000}"/>
    <cellStyle name="Calculation 2 5 6 19" xfId="34073" xr:uid="{00000000-0005-0000-0000-0000C5140000}"/>
    <cellStyle name="Calculation 2 5 6 2" xfId="817" xr:uid="{00000000-0005-0000-0000-0000C6140000}"/>
    <cellStyle name="Calculation 2 5 6 2 10" xfId="24118" xr:uid="{00000000-0005-0000-0000-0000C7140000}"/>
    <cellStyle name="Calculation 2 5 6 2 11" xfId="25117" xr:uid="{00000000-0005-0000-0000-0000C8140000}"/>
    <cellStyle name="Calculation 2 5 6 2 12" xfId="28062" xr:uid="{00000000-0005-0000-0000-0000C9140000}"/>
    <cellStyle name="Calculation 2 5 6 2 13" xfId="29031" xr:uid="{00000000-0005-0000-0000-0000CA140000}"/>
    <cellStyle name="Calculation 2 5 6 2 14" xfId="30070" xr:uid="{00000000-0005-0000-0000-0000CB140000}"/>
    <cellStyle name="Calculation 2 5 6 2 15" xfId="31063" xr:uid="{00000000-0005-0000-0000-0000CC140000}"/>
    <cellStyle name="Calculation 2 5 6 2 16" xfId="32072" xr:uid="{00000000-0005-0000-0000-0000CD140000}"/>
    <cellStyle name="Calculation 2 5 6 2 17" xfId="33075" xr:uid="{00000000-0005-0000-0000-0000CE140000}"/>
    <cellStyle name="Calculation 2 5 6 2 18" xfId="34074" xr:uid="{00000000-0005-0000-0000-0000CF140000}"/>
    <cellStyle name="Calculation 2 5 6 2 19" xfId="35695" xr:uid="{00000000-0005-0000-0000-0000D0140000}"/>
    <cellStyle name="Calculation 2 5 6 2 2" xfId="16098" xr:uid="{00000000-0005-0000-0000-0000D1140000}"/>
    <cellStyle name="Calculation 2 5 6 2 20" xfId="36634" xr:uid="{00000000-0005-0000-0000-0000D2140000}"/>
    <cellStyle name="Calculation 2 5 6 2 3" xfId="17076" xr:uid="{00000000-0005-0000-0000-0000D3140000}"/>
    <cellStyle name="Calculation 2 5 6 2 4" xfId="18104" xr:uid="{00000000-0005-0000-0000-0000D4140000}"/>
    <cellStyle name="Calculation 2 5 6 2 5" xfId="19136" xr:uid="{00000000-0005-0000-0000-0000D5140000}"/>
    <cellStyle name="Calculation 2 5 6 2 6" xfId="20158" xr:uid="{00000000-0005-0000-0000-0000D6140000}"/>
    <cellStyle name="Calculation 2 5 6 2 7" xfId="21167" xr:uid="{00000000-0005-0000-0000-0000D7140000}"/>
    <cellStyle name="Calculation 2 5 6 2 8" xfId="22141" xr:uid="{00000000-0005-0000-0000-0000D8140000}"/>
    <cellStyle name="Calculation 2 5 6 2 9" xfId="23146" xr:uid="{00000000-0005-0000-0000-0000D9140000}"/>
    <cellStyle name="Calculation 2 5 6 20" xfId="35694" xr:uid="{00000000-0005-0000-0000-0000DA140000}"/>
    <cellStyle name="Calculation 2 5 6 21" xfId="36633" xr:uid="{00000000-0005-0000-0000-0000DB140000}"/>
    <cellStyle name="Calculation 2 5 6 3" xfId="16097" xr:uid="{00000000-0005-0000-0000-0000DC140000}"/>
    <cellStyle name="Calculation 2 5 6 4" xfId="17075" xr:uid="{00000000-0005-0000-0000-0000DD140000}"/>
    <cellStyle name="Calculation 2 5 6 5" xfId="18103" xr:uid="{00000000-0005-0000-0000-0000DE140000}"/>
    <cellStyle name="Calculation 2 5 6 6" xfId="19135" xr:uid="{00000000-0005-0000-0000-0000DF140000}"/>
    <cellStyle name="Calculation 2 5 6 7" xfId="20157" xr:uid="{00000000-0005-0000-0000-0000E0140000}"/>
    <cellStyle name="Calculation 2 5 6 8" xfId="21166" xr:uid="{00000000-0005-0000-0000-0000E1140000}"/>
    <cellStyle name="Calculation 2 5 6 9" xfId="22140" xr:uid="{00000000-0005-0000-0000-0000E2140000}"/>
    <cellStyle name="Calculation 2 5 7" xfId="818" xr:uid="{00000000-0005-0000-0000-0000E3140000}"/>
    <cellStyle name="Calculation 2 5 7 10" xfId="23147" xr:uid="{00000000-0005-0000-0000-0000E4140000}"/>
    <cellStyle name="Calculation 2 5 7 11" xfId="24119" xr:uid="{00000000-0005-0000-0000-0000E5140000}"/>
    <cellStyle name="Calculation 2 5 7 12" xfId="25118" xr:uid="{00000000-0005-0000-0000-0000E6140000}"/>
    <cellStyle name="Calculation 2 5 7 13" xfId="28063" xr:uid="{00000000-0005-0000-0000-0000E7140000}"/>
    <cellStyle name="Calculation 2 5 7 14" xfId="29032" xr:uid="{00000000-0005-0000-0000-0000E8140000}"/>
    <cellStyle name="Calculation 2 5 7 15" xfId="30071" xr:uid="{00000000-0005-0000-0000-0000E9140000}"/>
    <cellStyle name="Calculation 2 5 7 16" xfId="31064" xr:uid="{00000000-0005-0000-0000-0000EA140000}"/>
    <cellStyle name="Calculation 2 5 7 17" xfId="32073" xr:uid="{00000000-0005-0000-0000-0000EB140000}"/>
    <cellStyle name="Calculation 2 5 7 18" xfId="33076" xr:uid="{00000000-0005-0000-0000-0000EC140000}"/>
    <cellStyle name="Calculation 2 5 7 19" xfId="34075" xr:uid="{00000000-0005-0000-0000-0000ED140000}"/>
    <cellStyle name="Calculation 2 5 7 2" xfId="819" xr:uid="{00000000-0005-0000-0000-0000EE140000}"/>
    <cellStyle name="Calculation 2 5 7 2 10" xfId="24120" xr:uid="{00000000-0005-0000-0000-0000EF140000}"/>
    <cellStyle name="Calculation 2 5 7 2 11" xfId="25119" xr:uid="{00000000-0005-0000-0000-0000F0140000}"/>
    <cellStyle name="Calculation 2 5 7 2 12" xfId="28064" xr:uid="{00000000-0005-0000-0000-0000F1140000}"/>
    <cellStyle name="Calculation 2 5 7 2 13" xfId="29033" xr:uid="{00000000-0005-0000-0000-0000F2140000}"/>
    <cellStyle name="Calculation 2 5 7 2 14" xfId="30072" xr:uid="{00000000-0005-0000-0000-0000F3140000}"/>
    <cellStyle name="Calculation 2 5 7 2 15" xfId="31065" xr:uid="{00000000-0005-0000-0000-0000F4140000}"/>
    <cellStyle name="Calculation 2 5 7 2 16" xfId="32074" xr:uid="{00000000-0005-0000-0000-0000F5140000}"/>
    <cellStyle name="Calculation 2 5 7 2 17" xfId="33077" xr:uid="{00000000-0005-0000-0000-0000F6140000}"/>
    <cellStyle name="Calculation 2 5 7 2 18" xfId="34076" xr:uid="{00000000-0005-0000-0000-0000F7140000}"/>
    <cellStyle name="Calculation 2 5 7 2 19" xfId="35697" xr:uid="{00000000-0005-0000-0000-0000F8140000}"/>
    <cellStyle name="Calculation 2 5 7 2 2" xfId="16100" xr:uid="{00000000-0005-0000-0000-0000F9140000}"/>
    <cellStyle name="Calculation 2 5 7 2 20" xfId="36636" xr:uid="{00000000-0005-0000-0000-0000FA140000}"/>
    <cellStyle name="Calculation 2 5 7 2 3" xfId="17078" xr:uid="{00000000-0005-0000-0000-0000FB140000}"/>
    <cellStyle name="Calculation 2 5 7 2 4" xfId="18106" xr:uid="{00000000-0005-0000-0000-0000FC140000}"/>
    <cellStyle name="Calculation 2 5 7 2 5" xfId="19138" xr:uid="{00000000-0005-0000-0000-0000FD140000}"/>
    <cellStyle name="Calculation 2 5 7 2 6" xfId="20160" xr:uid="{00000000-0005-0000-0000-0000FE140000}"/>
    <cellStyle name="Calculation 2 5 7 2 7" xfId="21169" xr:uid="{00000000-0005-0000-0000-0000FF140000}"/>
    <cellStyle name="Calculation 2 5 7 2 8" xfId="22143" xr:uid="{00000000-0005-0000-0000-000000150000}"/>
    <cellStyle name="Calculation 2 5 7 2 9" xfId="23148" xr:uid="{00000000-0005-0000-0000-000001150000}"/>
    <cellStyle name="Calculation 2 5 7 20" xfId="35696" xr:uid="{00000000-0005-0000-0000-000002150000}"/>
    <cellStyle name="Calculation 2 5 7 21" xfId="36635" xr:uid="{00000000-0005-0000-0000-000003150000}"/>
    <cellStyle name="Calculation 2 5 7 3" xfId="16099" xr:uid="{00000000-0005-0000-0000-000004150000}"/>
    <cellStyle name="Calculation 2 5 7 4" xfId="17077" xr:uid="{00000000-0005-0000-0000-000005150000}"/>
    <cellStyle name="Calculation 2 5 7 5" xfId="18105" xr:uid="{00000000-0005-0000-0000-000006150000}"/>
    <cellStyle name="Calculation 2 5 7 6" xfId="19137" xr:uid="{00000000-0005-0000-0000-000007150000}"/>
    <cellStyle name="Calculation 2 5 7 7" xfId="20159" xr:uid="{00000000-0005-0000-0000-000008150000}"/>
    <cellStyle name="Calculation 2 5 7 8" xfId="21168" xr:uid="{00000000-0005-0000-0000-000009150000}"/>
    <cellStyle name="Calculation 2 5 7 9" xfId="22142" xr:uid="{00000000-0005-0000-0000-00000A150000}"/>
    <cellStyle name="Calculation 2 5 8" xfId="820" xr:uid="{00000000-0005-0000-0000-00000B150000}"/>
    <cellStyle name="Calculation 2 5 8 10" xfId="23149" xr:uid="{00000000-0005-0000-0000-00000C150000}"/>
    <cellStyle name="Calculation 2 5 8 11" xfId="24121" xr:uid="{00000000-0005-0000-0000-00000D150000}"/>
    <cellStyle name="Calculation 2 5 8 12" xfId="25120" xr:uid="{00000000-0005-0000-0000-00000E150000}"/>
    <cellStyle name="Calculation 2 5 8 13" xfId="28065" xr:uid="{00000000-0005-0000-0000-00000F150000}"/>
    <cellStyle name="Calculation 2 5 8 14" xfId="29034" xr:uid="{00000000-0005-0000-0000-000010150000}"/>
    <cellStyle name="Calculation 2 5 8 15" xfId="30073" xr:uid="{00000000-0005-0000-0000-000011150000}"/>
    <cellStyle name="Calculation 2 5 8 16" xfId="31066" xr:uid="{00000000-0005-0000-0000-000012150000}"/>
    <cellStyle name="Calculation 2 5 8 17" xfId="32075" xr:uid="{00000000-0005-0000-0000-000013150000}"/>
    <cellStyle name="Calculation 2 5 8 18" xfId="33078" xr:uid="{00000000-0005-0000-0000-000014150000}"/>
    <cellStyle name="Calculation 2 5 8 19" xfId="34077" xr:uid="{00000000-0005-0000-0000-000015150000}"/>
    <cellStyle name="Calculation 2 5 8 2" xfId="821" xr:uid="{00000000-0005-0000-0000-000016150000}"/>
    <cellStyle name="Calculation 2 5 8 2 10" xfId="24122" xr:uid="{00000000-0005-0000-0000-000017150000}"/>
    <cellStyle name="Calculation 2 5 8 2 11" xfId="25121" xr:uid="{00000000-0005-0000-0000-000018150000}"/>
    <cellStyle name="Calculation 2 5 8 2 12" xfId="28066" xr:uid="{00000000-0005-0000-0000-000019150000}"/>
    <cellStyle name="Calculation 2 5 8 2 13" xfId="29035" xr:uid="{00000000-0005-0000-0000-00001A150000}"/>
    <cellStyle name="Calculation 2 5 8 2 14" xfId="30074" xr:uid="{00000000-0005-0000-0000-00001B150000}"/>
    <cellStyle name="Calculation 2 5 8 2 15" xfId="31067" xr:uid="{00000000-0005-0000-0000-00001C150000}"/>
    <cellStyle name="Calculation 2 5 8 2 16" xfId="32076" xr:uid="{00000000-0005-0000-0000-00001D150000}"/>
    <cellStyle name="Calculation 2 5 8 2 17" xfId="33079" xr:uid="{00000000-0005-0000-0000-00001E150000}"/>
    <cellStyle name="Calculation 2 5 8 2 18" xfId="34078" xr:uid="{00000000-0005-0000-0000-00001F150000}"/>
    <cellStyle name="Calculation 2 5 8 2 19" xfId="35699" xr:uid="{00000000-0005-0000-0000-000020150000}"/>
    <cellStyle name="Calculation 2 5 8 2 2" xfId="16102" xr:uid="{00000000-0005-0000-0000-000021150000}"/>
    <cellStyle name="Calculation 2 5 8 2 20" xfId="36638" xr:uid="{00000000-0005-0000-0000-000022150000}"/>
    <cellStyle name="Calculation 2 5 8 2 3" xfId="17080" xr:uid="{00000000-0005-0000-0000-000023150000}"/>
    <cellStyle name="Calculation 2 5 8 2 4" xfId="18108" xr:uid="{00000000-0005-0000-0000-000024150000}"/>
    <cellStyle name="Calculation 2 5 8 2 5" xfId="19140" xr:uid="{00000000-0005-0000-0000-000025150000}"/>
    <cellStyle name="Calculation 2 5 8 2 6" xfId="20162" xr:uid="{00000000-0005-0000-0000-000026150000}"/>
    <cellStyle name="Calculation 2 5 8 2 7" xfId="21171" xr:uid="{00000000-0005-0000-0000-000027150000}"/>
    <cellStyle name="Calculation 2 5 8 2 8" xfId="22145" xr:uid="{00000000-0005-0000-0000-000028150000}"/>
    <cellStyle name="Calculation 2 5 8 2 9" xfId="23150" xr:uid="{00000000-0005-0000-0000-000029150000}"/>
    <cellStyle name="Calculation 2 5 8 20" xfId="35698" xr:uid="{00000000-0005-0000-0000-00002A150000}"/>
    <cellStyle name="Calculation 2 5 8 21" xfId="36637" xr:uid="{00000000-0005-0000-0000-00002B150000}"/>
    <cellStyle name="Calculation 2 5 8 3" xfId="16101" xr:uid="{00000000-0005-0000-0000-00002C150000}"/>
    <cellStyle name="Calculation 2 5 8 4" xfId="17079" xr:uid="{00000000-0005-0000-0000-00002D150000}"/>
    <cellStyle name="Calculation 2 5 8 5" xfId="18107" xr:uid="{00000000-0005-0000-0000-00002E150000}"/>
    <cellStyle name="Calculation 2 5 8 6" xfId="19139" xr:uid="{00000000-0005-0000-0000-00002F150000}"/>
    <cellStyle name="Calculation 2 5 8 7" xfId="20161" xr:uid="{00000000-0005-0000-0000-000030150000}"/>
    <cellStyle name="Calculation 2 5 8 8" xfId="21170" xr:uid="{00000000-0005-0000-0000-000031150000}"/>
    <cellStyle name="Calculation 2 5 8 9" xfId="22144" xr:uid="{00000000-0005-0000-0000-000032150000}"/>
    <cellStyle name="Calculation 2 5 9" xfId="822" xr:uid="{00000000-0005-0000-0000-000033150000}"/>
    <cellStyle name="Calculation 2 5 9 10" xfId="24123" xr:uid="{00000000-0005-0000-0000-000034150000}"/>
    <cellStyle name="Calculation 2 5 9 11" xfId="25122" xr:uid="{00000000-0005-0000-0000-000035150000}"/>
    <cellStyle name="Calculation 2 5 9 12" xfId="28067" xr:uid="{00000000-0005-0000-0000-000036150000}"/>
    <cellStyle name="Calculation 2 5 9 13" xfId="29036" xr:uid="{00000000-0005-0000-0000-000037150000}"/>
    <cellStyle name="Calculation 2 5 9 14" xfId="30075" xr:uid="{00000000-0005-0000-0000-000038150000}"/>
    <cellStyle name="Calculation 2 5 9 15" xfId="31068" xr:uid="{00000000-0005-0000-0000-000039150000}"/>
    <cellStyle name="Calculation 2 5 9 16" xfId="32077" xr:uid="{00000000-0005-0000-0000-00003A150000}"/>
    <cellStyle name="Calculation 2 5 9 17" xfId="33080" xr:uid="{00000000-0005-0000-0000-00003B150000}"/>
    <cellStyle name="Calculation 2 5 9 18" xfId="34079" xr:uid="{00000000-0005-0000-0000-00003C150000}"/>
    <cellStyle name="Calculation 2 5 9 19" xfId="35700" xr:uid="{00000000-0005-0000-0000-00003D150000}"/>
    <cellStyle name="Calculation 2 5 9 2" xfId="16103" xr:uid="{00000000-0005-0000-0000-00003E150000}"/>
    <cellStyle name="Calculation 2 5 9 20" xfId="36639" xr:uid="{00000000-0005-0000-0000-00003F150000}"/>
    <cellStyle name="Calculation 2 5 9 3" xfId="17081" xr:uid="{00000000-0005-0000-0000-000040150000}"/>
    <cellStyle name="Calculation 2 5 9 4" xfId="18109" xr:uid="{00000000-0005-0000-0000-000041150000}"/>
    <cellStyle name="Calculation 2 5 9 5" xfId="19141" xr:uid="{00000000-0005-0000-0000-000042150000}"/>
    <cellStyle name="Calculation 2 5 9 6" xfId="20163" xr:uid="{00000000-0005-0000-0000-000043150000}"/>
    <cellStyle name="Calculation 2 5 9 7" xfId="21172" xr:uid="{00000000-0005-0000-0000-000044150000}"/>
    <cellStyle name="Calculation 2 5 9 8" xfId="22146" xr:uid="{00000000-0005-0000-0000-000045150000}"/>
    <cellStyle name="Calculation 2 5 9 9" xfId="23151" xr:uid="{00000000-0005-0000-0000-000046150000}"/>
    <cellStyle name="Calculation 2 6" xfId="823" xr:uid="{00000000-0005-0000-0000-000047150000}"/>
    <cellStyle name="Calculation 2 6 10" xfId="13527" xr:uid="{00000000-0005-0000-0000-000048150000}"/>
    <cellStyle name="Calculation 2 6 11" xfId="13402" xr:uid="{00000000-0005-0000-0000-000049150000}"/>
    <cellStyle name="Calculation 2 6 12" xfId="15503" xr:uid="{00000000-0005-0000-0000-00004A150000}"/>
    <cellStyle name="Calculation 2 6 13" xfId="15757" xr:uid="{00000000-0005-0000-0000-00004B150000}"/>
    <cellStyle name="Calculation 2 6 14" xfId="14103" xr:uid="{00000000-0005-0000-0000-00004C150000}"/>
    <cellStyle name="Calculation 2 6 15" xfId="14287" xr:uid="{00000000-0005-0000-0000-00004D150000}"/>
    <cellStyle name="Calculation 2 6 16" xfId="26513" xr:uid="{00000000-0005-0000-0000-00004E150000}"/>
    <cellStyle name="Calculation 2 6 17" xfId="27669" xr:uid="{00000000-0005-0000-0000-00004F150000}"/>
    <cellStyle name="Calculation 2 6 18" xfId="26583" xr:uid="{00000000-0005-0000-0000-000050150000}"/>
    <cellStyle name="Calculation 2 6 19" xfId="27013" xr:uid="{00000000-0005-0000-0000-000051150000}"/>
    <cellStyle name="Calculation 2 6 2" xfId="824" xr:uid="{00000000-0005-0000-0000-000052150000}"/>
    <cellStyle name="Calculation 2 6 2 10" xfId="23152" xr:uid="{00000000-0005-0000-0000-000053150000}"/>
    <cellStyle name="Calculation 2 6 2 11" xfId="24124" xr:uid="{00000000-0005-0000-0000-000054150000}"/>
    <cellStyle name="Calculation 2 6 2 12" xfId="25123" xr:uid="{00000000-0005-0000-0000-000055150000}"/>
    <cellStyle name="Calculation 2 6 2 13" xfId="28068" xr:uid="{00000000-0005-0000-0000-000056150000}"/>
    <cellStyle name="Calculation 2 6 2 14" xfId="29037" xr:uid="{00000000-0005-0000-0000-000057150000}"/>
    <cellStyle name="Calculation 2 6 2 15" xfId="30076" xr:uid="{00000000-0005-0000-0000-000058150000}"/>
    <cellStyle name="Calculation 2 6 2 16" xfId="31069" xr:uid="{00000000-0005-0000-0000-000059150000}"/>
    <cellStyle name="Calculation 2 6 2 17" xfId="32078" xr:uid="{00000000-0005-0000-0000-00005A150000}"/>
    <cellStyle name="Calculation 2 6 2 18" xfId="33081" xr:uid="{00000000-0005-0000-0000-00005B150000}"/>
    <cellStyle name="Calculation 2 6 2 19" xfId="34080" xr:uid="{00000000-0005-0000-0000-00005C150000}"/>
    <cellStyle name="Calculation 2 6 2 2" xfId="825" xr:uid="{00000000-0005-0000-0000-00005D150000}"/>
    <cellStyle name="Calculation 2 6 2 2 10" xfId="24125" xr:uid="{00000000-0005-0000-0000-00005E150000}"/>
    <cellStyle name="Calculation 2 6 2 2 11" xfId="25124" xr:uid="{00000000-0005-0000-0000-00005F150000}"/>
    <cellStyle name="Calculation 2 6 2 2 12" xfId="28069" xr:uid="{00000000-0005-0000-0000-000060150000}"/>
    <cellStyle name="Calculation 2 6 2 2 13" xfId="29038" xr:uid="{00000000-0005-0000-0000-000061150000}"/>
    <cellStyle name="Calculation 2 6 2 2 14" xfId="30077" xr:uid="{00000000-0005-0000-0000-000062150000}"/>
    <cellStyle name="Calculation 2 6 2 2 15" xfId="31070" xr:uid="{00000000-0005-0000-0000-000063150000}"/>
    <cellStyle name="Calculation 2 6 2 2 16" xfId="32079" xr:uid="{00000000-0005-0000-0000-000064150000}"/>
    <cellStyle name="Calculation 2 6 2 2 17" xfId="33082" xr:uid="{00000000-0005-0000-0000-000065150000}"/>
    <cellStyle name="Calculation 2 6 2 2 18" xfId="34081" xr:uid="{00000000-0005-0000-0000-000066150000}"/>
    <cellStyle name="Calculation 2 6 2 2 19" xfId="35702" xr:uid="{00000000-0005-0000-0000-000067150000}"/>
    <cellStyle name="Calculation 2 6 2 2 2" xfId="16105" xr:uid="{00000000-0005-0000-0000-000068150000}"/>
    <cellStyle name="Calculation 2 6 2 2 20" xfId="36641" xr:uid="{00000000-0005-0000-0000-000069150000}"/>
    <cellStyle name="Calculation 2 6 2 2 3" xfId="17083" xr:uid="{00000000-0005-0000-0000-00006A150000}"/>
    <cellStyle name="Calculation 2 6 2 2 4" xfId="18111" xr:uid="{00000000-0005-0000-0000-00006B150000}"/>
    <cellStyle name="Calculation 2 6 2 2 5" xfId="19143" xr:uid="{00000000-0005-0000-0000-00006C150000}"/>
    <cellStyle name="Calculation 2 6 2 2 6" xfId="20165" xr:uid="{00000000-0005-0000-0000-00006D150000}"/>
    <cellStyle name="Calculation 2 6 2 2 7" xfId="21174" xr:uid="{00000000-0005-0000-0000-00006E150000}"/>
    <cellStyle name="Calculation 2 6 2 2 8" xfId="22148" xr:uid="{00000000-0005-0000-0000-00006F150000}"/>
    <cellStyle name="Calculation 2 6 2 2 9" xfId="23153" xr:uid="{00000000-0005-0000-0000-000070150000}"/>
    <cellStyle name="Calculation 2 6 2 20" xfId="35701" xr:uid="{00000000-0005-0000-0000-000071150000}"/>
    <cellStyle name="Calculation 2 6 2 21" xfId="36640" xr:uid="{00000000-0005-0000-0000-000072150000}"/>
    <cellStyle name="Calculation 2 6 2 3" xfId="16104" xr:uid="{00000000-0005-0000-0000-000073150000}"/>
    <cellStyle name="Calculation 2 6 2 4" xfId="17082" xr:uid="{00000000-0005-0000-0000-000074150000}"/>
    <cellStyle name="Calculation 2 6 2 5" xfId="18110" xr:uid="{00000000-0005-0000-0000-000075150000}"/>
    <cellStyle name="Calculation 2 6 2 6" xfId="19142" xr:uid="{00000000-0005-0000-0000-000076150000}"/>
    <cellStyle name="Calculation 2 6 2 7" xfId="20164" xr:uid="{00000000-0005-0000-0000-000077150000}"/>
    <cellStyle name="Calculation 2 6 2 8" xfId="21173" xr:uid="{00000000-0005-0000-0000-000078150000}"/>
    <cellStyle name="Calculation 2 6 2 9" xfId="22147" xr:uid="{00000000-0005-0000-0000-000079150000}"/>
    <cellStyle name="Calculation 2 6 20" xfId="26838" xr:uid="{00000000-0005-0000-0000-00007A150000}"/>
    <cellStyle name="Calculation 2 6 21" xfId="27610" xr:uid="{00000000-0005-0000-0000-00007B150000}"/>
    <cellStyle name="Calculation 2 6 22" xfId="26989" xr:uid="{00000000-0005-0000-0000-00007C150000}"/>
    <cellStyle name="Calculation 2 6 23" xfId="35184" xr:uid="{00000000-0005-0000-0000-00007D150000}"/>
    <cellStyle name="Calculation 2 6 24" xfId="35392" xr:uid="{00000000-0005-0000-0000-00007E150000}"/>
    <cellStyle name="Calculation 2 6 3" xfId="826" xr:uid="{00000000-0005-0000-0000-00007F150000}"/>
    <cellStyle name="Calculation 2 6 3 10" xfId="23154" xr:uid="{00000000-0005-0000-0000-000080150000}"/>
    <cellStyle name="Calculation 2 6 3 11" xfId="24126" xr:uid="{00000000-0005-0000-0000-000081150000}"/>
    <cellStyle name="Calculation 2 6 3 12" xfId="25125" xr:uid="{00000000-0005-0000-0000-000082150000}"/>
    <cellStyle name="Calculation 2 6 3 13" xfId="28070" xr:uid="{00000000-0005-0000-0000-000083150000}"/>
    <cellStyle name="Calculation 2 6 3 14" xfId="29039" xr:uid="{00000000-0005-0000-0000-000084150000}"/>
    <cellStyle name="Calculation 2 6 3 15" xfId="30078" xr:uid="{00000000-0005-0000-0000-000085150000}"/>
    <cellStyle name="Calculation 2 6 3 16" xfId="31071" xr:uid="{00000000-0005-0000-0000-000086150000}"/>
    <cellStyle name="Calculation 2 6 3 17" xfId="32080" xr:uid="{00000000-0005-0000-0000-000087150000}"/>
    <cellStyle name="Calculation 2 6 3 18" xfId="33083" xr:uid="{00000000-0005-0000-0000-000088150000}"/>
    <cellStyle name="Calculation 2 6 3 19" xfId="34082" xr:uid="{00000000-0005-0000-0000-000089150000}"/>
    <cellStyle name="Calculation 2 6 3 2" xfId="827" xr:uid="{00000000-0005-0000-0000-00008A150000}"/>
    <cellStyle name="Calculation 2 6 3 2 10" xfId="24127" xr:uid="{00000000-0005-0000-0000-00008B150000}"/>
    <cellStyle name="Calculation 2 6 3 2 11" xfId="25126" xr:uid="{00000000-0005-0000-0000-00008C150000}"/>
    <cellStyle name="Calculation 2 6 3 2 12" xfId="28071" xr:uid="{00000000-0005-0000-0000-00008D150000}"/>
    <cellStyle name="Calculation 2 6 3 2 13" xfId="29040" xr:uid="{00000000-0005-0000-0000-00008E150000}"/>
    <cellStyle name="Calculation 2 6 3 2 14" xfId="30079" xr:uid="{00000000-0005-0000-0000-00008F150000}"/>
    <cellStyle name="Calculation 2 6 3 2 15" xfId="31072" xr:uid="{00000000-0005-0000-0000-000090150000}"/>
    <cellStyle name="Calculation 2 6 3 2 16" xfId="32081" xr:uid="{00000000-0005-0000-0000-000091150000}"/>
    <cellStyle name="Calculation 2 6 3 2 17" xfId="33084" xr:uid="{00000000-0005-0000-0000-000092150000}"/>
    <cellStyle name="Calculation 2 6 3 2 18" xfId="34083" xr:uid="{00000000-0005-0000-0000-000093150000}"/>
    <cellStyle name="Calculation 2 6 3 2 19" xfId="35704" xr:uid="{00000000-0005-0000-0000-000094150000}"/>
    <cellStyle name="Calculation 2 6 3 2 2" xfId="16107" xr:uid="{00000000-0005-0000-0000-000095150000}"/>
    <cellStyle name="Calculation 2 6 3 2 20" xfId="36643" xr:uid="{00000000-0005-0000-0000-000096150000}"/>
    <cellStyle name="Calculation 2 6 3 2 3" xfId="17085" xr:uid="{00000000-0005-0000-0000-000097150000}"/>
    <cellStyle name="Calculation 2 6 3 2 4" xfId="18113" xr:uid="{00000000-0005-0000-0000-000098150000}"/>
    <cellStyle name="Calculation 2 6 3 2 5" xfId="19145" xr:uid="{00000000-0005-0000-0000-000099150000}"/>
    <cellStyle name="Calculation 2 6 3 2 6" xfId="20167" xr:uid="{00000000-0005-0000-0000-00009A150000}"/>
    <cellStyle name="Calculation 2 6 3 2 7" xfId="21176" xr:uid="{00000000-0005-0000-0000-00009B150000}"/>
    <cellStyle name="Calculation 2 6 3 2 8" xfId="22150" xr:uid="{00000000-0005-0000-0000-00009C150000}"/>
    <cellStyle name="Calculation 2 6 3 2 9" xfId="23155" xr:uid="{00000000-0005-0000-0000-00009D150000}"/>
    <cellStyle name="Calculation 2 6 3 20" xfId="35703" xr:uid="{00000000-0005-0000-0000-00009E150000}"/>
    <cellStyle name="Calculation 2 6 3 21" xfId="36642" xr:uid="{00000000-0005-0000-0000-00009F150000}"/>
    <cellStyle name="Calculation 2 6 3 3" xfId="16106" xr:uid="{00000000-0005-0000-0000-0000A0150000}"/>
    <cellStyle name="Calculation 2 6 3 4" xfId="17084" xr:uid="{00000000-0005-0000-0000-0000A1150000}"/>
    <cellStyle name="Calculation 2 6 3 5" xfId="18112" xr:uid="{00000000-0005-0000-0000-0000A2150000}"/>
    <cellStyle name="Calculation 2 6 3 6" xfId="19144" xr:uid="{00000000-0005-0000-0000-0000A3150000}"/>
    <cellStyle name="Calculation 2 6 3 7" xfId="20166" xr:uid="{00000000-0005-0000-0000-0000A4150000}"/>
    <cellStyle name="Calculation 2 6 3 8" xfId="21175" xr:uid="{00000000-0005-0000-0000-0000A5150000}"/>
    <cellStyle name="Calculation 2 6 3 9" xfId="22149" xr:uid="{00000000-0005-0000-0000-0000A6150000}"/>
    <cellStyle name="Calculation 2 6 4" xfId="828" xr:uid="{00000000-0005-0000-0000-0000A7150000}"/>
    <cellStyle name="Calculation 2 6 4 10" xfId="23156" xr:uid="{00000000-0005-0000-0000-0000A8150000}"/>
    <cellStyle name="Calculation 2 6 4 11" xfId="24128" xr:uid="{00000000-0005-0000-0000-0000A9150000}"/>
    <cellStyle name="Calculation 2 6 4 12" xfId="25127" xr:uid="{00000000-0005-0000-0000-0000AA150000}"/>
    <cellStyle name="Calculation 2 6 4 13" xfId="28072" xr:uid="{00000000-0005-0000-0000-0000AB150000}"/>
    <cellStyle name="Calculation 2 6 4 14" xfId="29041" xr:uid="{00000000-0005-0000-0000-0000AC150000}"/>
    <cellStyle name="Calculation 2 6 4 15" xfId="30080" xr:uid="{00000000-0005-0000-0000-0000AD150000}"/>
    <cellStyle name="Calculation 2 6 4 16" xfId="31073" xr:uid="{00000000-0005-0000-0000-0000AE150000}"/>
    <cellStyle name="Calculation 2 6 4 17" xfId="32082" xr:uid="{00000000-0005-0000-0000-0000AF150000}"/>
    <cellStyle name="Calculation 2 6 4 18" xfId="33085" xr:uid="{00000000-0005-0000-0000-0000B0150000}"/>
    <cellStyle name="Calculation 2 6 4 19" xfId="34084" xr:uid="{00000000-0005-0000-0000-0000B1150000}"/>
    <cellStyle name="Calculation 2 6 4 2" xfId="829" xr:uid="{00000000-0005-0000-0000-0000B2150000}"/>
    <cellStyle name="Calculation 2 6 4 2 10" xfId="24129" xr:uid="{00000000-0005-0000-0000-0000B3150000}"/>
    <cellStyle name="Calculation 2 6 4 2 11" xfId="25128" xr:uid="{00000000-0005-0000-0000-0000B4150000}"/>
    <cellStyle name="Calculation 2 6 4 2 12" xfId="28073" xr:uid="{00000000-0005-0000-0000-0000B5150000}"/>
    <cellStyle name="Calculation 2 6 4 2 13" xfId="29042" xr:uid="{00000000-0005-0000-0000-0000B6150000}"/>
    <cellStyle name="Calculation 2 6 4 2 14" xfId="30081" xr:uid="{00000000-0005-0000-0000-0000B7150000}"/>
    <cellStyle name="Calculation 2 6 4 2 15" xfId="31074" xr:uid="{00000000-0005-0000-0000-0000B8150000}"/>
    <cellStyle name="Calculation 2 6 4 2 16" xfId="32083" xr:uid="{00000000-0005-0000-0000-0000B9150000}"/>
    <cellStyle name="Calculation 2 6 4 2 17" xfId="33086" xr:uid="{00000000-0005-0000-0000-0000BA150000}"/>
    <cellStyle name="Calculation 2 6 4 2 18" xfId="34085" xr:uid="{00000000-0005-0000-0000-0000BB150000}"/>
    <cellStyle name="Calculation 2 6 4 2 19" xfId="35706" xr:uid="{00000000-0005-0000-0000-0000BC150000}"/>
    <cellStyle name="Calculation 2 6 4 2 2" xfId="16109" xr:uid="{00000000-0005-0000-0000-0000BD150000}"/>
    <cellStyle name="Calculation 2 6 4 2 20" xfId="36645" xr:uid="{00000000-0005-0000-0000-0000BE150000}"/>
    <cellStyle name="Calculation 2 6 4 2 3" xfId="17087" xr:uid="{00000000-0005-0000-0000-0000BF150000}"/>
    <cellStyle name="Calculation 2 6 4 2 4" xfId="18115" xr:uid="{00000000-0005-0000-0000-0000C0150000}"/>
    <cellStyle name="Calculation 2 6 4 2 5" xfId="19147" xr:uid="{00000000-0005-0000-0000-0000C1150000}"/>
    <cellStyle name="Calculation 2 6 4 2 6" xfId="20169" xr:uid="{00000000-0005-0000-0000-0000C2150000}"/>
    <cellStyle name="Calculation 2 6 4 2 7" xfId="21178" xr:uid="{00000000-0005-0000-0000-0000C3150000}"/>
    <cellStyle name="Calculation 2 6 4 2 8" xfId="22152" xr:uid="{00000000-0005-0000-0000-0000C4150000}"/>
    <cellStyle name="Calculation 2 6 4 2 9" xfId="23157" xr:uid="{00000000-0005-0000-0000-0000C5150000}"/>
    <cellStyle name="Calculation 2 6 4 20" xfId="35705" xr:uid="{00000000-0005-0000-0000-0000C6150000}"/>
    <cellStyle name="Calculation 2 6 4 21" xfId="36644" xr:uid="{00000000-0005-0000-0000-0000C7150000}"/>
    <cellStyle name="Calculation 2 6 4 3" xfId="16108" xr:uid="{00000000-0005-0000-0000-0000C8150000}"/>
    <cellStyle name="Calculation 2 6 4 4" xfId="17086" xr:uid="{00000000-0005-0000-0000-0000C9150000}"/>
    <cellStyle name="Calculation 2 6 4 5" xfId="18114" xr:uid="{00000000-0005-0000-0000-0000CA150000}"/>
    <cellStyle name="Calculation 2 6 4 6" xfId="19146" xr:uid="{00000000-0005-0000-0000-0000CB150000}"/>
    <cellStyle name="Calculation 2 6 4 7" xfId="20168" xr:uid="{00000000-0005-0000-0000-0000CC150000}"/>
    <cellStyle name="Calculation 2 6 4 8" xfId="21177" xr:uid="{00000000-0005-0000-0000-0000CD150000}"/>
    <cellStyle name="Calculation 2 6 4 9" xfId="22151" xr:uid="{00000000-0005-0000-0000-0000CE150000}"/>
    <cellStyle name="Calculation 2 6 5" xfId="830" xr:uid="{00000000-0005-0000-0000-0000CF150000}"/>
    <cellStyle name="Calculation 2 6 5 10" xfId="24130" xr:uid="{00000000-0005-0000-0000-0000D0150000}"/>
    <cellStyle name="Calculation 2 6 5 11" xfId="25129" xr:uid="{00000000-0005-0000-0000-0000D1150000}"/>
    <cellStyle name="Calculation 2 6 5 12" xfId="28074" xr:uid="{00000000-0005-0000-0000-0000D2150000}"/>
    <cellStyle name="Calculation 2 6 5 13" xfId="29043" xr:uid="{00000000-0005-0000-0000-0000D3150000}"/>
    <cellStyle name="Calculation 2 6 5 14" xfId="30082" xr:uid="{00000000-0005-0000-0000-0000D4150000}"/>
    <cellStyle name="Calculation 2 6 5 15" xfId="31075" xr:uid="{00000000-0005-0000-0000-0000D5150000}"/>
    <cellStyle name="Calculation 2 6 5 16" xfId="32084" xr:uid="{00000000-0005-0000-0000-0000D6150000}"/>
    <cellStyle name="Calculation 2 6 5 17" xfId="33087" xr:uid="{00000000-0005-0000-0000-0000D7150000}"/>
    <cellStyle name="Calculation 2 6 5 18" xfId="34086" xr:uid="{00000000-0005-0000-0000-0000D8150000}"/>
    <cellStyle name="Calculation 2 6 5 19" xfId="35707" xr:uid="{00000000-0005-0000-0000-0000D9150000}"/>
    <cellStyle name="Calculation 2 6 5 2" xfId="16110" xr:uid="{00000000-0005-0000-0000-0000DA150000}"/>
    <cellStyle name="Calculation 2 6 5 20" xfId="36646" xr:uid="{00000000-0005-0000-0000-0000DB150000}"/>
    <cellStyle name="Calculation 2 6 5 3" xfId="17088" xr:uid="{00000000-0005-0000-0000-0000DC150000}"/>
    <cellStyle name="Calculation 2 6 5 4" xfId="18116" xr:uid="{00000000-0005-0000-0000-0000DD150000}"/>
    <cellStyle name="Calculation 2 6 5 5" xfId="19148" xr:uid="{00000000-0005-0000-0000-0000DE150000}"/>
    <cellStyle name="Calculation 2 6 5 6" xfId="20170" xr:uid="{00000000-0005-0000-0000-0000DF150000}"/>
    <cellStyle name="Calculation 2 6 5 7" xfId="21179" xr:uid="{00000000-0005-0000-0000-0000E0150000}"/>
    <cellStyle name="Calculation 2 6 5 8" xfId="22153" xr:uid="{00000000-0005-0000-0000-0000E1150000}"/>
    <cellStyle name="Calculation 2 6 5 9" xfId="23158" xr:uid="{00000000-0005-0000-0000-0000E2150000}"/>
    <cellStyle name="Calculation 2 6 6" xfId="13952" xr:uid="{00000000-0005-0000-0000-0000E3150000}"/>
    <cellStyle name="Calculation 2 6 7" xfId="14825" xr:uid="{00000000-0005-0000-0000-0000E4150000}"/>
    <cellStyle name="Calculation 2 6 8" xfId="13495" xr:uid="{00000000-0005-0000-0000-0000E5150000}"/>
    <cellStyle name="Calculation 2 6 9" xfId="13394" xr:uid="{00000000-0005-0000-0000-0000E6150000}"/>
    <cellStyle name="Calculation 2 7" xfId="831" xr:uid="{00000000-0005-0000-0000-0000E7150000}"/>
    <cellStyle name="Calculation 2 7 10" xfId="23159" xr:uid="{00000000-0005-0000-0000-0000E8150000}"/>
    <cellStyle name="Calculation 2 7 11" xfId="24131" xr:uid="{00000000-0005-0000-0000-0000E9150000}"/>
    <cellStyle name="Calculation 2 7 12" xfId="25130" xr:uid="{00000000-0005-0000-0000-0000EA150000}"/>
    <cellStyle name="Calculation 2 7 13" xfId="28075" xr:uid="{00000000-0005-0000-0000-0000EB150000}"/>
    <cellStyle name="Calculation 2 7 14" xfId="29044" xr:uid="{00000000-0005-0000-0000-0000EC150000}"/>
    <cellStyle name="Calculation 2 7 15" xfId="30083" xr:uid="{00000000-0005-0000-0000-0000ED150000}"/>
    <cellStyle name="Calculation 2 7 16" xfId="31076" xr:uid="{00000000-0005-0000-0000-0000EE150000}"/>
    <cellStyle name="Calculation 2 7 17" xfId="32085" xr:uid="{00000000-0005-0000-0000-0000EF150000}"/>
    <cellStyle name="Calculation 2 7 18" xfId="33088" xr:uid="{00000000-0005-0000-0000-0000F0150000}"/>
    <cellStyle name="Calculation 2 7 19" xfId="34087" xr:uid="{00000000-0005-0000-0000-0000F1150000}"/>
    <cellStyle name="Calculation 2 7 2" xfId="832" xr:uid="{00000000-0005-0000-0000-0000F2150000}"/>
    <cellStyle name="Calculation 2 7 2 10" xfId="24132" xr:uid="{00000000-0005-0000-0000-0000F3150000}"/>
    <cellStyle name="Calculation 2 7 2 11" xfId="25131" xr:uid="{00000000-0005-0000-0000-0000F4150000}"/>
    <cellStyle name="Calculation 2 7 2 12" xfId="28076" xr:uid="{00000000-0005-0000-0000-0000F5150000}"/>
    <cellStyle name="Calculation 2 7 2 13" xfId="29045" xr:uid="{00000000-0005-0000-0000-0000F6150000}"/>
    <cellStyle name="Calculation 2 7 2 14" xfId="30084" xr:uid="{00000000-0005-0000-0000-0000F7150000}"/>
    <cellStyle name="Calculation 2 7 2 15" xfId="31077" xr:uid="{00000000-0005-0000-0000-0000F8150000}"/>
    <cellStyle name="Calculation 2 7 2 16" xfId="32086" xr:uid="{00000000-0005-0000-0000-0000F9150000}"/>
    <cellStyle name="Calculation 2 7 2 17" xfId="33089" xr:uid="{00000000-0005-0000-0000-0000FA150000}"/>
    <cellStyle name="Calculation 2 7 2 18" xfId="34088" xr:uid="{00000000-0005-0000-0000-0000FB150000}"/>
    <cellStyle name="Calculation 2 7 2 19" xfId="35709" xr:uid="{00000000-0005-0000-0000-0000FC150000}"/>
    <cellStyle name="Calculation 2 7 2 2" xfId="16112" xr:uid="{00000000-0005-0000-0000-0000FD150000}"/>
    <cellStyle name="Calculation 2 7 2 20" xfId="36648" xr:uid="{00000000-0005-0000-0000-0000FE150000}"/>
    <cellStyle name="Calculation 2 7 2 3" xfId="17090" xr:uid="{00000000-0005-0000-0000-0000FF150000}"/>
    <cellStyle name="Calculation 2 7 2 4" xfId="18118" xr:uid="{00000000-0005-0000-0000-000000160000}"/>
    <cellStyle name="Calculation 2 7 2 5" xfId="19150" xr:uid="{00000000-0005-0000-0000-000001160000}"/>
    <cellStyle name="Calculation 2 7 2 6" xfId="20172" xr:uid="{00000000-0005-0000-0000-000002160000}"/>
    <cellStyle name="Calculation 2 7 2 7" xfId="21181" xr:uid="{00000000-0005-0000-0000-000003160000}"/>
    <cellStyle name="Calculation 2 7 2 8" xfId="22155" xr:uid="{00000000-0005-0000-0000-000004160000}"/>
    <cellStyle name="Calculation 2 7 2 9" xfId="23160" xr:uid="{00000000-0005-0000-0000-000005160000}"/>
    <cellStyle name="Calculation 2 7 20" xfId="35708" xr:uid="{00000000-0005-0000-0000-000006160000}"/>
    <cellStyle name="Calculation 2 7 21" xfId="36647" xr:uid="{00000000-0005-0000-0000-000007160000}"/>
    <cellStyle name="Calculation 2 7 3" xfId="16111" xr:uid="{00000000-0005-0000-0000-000008160000}"/>
    <cellStyle name="Calculation 2 7 4" xfId="17089" xr:uid="{00000000-0005-0000-0000-000009160000}"/>
    <cellStyle name="Calculation 2 7 5" xfId="18117" xr:uid="{00000000-0005-0000-0000-00000A160000}"/>
    <cellStyle name="Calculation 2 7 6" xfId="19149" xr:uid="{00000000-0005-0000-0000-00000B160000}"/>
    <cellStyle name="Calculation 2 7 7" xfId="20171" xr:uid="{00000000-0005-0000-0000-00000C160000}"/>
    <cellStyle name="Calculation 2 7 8" xfId="21180" xr:uid="{00000000-0005-0000-0000-00000D160000}"/>
    <cellStyle name="Calculation 2 7 9" xfId="22154" xr:uid="{00000000-0005-0000-0000-00000E160000}"/>
    <cellStyle name="Calculation 2 8" xfId="833" xr:uid="{00000000-0005-0000-0000-00000F160000}"/>
    <cellStyle name="Calculation 2 8 10" xfId="23161" xr:uid="{00000000-0005-0000-0000-000010160000}"/>
    <cellStyle name="Calculation 2 8 11" xfId="24133" xr:uid="{00000000-0005-0000-0000-000011160000}"/>
    <cellStyle name="Calculation 2 8 12" xfId="25132" xr:uid="{00000000-0005-0000-0000-000012160000}"/>
    <cellStyle name="Calculation 2 8 13" xfId="28077" xr:uid="{00000000-0005-0000-0000-000013160000}"/>
    <cellStyle name="Calculation 2 8 14" xfId="29046" xr:uid="{00000000-0005-0000-0000-000014160000}"/>
    <cellStyle name="Calculation 2 8 15" xfId="30085" xr:uid="{00000000-0005-0000-0000-000015160000}"/>
    <cellStyle name="Calculation 2 8 16" xfId="31078" xr:uid="{00000000-0005-0000-0000-000016160000}"/>
    <cellStyle name="Calculation 2 8 17" xfId="32087" xr:uid="{00000000-0005-0000-0000-000017160000}"/>
    <cellStyle name="Calculation 2 8 18" xfId="33090" xr:uid="{00000000-0005-0000-0000-000018160000}"/>
    <cellStyle name="Calculation 2 8 19" xfId="34089" xr:uid="{00000000-0005-0000-0000-000019160000}"/>
    <cellStyle name="Calculation 2 8 2" xfId="834" xr:uid="{00000000-0005-0000-0000-00001A160000}"/>
    <cellStyle name="Calculation 2 8 2 10" xfId="24134" xr:uid="{00000000-0005-0000-0000-00001B160000}"/>
    <cellStyle name="Calculation 2 8 2 11" xfId="25133" xr:uid="{00000000-0005-0000-0000-00001C160000}"/>
    <cellStyle name="Calculation 2 8 2 12" xfId="28078" xr:uid="{00000000-0005-0000-0000-00001D160000}"/>
    <cellStyle name="Calculation 2 8 2 13" xfId="29047" xr:uid="{00000000-0005-0000-0000-00001E160000}"/>
    <cellStyle name="Calculation 2 8 2 14" xfId="30086" xr:uid="{00000000-0005-0000-0000-00001F160000}"/>
    <cellStyle name="Calculation 2 8 2 15" xfId="31079" xr:uid="{00000000-0005-0000-0000-000020160000}"/>
    <cellStyle name="Calculation 2 8 2 16" xfId="32088" xr:uid="{00000000-0005-0000-0000-000021160000}"/>
    <cellStyle name="Calculation 2 8 2 17" xfId="33091" xr:uid="{00000000-0005-0000-0000-000022160000}"/>
    <cellStyle name="Calculation 2 8 2 18" xfId="34090" xr:uid="{00000000-0005-0000-0000-000023160000}"/>
    <cellStyle name="Calculation 2 8 2 19" xfId="35711" xr:uid="{00000000-0005-0000-0000-000024160000}"/>
    <cellStyle name="Calculation 2 8 2 2" xfId="16114" xr:uid="{00000000-0005-0000-0000-000025160000}"/>
    <cellStyle name="Calculation 2 8 2 20" xfId="36650" xr:uid="{00000000-0005-0000-0000-000026160000}"/>
    <cellStyle name="Calculation 2 8 2 3" xfId="17092" xr:uid="{00000000-0005-0000-0000-000027160000}"/>
    <cellStyle name="Calculation 2 8 2 4" xfId="18120" xr:uid="{00000000-0005-0000-0000-000028160000}"/>
    <cellStyle name="Calculation 2 8 2 5" xfId="19152" xr:uid="{00000000-0005-0000-0000-000029160000}"/>
    <cellStyle name="Calculation 2 8 2 6" xfId="20174" xr:uid="{00000000-0005-0000-0000-00002A160000}"/>
    <cellStyle name="Calculation 2 8 2 7" xfId="21183" xr:uid="{00000000-0005-0000-0000-00002B160000}"/>
    <cellStyle name="Calculation 2 8 2 8" xfId="22157" xr:uid="{00000000-0005-0000-0000-00002C160000}"/>
    <cellStyle name="Calculation 2 8 2 9" xfId="23162" xr:uid="{00000000-0005-0000-0000-00002D160000}"/>
    <cellStyle name="Calculation 2 8 20" xfId="35710" xr:uid="{00000000-0005-0000-0000-00002E160000}"/>
    <cellStyle name="Calculation 2 8 21" xfId="36649" xr:uid="{00000000-0005-0000-0000-00002F160000}"/>
    <cellStyle name="Calculation 2 8 3" xfId="16113" xr:uid="{00000000-0005-0000-0000-000030160000}"/>
    <cellStyle name="Calculation 2 8 4" xfId="17091" xr:uid="{00000000-0005-0000-0000-000031160000}"/>
    <cellStyle name="Calculation 2 8 5" xfId="18119" xr:uid="{00000000-0005-0000-0000-000032160000}"/>
    <cellStyle name="Calculation 2 8 6" xfId="19151" xr:uid="{00000000-0005-0000-0000-000033160000}"/>
    <cellStyle name="Calculation 2 8 7" xfId="20173" xr:uid="{00000000-0005-0000-0000-000034160000}"/>
    <cellStyle name="Calculation 2 8 8" xfId="21182" xr:uid="{00000000-0005-0000-0000-000035160000}"/>
    <cellStyle name="Calculation 2 8 9" xfId="22156" xr:uid="{00000000-0005-0000-0000-000036160000}"/>
    <cellStyle name="Calculation 2 9" xfId="835" xr:uid="{00000000-0005-0000-0000-000037160000}"/>
    <cellStyle name="Calculation 2 9 10" xfId="23163" xr:uid="{00000000-0005-0000-0000-000038160000}"/>
    <cellStyle name="Calculation 2 9 11" xfId="24135" xr:uid="{00000000-0005-0000-0000-000039160000}"/>
    <cellStyle name="Calculation 2 9 12" xfId="25134" xr:uid="{00000000-0005-0000-0000-00003A160000}"/>
    <cellStyle name="Calculation 2 9 13" xfId="28079" xr:uid="{00000000-0005-0000-0000-00003B160000}"/>
    <cellStyle name="Calculation 2 9 14" xfId="29048" xr:uid="{00000000-0005-0000-0000-00003C160000}"/>
    <cellStyle name="Calculation 2 9 15" xfId="30087" xr:uid="{00000000-0005-0000-0000-00003D160000}"/>
    <cellStyle name="Calculation 2 9 16" xfId="31080" xr:uid="{00000000-0005-0000-0000-00003E160000}"/>
    <cellStyle name="Calculation 2 9 17" xfId="32089" xr:uid="{00000000-0005-0000-0000-00003F160000}"/>
    <cellStyle name="Calculation 2 9 18" xfId="33092" xr:uid="{00000000-0005-0000-0000-000040160000}"/>
    <cellStyle name="Calculation 2 9 19" xfId="34091" xr:uid="{00000000-0005-0000-0000-000041160000}"/>
    <cellStyle name="Calculation 2 9 2" xfId="836" xr:uid="{00000000-0005-0000-0000-000042160000}"/>
    <cellStyle name="Calculation 2 9 2 10" xfId="24136" xr:uid="{00000000-0005-0000-0000-000043160000}"/>
    <cellStyle name="Calculation 2 9 2 11" xfId="25135" xr:uid="{00000000-0005-0000-0000-000044160000}"/>
    <cellStyle name="Calculation 2 9 2 12" xfId="28080" xr:uid="{00000000-0005-0000-0000-000045160000}"/>
    <cellStyle name="Calculation 2 9 2 13" xfId="29049" xr:uid="{00000000-0005-0000-0000-000046160000}"/>
    <cellStyle name="Calculation 2 9 2 14" xfId="30088" xr:uid="{00000000-0005-0000-0000-000047160000}"/>
    <cellStyle name="Calculation 2 9 2 15" xfId="31081" xr:uid="{00000000-0005-0000-0000-000048160000}"/>
    <cellStyle name="Calculation 2 9 2 16" xfId="32090" xr:uid="{00000000-0005-0000-0000-000049160000}"/>
    <cellStyle name="Calculation 2 9 2 17" xfId="33093" xr:uid="{00000000-0005-0000-0000-00004A160000}"/>
    <cellStyle name="Calculation 2 9 2 18" xfId="34092" xr:uid="{00000000-0005-0000-0000-00004B160000}"/>
    <cellStyle name="Calculation 2 9 2 19" xfId="35713" xr:uid="{00000000-0005-0000-0000-00004C160000}"/>
    <cellStyle name="Calculation 2 9 2 2" xfId="16116" xr:uid="{00000000-0005-0000-0000-00004D160000}"/>
    <cellStyle name="Calculation 2 9 2 20" xfId="36652" xr:uid="{00000000-0005-0000-0000-00004E160000}"/>
    <cellStyle name="Calculation 2 9 2 3" xfId="17094" xr:uid="{00000000-0005-0000-0000-00004F160000}"/>
    <cellStyle name="Calculation 2 9 2 4" xfId="18122" xr:uid="{00000000-0005-0000-0000-000050160000}"/>
    <cellStyle name="Calculation 2 9 2 5" xfId="19154" xr:uid="{00000000-0005-0000-0000-000051160000}"/>
    <cellStyle name="Calculation 2 9 2 6" xfId="20176" xr:uid="{00000000-0005-0000-0000-000052160000}"/>
    <cellStyle name="Calculation 2 9 2 7" xfId="21185" xr:uid="{00000000-0005-0000-0000-000053160000}"/>
    <cellStyle name="Calculation 2 9 2 8" xfId="22159" xr:uid="{00000000-0005-0000-0000-000054160000}"/>
    <cellStyle name="Calculation 2 9 2 9" xfId="23164" xr:uid="{00000000-0005-0000-0000-000055160000}"/>
    <cellStyle name="Calculation 2 9 20" xfId="35712" xr:uid="{00000000-0005-0000-0000-000056160000}"/>
    <cellStyle name="Calculation 2 9 21" xfId="36651" xr:uid="{00000000-0005-0000-0000-000057160000}"/>
    <cellStyle name="Calculation 2 9 3" xfId="16115" xr:uid="{00000000-0005-0000-0000-000058160000}"/>
    <cellStyle name="Calculation 2 9 4" xfId="17093" xr:uid="{00000000-0005-0000-0000-000059160000}"/>
    <cellStyle name="Calculation 2 9 5" xfId="18121" xr:uid="{00000000-0005-0000-0000-00005A160000}"/>
    <cellStyle name="Calculation 2 9 6" xfId="19153" xr:uid="{00000000-0005-0000-0000-00005B160000}"/>
    <cellStyle name="Calculation 2 9 7" xfId="20175" xr:uid="{00000000-0005-0000-0000-00005C160000}"/>
    <cellStyle name="Calculation 2 9 8" xfId="21184" xr:uid="{00000000-0005-0000-0000-00005D160000}"/>
    <cellStyle name="Calculation 2 9 9" xfId="22158" xr:uid="{00000000-0005-0000-0000-00005E160000}"/>
    <cellStyle name="Calculation 3" xfId="97" xr:uid="{00000000-0005-0000-0000-00005F160000}"/>
    <cellStyle name="Calculation 3 10" xfId="837" xr:uid="{00000000-0005-0000-0000-000060160000}"/>
    <cellStyle name="Calculation 3 10 10" xfId="24869" xr:uid="{00000000-0005-0000-0000-000061160000}"/>
    <cellStyle name="Calculation 3 10 11" xfId="25868" xr:uid="{00000000-0005-0000-0000-000062160000}"/>
    <cellStyle name="Calculation 3 10 12" xfId="28774" xr:uid="{00000000-0005-0000-0000-000063160000}"/>
    <cellStyle name="Calculation 3 10 13" xfId="29791" xr:uid="{00000000-0005-0000-0000-000064160000}"/>
    <cellStyle name="Calculation 3 10 14" xfId="30824" xr:uid="{00000000-0005-0000-0000-000065160000}"/>
    <cellStyle name="Calculation 3 10 15" xfId="31819" xr:uid="{00000000-0005-0000-0000-000066160000}"/>
    <cellStyle name="Calculation 3 10 16" xfId="32823" xr:uid="{00000000-0005-0000-0000-000067160000}"/>
    <cellStyle name="Calculation 3 10 17" xfId="33826" xr:uid="{00000000-0005-0000-0000-000068160000}"/>
    <cellStyle name="Calculation 3 10 18" xfId="34825" xr:uid="{00000000-0005-0000-0000-000069160000}"/>
    <cellStyle name="Calculation 3 10 19" xfId="36386" xr:uid="{00000000-0005-0000-0000-00006A160000}"/>
    <cellStyle name="Calculation 3 10 2" xfId="16858" xr:uid="{00000000-0005-0000-0000-00006B160000}"/>
    <cellStyle name="Calculation 3 10 20" xfId="37385" xr:uid="{00000000-0005-0000-0000-00006C160000}"/>
    <cellStyle name="Calculation 3 10 3" xfId="17838" xr:uid="{00000000-0005-0000-0000-00006D160000}"/>
    <cellStyle name="Calculation 3 10 4" xfId="18863" xr:uid="{00000000-0005-0000-0000-00006E160000}"/>
    <cellStyle name="Calculation 3 10 5" xfId="19897" xr:uid="{00000000-0005-0000-0000-00006F160000}"/>
    <cellStyle name="Calculation 3 10 6" xfId="20922" xr:uid="{00000000-0005-0000-0000-000070160000}"/>
    <cellStyle name="Calculation 3 10 7" xfId="21882" xr:uid="{00000000-0005-0000-0000-000071160000}"/>
    <cellStyle name="Calculation 3 10 8" xfId="22894" xr:uid="{00000000-0005-0000-0000-000072160000}"/>
    <cellStyle name="Calculation 3 10 9" xfId="23897" xr:uid="{00000000-0005-0000-0000-000073160000}"/>
    <cellStyle name="Calculation 3 11" xfId="34909" xr:uid="{00000000-0005-0000-0000-000074160000}"/>
    <cellStyle name="Calculation 3 12" xfId="37399" xr:uid="{00000000-0005-0000-0000-000075160000}"/>
    <cellStyle name="Calculation 3 2" xfId="314" xr:uid="{00000000-0005-0000-0000-000076160000}"/>
    <cellStyle name="Calculation 3 2 2" xfId="838" xr:uid="{00000000-0005-0000-0000-000077160000}"/>
    <cellStyle name="Calculation 3 2 2 10" xfId="13708" xr:uid="{00000000-0005-0000-0000-000078160000}"/>
    <cellStyle name="Calculation 3 2 2 11" xfId="13577" xr:uid="{00000000-0005-0000-0000-000079160000}"/>
    <cellStyle name="Calculation 3 2 2 12" xfId="14283" xr:uid="{00000000-0005-0000-0000-00007A160000}"/>
    <cellStyle name="Calculation 3 2 2 13" xfId="13424" xr:uid="{00000000-0005-0000-0000-00007B160000}"/>
    <cellStyle name="Calculation 3 2 2 14" xfId="14238" xr:uid="{00000000-0005-0000-0000-00007C160000}"/>
    <cellStyle name="Calculation 3 2 2 15" xfId="20942" xr:uid="{00000000-0005-0000-0000-00007D160000}"/>
    <cellStyle name="Calculation 3 2 2 16" xfId="26288" xr:uid="{00000000-0005-0000-0000-00007E160000}"/>
    <cellStyle name="Calculation 3 2 2 17" xfId="27745" xr:uid="{00000000-0005-0000-0000-00007F160000}"/>
    <cellStyle name="Calculation 3 2 2 18" xfId="26814" xr:uid="{00000000-0005-0000-0000-000080160000}"/>
    <cellStyle name="Calculation 3 2 2 19" xfId="27446" xr:uid="{00000000-0005-0000-0000-000081160000}"/>
    <cellStyle name="Calculation 3 2 2 2" xfId="839" xr:uid="{00000000-0005-0000-0000-000082160000}"/>
    <cellStyle name="Calculation 3 2 2 2 10" xfId="19913" xr:uid="{00000000-0005-0000-0000-000083160000}"/>
    <cellStyle name="Calculation 3 2 2 2 11" xfId="15160" xr:uid="{00000000-0005-0000-0000-000084160000}"/>
    <cellStyle name="Calculation 3 2 2 2 12" xfId="26341" xr:uid="{00000000-0005-0000-0000-000085160000}"/>
    <cellStyle name="Calculation 3 2 2 2 13" xfId="27159" xr:uid="{00000000-0005-0000-0000-000086160000}"/>
    <cellStyle name="Calculation 3 2 2 2 14" xfId="27355" xr:uid="{00000000-0005-0000-0000-000087160000}"/>
    <cellStyle name="Calculation 3 2 2 2 15" xfId="26678" xr:uid="{00000000-0005-0000-0000-000088160000}"/>
    <cellStyle name="Calculation 3 2 2 2 16" xfId="29826" xr:uid="{00000000-0005-0000-0000-000089160000}"/>
    <cellStyle name="Calculation 3 2 2 2 17" xfId="26355" xr:uid="{00000000-0005-0000-0000-00008A160000}"/>
    <cellStyle name="Calculation 3 2 2 2 18" xfId="35036" xr:uid="{00000000-0005-0000-0000-00008B160000}"/>
    <cellStyle name="Calculation 3 2 2 2 19" xfId="35313" xr:uid="{00000000-0005-0000-0000-00008C160000}"/>
    <cellStyle name="Calculation 3 2 2 2 2" xfId="840" xr:uid="{00000000-0005-0000-0000-00008D160000}"/>
    <cellStyle name="Calculation 3 2 2 2 2 10" xfId="23165" xr:uid="{00000000-0005-0000-0000-00008E160000}"/>
    <cellStyle name="Calculation 3 2 2 2 2 11" xfId="24137" xr:uid="{00000000-0005-0000-0000-00008F160000}"/>
    <cellStyle name="Calculation 3 2 2 2 2 12" xfId="25136" xr:uid="{00000000-0005-0000-0000-000090160000}"/>
    <cellStyle name="Calculation 3 2 2 2 2 13" xfId="28081" xr:uid="{00000000-0005-0000-0000-000091160000}"/>
    <cellStyle name="Calculation 3 2 2 2 2 14" xfId="29050" xr:uid="{00000000-0005-0000-0000-000092160000}"/>
    <cellStyle name="Calculation 3 2 2 2 2 15" xfId="30089" xr:uid="{00000000-0005-0000-0000-000093160000}"/>
    <cellStyle name="Calculation 3 2 2 2 2 16" xfId="31082" xr:uid="{00000000-0005-0000-0000-000094160000}"/>
    <cellStyle name="Calculation 3 2 2 2 2 17" xfId="32091" xr:uid="{00000000-0005-0000-0000-000095160000}"/>
    <cellStyle name="Calculation 3 2 2 2 2 18" xfId="33094" xr:uid="{00000000-0005-0000-0000-000096160000}"/>
    <cellStyle name="Calculation 3 2 2 2 2 19" xfId="34093" xr:uid="{00000000-0005-0000-0000-000097160000}"/>
    <cellStyle name="Calculation 3 2 2 2 2 2" xfId="841" xr:uid="{00000000-0005-0000-0000-000098160000}"/>
    <cellStyle name="Calculation 3 2 2 2 2 2 10" xfId="24138" xr:uid="{00000000-0005-0000-0000-000099160000}"/>
    <cellStyle name="Calculation 3 2 2 2 2 2 11" xfId="25137" xr:uid="{00000000-0005-0000-0000-00009A160000}"/>
    <cellStyle name="Calculation 3 2 2 2 2 2 12" xfId="28082" xr:uid="{00000000-0005-0000-0000-00009B160000}"/>
    <cellStyle name="Calculation 3 2 2 2 2 2 13" xfId="29051" xr:uid="{00000000-0005-0000-0000-00009C160000}"/>
    <cellStyle name="Calculation 3 2 2 2 2 2 14" xfId="30090" xr:uid="{00000000-0005-0000-0000-00009D160000}"/>
    <cellStyle name="Calculation 3 2 2 2 2 2 15" xfId="31083" xr:uid="{00000000-0005-0000-0000-00009E160000}"/>
    <cellStyle name="Calculation 3 2 2 2 2 2 16" xfId="32092" xr:uid="{00000000-0005-0000-0000-00009F160000}"/>
    <cellStyle name="Calculation 3 2 2 2 2 2 17" xfId="33095" xr:uid="{00000000-0005-0000-0000-0000A0160000}"/>
    <cellStyle name="Calculation 3 2 2 2 2 2 18" xfId="34094" xr:uid="{00000000-0005-0000-0000-0000A1160000}"/>
    <cellStyle name="Calculation 3 2 2 2 2 2 19" xfId="35715" xr:uid="{00000000-0005-0000-0000-0000A2160000}"/>
    <cellStyle name="Calculation 3 2 2 2 2 2 2" xfId="16118" xr:uid="{00000000-0005-0000-0000-0000A3160000}"/>
    <cellStyle name="Calculation 3 2 2 2 2 2 20" xfId="36654" xr:uid="{00000000-0005-0000-0000-0000A4160000}"/>
    <cellStyle name="Calculation 3 2 2 2 2 2 3" xfId="17096" xr:uid="{00000000-0005-0000-0000-0000A5160000}"/>
    <cellStyle name="Calculation 3 2 2 2 2 2 4" xfId="18124" xr:uid="{00000000-0005-0000-0000-0000A6160000}"/>
    <cellStyle name="Calculation 3 2 2 2 2 2 5" xfId="19156" xr:uid="{00000000-0005-0000-0000-0000A7160000}"/>
    <cellStyle name="Calculation 3 2 2 2 2 2 6" xfId="20178" xr:uid="{00000000-0005-0000-0000-0000A8160000}"/>
    <cellStyle name="Calculation 3 2 2 2 2 2 7" xfId="21187" xr:uid="{00000000-0005-0000-0000-0000A9160000}"/>
    <cellStyle name="Calculation 3 2 2 2 2 2 8" xfId="22161" xr:uid="{00000000-0005-0000-0000-0000AA160000}"/>
    <cellStyle name="Calculation 3 2 2 2 2 2 9" xfId="23166" xr:uid="{00000000-0005-0000-0000-0000AB160000}"/>
    <cellStyle name="Calculation 3 2 2 2 2 20" xfId="35714" xr:uid="{00000000-0005-0000-0000-0000AC160000}"/>
    <cellStyle name="Calculation 3 2 2 2 2 21" xfId="36653" xr:uid="{00000000-0005-0000-0000-0000AD160000}"/>
    <cellStyle name="Calculation 3 2 2 2 2 3" xfId="16117" xr:uid="{00000000-0005-0000-0000-0000AE160000}"/>
    <cellStyle name="Calculation 3 2 2 2 2 4" xfId="17095" xr:uid="{00000000-0005-0000-0000-0000AF160000}"/>
    <cellStyle name="Calculation 3 2 2 2 2 5" xfId="18123" xr:uid="{00000000-0005-0000-0000-0000B0160000}"/>
    <cellStyle name="Calculation 3 2 2 2 2 6" xfId="19155" xr:uid="{00000000-0005-0000-0000-0000B1160000}"/>
    <cellStyle name="Calculation 3 2 2 2 2 7" xfId="20177" xr:uid="{00000000-0005-0000-0000-0000B2160000}"/>
    <cellStyle name="Calculation 3 2 2 2 2 8" xfId="21186" xr:uid="{00000000-0005-0000-0000-0000B3160000}"/>
    <cellStyle name="Calculation 3 2 2 2 2 9" xfId="22160" xr:uid="{00000000-0005-0000-0000-0000B4160000}"/>
    <cellStyle name="Calculation 3 2 2 2 3" xfId="842" xr:uid="{00000000-0005-0000-0000-0000B5160000}"/>
    <cellStyle name="Calculation 3 2 2 2 3 10" xfId="23167" xr:uid="{00000000-0005-0000-0000-0000B6160000}"/>
    <cellStyle name="Calculation 3 2 2 2 3 11" xfId="24139" xr:uid="{00000000-0005-0000-0000-0000B7160000}"/>
    <cellStyle name="Calculation 3 2 2 2 3 12" xfId="25138" xr:uid="{00000000-0005-0000-0000-0000B8160000}"/>
    <cellStyle name="Calculation 3 2 2 2 3 13" xfId="28083" xr:uid="{00000000-0005-0000-0000-0000B9160000}"/>
    <cellStyle name="Calculation 3 2 2 2 3 14" xfId="29052" xr:uid="{00000000-0005-0000-0000-0000BA160000}"/>
    <cellStyle name="Calculation 3 2 2 2 3 15" xfId="30091" xr:uid="{00000000-0005-0000-0000-0000BB160000}"/>
    <cellStyle name="Calculation 3 2 2 2 3 16" xfId="31084" xr:uid="{00000000-0005-0000-0000-0000BC160000}"/>
    <cellStyle name="Calculation 3 2 2 2 3 17" xfId="32093" xr:uid="{00000000-0005-0000-0000-0000BD160000}"/>
    <cellStyle name="Calculation 3 2 2 2 3 18" xfId="33096" xr:uid="{00000000-0005-0000-0000-0000BE160000}"/>
    <cellStyle name="Calculation 3 2 2 2 3 19" xfId="34095" xr:uid="{00000000-0005-0000-0000-0000BF160000}"/>
    <cellStyle name="Calculation 3 2 2 2 3 2" xfId="843" xr:uid="{00000000-0005-0000-0000-0000C0160000}"/>
    <cellStyle name="Calculation 3 2 2 2 3 2 10" xfId="24140" xr:uid="{00000000-0005-0000-0000-0000C1160000}"/>
    <cellStyle name="Calculation 3 2 2 2 3 2 11" xfId="25139" xr:uid="{00000000-0005-0000-0000-0000C2160000}"/>
    <cellStyle name="Calculation 3 2 2 2 3 2 12" xfId="28084" xr:uid="{00000000-0005-0000-0000-0000C3160000}"/>
    <cellStyle name="Calculation 3 2 2 2 3 2 13" xfId="29053" xr:uid="{00000000-0005-0000-0000-0000C4160000}"/>
    <cellStyle name="Calculation 3 2 2 2 3 2 14" xfId="30092" xr:uid="{00000000-0005-0000-0000-0000C5160000}"/>
    <cellStyle name="Calculation 3 2 2 2 3 2 15" xfId="31085" xr:uid="{00000000-0005-0000-0000-0000C6160000}"/>
    <cellStyle name="Calculation 3 2 2 2 3 2 16" xfId="32094" xr:uid="{00000000-0005-0000-0000-0000C7160000}"/>
    <cellStyle name="Calculation 3 2 2 2 3 2 17" xfId="33097" xr:uid="{00000000-0005-0000-0000-0000C8160000}"/>
    <cellStyle name="Calculation 3 2 2 2 3 2 18" xfId="34096" xr:uid="{00000000-0005-0000-0000-0000C9160000}"/>
    <cellStyle name="Calculation 3 2 2 2 3 2 19" xfId="35717" xr:uid="{00000000-0005-0000-0000-0000CA160000}"/>
    <cellStyle name="Calculation 3 2 2 2 3 2 2" xfId="16120" xr:uid="{00000000-0005-0000-0000-0000CB160000}"/>
    <cellStyle name="Calculation 3 2 2 2 3 2 20" xfId="36656" xr:uid="{00000000-0005-0000-0000-0000CC160000}"/>
    <cellStyle name="Calculation 3 2 2 2 3 2 3" xfId="17098" xr:uid="{00000000-0005-0000-0000-0000CD160000}"/>
    <cellStyle name="Calculation 3 2 2 2 3 2 4" xfId="18126" xr:uid="{00000000-0005-0000-0000-0000CE160000}"/>
    <cellStyle name="Calculation 3 2 2 2 3 2 5" xfId="19158" xr:uid="{00000000-0005-0000-0000-0000CF160000}"/>
    <cellStyle name="Calculation 3 2 2 2 3 2 6" xfId="20180" xr:uid="{00000000-0005-0000-0000-0000D0160000}"/>
    <cellStyle name="Calculation 3 2 2 2 3 2 7" xfId="21189" xr:uid="{00000000-0005-0000-0000-0000D1160000}"/>
    <cellStyle name="Calculation 3 2 2 2 3 2 8" xfId="22163" xr:uid="{00000000-0005-0000-0000-0000D2160000}"/>
    <cellStyle name="Calculation 3 2 2 2 3 2 9" xfId="23168" xr:uid="{00000000-0005-0000-0000-0000D3160000}"/>
    <cellStyle name="Calculation 3 2 2 2 3 20" xfId="35716" xr:uid="{00000000-0005-0000-0000-0000D4160000}"/>
    <cellStyle name="Calculation 3 2 2 2 3 21" xfId="36655" xr:uid="{00000000-0005-0000-0000-0000D5160000}"/>
    <cellStyle name="Calculation 3 2 2 2 3 3" xfId="16119" xr:uid="{00000000-0005-0000-0000-0000D6160000}"/>
    <cellStyle name="Calculation 3 2 2 2 3 4" xfId="17097" xr:uid="{00000000-0005-0000-0000-0000D7160000}"/>
    <cellStyle name="Calculation 3 2 2 2 3 5" xfId="18125" xr:uid="{00000000-0005-0000-0000-0000D8160000}"/>
    <cellStyle name="Calculation 3 2 2 2 3 6" xfId="19157" xr:uid="{00000000-0005-0000-0000-0000D9160000}"/>
    <cellStyle name="Calculation 3 2 2 2 3 7" xfId="20179" xr:uid="{00000000-0005-0000-0000-0000DA160000}"/>
    <cellStyle name="Calculation 3 2 2 2 3 8" xfId="21188" xr:uid="{00000000-0005-0000-0000-0000DB160000}"/>
    <cellStyle name="Calculation 3 2 2 2 3 9" xfId="22162" xr:uid="{00000000-0005-0000-0000-0000DC160000}"/>
    <cellStyle name="Calculation 3 2 2 2 4" xfId="844" xr:uid="{00000000-0005-0000-0000-0000DD160000}"/>
    <cellStyle name="Calculation 3 2 2 2 4 10" xfId="23169" xr:uid="{00000000-0005-0000-0000-0000DE160000}"/>
    <cellStyle name="Calculation 3 2 2 2 4 11" xfId="24141" xr:uid="{00000000-0005-0000-0000-0000DF160000}"/>
    <cellStyle name="Calculation 3 2 2 2 4 12" xfId="25140" xr:uid="{00000000-0005-0000-0000-0000E0160000}"/>
    <cellStyle name="Calculation 3 2 2 2 4 13" xfId="28085" xr:uid="{00000000-0005-0000-0000-0000E1160000}"/>
    <cellStyle name="Calculation 3 2 2 2 4 14" xfId="29054" xr:uid="{00000000-0005-0000-0000-0000E2160000}"/>
    <cellStyle name="Calculation 3 2 2 2 4 15" xfId="30093" xr:uid="{00000000-0005-0000-0000-0000E3160000}"/>
    <cellStyle name="Calculation 3 2 2 2 4 16" xfId="31086" xr:uid="{00000000-0005-0000-0000-0000E4160000}"/>
    <cellStyle name="Calculation 3 2 2 2 4 17" xfId="32095" xr:uid="{00000000-0005-0000-0000-0000E5160000}"/>
    <cellStyle name="Calculation 3 2 2 2 4 18" xfId="33098" xr:uid="{00000000-0005-0000-0000-0000E6160000}"/>
    <cellStyle name="Calculation 3 2 2 2 4 19" xfId="34097" xr:uid="{00000000-0005-0000-0000-0000E7160000}"/>
    <cellStyle name="Calculation 3 2 2 2 4 2" xfId="845" xr:uid="{00000000-0005-0000-0000-0000E8160000}"/>
    <cellStyle name="Calculation 3 2 2 2 4 2 10" xfId="24142" xr:uid="{00000000-0005-0000-0000-0000E9160000}"/>
    <cellStyle name="Calculation 3 2 2 2 4 2 11" xfId="25141" xr:uid="{00000000-0005-0000-0000-0000EA160000}"/>
    <cellStyle name="Calculation 3 2 2 2 4 2 12" xfId="28086" xr:uid="{00000000-0005-0000-0000-0000EB160000}"/>
    <cellStyle name="Calculation 3 2 2 2 4 2 13" xfId="29055" xr:uid="{00000000-0005-0000-0000-0000EC160000}"/>
    <cellStyle name="Calculation 3 2 2 2 4 2 14" xfId="30094" xr:uid="{00000000-0005-0000-0000-0000ED160000}"/>
    <cellStyle name="Calculation 3 2 2 2 4 2 15" xfId="31087" xr:uid="{00000000-0005-0000-0000-0000EE160000}"/>
    <cellStyle name="Calculation 3 2 2 2 4 2 16" xfId="32096" xr:uid="{00000000-0005-0000-0000-0000EF160000}"/>
    <cellStyle name="Calculation 3 2 2 2 4 2 17" xfId="33099" xr:uid="{00000000-0005-0000-0000-0000F0160000}"/>
    <cellStyle name="Calculation 3 2 2 2 4 2 18" xfId="34098" xr:uid="{00000000-0005-0000-0000-0000F1160000}"/>
    <cellStyle name="Calculation 3 2 2 2 4 2 19" xfId="35719" xr:uid="{00000000-0005-0000-0000-0000F2160000}"/>
    <cellStyle name="Calculation 3 2 2 2 4 2 2" xfId="16122" xr:uid="{00000000-0005-0000-0000-0000F3160000}"/>
    <cellStyle name="Calculation 3 2 2 2 4 2 20" xfId="36658" xr:uid="{00000000-0005-0000-0000-0000F4160000}"/>
    <cellStyle name="Calculation 3 2 2 2 4 2 3" xfId="17100" xr:uid="{00000000-0005-0000-0000-0000F5160000}"/>
    <cellStyle name="Calculation 3 2 2 2 4 2 4" xfId="18128" xr:uid="{00000000-0005-0000-0000-0000F6160000}"/>
    <cellStyle name="Calculation 3 2 2 2 4 2 5" xfId="19160" xr:uid="{00000000-0005-0000-0000-0000F7160000}"/>
    <cellStyle name="Calculation 3 2 2 2 4 2 6" xfId="20182" xr:uid="{00000000-0005-0000-0000-0000F8160000}"/>
    <cellStyle name="Calculation 3 2 2 2 4 2 7" xfId="21191" xr:uid="{00000000-0005-0000-0000-0000F9160000}"/>
    <cellStyle name="Calculation 3 2 2 2 4 2 8" xfId="22165" xr:uid="{00000000-0005-0000-0000-0000FA160000}"/>
    <cellStyle name="Calculation 3 2 2 2 4 2 9" xfId="23170" xr:uid="{00000000-0005-0000-0000-0000FB160000}"/>
    <cellStyle name="Calculation 3 2 2 2 4 20" xfId="35718" xr:uid="{00000000-0005-0000-0000-0000FC160000}"/>
    <cellStyle name="Calculation 3 2 2 2 4 21" xfId="36657" xr:uid="{00000000-0005-0000-0000-0000FD160000}"/>
    <cellStyle name="Calculation 3 2 2 2 4 3" xfId="16121" xr:uid="{00000000-0005-0000-0000-0000FE160000}"/>
    <cellStyle name="Calculation 3 2 2 2 4 4" xfId="17099" xr:uid="{00000000-0005-0000-0000-0000FF160000}"/>
    <cellStyle name="Calculation 3 2 2 2 4 5" xfId="18127" xr:uid="{00000000-0005-0000-0000-000000170000}"/>
    <cellStyle name="Calculation 3 2 2 2 4 6" xfId="19159" xr:uid="{00000000-0005-0000-0000-000001170000}"/>
    <cellStyle name="Calculation 3 2 2 2 4 7" xfId="20181" xr:uid="{00000000-0005-0000-0000-000002170000}"/>
    <cellStyle name="Calculation 3 2 2 2 4 8" xfId="21190" xr:uid="{00000000-0005-0000-0000-000003170000}"/>
    <cellStyle name="Calculation 3 2 2 2 4 9" xfId="22164" xr:uid="{00000000-0005-0000-0000-000004170000}"/>
    <cellStyle name="Calculation 3 2 2 2 5" xfId="846" xr:uid="{00000000-0005-0000-0000-000005170000}"/>
    <cellStyle name="Calculation 3 2 2 2 5 10" xfId="24143" xr:uid="{00000000-0005-0000-0000-000006170000}"/>
    <cellStyle name="Calculation 3 2 2 2 5 11" xfId="25142" xr:uid="{00000000-0005-0000-0000-000007170000}"/>
    <cellStyle name="Calculation 3 2 2 2 5 12" xfId="28087" xr:uid="{00000000-0005-0000-0000-000008170000}"/>
    <cellStyle name="Calculation 3 2 2 2 5 13" xfId="29056" xr:uid="{00000000-0005-0000-0000-000009170000}"/>
    <cellStyle name="Calculation 3 2 2 2 5 14" xfId="30095" xr:uid="{00000000-0005-0000-0000-00000A170000}"/>
    <cellStyle name="Calculation 3 2 2 2 5 15" xfId="31088" xr:uid="{00000000-0005-0000-0000-00000B170000}"/>
    <cellStyle name="Calculation 3 2 2 2 5 16" xfId="32097" xr:uid="{00000000-0005-0000-0000-00000C170000}"/>
    <cellStyle name="Calculation 3 2 2 2 5 17" xfId="33100" xr:uid="{00000000-0005-0000-0000-00000D170000}"/>
    <cellStyle name="Calculation 3 2 2 2 5 18" xfId="34099" xr:uid="{00000000-0005-0000-0000-00000E170000}"/>
    <cellStyle name="Calculation 3 2 2 2 5 19" xfId="35720" xr:uid="{00000000-0005-0000-0000-00000F170000}"/>
    <cellStyle name="Calculation 3 2 2 2 5 2" xfId="16123" xr:uid="{00000000-0005-0000-0000-000010170000}"/>
    <cellStyle name="Calculation 3 2 2 2 5 20" xfId="36659" xr:uid="{00000000-0005-0000-0000-000011170000}"/>
    <cellStyle name="Calculation 3 2 2 2 5 3" xfId="17101" xr:uid="{00000000-0005-0000-0000-000012170000}"/>
    <cellStyle name="Calculation 3 2 2 2 5 4" xfId="18129" xr:uid="{00000000-0005-0000-0000-000013170000}"/>
    <cellStyle name="Calculation 3 2 2 2 5 5" xfId="19161" xr:uid="{00000000-0005-0000-0000-000014170000}"/>
    <cellStyle name="Calculation 3 2 2 2 5 6" xfId="20183" xr:uid="{00000000-0005-0000-0000-000015170000}"/>
    <cellStyle name="Calculation 3 2 2 2 5 7" xfId="21192" xr:uid="{00000000-0005-0000-0000-000016170000}"/>
    <cellStyle name="Calculation 3 2 2 2 5 8" xfId="22166" xr:uid="{00000000-0005-0000-0000-000017170000}"/>
    <cellStyle name="Calculation 3 2 2 2 5 9" xfId="23171" xr:uid="{00000000-0005-0000-0000-000018170000}"/>
    <cellStyle name="Calculation 3 2 2 2 6" xfId="15139" xr:uid="{00000000-0005-0000-0000-000019170000}"/>
    <cellStyle name="Calculation 3 2 2 2 7" xfId="15572" xr:uid="{00000000-0005-0000-0000-00001A170000}"/>
    <cellStyle name="Calculation 3 2 2 2 8" xfId="13796" xr:uid="{00000000-0005-0000-0000-00001B170000}"/>
    <cellStyle name="Calculation 3 2 2 2 9" xfId="18907" xr:uid="{00000000-0005-0000-0000-00001C170000}"/>
    <cellStyle name="Calculation 3 2 2 20" xfId="26896" xr:uid="{00000000-0005-0000-0000-00001D170000}"/>
    <cellStyle name="Calculation 3 2 2 21" xfId="26900" xr:uid="{00000000-0005-0000-0000-00001E170000}"/>
    <cellStyle name="Calculation 3 2 2 22" xfId="34984" xr:uid="{00000000-0005-0000-0000-00001F170000}"/>
    <cellStyle name="Calculation 3 2 2 23" xfId="35351" xr:uid="{00000000-0005-0000-0000-000020170000}"/>
    <cellStyle name="Calculation 3 2 2 3" xfId="847" xr:uid="{00000000-0005-0000-0000-000021170000}"/>
    <cellStyle name="Calculation 3 2 2 3 10" xfId="15300" xr:uid="{00000000-0005-0000-0000-000022170000}"/>
    <cellStyle name="Calculation 3 2 2 3 11" xfId="14775" xr:uid="{00000000-0005-0000-0000-000023170000}"/>
    <cellStyle name="Calculation 3 2 2 3 12" xfId="26480" xr:uid="{00000000-0005-0000-0000-000024170000}"/>
    <cellStyle name="Calculation 3 2 2 3 13" xfId="27070" xr:uid="{00000000-0005-0000-0000-000025170000}"/>
    <cellStyle name="Calculation 3 2 2 3 14" xfId="26499" xr:uid="{00000000-0005-0000-0000-000026170000}"/>
    <cellStyle name="Calculation 3 2 2 3 15" xfId="26562" xr:uid="{00000000-0005-0000-0000-000027170000}"/>
    <cellStyle name="Calculation 3 2 2 3 16" xfId="26503" xr:uid="{00000000-0005-0000-0000-000028170000}"/>
    <cellStyle name="Calculation 3 2 2 3 17" xfId="27512" xr:uid="{00000000-0005-0000-0000-000029170000}"/>
    <cellStyle name="Calculation 3 2 2 3 18" xfId="35163" xr:uid="{00000000-0005-0000-0000-00002A170000}"/>
    <cellStyle name="Calculation 3 2 2 3 19" xfId="35399" xr:uid="{00000000-0005-0000-0000-00002B170000}"/>
    <cellStyle name="Calculation 3 2 2 3 2" xfId="848" xr:uid="{00000000-0005-0000-0000-00002C170000}"/>
    <cellStyle name="Calculation 3 2 2 3 2 10" xfId="23172" xr:uid="{00000000-0005-0000-0000-00002D170000}"/>
    <cellStyle name="Calculation 3 2 2 3 2 11" xfId="24144" xr:uid="{00000000-0005-0000-0000-00002E170000}"/>
    <cellStyle name="Calculation 3 2 2 3 2 12" xfId="25143" xr:uid="{00000000-0005-0000-0000-00002F170000}"/>
    <cellStyle name="Calculation 3 2 2 3 2 13" xfId="28088" xr:uid="{00000000-0005-0000-0000-000030170000}"/>
    <cellStyle name="Calculation 3 2 2 3 2 14" xfId="29057" xr:uid="{00000000-0005-0000-0000-000031170000}"/>
    <cellStyle name="Calculation 3 2 2 3 2 15" xfId="30096" xr:uid="{00000000-0005-0000-0000-000032170000}"/>
    <cellStyle name="Calculation 3 2 2 3 2 16" xfId="31089" xr:uid="{00000000-0005-0000-0000-000033170000}"/>
    <cellStyle name="Calculation 3 2 2 3 2 17" xfId="32098" xr:uid="{00000000-0005-0000-0000-000034170000}"/>
    <cellStyle name="Calculation 3 2 2 3 2 18" xfId="33101" xr:uid="{00000000-0005-0000-0000-000035170000}"/>
    <cellStyle name="Calculation 3 2 2 3 2 19" xfId="34100" xr:uid="{00000000-0005-0000-0000-000036170000}"/>
    <cellStyle name="Calculation 3 2 2 3 2 2" xfId="849" xr:uid="{00000000-0005-0000-0000-000037170000}"/>
    <cellStyle name="Calculation 3 2 2 3 2 2 10" xfId="24145" xr:uid="{00000000-0005-0000-0000-000038170000}"/>
    <cellStyle name="Calculation 3 2 2 3 2 2 11" xfId="25144" xr:uid="{00000000-0005-0000-0000-000039170000}"/>
    <cellStyle name="Calculation 3 2 2 3 2 2 12" xfId="28089" xr:uid="{00000000-0005-0000-0000-00003A170000}"/>
    <cellStyle name="Calculation 3 2 2 3 2 2 13" xfId="29058" xr:uid="{00000000-0005-0000-0000-00003B170000}"/>
    <cellStyle name="Calculation 3 2 2 3 2 2 14" xfId="30097" xr:uid="{00000000-0005-0000-0000-00003C170000}"/>
    <cellStyle name="Calculation 3 2 2 3 2 2 15" xfId="31090" xr:uid="{00000000-0005-0000-0000-00003D170000}"/>
    <cellStyle name="Calculation 3 2 2 3 2 2 16" xfId="32099" xr:uid="{00000000-0005-0000-0000-00003E170000}"/>
    <cellStyle name="Calculation 3 2 2 3 2 2 17" xfId="33102" xr:uid="{00000000-0005-0000-0000-00003F170000}"/>
    <cellStyle name="Calculation 3 2 2 3 2 2 18" xfId="34101" xr:uid="{00000000-0005-0000-0000-000040170000}"/>
    <cellStyle name="Calculation 3 2 2 3 2 2 19" xfId="35722" xr:uid="{00000000-0005-0000-0000-000041170000}"/>
    <cellStyle name="Calculation 3 2 2 3 2 2 2" xfId="16125" xr:uid="{00000000-0005-0000-0000-000042170000}"/>
    <cellStyle name="Calculation 3 2 2 3 2 2 20" xfId="36661" xr:uid="{00000000-0005-0000-0000-000043170000}"/>
    <cellStyle name="Calculation 3 2 2 3 2 2 3" xfId="17103" xr:uid="{00000000-0005-0000-0000-000044170000}"/>
    <cellStyle name="Calculation 3 2 2 3 2 2 4" xfId="18131" xr:uid="{00000000-0005-0000-0000-000045170000}"/>
    <cellStyle name="Calculation 3 2 2 3 2 2 5" xfId="19163" xr:uid="{00000000-0005-0000-0000-000046170000}"/>
    <cellStyle name="Calculation 3 2 2 3 2 2 6" xfId="20185" xr:uid="{00000000-0005-0000-0000-000047170000}"/>
    <cellStyle name="Calculation 3 2 2 3 2 2 7" xfId="21194" xr:uid="{00000000-0005-0000-0000-000048170000}"/>
    <cellStyle name="Calculation 3 2 2 3 2 2 8" xfId="22168" xr:uid="{00000000-0005-0000-0000-000049170000}"/>
    <cellStyle name="Calculation 3 2 2 3 2 2 9" xfId="23173" xr:uid="{00000000-0005-0000-0000-00004A170000}"/>
    <cellStyle name="Calculation 3 2 2 3 2 20" xfId="35721" xr:uid="{00000000-0005-0000-0000-00004B170000}"/>
    <cellStyle name="Calculation 3 2 2 3 2 21" xfId="36660" xr:uid="{00000000-0005-0000-0000-00004C170000}"/>
    <cellStyle name="Calculation 3 2 2 3 2 3" xfId="16124" xr:uid="{00000000-0005-0000-0000-00004D170000}"/>
    <cellStyle name="Calculation 3 2 2 3 2 4" xfId="17102" xr:uid="{00000000-0005-0000-0000-00004E170000}"/>
    <cellStyle name="Calculation 3 2 2 3 2 5" xfId="18130" xr:uid="{00000000-0005-0000-0000-00004F170000}"/>
    <cellStyle name="Calculation 3 2 2 3 2 6" xfId="19162" xr:uid="{00000000-0005-0000-0000-000050170000}"/>
    <cellStyle name="Calculation 3 2 2 3 2 7" xfId="20184" xr:uid="{00000000-0005-0000-0000-000051170000}"/>
    <cellStyle name="Calculation 3 2 2 3 2 8" xfId="21193" xr:uid="{00000000-0005-0000-0000-000052170000}"/>
    <cellStyle name="Calculation 3 2 2 3 2 9" xfId="22167" xr:uid="{00000000-0005-0000-0000-000053170000}"/>
    <cellStyle name="Calculation 3 2 2 3 3" xfId="850" xr:uid="{00000000-0005-0000-0000-000054170000}"/>
    <cellStyle name="Calculation 3 2 2 3 3 10" xfId="23174" xr:uid="{00000000-0005-0000-0000-000055170000}"/>
    <cellStyle name="Calculation 3 2 2 3 3 11" xfId="24146" xr:uid="{00000000-0005-0000-0000-000056170000}"/>
    <cellStyle name="Calculation 3 2 2 3 3 12" xfId="25145" xr:uid="{00000000-0005-0000-0000-000057170000}"/>
    <cellStyle name="Calculation 3 2 2 3 3 13" xfId="28090" xr:uid="{00000000-0005-0000-0000-000058170000}"/>
    <cellStyle name="Calculation 3 2 2 3 3 14" xfId="29059" xr:uid="{00000000-0005-0000-0000-000059170000}"/>
    <cellStyle name="Calculation 3 2 2 3 3 15" xfId="30098" xr:uid="{00000000-0005-0000-0000-00005A170000}"/>
    <cellStyle name="Calculation 3 2 2 3 3 16" xfId="31091" xr:uid="{00000000-0005-0000-0000-00005B170000}"/>
    <cellStyle name="Calculation 3 2 2 3 3 17" xfId="32100" xr:uid="{00000000-0005-0000-0000-00005C170000}"/>
    <cellStyle name="Calculation 3 2 2 3 3 18" xfId="33103" xr:uid="{00000000-0005-0000-0000-00005D170000}"/>
    <cellStyle name="Calculation 3 2 2 3 3 19" xfId="34102" xr:uid="{00000000-0005-0000-0000-00005E170000}"/>
    <cellStyle name="Calculation 3 2 2 3 3 2" xfId="851" xr:uid="{00000000-0005-0000-0000-00005F170000}"/>
    <cellStyle name="Calculation 3 2 2 3 3 2 10" xfId="24147" xr:uid="{00000000-0005-0000-0000-000060170000}"/>
    <cellStyle name="Calculation 3 2 2 3 3 2 11" xfId="25146" xr:uid="{00000000-0005-0000-0000-000061170000}"/>
    <cellStyle name="Calculation 3 2 2 3 3 2 12" xfId="28091" xr:uid="{00000000-0005-0000-0000-000062170000}"/>
    <cellStyle name="Calculation 3 2 2 3 3 2 13" xfId="29060" xr:uid="{00000000-0005-0000-0000-000063170000}"/>
    <cellStyle name="Calculation 3 2 2 3 3 2 14" xfId="30099" xr:uid="{00000000-0005-0000-0000-000064170000}"/>
    <cellStyle name="Calculation 3 2 2 3 3 2 15" xfId="31092" xr:uid="{00000000-0005-0000-0000-000065170000}"/>
    <cellStyle name="Calculation 3 2 2 3 3 2 16" xfId="32101" xr:uid="{00000000-0005-0000-0000-000066170000}"/>
    <cellStyle name="Calculation 3 2 2 3 3 2 17" xfId="33104" xr:uid="{00000000-0005-0000-0000-000067170000}"/>
    <cellStyle name="Calculation 3 2 2 3 3 2 18" xfId="34103" xr:uid="{00000000-0005-0000-0000-000068170000}"/>
    <cellStyle name="Calculation 3 2 2 3 3 2 19" xfId="35724" xr:uid="{00000000-0005-0000-0000-000069170000}"/>
    <cellStyle name="Calculation 3 2 2 3 3 2 2" xfId="16127" xr:uid="{00000000-0005-0000-0000-00006A170000}"/>
    <cellStyle name="Calculation 3 2 2 3 3 2 20" xfId="36663" xr:uid="{00000000-0005-0000-0000-00006B170000}"/>
    <cellStyle name="Calculation 3 2 2 3 3 2 3" xfId="17105" xr:uid="{00000000-0005-0000-0000-00006C170000}"/>
    <cellStyle name="Calculation 3 2 2 3 3 2 4" xfId="18133" xr:uid="{00000000-0005-0000-0000-00006D170000}"/>
    <cellStyle name="Calculation 3 2 2 3 3 2 5" xfId="19165" xr:uid="{00000000-0005-0000-0000-00006E170000}"/>
    <cellStyle name="Calculation 3 2 2 3 3 2 6" xfId="20187" xr:uid="{00000000-0005-0000-0000-00006F170000}"/>
    <cellStyle name="Calculation 3 2 2 3 3 2 7" xfId="21196" xr:uid="{00000000-0005-0000-0000-000070170000}"/>
    <cellStyle name="Calculation 3 2 2 3 3 2 8" xfId="22170" xr:uid="{00000000-0005-0000-0000-000071170000}"/>
    <cellStyle name="Calculation 3 2 2 3 3 2 9" xfId="23175" xr:uid="{00000000-0005-0000-0000-000072170000}"/>
    <cellStyle name="Calculation 3 2 2 3 3 20" xfId="35723" xr:uid="{00000000-0005-0000-0000-000073170000}"/>
    <cellStyle name="Calculation 3 2 2 3 3 21" xfId="36662" xr:uid="{00000000-0005-0000-0000-000074170000}"/>
    <cellStyle name="Calculation 3 2 2 3 3 3" xfId="16126" xr:uid="{00000000-0005-0000-0000-000075170000}"/>
    <cellStyle name="Calculation 3 2 2 3 3 4" xfId="17104" xr:uid="{00000000-0005-0000-0000-000076170000}"/>
    <cellStyle name="Calculation 3 2 2 3 3 5" xfId="18132" xr:uid="{00000000-0005-0000-0000-000077170000}"/>
    <cellStyle name="Calculation 3 2 2 3 3 6" xfId="19164" xr:uid="{00000000-0005-0000-0000-000078170000}"/>
    <cellStyle name="Calculation 3 2 2 3 3 7" xfId="20186" xr:uid="{00000000-0005-0000-0000-000079170000}"/>
    <cellStyle name="Calculation 3 2 2 3 3 8" xfId="21195" xr:uid="{00000000-0005-0000-0000-00007A170000}"/>
    <cellStyle name="Calculation 3 2 2 3 3 9" xfId="22169" xr:uid="{00000000-0005-0000-0000-00007B170000}"/>
    <cellStyle name="Calculation 3 2 2 3 4" xfId="852" xr:uid="{00000000-0005-0000-0000-00007C170000}"/>
    <cellStyle name="Calculation 3 2 2 3 4 10" xfId="23176" xr:uid="{00000000-0005-0000-0000-00007D170000}"/>
    <cellStyle name="Calculation 3 2 2 3 4 11" xfId="24148" xr:uid="{00000000-0005-0000-0000-00007E170000}"/>
    <cellStyle name="Calculation 3 2 2 3 4 12" xfId="25147" xr:uid="{00000000-0005-0000-0000-00007F170000}"/>
    <cellStyle name="Calculation 3 2 2 3 4 13" xfId="28092" xr:uid="{00000000-0005-0000-0000-000080170000}"/>
    <cellStyle name="Calculation 3 2 2 3 4 14" xfId="29061" xr:uid="{00000000-0005-0000-0000-000081170000}"/>
    <cellStyle name="Calculation 3 2 2 3 4 15" xfId="30100" xr:uid="{00000000-0005-0000-0000-000082170000}"/>
    <cellStyle name="Calculation 3 2 2 3 4 16" xfId="31093" xr:uid="{00000000-0005-0000-0000-000083170000}"/>
    <cellStyle name="Calculation 3 2 2 3 4 17" xfId="32102" xr:uid="{00000000-0005-0000-0000-000084170000}"/>
    <cellStyle name="Calculation 3 2 2 3 4 18" xfId="33105" xr:uid="{00000000-0005-0000-0000-000085170000}"/>
    <cellStyle name="Calculation 3 2 2 3 4 19" xfId="34104" xr:uid="{00000000-0005-0000-0000-000086170000}"/>
    <cellStyle name="Calculation 3 2 2 3 4 2" xfId="853" xr:uid="{00000000-0005-0000-0000-000087170000}"/>
    <cellStyle name="Calculation 3 2 2 3 4 2 10" xfId="24149" xr:uid="{00000000-0005-0000-0000-000088170000}"/>
    <cellStyle name="Calculation 3 2 2 3 4 2 11" xfId="25148" xr:uid="{00000000-0005-0000-0000-000089170000}"/>
    <cellStyle name="Calculation 3 2 2 3 4 2 12" xfId="28093" xr:uid="{00000000-0005-0000-0000-00008A170000}"/>
    <cellStyle name="Calculation 3 2 2 3 4 2 13" xfId="29062" xr:uid="{00000000-0005-0000-0000-00008B170000}"/>
    <cellStyle name="Calculation 3 2 2 3 4 2 14" xfId="30101" xr:uid="{00000000-0005-0000-0000-00008C170000}"/>
    <cellStyle name="Calculation 3 2 2 3 4 2 15" xfId="31094" xr:uid="{00000000-0005-0000-0000-00008D170000}"/>
    <cellStyle name="Calculation 3 2 2 3 4 2 16" xfId="32103" xr:uid="{00000000-0005-0000-0000-00008E170000}"/>
    <cellStyle name="Calculation 3 2 2 3 4 2 17" xfId="33106" xr:uid="{00000000-0005-0000-0000-00008F170000}"/>
    <cellStyle name="Calculation 3 2 2 3 4 2 18" xfId="34105" xr:uid="{00000000-0005-0000-0000-000090170000}"/>
    <cellStyle name="Calculation 3 2 2 3 4 2 19" xfId="35726" xr:uid="{00000000-0005-0000-0000-000091170000}"/>
    <cellStyle name="Calculation 3 2 2 3 4 2 2" xfId="16129" xr:uid="{00000000-0005-0000-0000-000092170000}"/>
    <cellStyle name="Calculation 3 2 2 3 4 2 20" xfId="36665" xr:uid="{00000000-0005-0000-0000-000093170000}"/>
    <cellStyle name="Calculation 3 2 2 3 4 2 3" xfId="17107" xr:uid="{00000000-0005-0000-0000-000094170000}"/>
    <cellStyle name="Calculation 3 2 2 3 4 2 4" xfId="18135" xr:uid="{00000000-0005-0000-0000-000095170000}"/>
    <cellStyle name="Calculation 3 2 2 3 4 2 5" xfId="19167" xr:uid="{00000000-0005-0000-0000-000096170000}"/>
    <cellStyle name="Calculation 3 2 2 3 4 2 6" xfId="20189" xr:uid="{00000000-0005-0000-0000-000097170000}"/>
    <cellStyle name="Calculation 3 2 2 3 4 2 7" xfId="21198" xr:uid="{00000000-0005-0000-0000-000098170000}"/>
    <cellStyle name="Calculation 3 2 2 3 4 2 8" xfId="22172" xr:uid="{00000000-0005-0000-0000-000099170000}"/>
    <cellStyle name="Calculation 3 2 2 3 4 2 9" xfId="23177" xr:uid="{00000000-0005-0000-0000-00009A170000}"/>
    <cellStyle name="Calculation 3 2 2 3 4 20" xfId="35725" xr:uid="{00000000-0005-0000-0000-00009B170000}"/>
    <cellStyle name="Calculation 3 2 2 3 4 21" xfId="36664" xr:uid="{00000000-0005-0000-0000-00009C170000}"/>
    <cellStyle name="Calculation 3 2 2 3 4 3" xfId="16128" xr:uid="{00000000-0005-0000-0000-00009D170000}"/>
    <cellStyle name="Calculation 3 2 2 3 4 4" xfId="17106" xr:uid="{00000000-0005-0000-0000-00009E170000}"/>
    <cellStyle name="Calculation 3 2 2 3 4 5" xfId="18134" xr:uid="{00000000-0005-0000-0000-00009F170000}"/>
    <cellStyle name="Calculation 3 2 2 3 4 6" xfId="19166" xr:uid="{00000000-0005-0000-0000-0000A0170000}"/>
    <cellStyle name="Calculation 3 2 2 3 4 7" xfId="20188" xr:uid="{00000000-0005-0000-0000-0000A1170000}"/>
    <cellStyle name="Calculation 3 2 2 3 4 8" xfId="21197" xr:uid="{00000000-0005-0000-0000-0000A2170000}"/>
    <cellStyle name="Calculation 3 2 2 3 4 9" xfId="22171" xr:uid="{00000000-0005-0000-0000-0000A3170000}"/>
    <cellStyle name="Calculation 3 2 2 3 5" xfId="854" xr:uid="{00000000-0005-0000-0000-0000A4170000}"/>
    <cellStyle name="Calculation 3 2 2 3 5 10" xfId="24150" xr:uid="{00000000-0005-0000-0000-0000A5170000}"/>
    <cellStyle name="Calculation 3 2 2 3 5 11" xfId="25149" xr:uid="{00000000-0005-0000-0000-0000A6170000}"/>
    <cellStyle name="Calculation 3 2 2 3 5 12" xfId="28094" xr:uid="{00000000-0005-0000-0000-0000A7170000}"/>
    <cellStyle name="Calculation 3 2 2 3 5 13" xfId="29063" xr:uid="{00000000-0005-0000-0000-0000A8170000}"/>
    <cellStyle name="Calculation 3 2 2 3 5 14" xfId="30102" xr:uid="{00000000-0005-0000-0000-0000A9170000}"/>
    <cellStyle name="Calculation 3 2 2 3 5 15" xfId="31095" xr:uid="{00000000-0005-0000-0000-0000AA170000}"/>
    <cellStyle name="Calculation 3 2 2 3 5 16" xfId="32104" xr:uid="{00000000-0005-0000-0000-0000AB170000}"/>
    <cellStyle name="Calculation 3 2 2 3 5 17" xfId="33107" xr:uid="{00000000-0005-0000-0000-0000AC170000}"/>
    <cellStyle name="Calculation 3 2 2 3 5 18" xfId="34106" xr:uid="{00000000-0005-0000-0000-0000AD170000}"/>
    <cellStyle name="Calculation 3 2 2 3 5 19" xfId="35727" xr:uid="{00000000-0005-0000-0000-0000AE170000}"/>
    <cellStyle name="Calculation 3 2 2 3 5 2" xfId="16130" xr:uid="{00000000-0005-0000-0000-0000AF170000}"/>
    <cellStyle name="Calculation 3 2 2 3 5 20" xfId="36666" xr:uid="{00000000-0005-0000-0000-0000B0170000}"/>
    <cellStyle name="Calculation 3 2 2 3 5 3" xfId="17108" xr:uid="{00000000-0005-0000-0000-0000B1170000}"/>
    <cellStyle name="Calculation 3 2 2 3 5 4" xfId="18136" xr:uid="{00000000-0005-0000-0000-0000B2170000}"/>
    <cellStyle name="Calculation 3 2 2 3 5 5" xfId="19168" xr:uid="{00000000-0005-0000-0000-0000B3170000}"/>
    <cellStyle name="Calculation 3 2 2 3 5 6" xfId="20190" xr:uid="{00000000-0005-0000-0000-0000B4170000}"/>
    <cellStyle name="Calculation 3 2 2 3 5 7" xfId="21199" xr:uid="{00000000-0005-0000-0000-0000B5170000}"/>
    <cellStyle name="Calculation 3 2 2 3 5 8" xfId="22173" xr:uid="{00000000-0005-0000-0000-0000B6170000}"/>
    <cellStyle name="Calculation 3 2 2 3 5 9" xfId="23178" xr:uid="{00000000-0005-0000-0000-0000B7170000}"/>
    <cellStyle name="Calculation 3 2 2 3 6" xfId="15423" xr:uid="{00000000-0005-0000-0000-0000B8170000}"/>
    <cellStyle name="Calculation 3 2 2 3 7" xfId="15320" xr:uid="{00000000-0005-0000-0000-0000B9170000}"/>
    <cellStyle name="Calculation 3 2 2 3 8" xfId="14325" xr:uid="{00000000-0005-0000-0000-0000BA170000}"/>
    <cellStyle name="Calculation 3 2 2 3 9" xfId="14641" xr:uid="{00000000-0005-0000-0000-0000BB170000}"/>
    <cellStyle name="Calculation 3 2 2 4" xfId="855" xr:uid="{00000000-0005-0000-0000-0000BC170000}"/>
    <cellStyle name="Calculation 3 2 2 4 10" xfId="13872" xr:uid="{00000000-0005-0000-0000-0000BD170000}"/>
    <cellStyle name="Calculation 3 2 2 4 11" xfId="15318" xr:uid="{00000000-0005-0000-0000-0000BE170000}"/>
    <cellStyle name="Calculation 3 2 2 4 12" xfId="26458" xr:uid="{00000000-0005-0000-0000-0000BF170000}"/>
    <cellStyle name="Calculation 3 2 2 4 13" xfId="27085" xr:uid="{00000000-0005-0000-0000-0000C0170000}"/>
    <cellStyle name="Calculation 3 2 2 4 14" xfId="26172" xr:uid="{00000000-0005-0000-0000-0000C1170000}"/>
    <cellStyle name="Calculation 3 2 2 4 15" xfId="27828" xr:uid="{00000000-0005-0000-0000-0000C2170000}"/>
    <cellStyle name="Calculation 3 2 2 4 16" xfId="26506" xr:uid="{00000000-0005-0000-0000-0000C3170000}"/>
    <cellStyle name="Calculation 3 2 2 4 17" xfId="27436" xr:uid="{00000000-0005-0000-0000-0000C4170000}"/>
    <cellStyle name="Calculation 3 2 2 4 18" xfId="35141" xr:uid="{00000000-0005-0000-0000-0000C5170000}"/>
    <cellStyle name="Calculation 3 2 2 4 19" xfId="35240" xr:uid="{00000000-0005-0000-0000-0000C6170000}"/>
    <cellStyle name="Calculation 3 2 2 4 2" xfId="856" xr:uid="{00000000-0005-0000-0000-0000C7170000}"/>
    <cellStyle name="Calculation 3 2 2 4 2 10" xfId="23179" xr:uid="{00000000-0005-0000-0000-0000C8170000}"/>
    <cellStyle name="Calculation 3 2 2 4 2 11" xfId="24151" xr:uid="{00000000-0005-0000-0000-0000C9170000}"/>
    <cellStyle name="Calculation 3 2 2 4 2 12" xfId="25150" xr:uid="{00000000-0005-0000-0000-0000CA170000}"/>
    <cellStyle name="Calculation 3 2 2 4 2 13" xfId="28095" xr:uid="{00000000-0005-0000-0000-0000CB170000}"/>
    <cellStyle name="Calculation 3 2 2 4 2 14" xfId="29064" xr:uid="{00000000-0005-0000-0000-0000CC170000}"/>
    <cellStyle name="Calculation 3 2 2 4 2 15" xfId="30103" xr:uid="{00000000-0005-0000-0000-0000CD170000}"/>
    <cellStyle name="Calculation 3 2 2 4 2 16" xfId="31096" xr:uid="{00000000-0005-0000-0000-0000CE170000}"/>
    <cellStyle name="Calculation 3 2 2 4 2 17" xfId="32105" xr:uid="{00000000-0005-0000-0000-0000CF170000}"/>
    <cellStyle name="Calculation 3 2 2 4 2 18" xfId="33108" xr:uid="{00000000-0005-0000-0000-0000D0170000}"/>
    <cellStyle name="Calculation 3 2 2 4 2 19" xfId="34107" xr:uid="{00000000-0005-0000-0000-0000D1170000}"/>
    <cellStyle name="Calculation 3 2 2 4 2 2" xfId="857" xr:uid="{00000000-0005-0000-0000-0000D2170000}"/>
    <cellStyle name="Calculation 3 2 2 4 2 2 10" xfId="24152" xr:uid="{00000000-0005-0000-0000-0000D3170000}"/>
    <cellStyle name="Calculation 3 2 2 4 2 2 11" xfId="25151" xr:uid="{00000000-0005-0000-0000-0000D4170000}"/>
    <cellStyle name="Calculation 3 2 2 4 2 2 12" xfId="28096" xr:uid="{00000000-0005-0000-0000-0000D5170000}"/>
    <cellStyle name="Calculation 3 2 2 4 2 2 13" xfId="29065" xr:uid="{00000000-0005-0000-0000-0000D6170000}"/>
    <cellStyle name="Calculation 3 2 2 4 2 2 14" xfId="30104" xr:uid="{00000000-0005-0000-0000-0000D7170000}"/>
    <cellStyle name="Calculation 3 2 2 4 2 2 15" xfId="31097" xr:uid="{00000000-0005-0000-0000-0000D8170000}"/>
    <cellStyle name="Calculation 3 2 2 4 2 2 16" xfId="32106" xr:uid="{00000000-0005-0000-0000-0000D9170000}"/>
    <cellStyle name="Calculation 3 2 2 4 2 2 17" xfId="33109" xr:uid="{00000000-0005-0000-0000-0000DA170000}"/>
    <cellStyle name="Calculation 3 2 2 4 2 2 18" xfId="34108" xr:uid="{00000000-0005-0000-0000-0000DB170000}"/>
    <cellStyle name="Calculation 3 2 2 4 2 2 19" xfId="35729" xr:uid="{00000000-0005-0000-0000-0000DC170000}"/>
    <cellStyle name="Calculation 3 2 2 4 2 2 2" xfId="16132" xr:uid="{00000000-0005-0000-0000-0000DD170000}"/>
    <cellStyle name="Calculation 3 2 2 4 2 2 20" xfId="36668" xr:uid="{00000000-0005-0000-0000-0000DE170000}"/>
    <cellStyle name="Calculation 3 2 2 4 2 2 3" xfId="17110" xr:uid="{00000000-0005-0000-0000-0000DF170000}"/>
    <cellStyle name="Calculation 3 2 2 4 2 2 4" xfId="18138" xr:uid="{00000000-0005-0000-0000-0000E0170000}"/>
    <cellStyle name="Calculation 3 2 2 4 2 2 5" xfId="19170" xr:uid="{00000000-0005-0000-0000-0000E1170000}"/>
    <cellStyle name="Calculation 3 2 2 4 2 2 6" xfId="20192" xr:uid="{00000000-0005-0000-0000-0000E2170000}"/>
    <cellStyle name="Calculation 3 2 2 4 2 2 7" xfId="21201" xr:uid="{00000000-0005-0000-0000-0000E3170000}"/>
    <cellStyle name="Calculation 3 2 2 4 2 2 8" xfId="22175" xr:uid="{00000000-0005-0000-0000-0000E4170000}"/>
    <cellStyle name="Calculation 3 2 2 4 2 2 9" xfId="23180" xr:uid="{00000000-0005-0000-0000-0000E5170000}"/>
    <cellStyle name="Calculation 3 2 2 4 2 20" xfId="35728" xr:uid="{00000000-0005-0000-0000-0000E6170000}"/>
    <cellStyle name="Calculation 3 2 2 4 2 21" xfId="36667" xr:uid="{00000000-0005-0000-0000-0000E7170000}"/>
    <cellStyle name="Calculation 3 2 2 4 2 3" xfId="16131" xr:uid="{00000000-0005-0000-0000-0000E8170000}"/>
    <cellStyle name="Calculation 3 2 2 4 2 4" xfId="17109" xr:uid="{00000000-0005-0000-0000-0000E9170000}"/>
    <cellStyle name="Calculation 3 2 2 4 2 5" xfId="18137" xr:uid="{00000000-0005-0000-0000-0000EA170000}"/>
    <cellStyle name="Calculation 3 2 2 4 2 6" xfId="19169" xr:uid="{00000000-0005-0000-0000-0000EB170000}"/>
    <cellStyle name="Calculation 3 2 2 4 2 7" xfId="20191" xr:uid="{00000000-0005-0000-0000-0000EC170000}"/>
    <cellStyle name="Calculation 3 2 2 4 2 8" xfId="21200" xr:uid="{00000000-0005-0000-0000-0000ED170000}"/>
    <cellStyle name="Calculation 3 2 2 4 2 9" xfId="22174" xr:uid="{00000000-0005-0000-0000-0000EE170000}"/>
    <cellStyle name="Calculation 3 2 2 4 3" xfId="858" xr:uid="{00000000-0005-0000-0000-0000EF170000}"/>
    <cellStyle name="Calculation 3 2 2 4 3 10" xfId="23181" xr:uid="{00000000-0005-0000-0000-0000F0170000}"/>
    <cellStyle name="Calculation 3 2 2 4 3 11" xfId="24153" xr:uid="{00000000-0005-0000-0000-0000F1170000}"/>
    <cellStyle name="Calculation 3 2 2 4 3 12" xfId="25152" xr:uid="{00000000-0005-0000-0000-0000F2170000}"/>
    <cellStyle name="Calculation 3 2 2 4 3 13" xfId="28097" xr:uid="{00000000-0005-0000-0000-0000F3170000}"/>
    <cellStyle name="Calculation 3 2 2 4 3 14" xfId="29066" xr:uid="{00000000-0005-0000-0000-0000F4170000}"/>
    <cellStyle name="Calculation 3 2 2 4 3 15" xfId="30105" xr:uid="{00000000-0005-0000-0000-0000F5170000}"/>
    <cellStyle name="Calculation 3 2 2 4 3 16" xfId="31098" xr:uid="{00000000-0005-0000-0000-0000F6170000}"/>
    <cellStyle name="Calculation 3 2 2 4 3 17" xfId="32107" xr:uid="{00000000-0005-0000-0000-0000F7170000}"/>
    <cellStyle name="Calculation 3 2 2 4 3 18" xfId="33110" xr:uid="{00000000-0005-0000-0000-0000F8170000}"/>
    <cellStyle name="Calculation 3 2 2 4 3 19" xfId="34109" xr:uid="{00000000-0005-0000-0000-0000F9170000}"/>
    <cellStyle name="Calculation 3 2 2 4 3 2" xfId="859" xr:uid="{00000000-0005-0000-0000-0000FA170000}"/>
    <cellStyle name="Calculation 3 2 2 4 3 2 10" xfId="24154" xr:uid="{00000000-0005-0000-0000-0000FB170000}"/>
    <cellStyle name="Calculation 3 2 2 4 3 2 11" xfId="25153" xr:uid="{00000000-0005-0000-0000-0000FC170000}"/>
    <cellStyle name="Calculation 3 2 2 4 3 2 12" xfId="28098" xr:uid="{00000000-0005-0000-0000-0000FD170000}"/>
    <cellStyle name="Calculation 3 2 2 4 3 2 13" xfId="29067" xr:uid="{00000000-0005-0000-0000-0000FE170000}"/>
    <cellStyle name="Calculation 3 2 2 4 3 2 14" xfId="30106" xr:uid="{00000000-0005-0000-0000-0000FF170000}"/>
    <cellStyle name="Calculation 3 2 2 4 3 2 15" xfId="31099" xr:uid="{00000000-0005-0000-0000-000000180000}"/>
    <cellStyle name="Calculation 3 2 2 4 3 2 16" xfId="32108" xr:uid="{00000000-0005-0000-0000-000001180000}"/>
    <cellStyle name="Calculation 3 2 2 4 3 2 17" xfId="33111" xr:uid="{00000000-0005-0000-0000-000002180000}"/>
    <cellStyle name="Calculation 3 2 2 4 3 2 18" xfId="34110" xr:uid="{00000000-0005-0000-0000-000003180000}"/>
    <cellStyle name="Calculation 3 2 2 4 3 2 19" xfId="35731" xr:uid="{00000000-0005-0000-0000-000004180000}"/>
    <cellStyle name="Calculation 3 2 2 4 3 2 2" xfId="16134" xr:uid="{00000000-0005-0000-0000-000005180000}"/>
    <cellStyle name="Calculation 3 2 2 4 3 2 20" xfId="36670" xr:uid="{00000000-0005-0000-0000-000006180000}"/>
    <cellStyle name="Calculation 3 2 2 4 3 2 3" xfId="17112" xr:uid="{00000000-0005-0000-0000-000007180000}"/>
    <cellStyle name="Calculation 3 2 2 4 3 2 4" xfId="18140" xr:uid="{00000000-0005-0000-0000-000008180000}"/>
    <cellStyle name="Calculation 3 2 2 4 3 2 5" xfId="19172" xr:uid="{00000000-0005-0000-0000-000009180000}"/>
    <cellStyle name="Calculation 3 2 2 4 3 2 6" xfId="20194" xr:uid="{00000000-0005-0000-0000-00000A180000}"/>
    <cellStyle name="Calculation 3 2 2 4 3 2 7" xfId="21203" xr:uid="{00000000-0005-0000-0000-00000B180000}"/>
    <cellStyle name="Calculation 3 2 2 4 3 2 8" xfId="22177" xr:uid="{00000000-0005-0000-0000-00000C180000}"/>
    <cellStyle name="Calculation 3 2 2 4 3 2 9" xfId="23182" xr:uid="{00000000-0005-0000-0000-00000D180000}"/>
    <cellStyle name="Calculation 3 2 2 4 3 20" xfId="35730" xr:uid="{00000000-0005-0000-0000-00000E180000}"/>
    <cellStyle name="Calculation 3 2 2 4 3 21" xfId="36669" xr:uid="{00000000-0005-0000-0000-00000F180000}"/>
    <cellStyle name="Calculation 3 2 2 4 3 3" xfId="16133" xr:uid="{00000000-0005-0000-0000-000010180000}"/>
    <cellStyle name="Calculation 3 2 2 4 3 4" xfId="17111" xr:uid="{00000000-0005-0000-0000-000011180000}"/>
    <cellStyle name="Calculation 3 2 2 4 3 5" xfId="18139" xr:uid="{00000000-0005-0000-0000-000012180000}"/>
    <cellStyle name="Calculation 3 2 2 4 3 6" xfId="19171" xr:uid="{00000000-0005-0000-0000-000013180000}"/>
    <cellStyle name="Calculation 3 2 2 4 3 7" xfId="20193" xr:uid="{00000000-0005-0000-0000-000014180000}"/>
    <cellStyle name="Calculation 3 2 2 4 3 8" xfId="21202" xr:uid="{00000000-0005-0000-0000-000015180000}"/>
    <cellStyle name="Calculation 3 2 2 4 3 9" xfId="22176" xr:uid="{00000000-0005-0000-0000-000016180000}"/>
    <cellStyle name="Calculation 3 2 2 4 4" xfId="860" xr:uid="{00000000-0005-0000-0000-000017180000}"/>
    <cellStyle name="Calculation 3 2 2 4 4 10" xfId="23183" xr:uid="{00000000-0005-0000-0000-000018180000}"/>
    <cellStyle name="Calculation 3 2 2 4 4 11" xfId="24155" xr:uid="{00000000-0005-0000-0000-000019180000}"/>
    <cellStyle name="Calculation 3 2 2 4 4 12" xfId="25154" xr:uid="{00000000-0005-0000-0000-00001A180000}"/>
    <cellStyle name="Calculation 3 2 2 4 4 13" xfId="28099" xr:uid="{00000000-0005-0000-0000-00001B180000}"/>
    <cellStyle name="Calculation 3 2 2 4 4 14" xfId="29068" xr:uid="{00000000-0005-0000-0000-00001C180000}"/>
    <cellStyle name="Calculation 3 2 2 4 4 15" xfId="30107" xr:uid="{00000000-0005-0000-0000-00001D180000}"/>
    <cellStyle name="Calculation 3 2 2 4 4 16" xfId="31100" xr:uid="{00000000-0005-0000-0000-00001E180000}"/>
    <cellStyle name="Calculation 3 2 2 4 4 17" xfId="32109" xr:uid="{00000000-0005-0000-0000-00001F180000}"/>
    <cellStyle name="Calculation 3 2 2 4 4 18" xfId="33112" xr:uid="{00000000-0005-0000-0000-000020180000}"/>
    <cellStyle name="Calculation 3 2 2 4 4 19" xfId="34111" xr:uid="{00000000-0005-0000-0000-000021180000}"/>
    <cellStyle name="Calculation 3 2 2 4 4 2" xfId="861" xr:uid="{00000000-0005-0000-0000-000022180000}"/>
    <cellStyle name="Calculation 3 2 2 4 4 2 10" xfId="24156" xr:uid="{00000000-0005-0000-0000-000023180000}"/>
    <cellStyle name="Calculation 3 2 2 4 4 2 11" xfId="25155" xr:uid="{00000000-0005-0000-0000-000024180000}"/>
    <cellStyle name="Calculation 3 2 2 4 4 2 12" xfId="28100" xr:uid="{00000000-0005-0000-0000-000025180000}"/>
    <cellStyle name="Calculation 3 2 2 4 4 2 13" xfId="29069" xr:uid="{00000000-0005-0000-0000-000026180000}"/>
    <cellStyle name="Calculation 3 2 2 4 4 2 14" xfId="30108" xr:uid="{00000000-0005-0000-0000-000027180000}"/>
    <cellStyle name="Calculation 3 2 2 4 4 2 15" xfId="31101" xr:uid="{00000000-0005-0000-0000-000028180000}"/>
    <cellStyle name="Calculation 3 2 2 4 4 2 16" xfId="32110" xr:uid="{00000000-0005-0000-0000-000029180000}"/>
    <cellStyle name="Calculation 3 2 2 4 4 2 17" xfId="33113" xr:uid="{00000000-0005-0000-0000-00002A180000}"/>
    <cellStyle name="Calculation 3 2 2 4 4 2 18" xfId="34112" xr:uid="{00000000-0005-0000-0000-00002B180000}"/>
    <cellStyle name="Calculation 3 2 2 4 4 2 19" xfId="35733" xr:uid="{00000000-0005-0000-0000-00002C180000}"/>
    <cellStyle name="Calculation 3 2 2 4 4 2 2" xfId="16136" xr:uid="{00000000-0005-0000-0000-00002D180000}"/>
    <cellStyle name="Calculation 3 2 2 4 4 2 20" xfId="36672" xr:uid="{00000000-0005-0000-0000-00002E180000}"/>
    <cellStyle name="Calculation 3 2 2 4 4 2 3" xfId="17114" xr:uid="{00000000-0005-0000-0000-00002F180000}"/>
    <cellStyle name="Calculation 3 2 2 4 4 2 4" xfId="18142" xr:uid="{00000000-0005-0000-0000-000030180000}"/>
    <cellStyle name="Calculation 3 2 2 4 4 2 5" xfId="19174" xr:uid="{00000000-0005-0000-0000-000031180000}"/>
    <cellStyle name="Calculation 3 2 2 4 4 2 6" xfId="20196" xr:uid="{00000000-0005-0000-0000-000032180000}"/>
    <cellStyle name="Calculation 3 2 2 4 4 2 7" xfId="21205" xr:uid="{00000000-0005-0000-0000-000033180000}"/>
    <cellStyle name="Calculation 3 2 2 4 4 2 8" xfId="22179" xr:uid="{00000000-0005-0000-0000-000034180000}"/>
    <cellStyle name="Calculation 3 2 2 4 4 2 9" xfId="23184" xr:uid="{00000000-0005-0000-0000-000035180000}"/>
    <cellStyle name="Calculation 3 2 2 4 4 20" xfId="35732" xr:uid="{00000000-0005-0000-0000-000036180000}"/>
    <cellStyle name="Calculation 3 2 2 4 4 21" xfId="36671" xr:uid="{00000000-0005-0000-0000-000037180000}"/>
    <cellStyle name="Calculation 3 2 2 4 4 3" xfId="16135" xr:uid="{00000000-0005-0000-0000-000038180000}"/>
    <cellStyle name="Calculation 3 2 2 4 4 4" xfId="17113" xr:uid="{00000000-0005-0000-0000-000039180000}"/>
    <cellStyle name="Calculation 3 2 2 4 4 5" xfId="18141" xr:uid="{00000000-0005-0000-0000-00003A180000}"/>
    <cellStyle name="Calculation 3 2 2 4 4 6" xfId="19173" xr:uid="{00000000-0005-0000-0000-00003B180000}"/>
    <cellStyle name="Calculation 3 2 2 4 4 7" xfId="20195" xr:uid="{00000000-0005-0000-0000-00003C180000}"/>
    <cellStyle name="Calculation 3 2 2 4 4 8" xfId="21204" xr:uid="{00000000-0005-0000-0000-00003D180000}"/>
    <cellStyle name="Calculation 3 2 2 4 4 9" xfId="22178" xr:uid="{00000000-0005-0000-0000-00003E180000}"/>
    <cellStyle name="Calculation 3 2 2 4 5" xfId="862" xr:uid="{00000000-0005-0000-0000-00003F180000}"/>
    <cellStyle name="Calculation 3 2 2 4 5 10" xfId="24157" xr:uid="{00000000-0005-0000-0000-000040180000}"/>
    <cellStyle name="Calculation 3 2 2 4 5 11" xfId="25156" xr:uid="{00000000-0005-0000-0000-000041180000}"/>
    <cellStyle name="Calculation 3 2 2 4 5 12" xfId="28101" xr:uid="{00000000-0005-0000-0000-000042180000}"/>
    <cellStyle name="Calculation 3 2 2 4 5 13" xfId="29070" xr:uid="{00000000-0005-0000-0000-000043180000}"/>
    <cellStyle name="Calculation 3 2 2 4 5 14" xfId="30109" xr:uid="{00000000-0005-0000-0000-000044180000}"/>
    <cellStyle name="Calculation 3 2 2 4 5 15" xfId="31102" xr:uid="{00000000-0005-0000-0000-000045180000}"/>
    <cellStyle name="Calculation 3 2 2 4 5 16" xfId="32111" xr:uid="{00000000-0005-0000-0000-000046180000}"/>
    <cellStyle name="Calculation 3 2 2 4 5 17" xfId="33114" xr:uid="{00000000-0005-0000-0000-000047180000}"/>
    <cellStyle name="Calculation 3 2 2 4 5 18" xfId="34113" xr:uid="{00000000-0005-0000-0000-000048180000}"/>
    <cellStyle name="Calculation 3 2 2 4 5 19" xfId="35734" xr:uid="{00000000-0005-0000-0000-000049180000}"/>
    <cellStyle name="Calculation 3 2 2 4 5 2" xfId="16137" xr:uid="{00000000-0005-0000-0000-00004A180000}"/>
    <cellStyle name="Calculation 3 2 2 4 5 20" xfId="36673" xr:uid="{00000000-0005-0000-0000-00004B180000}"/>
    <cellStyle name="Calculation 3 2 2 4 5 3" xfId="17115" xr:uid="{00000000-0005-0000-0000-00004C180000}"/>
    <cellStyle name="Calculation 3 2 2 4 5 4" xfId="18143" xr:uid="{00000000-0005-0000-0000-00004D180000}"/>
    <cellStyle name="Calculation 3 2 2 4 5 5" xfId="19175" xr:uid="{00000000-0005-0000-0000-00004E180000}"/>
    <cellStyle name="Calculation 3 2 2 4 5 6" xfId="20197" xr:uid="{00000000-0005-0000-0000-00004F180000}"/>
    <cellStyle name="Calculation 3 2 2 4 5 7" xfId="21206" xr:uid="{00000000-0005-0000-0000-000050180000}"/>
    <cellStyle name="Calculation 3 2 2 4 5 8" xfId="22180" xr:uid="{00000000-0005-0000-0000-000051180000}"/>
    <cellStyle name="Calculation 3 2 2 4 5 9" xfId="23185" xr:uid="{00000000-0005-0000-0000-000052180000}"/>
    <cellStyle name="Calculation 3 2 2 4 6" xfId="14069" xr:uid="{00000000-0005-0000-0000-000053180000}"/>
    <cellStyle name="Calculation 3 2 2 4 7" xfId="15305" xr:uid="{00000000-0005-0000-0000-000054180000}"/>
    <cellStyle name="Calculation 3 2 2 4 8" xfId="14906" xr:uid="{00000000-0005-0000-0000-000055180000}"/>
    <cellStyle name="Calculation 3 2 2 4 9" xfId="14718" xr:uid="{00000000-0005-0000-0000-000056180000}"/>
    <cellStyle name="Calculation 3 2 2 5" xfId="863" xr:uid="{00000000-0005-0000-0000-000057180000}"/>
    <cellStyle name="Calculation 3 2 2 5 10" xfId="21439" xr:uid="{00000000-0005-0000-0000-000058180000}"/>
    <cellStyle name="Calculation 3 2 2 5 11" xfId="14598" xr:uid="{00000000-0005-0000-0000-000059180000}"/>
    <cellStyle name="Calculation 3 2 2 5 12" xfId="26494" xr:uid="{00000000-0005-0000-0000-00005A180000}"/>
    <cellStyle name="Calculation 3 2 2 5 13" xfId="27670" xr:uid="{00000000-0005-0000-0000-00005B180000}"/>
    <cellStyle name="Calculation 3 2 2 5 14" xfId="26127" xr:uid="{00000000-0005-0000-0000-00005C180000}"/>
    <cellStyle name="Calculation 3 2 2 5 15" xfId="26836" xr:uid="{00000000-0005-0000-0000-00005D180000}"/>
    <cellStyle name="Calculation 3 2 2 5 16" xfId="26673" xr:uid="{00000000-0005-0000-0000-00005E180000}"/>
    <cellStyle name="Calculation 3 2 2 5 17" xfId="26005" xr:uid="{00000000-0005-0000-0000-00005F180000}"/>
    <cellStyle name="Calculation 3 2 2 5 18" xfId="35177" xr:uid="{00000000-0005-0000-0000-000060180000}"/>
    <cellStyle name="Calculation 3 2 2 5 19" xfId="35394" xr:uid="{00000000-0005-0000-0000-000061180000}"/>
    <cellStyle name="Calculation 3 2 2 5 2" xfId="864" xr:uid="{00000000-0005-0000-0000-000062180000}"/>
    <cellStyle name="Calculation 3 2 2 5 2 10" xfId="23186" xr:uid="{00000000-0005-0000-0000-000063180000}"/>
    <cellStyle name="Calculation 3 2 2 5 2 11" xfId="24158" xr:uid="{00000000-0005-0000-0000-000064180000}"/>
    <cellStyle name="Calculation 3 2 2 5 2 12" xfId="25157" xr:uid="{00000000-0005-0000-0000-000065180000}"/>
    <cellStyle name="Calculation 3 2 2 5 2 13" xfId="28102" xr:uid="{00000000-0005-0000-0000-000066180000}"/>
    <cellStyle name="Calculation 3 2 2 5 2 14" xfId="29071" xr:uid="{00000000-0005-0000-0000-000067180000}"/>
    <cellStyle name="Calculation 3 2 2 5 2 15" xfId="30110" xr:uid="{00000000-0005-0000-0000-000068180000}"/>
    <cellStyle name="Calculation 3 2 2 5 2 16" xfId="31103" xr:uid="{00000000-0005-0000-0000-000069180000}"/>
    <cellStyle name="Calculation 3 2 2 5 2 17" xfId="32112" xr:uid="{00000000-0005-0000-0000-00006A180000}"/>
    <cellStyle name="Calculation 3 2 2 5 2 18" xfId="33115" xr:uid="{00000000-0005-0000-0000-00006B180000}"/>
    <cellStyle name="Calculation 3 2 2 5 2 19" xfId="34114" xr:uid="{00000000-0005-0000-0000-00006C180000}"/>
    <cellStyle name="Calculation 3 2 2 5 2 2" xfId="865" xr:uid="{00000000-0005-0000-0000-00006D180000}"/>
    <cellStyle name="Calculation 3 2 2 5 2 2 10" xfId="24159" xr:uid="{00000000-0005-0000-0000-00006E180000}"/>
    <cellStyle name="Calculation 3 2 2 5 2 2 11" xfId="25158" xr:uid="{00000000-0005-0000-0000-00006F180000}"/>
    <cellStyle name="Calculation 3 2 2 5 2 2 12" xfId="28103" xr:uid="{00000000-0005-0000-0000-000070180000}"/>
    <cellStyle name="Calculation 3 2 2 5 2 2 13" xfId="29072" xr:uid="{00000000-0005-0000-0000-000071180000}"/>
    <cellStyle name="Calculation 3 2 2 5 2 2 14" xfId="30111" xr:uid="{00000000-0005-0000-0000-000072180000}"/>
    <cellStyle name="Calculation 3 2 2 5 2 2 15" xfId="31104" xr:uid="{00000000-0005-0000-0000-000073180000}"/>
    <cellStyle name="Calculation 3 2 2 5 2 2 16" xfId="32113" xr:uid="{00000000-0005-0000-0000-000074180000}"/>
    <cellStyle name="Calculation 3 2 2 5 2 2 17" xfId="33116" xr:uid="{00000000-0005-0000-0000-000075180000}"/>
    <cellStyle name="Calculation 3 2 2 5 2 2 18" xfId="34115" xr:uid="{00000000-0005-0000-0000-000076180000}"/>
    <cellStyle name="Calculation 3 2 2 5 2 2 19" xfId="35736" xr:uid="{00000000-0005-0000-0000-000077180000}"/>
    <cellStyle name="Calculation 3 2 2 5 2 2 2" xfId="16139" xr:uid="{00000000-0005-0000-0000-000078180000}"/>
    <cellStyle name="Calculation 3 2 2 5 2 2 20" xfId="36675" xr:uid="{00000000-0005-0000-0000-000079180000}"/>
    <cellStyle name="Calculation 3 2 2 5 2 2 3" xfId="17117" xr:uid="{00000000-0005-0000-0000-00007A180000}"/>
    <cellStyle name="Calculation 3 2 2 5 2 2 4" xfId="18145" xr:uid="{00000000-0005-0000-0000-00007B180000}"/>
    <cellStyle name="Calculation 3 2 2 5 2 2 5" xfId="19177" xr:uid="{00000000-0005-0000-0000-00007C180000}"/>
    <cellStyle name="Calculation 3 2 2 5 2 2 6" xfId="20199" xr:uid="{00000000-0005-0000-0000-00007D180000}"/>
    <cellStyle name="Calculation 3 2 2 5 2 2 7" xfId="21208" xr:uid="{00000000-0005-0000-0000-00007E180000}"/>
    <cellStyle name="Calculation 3 2 2 5 2 2 8" xfId="22182" xr:uid="{00000000-0005-0000-0000-00007F180000}"/>
    <cellStyle name="Calculation 3 2 2 5 2 2 9" xfId="23187" xr:uid="{00000000-0005-0000-0000-000080180000}"/>
    <cellStyle name="Calculation 3 2 2 5 2 20" xfId="35735" xr:uid="{00000000-0005-0000-0000-000081180000}"/>
    <cellStyle name="Calculation 3 2 2 5 2 21" xfId="36674" xr:uid="{00000000-0005-0000-0000-000082180000}"/>
    <cellStyle name="Calculation 3 2 2 5 2 3" xfId="16138" xr:uid="{00000000-0005-0000-0000-000083180000}"/>
    <cellStyle name="Calculation 3 2 2 5 2 4" xfId="17116" xr:uid="{00000000-0005-0000-0000-000084180000}"/>
    <cellStyle name="Calculation 3 2 2 5 2 5" xfId="18144" xr:uid="{00000000-0005-0000-0000-000085180000}"/>
    <cellStyle name="Calculation 3 2 2 5 2 6" xfId="19176" xr:uid="{00000000-0005-0000-0000-000086180000}"/>
    <cellStyle name="Calculation 3 2 2 5 2 7" xfId="20198" xr:uid="{00000000-0005-0000-0000-000087180000}"/>
    <cellStyle name="Calculation 3 2 2 5 2 8" xfId="21207" xr:uid="{00000000-0005-0000-0000-000088180000}"/>
    <cellStyle name="Calculation 3 2 2 5 2 9" xfId="22181" xr:uid="{00000000-0005-0000-0000-000089180000}"/>
    <cellStyle name="Calculation 3 2 2 5 3" xfId="866" xr:uid="{00000000-0005-0000-0000-00008A180000}"/>
    <cellStyle name="Calculation 3 2 2 5 3 10" xfId="23188" xr:uid="{00000000-0005-0000-0000-00008B180000}"/>
    <cellStyle name="Calculation 3 2 2 5 3 11" xfId="24160" xr:uid="{00000000-0005-0000-0000-00008C180000}"/>
    <cellStyle name="Calculation 3 2 2 5 3 12" xfId="25159" xr:uid="{00000000-0005-0000-0000-00008D180000}"/>
    <cellStyle name="Calculation 3 2 2 5 3 13" xfId="28104" xr:uid="{00000000-0005-0000-0000-00008E180000}"/>
    <cellStyle name="Calculation 3 2 2 5 3 14" xfId="29073" xr:uid="{00000000-0005-0000-0000-00008F180000}"/>
    <cellStyle name="Calculation 3 2 2 5 3 15" xfId="30112" xr:uid="{00000000-0005-0000-0000-000090180000}"/>
    <cellStyle name="Calculation 3 2 2 5 3 16" xfId="31105" xr:uid="{00000000-0005-0000-0000-000091180000}"/>
    <cellStyle name="Calculation 3 2 2 5 3 17" xfId="32114" xr:uid="{00000000-0005-0000-0000-000092180000}"/>
    <cellStyle name="Calculation 3 2 2 5 3 18" xfId="33117" xr:uid="{00000000-0005-0000-0000-000093180000}"/>
    <cellStyle name="Calculation 3 2 2 5 3 19" xfId="34116" xr:uid="{00000000-0005-0000-0000-000094180000}"/>
    <cellStyle name="Calculation 3 2 2 5 3 2" xfId="867" xr:uid="{00000000-0005-0000-0000-000095180000}"/>
    <cellStyle name="Calculation 3 2 2 5 3 2 10" xfId="24161" xr:uid="{00000000-0005-0000-0000-000096180000}"/>
    <cellStyle name="Calculation 3 2 2 5 3 2 11" xfId="25160" xr:uid="{00000000-0005-0000-0000-000097180000}"/>
    <cellStyle name="Calculation 3 2 2 5 3 2 12" xfId="28105" xr:uid="{00000000-0005-0000-0000-000098180000}"/>
    <cellStyle name="Calculation 3 2 2 5 3 2 13" xfId="29074" xr:uid="{00000000-0005-0000-0000-000099180000}"/>
    <cellStyle name="Calculation 3 2 2 5 3 2 14" xfId="30113" xr:uid="{00000000-0005-0000-0000-00009A180000}"/>
    <cellStyle name="Calculation 3 2 2 5 3 2 15" xfId="31106" xr:uid="{00000000-0005-0000-0000-00009B180000}"/>
    <cellStyle name="Calculation 3 2 2 5 3 2 16" xfId="32115" xr:uid="{00000000-0005-0000-0000-00009C180000}"/>
    <cellStyle name="Calculation 3 2 2 5 3 2 17" xfId="33118" xr:uid="{00000000-0005-0000-0000-00009D180000}"/>
    <cellStyle name="Calculation 3 2 2 5 3 2 18" xfId="34117" xr:uid="{00000000-0005-0000-0000-00009E180000}"/>
    <cellStyle name="Calculation 3 2 2 5 3 2 19" xfId="35738" xr:uid="{00000000-0005-0000-0000-00009F180000}"/>
    <cellStyle name="Calculation 3 2 2 5 3 2 2" xfId="16141" xr:uid="{00000000-0005-0000-0000-0000A0180000}"/>
    <cellStyle name="Calculation 3 2 2 5 3 2 20" xfId="36677" xr:uid="{00000000-0005-0000-0000-0000A1180000}"/>
    <cellStyle name="Calculation 3 2 2 5 3 2 3" xfId="17119" xr:uid="{00000000-0005-0000-0000-0000A2180000}"/>
    <cellStyle name="Calculation 3 2 2 5 3 2 4" xfId="18147" xr:uid="{00000000-0005-0000-0000-0000A3180000}"/>
    <cellStyle name="Calculation 3 2 2 5 3 2 5" xfId="19179" xr:uid="{00000000-0005-0000-0000-0000A4180000}"/>
    <cellStyle name="Calculation 3 2 2 5 3 2 6" xfId="20201" xr:uid="{00000000-0005-0000-0000-0000A5180000}"/>
    <cellStyle name="Calculation 3 2 2 5 3 2 7" xfId="21210" xr:uid="{00000000-0005-0000-0000-0000A6180000}"/>
    <cellStyle name="Calculation 3 2 2 5 3 2 8" xfId="22184" xr:uid="{00000000-0005-0000-0000-0000A7180000}"/>
    <cellStyle name="Calculation 3 2 2 5 3 2 9" xfId="23189" xr:uid="{00000000-0005-0000-0000-0000A8180000}"/>
    <cellStyle name="Calculation 3 2 2 5 3 20" xfId="35737" xr:uid="{00000000-0005-0000-0000-0000A9180000}"/>
    <cellStyle name="Calculation 3 2 2 5 3 21" xfId="36676" xr:uid="{00000000-0005-0000-0000-0000AA180000}"/>
    <cellStyle name="Calculation 3 2 2 5 3 3" xfId="16140" xr:uid="{00000000-0005-0000-0000-0000AB180000}"/>
    <cellStyle name="Calculation 3 2 2 5 3 4" xfId="17118" xr:uid="{00000000-0005-0000-0000-0000AC180000}"/>
    <cellStyle name="Calculation 3 2 2 5 3 5" xfId="18146" xr:uid="{00000000-0005-0000-0000-0000AD180000}"/>
    <cellStyle name="Calculation 3 2 2 5 3 6" xfId="19178" xr:uid="{00000000-0005-0000-0000-0000AE180000}"/>
    <cellStyle name="Calculation 3 2 2 5 3 7" xfId="20200" xr:uid="{00000000-0005-0000-0000-0000AF180000}"/>
    <cellStyle name="Calculation 3 2 2 5 3 8" xfId="21209" xr:uid="{00000000-0005-0000-0000-0000B0180000}"/>
    <cellStyle name="Calculation 3 2 2 5 3 9" xfId="22183" xr:uid="{00000000-0005-0000-0000-0000B1180000}"/>
    <cellStyle name="Calculation 3 2 2 5 4" xfId="868" xr:uid="{00000000-0005-0000-0000-0000B2180000}"/>
    <cellStyle name="Calculation 3 2 2 5 4 10" xfId="23190" xr:uid="{00000000-0005-0000-0000-0000B3180000}"/>
    <cellStyle name="Calculation 3 2 2 5 4 11" xfId="24162" xr:uid="{00000000-0005-0000-0000-0000B4180000}"/>
    <cellStyle name="Calculation 3 2 2 5 4 12" xfId="25161" xr:uid="{00000000-0005-0000-0000-0000B5180000}"/>
    <cellStyle name="Calculation 3 2 2 5 4 13" xfId="28106" xr:uid="{00000000-0005-0000-0000-0000B6180000}"/>
    <cellStyle name="Calculation 3 2 2 5 4 14" xfId="29075" xr:uid="{00000000-0005-0000-0000-0000B7180000}"/>
    <cellStyle name="Calculation 3 2 2 5 4 15" xfId="30114" xr:uid="{00000000-0005-0000-0000-0000B8180000}"/>
    <cellStyle name="Calculation 3 2 2 5 4 16" xfId="31107" xr:uid="{00000000-0005-0000-0000-0000B9180000}"/>
    <cellStyle name="Calculation 3 2 2 5 4 17" xfId="32116" xr:uid="{00000000-0005-0000-0000-0000BA180000}"/>
    <cellStyle name="Calculation 3 2 2 5 4 18" xfId="33119" xr:uid="{00000000-0005-0000-0000-0000BB180000}"/>
    <cellStyle name="Calculation 3 2 2 5 4 19" xfId="34118" xr:uid="{00000000-0005-0000-0000-0000BC180000}"/>
    <cellStyle name="Calculation 3 2 2 5 4 2" xfId="869" xr:uid="{00000000-0005-0000-0000-0000BD180000}"/>
    <cellStyle name="Calculation 3 2 2 5 4 2 10" xfId="24163" xr:uid="{00000000-0005-0000-0000-0000BE180000}"/>
    <cellStyle name="Calculation 3 2 2 5 4 2 11" xfId="25162" xr:uid="{00000000-0005-0000-0000-0000BF180000}"/>
    <cellStyle name="Calculation 3 2 2 5 4 2 12" xfId="28107" xr:uid="{00000000-0005-0000-0000-0000C0180000}"/>
    <cellStyle name="Calculation 3 2 2 5 4 2 13" xfId="29076" xr:uid="{00000000-0005-0000-0000-0000C1180000}"/>
    <cellStyle name="Calculation 3 2 2 5 4 2 14" xfId="30115" xr:uid="{00000000-0005-0000-0000-0000C2180000}"/>
    <cellStyle name="Calculation 3 2 2 5 4 2 15" xfId="31108" xr:uid="{00000000-0005-0000-0000-0000C3180000}"/>
    <cellStyle name="Calculation 3 2 2 5 4 2 16" xfId="32117" xr:uid="{00000000-0005-0000-0000-0000C4180000}"/>
    <cellStyle name="Calculation 3 2 2 5 4 2 17" xfId="33120" xr:uid="{00000000-0005-0000-0000-0000C5180000}"/>
    <cellStyle name="Calculation 3 2 2 5 4 2 18" xfId="34119" xr:uid="{00000000-0005-0000-0000-0000C6180000}"/>
    <cellStyle name="Calculation 3 2 2 5 4 2 19" xfId="35740" xr:uid="{00000000-0005-0000-0000-0000C7180000}"/>
    <cellStyle name="Calculation 3 2 2 5 4 2 2" xfId="16143" xr:uid="{00000000-0005-0000-0000-0000C8180000}"/>
    <cellStyle name="Calculation 3 2 2 5 4 2 20" xfId="36679" xr:uid="{00000000-0005-0000-0000-0000C9180000}"/>
    <cellStyle name="Calculation 3 2 2 5 4 2 3" xfId="17121" xr:uid="{00000000-0005-0000-0000-0000CA180000}"/>
    <cellStyle name="Calculation 3 2 2 5 4 2 4" xfId="18149" xr:uid="{00000000-0005-0000-0000-0000CB180000}"/>
    <cellStyle name="Calculation 3 2 2 5 4 2 5" xfId="19181" xr:uid="{00000000-0005-0000-0000-0000CC180000}"/>
    <cellStyle name="Calculation 3 2 2 5 4 2 6" xfId="20203" xr:uid="{00000000-0005-0000-0000-0000CD180000}"/>
    <cellStyle name="Calculation 3 2 2 5 4 2 7" xfId="21212" xr:uid="{00000000-0005-0000-0000-0000CE180000}"/>
    <cellStyle name="Calculation 3 2 2 5 4 2 8" xfId="22186" xr:uid="{00000000-0005-0000-0000-0000CF180000}"/>
    <cellStyle name="Calculation 3 2 2 5 4 2 9" xfId="23191" xr:uid="{00000000-0005-0000-0000-0000D0180000}"/>
    <cellStyle name="Calculation 3 2 2 5 4 20" xfId="35739" xr:uid="{00000000-0005-0000-0000-0000D1180000}"/>
    <cellStyle name="Calculation 3 2 2 5 4 21" xfId="36678" xr:uid="{00000000-0005-0000-0000-0000D2180000}"/>
    <cellStyle name="Calculation 3 2 2 5 4 3" xfId="16142" xr:uid="{00000000-0005-0000-0000-0000D3180000}"/>
    <cellStyle name="Calculation 3 2 2 5 4 4" xfId="17120" xr:uid="{00000000-0005-0000-0000-0000D4180000}"/>
    <cellStyle name="Calculation 3 2 2 5 4 5" xfId="18148" xr:uid="{00000000-0005-0000-0000-0000D5180000}"/>
    <cellStyle name="Calculation 3 2 2 5 4 6" xfId="19180" xr:uid="{00000000-0005-0000-0000-0000D6180000}"/>
    <cellStyle name="Calculation 3 2 2 5 4 7" xfId="20202" xr:uid="{00000000-0005-0000-0000-0000D7180000}"/>
    <cellStyle name="Calculation 3 2 2 5 4 8" xfId="21211" xr:uid="{00000000-0005-0000-0000-0000D8180000}"/>
    <cellStyle name="Calculation 3 2 2 5 4 9" xfId="22185" xr:uid="{00000000-0005-0000-0000-0000D9180000}"/>
    <cellStyle name="Calculation 3 2 2 5 5" xfId="870" xr:uid="{00000000-0005-0000-0000-0000DA180000}"/>
    <cellStyle name="Calculation 3 2 2 5 5 10" xfId="24164" xr:uid="{00000000-0005-0000-0000-0000DB180000}"/>
    <cellStyle name="Calculation 3 2 2 5 5 11" xfId="25163" xr:uid="{00000000-0005-0000-0000-0000DC180000}"/>
    <cellStyle name="Calculation 3 2 2 5 5 12" xfId="28108" xr:uid="{00000000-0005-0000-0000-0000DD180000}"/>
    <cellStyle name="Calculation 3 2 2 5 5 13" xfId="29077" xr:uid="{00000000-0005-0000-0000-0000DE180000}"/>
    <cellStyle name="Calculation 3 2 2 5 5 14" xfId="30116" xr:uid="{00000000-0005-0000-0000-0000DF180000}"/>
    <cellStyle name="Calculation 3 2 2 5 5 15" xfId="31109" xr:uid="{00000000-0005-0000-0000-0000E0180000}"/>
    <cellStyle name="Calculation 3 2 2 5 5 16" xfId="32118" xr:uid="{00000000-0005-0000-0000-0000E1180000}"/>
    <cellStyle name="Calculation 3 2 2 5 5 17" xfId="33121" xr:uid="{00000000-0005-0000-0000-0000E2180000}"/>
    <cellStyle name="Calculation 3 2 2 5 5 18" xfId="34120" xr:uid="{00000000-0005-0000-0000-0000E3180000}"/>
    <cellStyle name="Calculation 3 2 2 5 5 19" xfId="35741" xr:uid="{00000000-0005-0000-0000-0000E4180000}"/>
    <cellStyle name="Calculation 3 2 2 5 5 2" xfId="16144" xr:uid="{00000000-0005-0000-0000-0000E5180000}"/>
    <cellStyle name="Calculation 3 2 2 5 5 20" xfId="36680" xr:uid="{00000000-0005-0000-0000-0000E6180000}"/>
    <cellStyle name="Calculation 3 2 2 5 5 3" xfId="17122" xr:uid="{00000000-0005-0000-0000-0000E7180000}"/>
    <cellStyle name="Calculation 3 2 2 5 5 4" xfId="18150" xr:uid="{00000000-0005-0000-0000-0000E8180000}"/>
    <cellStyle name="Calculation 3 2 2 5 5 5" xfId="19182" xr:uid="{00000000-0005-0000-0000-0000E9180000}"/>
    <cellStyle name="Calculation 3 2 2 5 5 6" xfId="20204" xr:uid="{00000000-0005-0000-0000-0000EA180000}"/>
    <cellStyle name="Calculation 3 2 2 5 5 7" xfId="21213" xr:uid="{00000000-0005-0000-0000-0000EB180000}"/>
    <cellStyle name="Calculation 3 2 2 5 5 8" xfId="22187" xr:uid="{00000000-0005-0000-0000-0000EC180000}"/>
    <cellStyle name="Calculation 3 2 2 5 5 9" xfId="23192" xr:uid="{00000000-0005-0000-0000-0000ED180000}"/>
    <cellStyle name="Calculation 3 2 2 5 6" xfId="14077" xr:uid="{00000000-0005-0000-0000-0000EE180000}"/>
    <cellStyle name="Calculation 3 2 2 5 7" xfId="13514" xr:uid="{00000000-0005-0000-0000-0000EF180000}"/>
    <cellStyle name="Calculation 3 2 2 5 8" xfId="13838" xr:uid="{00000000-0005-0000-0000-0000F0180000}"/>
    <cellStyle name="Calculation 3 2 2 5 9" xfId="14258" xr:uid="{00000000-0005-0000-0000-0000F1180000}"/>
    <cellStyle name="Calculation 3 2 2 6" xfId="871" xr:uid="{00000000-0005-0000-0000-0000F2180000}"/>
    <cellStyle name="Calculation 3 2 2 6 10" xfId="23193" xr:uid="{00000000-0005-0000-0000-0000F3180000}"/>
    <cellStyle name="Calculation 3 2 2 6 11" xfId="24165" xr:uid="{00000000-0005-0000-0000-0000F4180000}"/>
    <cellStyle name="Calculation 3 2 2 6 12" xfId="25164" xr:uid="{00000000-0005-0000-0000-0000F5180000}"/>
    <cellStyle name="Calculation 3 2 2 6 13" xfId="28109" xr:uid="{00000000-0005-0000-0000-0000F6180000}"/>
    <cellStyle name="Calculation 3 2 2 6 14" xfId="29078" xr:uid="{00000000-0005-0000-0000-0000F7180000}"/>
    <cellStyle name="Calculation 3 2 2 6 15" xfId="30117" xr:uid="{00000000-0005-0000-0000-0000F8180000}"/>
    <cellStyle name="Calculation 3 2 2 6 16" xfId="31110" xr:uid="{00000000-0005-0000-0000-0000F9180000}"/>
    <cellStyle name="Calculation 3 2 2 6 17" xfId="32119" xr:uid="{00000000-0005-0000-0000-0000FA180000}"/>
    <cellStyle name="Calculation 3 2 2 6 18" xfId="33122" xr:uid="{00000000-0005-0000-0000-0000FB180000}"/>
    <cellStyle name="Calculation 3 2 2 6 19" xfId="34121" xr:uid="{00000000-0005-0000-0000-0000FC180000}"/>
    <cellStyle name="Calculation 3 2 2 6 2" xfId="872" xr:uid="{00000000-0005-0000-0000-0000FD180000}"/>
    <cellStyle name="Calculation 3 2 2 6 2 10" xfId="24166" xr:uid="{00000000-0005-0000-0000-0000FE180000}"/>
    <cellStyle name="Calculation 3 2 2 6 2 11" xfId="25165" xr:uid="{00000000-0005-0000-0000-0000FF180000}"/>
    <cellStyle name="Calculation 3 2 2 6 2 12" xfId="28110" xr:uid="{00000000-0005-0000-0000-000000190000}"/>
    <cellStyle name="Calculation 3 2 2 6 2 13" xfId="29079" xr:uid="{00000000-0005-0000-0000-000001190000}"/>
    <cellStyle name="Calculation 3 2 2 6 2 14" xfId="30118" xr:uid="{00000000-0005-0000-0000-000002190000}"/>
    <cellStyle name="Calculation 3 2 2 6 2 15" xfId="31111" xr:uid="{00000000-0005-0000-0000-000003190000}"/>
    <cellStyle name="Calculation 3 2 2 6 2 16" xfId="32120" xr:uid="{00000000-0005-0000-0000-000004190000}"/>
    <cellStyle name="Calculation 3 2 2 6 2 17" xfId="33123" xr:uid="{00000000-0005-0000-0000-000005190000}"/>
    <cellStyle name="Calculation 3 2 2 6 2 18" xfId="34122" xr:uid="{00000000-0005-0000-0000-000006190000}"/>
    <cellStyle name="Calculation 3 2 2 6 2 19" xfId="35743" xr:uid="{00000000-0005-0000-0000-000007190000}"/>
    <cellStyle name="Calculation 3 2 2 6 2 2" xfId="16146" xr:uid="{00000000-0005-0000-0000-000008190000}"/>
    <cellStyle name="Calculation 3 2 2 6 2 20" xfId="36682" xr:uid="{00000000-0005-0000-0000-000009190000}"/>
    <cellStyle name="Calculation 3 2 2 6 2 3" xfId="17124" xr:uid="{00000000-0005-0000-0000-00000A190000}"/>
    <cellStyle name="Calculation 3 2 2 6 2 4" xfId="18152" xr:uid="{00000000-0005-0000-0000-00000B190000}"/>
    <cellStyle name="Calculation 3 2 2 6 2 5" xfId="19184" xr:uid="{00000000-0005-0000-0000-00000C190000}"/>
    <cellStyle name="Calculation 3 2 2 6 2 6" xfId="20206" xr:uid="{00000000-0005-0000-0000-00000D190000}"/>
    <cellStyle name="Calculation 3 2 2 6 2 7" xfId="21215" xr:uid="{00000000-0005-0000-0000-00000E190000}"/>
    <cellStyle name="Calculation 3 2 2 6 2 8" xfId="22189" xr:uid="{00000000-0005-0000-0000-00000F190000}"/>
    <cellStyle name="Calculation 3 2 2 6 2 9" xfId="23194" xr:uid="{00000000-0005-0000-0000-000010190000}"/>
    <cellStyle name="Calculation 3 2 2 6 20" xfId="35742" xr:uid="{00000000-0005-0000-0000-000011190000}"/>
    <cellStyle name="Calculation 3 2 2 6 21" xfId="36681" xr:uid="{00000000-0005-0000-0000-000012190000}"/>
    <cellStyle name="Calculation 3 2 2 6 3" xfId="16145" xr:uid="{00000000-0005-0000-0000-000013190000}"/>
    <cellStyle name="Calculation 3 2 2 6 4" xfId="17123" xr:uid="{00000000-0005-0000-0000-000014190000}"/>
    <cellStyle name="Calculation 3 2 2 6 5" xfId="18151" xr:uid="{00000000-0005-0000-0000-000015190000}"/>
    <cellStyle name="Calculation 3 2 2 6 6" xfId="19183" xr:uid="{00000000-0005-0000-0000-000016190000}"/>
    <cellStyle name="Calculation 3 2 2 6 7" xfId="20205" xr:uid="{00000000-0005-0000-0000-000017190000}"/>
    <cellStyle name="Calculation 3 2 2 6 8" xfId="21214" xr:uid="{00000000-0005-0000-0000-000018190000}"/>
    <cellStyle name="Calculation 3 2 2 6 9" xfId="22188" xr:uid="{00000000-0005-0000-0000-000019190000}"/>
    <cellStyle name="Calculation 3 2 2 7" xfId="873" xr:uid="{00000000-0005-0000-0000-00001A190000}"/>
    <cellStyle name="Calculation 3 2 2 7 10" xfId="23195" xr:uid="{00000000-0005-0000-0000-00001B190000}"/>
    <cellStyle name="Calculation 3 2 2 7 11" xfId="24167" xr:uid="{00000000-0005-0000-0000-00001C190000}"/>
    <cellStyle name="Calculation 3 2 2 7 12" xfId="25166" xr:uid="{00000000-0005-0000-0000-00001D190000}"/>
    <cellStyle name="Calculation 3 2 2 7 13" xfId="28111" xr:uid="{00000000-0005-0000-0000-00001E190000}"/>
    <cellStyle name="Calculation 3 2 2 7 14" xfId="29080" xr:uid="{00000000-0005-0000-0000-00001F190000}"/>
    <cellStyle name="Calculation 3 2 2 7 15" xfId="30119" xr:uid="{00000000-0005-0000-0000-000020190000}"/>
    <cellStyle name="Calculation 3 2 2 7 16" xfId="31112" xr:uid="{00000000-0005-0000-0000-000021190000}"/>
    <cellStyle name="Calculation 3 2 2 7 17" xfId="32121" xr:uid="{00000000-0005-0000-0000-000022190000}"/>
    <cellStyle name="Calculation 3 2 2 7 18" xfId="33124" xr:uid="{00000000-0005-0000-0000-000023190000}"/>
    <cellStyle name="Calculation 3 2 2 7 19" xfId="34123" xr:uid="{00000000-0005-0000-0000-000024190000}"/>
    <cellStyle name="Calculation 3 2 2 7 2" xfId="874" xr:uid="{00000000-0005-0000-0000-000025190000}"/>
    <cellStyle name="Calculation 3 2 2 7 2 10" xfId="24168" xr:uid="{00000000-0005-0000-0000-000026190000}"/>
    <cellStyle name="Calculation 3 2 2 7 2 11" xfId="25167" xr:uid="{00000000-0005-0000-0000-000027190000}"/>
    <cellStyle name="Calculation 3 2 2 7 2 12" xfId="28112" xr:uid="{00000000-0005-0000-0000-000028190000}"/>
    <cellStyle name="Calculation 3 2 2 7 2 13" xfId="29081" xr:uid="{00000000-0005-0000-0000-000029190000}"/>
    <cellStyle name="Calculation 3 2 2 7 2 14" xfId="30120" xr:uid="{00000000-0005-0000-0000-00002A190000}"/>
    <cellStyle name="Calculation 3 2 2 7 2 15" xfId="31113" xr:uid="{00000000-0005-0000-0000-00002B190000}"/>
    <cellStyle name="Calculation 3 2 2 7 2 16" xfId="32122" xr:uid="{00000000-0005-0000-0000-00002C190000}"/>
    <cellStyle name="Calculation 3 2 2 7 2 17" xfId="33125" xr:uid="{00000000-0005-0000-0000-00002D190000}"/>
    <cellStyle name="Calculation 3 2 2 7 2 18" xfId="34124" xr:uid="{00000000-0005-0000-0000-00002E190000}"/>
    <cellStyle name="Calculation 3 2 2 7 2 19" xfId="35745" xr:uid="{00000000-0005-0000-0000-00002F190000}"/>
    <cellStyle name="Calculation 3 2 2 7 2 2" xfId="16148" xr:uid="{00000000-0005-0000-0000-000030190000}"/>
    <cellStyle name="Calculation 3 2 2 7 2 20" xfId="36684" xr:uid="{00000000-0005-0000-0000-000031190000}"/>
    <cellStyle name="Calculation 3 2 2 7 2 3" xfId="17126" xr:uid="{00000000-0005-0000-0000-000032190000}"/>
    <cellStyle name="Calculation 3 2 2 7 2 4" xfId="18154" xr:uid="{00000000-0005-0000-0000-000033190000}"/>
    <cellStyle name="Calculation 3 2 2 7 2 5" xfId="19186" xr:uid="{00000000-0005-0000-0000-000034190000}"/>
    <cellStyle name="Calculation 3 2 2 7 2 6" xfId="20208" xr:uid="{00000000-0005-0000-0000-000035190000}"/>
    <cellStyle name="Calculation 3 2 2 7 2 7" xfId="21217" xr:uid="{00000000-0005-0000-0000-000036190000}"/>
    <cellStyle name="Calculation 3 2 2 7 2 8" xfId="22191" xr:uid="{00000000-0005-0000-0000-000037190000}"/>
    <cellStyle name="Calculation 3 2 2 7 2 9" xfId="23196" xr:uid="{00000000-0005-0000-0000-000038190000}"/>
    <cellStyle name="Calculation 3 2 2 7 20" xfId="35744" xr:uid="{00000000-0005-0000-0000-000039190000}"/>
    <cellStyle name="Calculation 3 2 2 7 21" xfId="36683" xr:uid="{00000000-0005-0000-0000-00003A190000}"/>
    <cellStyle name="Calculation 3 2 2 7 3" xfId="16147" xr:uid="{00000000-0005-0000-0000-00003B190000}"/>
    <cellStyle name="Calculation 3 2 2 7 4" xfId="17125" xr:uid="{00000000-0005-0000-0000-00003C190000}"/>
    <cellStyle name="Calculation 3 2 2 7 5" xfId="18153" xr:uid="{00000000-0005-0000-0000-00003D190000}"/>
    <cellStyle name="Calculation 3 2 2 7 6" xfId="19185" xr:uid="{00000000-0005-0000-0000-00003E190000}"/>
    <cellStyle name="Calculation 3 2 2 7 7" xfId="20207" xr:uid="{00000000-0005-0000-0000-00003F190000}"/>
    <cellStyle name="Calculation 3 2 2 7 8" xfId="21216" xr:uid="{00000000-0005-0000-0000-000040190000}"/>
    <cellStyle name="Calculation 3 2 2 7 9" xfId="22190" xr:uid="{00000000-0005-0000-0000-000041190000}"/>
    <cellStyle name="Calculation 3 2 2 8" xfId="875" xr:uid="{00000000-0005-0000-0000-000042190000}"/>
    <cellStyle name="Calculation 3 2 2 8 10" xfId="23197" xr:uid="{00000000-0005-0000-0000-000043190000}"/>
    <cellStyle name="Calculation 3 2 2 8 11" xfId="24169" xr:uid="{00000000-0005-0000-0000-000044190000}"/>
    <cellStyle name="Calculation 3 2 2 8 12" xfId="25168" xr:uid="{00000000-0005-0000-0000-000045190000}"/>
    <cellStyle name="Calculation 3 2 2 8 13" xfId="28113" xr:uid="{00000000-0005-0000-0000-000046190000}"/>
    <cellStyle name="Calculation 3 2 2 8 14" xfId="29082" xr:uid="{00000000-0005-0000-0000-000047190000}"/>
    <cellStyle name="Calculation 3 2 2 8 15" xfId="30121" xr:uid="{00000000-0005-0000-0000-000048190000}"/>
    <cellStyle name="Calculation 3 2 2 8 16" xfId="31114" xr:uid="{00000000-0005-0000-0000-000049190000}"/>
    <cellStyle name="Calculation 3 2 2 8 17" xfId="32123" xr:uid="{00000000-0005-0000-0000-00004A190000}"/>
    <cellStyle name="Calculation 3 2 2 8 18" xfId="33126" xr:uid="{00000000-0005-0000-0000-00004B190000}"/>
    <cellStyle name="Calculation 3 2 2 8 19" xfId="34125" xr:uid="{00000000-0005-0000-0000-00004C190000}"/>
    <cellStyle name="Calculation 3 2 2 8 2" xfId="876" xr:uid="{00000000-0005-0000-0000-00004D190000}"/>
    <cellStyle name="Calculation 3 2 2 8 2 10" xfId="24170" xr:uid="{00000000-0005-0000-0000-00004E190000}"/>
    <cellStyle name="Calculation 3 2 2 8 2 11" xfId="25169" xr:uid="{00000000-0005-0000-0000-00004F190000}"/>
    <cellStyle name="Calculation 3 2 2 8 2 12" xfId="28114" xr:uid="{00000000-0005-0000-0000-000050190000}"/>
    <cellStyle name="Calculation 3 2 2 8 2 13" xfId="29083" xr:uid="{00000000-0005-0000-0000-000051190000}"/>
    <cellStyle name="Calculation 3 2 2 8 2 14" xfId="30122" xr:uid="{00000000-0005-0000-0000-000052190000}"/>
    <cellStyle name="Calculation 3 2 2 8 2 15" xfId="31115" xr:uid="{00000000-0005-0000-0000-000053190000}"/>
    <cellStyle name="Calculation 3 2 2 8 2 16" xfId="32124" xr:uid="{00000000-0005-0000-0000-000054190000}"/>
    <cellStyle name="Calculation 3 2 2 8 2 17" xfId="33127" xr:uid="{00000000-0005-0000-0000-000055190000}"/>
    <cellStyle name="Calculation 3 2 2 8 2 18" xfId="34126" xr:uid="{00000000-0005-0000-0000-000056190000}"/>
    <cellStyle name="Calculation 3 2 2 8 2 19" xfId="35747" xr:uid="{00000000-0005-0000-0000-000057190000}"/>
    <cellStyle name="Calculation 3 2 2 8 2 2" xfId="16150" xr:uid="{00000000-0005-0000-0000-000058190000}"/>
    <cellStyle name="Calculation 3 2 2 8 2 20" xfId="36686" xr:uid="{00000000-0005-0000-0000-000059190000}"/>
    <cellStyle name="Calculation 3 2 2 8 2 3" xfId="17128" xr:uid="{00000000-0005-0000-0000-00005A190000}"/>
    <cellStyle name="Calculation 3 2 2 8 2 4" xfId="18156" xr:uid="{00000000-0005-0000-0000-00005B190000}"/>
    <cellStyle name="Calculation 3 2 2 8 2 5" xfId="19188" xr:uid="{00000000-0005-0000-0000-00005C190000}"/>
    <cellStyle name="Calculation 3 2 2 8 2 6" xfId="20210" xr:uid="{00000000-0005-0000-0000-00005D190000}"/>
    <cellStyle name="Calculation 3 2 2 8 2 7" xfId="21219" xr:uid="{00000000-0005-0000-0000-00005E190000}"/>
    <cellStyle name="Calculation 3 2 2 8 2 8" xfId="22193" xr:uid="{00000000-0005-0000-0000-00005F190000}"/>
    <cellStyle name="Calculation 3 2 2 8 2 9" xfId="23198" xr:uid="{00000000-0005-0000-0000-000060190000}"/>
    <cellStyle name="Calculation 3 2 2 8 20" xfId="35746" xr:uid="{00000000-0005-0000-0000-000061190000}"/>
    <cellStyle name="Calculation 3 2 2 8 21" xfId="36685" xr:uid="{00000000-0005-0000-0000-000062190000}"/>
    <cellStyle name="Calculation 3 2 2 8 3" xfId="16149" xr:uid="{00000000-0005-0000-0000-000063190000}"/>
    <cellStyle name="Calculation 3 2 2 8 4" xfId="17127" xr:uid="{00000000-0005-0000-0000-000064190000}"/>
    <cellStyle name="Calculation 3 2 2 8 5" xfId="18155" xr:uid="{00000000-0005-0000-0000-000065190000}"/>
    <cellStyle name="Calculation 3 2 2 8 6" xfId="19187" xr:uid="{00000000-0005-0000-0000-000066190000}"/>
    <cellStyle name="Calculation 3 2 2 8 7" xfId="20209" xr:uid="{00000000-0005-0000-0000-000067190000}"/>
    <cellStyle name="Calculation 3 2 2 8 8" xfId="21218" xr:uid="{00000000-0005-0000-0000-000068190000}"/>
    <cellStyle name="Calculation 3 2 2 8 9" xfId="22192" xr:uid="{00000000-0005-0000-0000-000069190000}"/>
    <cellStyle name="Calculation 3 2 2 9" xfId="877" xr:uid="{00000000-0005-0000-0000-00006A190000}"/>
    <cellStyle name="Calculation 3 2 2 9 10" xfId="24171" xr:uid="{00000000-0005-0000-0000-00006B190000}"/>
    <cellStyle name="Calculation 3 2 2 9 11" xfId="25170" xr:uid="{00000000-0005-0000-0000-00006C190000}"/>
    <cellStyle name="Calculation 3 2 2 9 12" xfId="28115" xr:uid="{00000000-0005-0000-0000-00006D190000}"/>
    <cellStyle name="Calculation 3 2 2 9 13" xfId="29084" xr:uid="{00000000-0005-0000-0000-00006E190000}"/>
    <cellStyle name="Calculation 3 2 2 9 14" xfId="30123" xr:uid="{00000000-0005-0000-0000-00006F190000}"/>
    <cellStyle name="Calculation 3 2 2 9 15" xfId="31116" xr:uid="{00000000-0005-0000-0000-000070190000}"/>
    <cellStyle name="Calculation 3 2 2 9 16" xfId="32125" xr:uid="{00000000-0005-0000-0000-000071190000}"/>
    <cellStyle name="Calculation 3 2 2 9 17" xfId="33128" xr:uid="{00000000-0005-0000-0000-000072190000}"/>
    <cellStyle name="Calculation 3 2 2 9 18" xfId="34127" xr:uid="{00000000-0005-0000-0000-000073190000}"/>
    <cellStyle name="Calculation 3 2 2 9 19" xfId="35748" xr:uid="{00000000-0005-0000-0000-000074190000}"/>
    <cellStyle name="Calculation 3 2 2 9 2" xfId="16151" xr:uid="{00000000-0005-0000-0000-000075190000}"/>
    <cellStyle name="Calculation 3 2 2 9 20" xfId="36687" xr:uid="{00000000-0005-0000-0000-000076190000}"/>
    <cellStyle name="Calculation 3 2 2 9 3" xfId="17129" xr:uid="{00000000-0005-0000-0000-000077190000}"/>
    <cellStyle name="Calculation 3 2 2 9 4" xfId="18157" xr:uid="{00000000-0005-0000-0000-000078190000}"/>
    <cellStyle name="Calculation 3 2 2 9 5" xfId="19189" xr:uid="{00000000-0005-0000-0000-000079190000}"/>
    <cellStyle name="Calculation 3 2 2 9 6" xfId="20211" xr:uid="{00000000-0005-0000-0000-00007A190000}"/>
    <cellStyle name="Calculation 3 2 2 9 7" xfId="21220" xr:uid="{00000000-0005-0000-0000-00007B190000}"/>
    <cellStyle name="Calculation 3 2 2 9 8" xfId="22194" xr:uid="{00000000-0005-0000-0000-00007C190000}"/>
    <cellStyle name="Calculation 3 2 2 9 9" xfId="23199" xr:uid="{00000000-0005-0000-0000-00007D190000}"/>
    <cellStyle name="Calculation 3 2 3" xfId="878" xr:uid="{00000000-0005-0000-0000-00007E190000}"/>
    <cellStyle name="Calculation 3 2 3 10" xfId="13990" xr:uid="{00000000-0005-0000-0000-00007F190000}"/>
    <cellStyle name="Calculation 3 2 3 11" xfId="14341" xr:uid="{00000000-0005-0000-0000-000080190000}"/>
    <cellStyle name="Calculation 3 2 3 12" xfId="18917" xr:uid="{00000000-0005-0000-0000-000081190000}"/>
    <cellStyle name="Calculation 3 2 3 13" xfId="14345" xr:uid="{00000000-0005-0000-0000-000082190000}"/>
    <cellStyle name="Calculation 3 2 3 14" xfId="21853" xr:uid="{00000000-0005-0000-0000-000083190000}"/>
    <cellStyle name="Calculation 3 2 3 15" xfId="20950" xr:uid="{00000000-0005-0000-0000-000084190000}"/>
    <cellStyle name="Calculation 3 2 3 16" xfId="26078" xr:uid="{00000000-0005-0000-0000-000085190000}"/>
    <cellStyle name="Calculation 3 2 3 17" xfId="26242" xr:uid="{00000000-0005-0000-0000-000086190000}"/>
    <cellStyle name="Calculation 3 2 3 18" xfId="28752" xr:uid="{00000000-0005-0000-0000-000087190000}"/>
    <cellStyle name="Calculation 3 2 3 19" xfId="25918" xr:uid="{00000000-0005-0000-0000-000088190000}"/>
    <cellStyle name="Calculation 3 2 3 2" xfId="879" xr:uid="{00000000-0005-0000-0000-000089190000}"/>
    <cellStyle name="Calculation 3 2 3 2 10" xfId="14378" xr:uid="{00000000-0005-0000-0000-00008A190000}"/>
    <cellStyle name="Calculation 3 2 3 2 11" xfId="14945" xr:uid="{00000000-0005-0000-0000-00008B190000}"/>
    <cellStyle name="Calculation 3 2 3 2 12" xfId="26301" xr:uid="{00000000-0005-0000-0000-00008C190000}"/>
    <cellStyle name="Calculation 3 2 3 2 13" xfId="27187" xr:uid="{00000000-0005-0000-0000-00008D190000}"/>
    <cellStyle name="Calculation 3 2 3 2 14" xfId="25923" xr:uid="{00000000-0005-0000-0000-00008E190000}"/>
    <cellStyle name="Calculation 3 2 3 2 15" xfId="27481" xr:uid="{00000000-0005-0000-0000-00008F190000}"/>
    <cellStyle name="Calculation 3 2 3 2 16" xfId="26908" xr:uid="{00000000-0005-0000-0000-000090190000}"/>
    <cellStyle name="Calculation 3 2 3 2 17" xfId="26901" xr:uid="{00000000-0005-0000-0000-000091190000}"/>
    <cellStyle name="Calculation 3 2 3 2 18" xfId="34997" xr:uid="{00000000-0005-0000-0000-000092190000}"/>
    <cellStyle name="Calculation 3 2 3 2 19" xfId="34927" xr:uid="{00000000-0005-0000-0000-000093190000}"/>
    <cellStyle name="Calculation 3 2 3 2 2" xfId="880" xr:uid="{00000000-0005-0000-0000-000094190000}"/>
    <cellStyle name="Calculation 3 2 3 2 2 10" xfId="23200" xr:uid="{00000000-0005-0000-0000-000095190000}"/>
    <cellStyle name="Calculation 3 2 3 2 2 11" xfId="24172" xr:uid="{00000000-0005-0000-0000-000096190000}"/>
    <cellStyle name="Calculation 3 2 3 2 2 12" xfId="25171" xr:uid="{00000000-0005-0000-0000-000097190000}"/>
    <cellStyle name="Calculation 3 2 3 2 2 13" xfId="28116" xr:uid="{00000000-0005-0000-0000-000098190000}"/>
    <cellStyle name="Calculation 3 2 3 2 2 14" xfId="29085" xr:uid="{00000000-0005-0000-0000-000099190000}"/>
    <cellStyle name="Calculation 3 2 3 2 2 15" xfId="30124" xr:uid="{00000000-0005-0000-0000-00009A190000}"/>
    <cellStyle name="Calculation 3 2 3 2 2 16" xfId="31117" xr:uid="{00000000-0005-0000-0000-00009B190000}"/>
    <cellStyle name="Calculation 3 2 3 2 2 17" xfId="32126" xr:uid="{00000000-0005-0000-0000-00009C190000}"/>
    <cellStyle name="Calculation 3 2 3 2 2 18" xfId="33129" xr:uid="{00000000-0005-0000-0000-00009D190000}"/>
    <cellStyle name="Calculation 3 2 3 2 2 19" xfId="34128" xr:uid="{00000000-0005-0000-0000-00009E190000}"/>
    <cellStyle name="Calculation 3 2 3 2 2 2" xfId="881" xr:uid="{00000000-0005-0000-0000-00009F190000}"/>
    <cellStyle name="Calculation 3 2 3 2 2 2 10" xfId="24173" xr:uid="{00000000-0005-0000-0000-0000A0190000}"/>
    <cellStyle name="Calculation 3 2 3 2 2 2 11" xfId="25172" xr:uid="{00000000-0005-0000-0000-0000A1190000}"/>
    <cellStyle name="Calculation 3 2 3 2 2 2 12" xfId="28117" xr:uid="{00000000-0005-0000-0000-0000A2190000}"/>
    <cellStyle name="Calculation 3 2 3 2 2 2 13" xfId="29086" xr:uid="{00000000-0005-0000-0000-0000A3190000}"/>
    <cellStyle name="Calculation 3 2 3 2 2 2 14" xfId="30125" xr:uid="{00000000-0005-0000-0000-0000A4190000}"/>
    <cellStyle name="Calculation 3 2 3 2 2 2 15" xfId="31118" xr:uid="{00000000-0005-0000-0000-0000A5190000}"/>
    <cellStyle name="Calculation 3 2 3 2 2 2 16" xfId="32127" xr:uid="{00000000-0005-0000-0000-0000A6190000}"/>
    <cellStyle name="Calculation 3 2 3 2 2 2 17" xfId="33130" xr:uid="{00000000-0005-0000-0000-0000A7190000}"/>
    <cellStyle name="Calculation 3 2 3 2 2 2 18" xfId="34129" xr:uid="{00000000-0005-0000-0000-0000A8190000}"/>
    <cellStyle name="Calculation 3 2 3 2 2 2 19" xfId="35750" xr:uid="{00000000-0005-0000-0000-0000A9190000}"/>
    <cellStyle name="Calculation 3 2 3 2 2 2 2" xfId="16153" xr:uid="{00000000-0005-0000-0000-0000AA190000}"/>
    <cellStyle name="Calculation 3 2 3 2 2 2 20" xfId="36689" xr:uid="{00000000-0005-0000-0000-0000AB190000}"/>
    <cellStyle name="Calculation 3 2 3 2 2 2 3" xfId="17131" xr:uid="{00000000-0005-0000-0000-0000AC190000}"/>
    <cellStyle name="Calculation 3 2 3 2 2 2 4" xfId="18159" xr:uid="{00000000-0005-0000-0000-0000AD190000}"/>
    <cellStyle name="Calculation 3 2 3 2 2 2 5" xfId="19191" xr:uid="{00000000-0005-0000-0000-0000AE190000}"/>
    <cellStyle name="Calculation 3 2 3 2 2 2 6" xfId="20213" xr:uid="{00000000-0005-0000-0000-0000AF190000}"/>
    <cellStyle name="Calculation 3 2 3 2 2 2 7" xfId="21222" xr:uid="{00000000-0005-0000-0000-0000B0190000}"/>
    <cellStyle name="Calculation 3 2 3 2 2 2 8" xfId="22196" xr:uid="{00000000-0005-0000-0000-0000B1190000}"/>
    <cellStyle name="Calculation 3 2 3 2 2 2 9" xfId="23201" xr:uid="{00000000-0005-0000-0000-0000B2190000}"/>
    <cellStyle name="Calculation 3 2 3 2 2 20" xfId="35749" xr:uid="{00000000-0005-0000-0000-0000B3190000}"/>
    <cellStyle name="Calculation 3 2 3 2 2 21" xfId="36688" xr:uid="{00000000-0005-0000-0000-0000B4190000}"/>
    <cellStyle name="Calculation 3 2 3 2 2 3" xfId="16152" xr:uid="{00000000-0005-0000-0000-0000B5190000}"/>
    <cellStyle name="Calculation 3 2 3 2 2 4" xfId="17130" xr:uid="{00000000-0005-0000-0000-0000B6190000}"/>
    <cellStyle name="Calculation 3 2 3 2 2 5" xfId="18158" xr:uid="{00000000-0005-0000-0000-0000B7190000}"/>
    <cellStyle name="Calculation 3 2 3 2 2 6" xfId="19190" xr:uid="{00000000-0005-0000-0000-0000B8190000}"/>
    <cellStyle name="Calculation 3 2 3 2 2 7" xfId="20212" xr:uid="{00000000-0005-0000-0000-0000B9190000}"/>
    <cellStyle name="Calculation 3 2 3 2 2 8" xfId="21221" xr:uid="{00000000-0005-0000-0000-0000BA190000}"/>
    <cellStyle name="Calculation 3 2 3 2 2 9" xfId="22195" xr:uid="{00000000-0005-0000-0000-0000BB190000}"/>
    <cellStyle name="Calculation 3 2 3 2 3" xfId="882" xr:uid="{00000000-0005-0000-0000-0000BC190000}"/>
    <cellStyle name="Calculation 3 2 3 2 3 10" xfId="23202" xr:uid="{00000000-0005-0000-0000-0000BD190000}"/>
    <cellStyle name="Calculation 3 2 3 2 3 11" xfId="24174" xr:uid="{00000000-0005-0000-0000-0000BE190000}"/>
    <cellStyle name="Calculation 3 2 3 2 3 12" xfId="25173" xr:uid="{00000000-0005-0000-0000-0000BF190000}"/>
    <cellStyle name="Calculation 3 2 3 2 3 13" xfId="28118" xr:uid="{00000000-0005-0000-0000-0000C0190000}"/>
    <cellStyle name="Calculation 3 2 3 2 3 14" xfId="29087" xr:uid="{00000000-0005-0000-0000-0000C1190000}"/>
    <cellStyle name="Calculation 3 2 3 2 3 15" xfId="30126" xr:uid="{00000000-0005-0000-0000-0000C2190000}"/>
    <cellStyle name="Calculation 3 2 3 2 3 16" xfId="31119" xr:uid="{00000000-0005-0000-0000-0000C3190000}"/>
    <cellStyle name="Calculation 3 2 3 2 3 17" xfId="32128" xr:uid="{00000000-0005-0000-0000-0000C4190000}"/>
    <cellStyle name="Calculation 3 2 3 2 3 18" xfId="33131" xr:uid="{00000000-0005-0000-0000-0000C5190000}"/>
    <cellStyle name="Calculation 3 2 3 2 3 19" xfId="34130" xr:uid="{00000000-0005-0000-0000-0000C6190000}"/>
    <cellStyle name="Calculation 3 2 3 2 3 2" xfId="883" xr:uid="{00000000-0005-0000-0000-0000C7190000}"/>
    <cellStyle name="Calculation 3 2 3 2 3 2 10" xfId="24175" xr:uid="{00000000-0005-0000-0000-0000C8190000}"/>
    <cellStyle name="Calculation 3 2 3 2 3 2 11" xfId="25174" xr:uid="{00000000-0005-0000-0000-0000C9190000}"/>
    <cellStyle name="Calculation 3 2 3 2 3 2 12" xfId="28119" xr:uid="{00000000-0005-0000-0000-0000CA190000}"/>
    <cellStyle name="Calculation 3 2 3 2 3 2 13" xfId="29088" xr:uid="{00000000-0005-0000-0000-0000CB190000}"/>
    <cellStyle name="Calculation 3 2 3 2 3 2 14" xfId="30127" xr:uid="{00000000-0005-0000-0000-0000CC190000}"/>
    <cellStyle name="Calculation 3 2 3 2 3 2 15" xfId="31120" xr:uid="{00000000-0005-0000-0000-0000CD190000}"/>
    <cellStyle name="Calculation 3 2 3 2 3 2 16" xfId="32129" xr:uid="{00000000-0005-0000-0000-0000CE190000}"/>
    <cellStyle name="Calculation 3 2 3 2 3 2 17" xfId="33132" xr:uid="{00000000-0005-0000-0000-0000CF190000}"/>
    <cellStyle name="Calculation 3 2 3 2 3 2 18" xfId="34131" xr:uid="{00000000-0005-0000-0000-0000D0190000}"/>
    <cellStyle name="Calculation 3 2 3 2 3 2 19" xfId="35752" xr:uid="{00000000-0005-0000-0000-0000D1190000}"/>
    <cellStyle name="Calculation 3 2 3 2 3 2 2" xfId="16155" xr:uid="{00000000-0005-0000-0000-0000D2190000}"/>
    <cellStyle name="Calculation 3 2 3 2 3 2 20" xfId="36691" xr:uid="{00000000-0005-0000-0000-0000D3190000}"/>
    <cellStyle name="Calculation 3 2 3 2 3 2 3" xfId="17133" xr:uid="{00000000-0005-0000-0000-0000D4190000}"/>
    <cellStyle name="Calculation 3 2 3 2 3 2 4" xfId="18161" xr:uid="{00000000-0005-0000-0000-0000D5190000}"/>
    <cellStyle name="Calculation 3 2 3 2 3 2 5" xfId="19193" xr:uid="{00000000-0005-0000-0000-0000D6190000}"/>
    <cellStyle name="Calculation 3 2 3 2 3 2 6" xfId="20215" xr:uid="{00000000-0005-0000-0000-0000D7190000}"/>
    <cellStyle name="Calculation 3 2 3 2 3 2 7" xfId="21224" xr:uid="{00000000-0005-0000-0000-0000D8190000}"/>
    <cellStyle name="Calculation 3 2 3 2 3 2 8" xfId="22198" xr:uid="{00000000-0005-0000-0000-0000D9190000}"/>
    <cellStyle name="Calculation 3 2 3 2 3 2 9" xfId="23203" xr:uid="{00000000-0005-0000-0000-0000DA190000}"/>
    <cellStyle name="Calculation 3 2 3 2 3 20" xfId="35751" xr:uid="{00000000-0005-0000-0000-0000DB190000}"/>
    <cellStyle name="Calculation 3 2 3 2 3 21" xfId="36690" xr:uid="{00000000-0005-0000-0000-0000DC190000}"/>
    <cellStyle name="Calculation 3 2 3 2 3 3" xfId="16154" xr:uid="{00000000-0005-0000-0000-0000DD190000}"/>
    <cellStyle name="Calculation 3 2 3 2 3 4" xfId="17132" xr:uid="{00000000-0005-0000-0000-0000DE190000}"/>
    <cellStyle name="Calculation 3 2 3 2 3 5" xfId="18160" xr:uid="{00000000-0005-0000-0000-0000DF190000}"/>
    <cellStyle name="Calculation 3 2 3 2 3 6" xfId="19192" xr:uid="{00000000-0005-0000-0000-0000E0190000}"/>
    <cellStyle name="Calculation 3 2 3 2 3 7" xfId="20214" xr:uid="{00000000-0005-0000-0000-0000E1190000}"/>
    <cellStyle name="Calculation 3 2 3 2 3 8" xfId="21223" xr:uid="{00000000-0005-0000-0000-0000E2190000}"/>
    <cellStyle name="Calculation 3 2 3 2 3 9" xfId="22197" xr:uid="{00000000-0005-0000-0000-0000E3190000}"/>
    <cellStyle name="Calculation 3 2 3 2 4" xfId="884" xr:uid="{00000000-0005-0000-0000-0000E4190000}"/>
    <cellStyle name="Calculation 3 2 3 2 4 10" xfId="23204" xr:uid="{00000000-0005-0000-0000-0000E5190000}"/>
    <cellStyle name="Calculation 3 2 3 2 4 11" xfId="24176" xr:uid="{00000000-0005-0000-0000-0000E6190000}"/>
    <cellStyle name="Calculation 3 2 3 2 4 12" xfId="25175" xr:uid="{00000000-0005-0000-0000-0000E7190000}"/>
    <cellStyle name="Calculation 3 2 3 2 4 13" xfId="28120" xr:uid="{00000000-0005-0000-0000-0000E8190000}"/>
    <cellStyle name="Calculation 3 2 3 2 4 14" xfId="29089" xr:uid="{00000000-0005-0000-0000-0000E9190000}"/>
    <cellStyle name="Calculation 3 2 3 2 4 15" xfId="30128" xr:uid="{00000000-0005-0000-0000-0000EA190000}"/>
    <cellStyle name="Calculation 3 2 3 2 4 16" xfId="31121" xr:uid="{00000000-0005-0000-0000-0000EB190000}"/>
    <cellStyle name="Calculation 3 2 3 2 4 17" xfId="32130" xr:uid="{00000000-0005-0000-0000-0000EC190000}"/>
    <cellStyle name="Calculation 3 2 3 2 4 18" xfId="33133" xr:uid="{00000000-0005-0000-0000-0000ED190000}"/>
    <cellStyle name="Calculation 3 2 3 2 4 19" xfId="34132" xr:uid="{00000000-0005-0000-0000-0000EE190000}"/>
    <cellStyle name="Calculation 3 2 3 2 4 2" xfId="885" xr:uid="{00000000-0005-0000-0000-0000EF190000}"/>
    <cellStyle name="Calculation 3 2 3 2 4 2 10" xfId="24177" xr:uid="{00000000-0005-0000-0000-0000F0190000}"/>
    <cellStyle name="Calculation 3 2 3 2 4 2 11" xfId="25176" xr:uid="{00000000-0005-0000-0000-0000F1190000}"/>
    <cellStyle name="Calculation 3 2 3 2 4 2 12" xfId="28121" xr:uid="{00000000-0005-0000-0000-0000F2190000}"/>
    <cellStyle name="Calculation 3 2 3 2 4 2 13" xfId="29090" xr:uid="{00000000-0005-0000-0000-0000F3190000}"/>
    <cellStyle name="Calculation 3 2 3 2 4 2 14" xfId="30129" xr:uid="{00000000-0005-0000-0000-0000F4190000}"/>
    <cellStyle name="Calculation 3 2 3 2 4 2 15" xfId="31122" xr:uid="{00000000-0005-0000-0000-0000F5190000}"/>
    <cellStyle name="Calculation 3 2 3 2 4 2 16" xfId="32131" xr:uid="{00000000-0005-0000-0000-0000F6190000}"/>
    <cellStyle name="Calculation 3 2 3 2 4 2 17" xfId="33134" xr:uid="{00000000-0005-0000-0000-0000F7190000}"/>
    <cellStyle name="Calculation 3 2 3 2 4 2 18" xfId="34133" xr:uid="{00000000-0005-0000-0000-0000F8190000}"/>
    <cellStyle name="Calculation 3 2 3 2 4 2 19" xfId="35754" xr:uid="{00000000-0005-0000-0000-0000F9190000}"/>
    <cellStyle name="Calculation 3 2 3 2 4 2 2" xfId="16157" xr:uid="{00000000-0005-0000-0000-0000FA190000}"/>
    <cellStyle name="Calculation 3 2 3 2 4 2 20" xfId="36693" xr:uid="{00000000-0005-0000-0000-0000FB190000}"/>
    <cellStyle name="Calculation 3 2 3 2 4 2 3" xfId="17135" xr:uid="{00000000-0005-0000-0000-0000FC190000}"/>
    <cellStyle name="Calculation 3 2 3 2 4 2 4" xfId="18163" xr:uid="{00000000-0005-0000-0000-0000FD190000}"/>
    <cellStyle name="Calculation 3 2 3 2 4 2 5" xfId="19195" xr:uid="{00000000-0005-0000-0000-0000FE190000}"/>
    <cellStyle name="Calculation 3 2 3 2 4 2 6" xfId="20217" xr:uid="{00000000-0005-0000-0000-0000FF190000}"/>
    <cellStyle name="Calculation 3 2 3 2 4 2 7" xfId="21226" xr:uid="{00000000-0005-0000-0000-0000001A0000}"/>
    <cellStyle name="Calculation 3 2 3 2 4 2 8" xfId="22200" xr:uid="{00000000-0005-0000-0000-0000011A0000}"/>
    <cellStyle name="Calculation 3 2 3 2 4 2 9" xfId="23205" xr:uid="{00000000-0005-0000-0000-0000021A0000}"/>
    <cellStyle name="Calculation 3 2 3 2 4 20" xfId="35753" xr:uid="{00000000-0005-0000-0000-0000031A0000}"/>
    <cellStyle name="Calculation 3 2 3 2 4 21" xfId="36692" xr:uid="{00000000-0005-0000-0000-0000041A0000}"/>
    <cellStyle name="Calculation 3 2 3 2 4 3" xfId="16156" xr:uid="{00000000-0005-0000-0000-0000051A0000}"/>
    <cellStyle name="Calculation 3 2 3 2 4 4" xfId="17134" xr:uid="{00000000-0005-0000-0000-0000061A0000}"/>
    <cellStyle name="Calculation 3 2 3 2 4 5" xfId="18162" xr:uid="{00000000-0005-0000-0000-0000071A0000}"/>
    <cellStyle name="Calculation 3 2 3 2 4 6" xfId="19194" xr:uid="{00000000-0005-0000-0000-0000081A0000}"/>
    <cellStyle name="Calculation 3 2 3 2 4 7" xfId="20216" xr:uid="{00000000-0005-0000-0000-0000091A0000}"/>
    <cellStyle name="Calculation 3 2 3 2 4 8" xfId="21225" xr:uid="{00000000-0005-0000-0000-00000A1A0000}"/>
    <cellStyle name="Calculation 3 2 3 2 4 9" xfId="22199" xr:uid="{00000000-0005-0000-0000-00000B1A0000}"/>
    <cellStyle name="Calculation 3 2 3 2 5" xfId="886" xr:uid="{00000000-0005-0000-0000-00000C1A0000}"/>
    <cellStyle name="Calculation 3 2 3 2 5 10" xfId="24178" xr:uid="{00000000-0005-0000-0000-00000D1A0000}"/>
    <cellStyle name="Calculation 3 2 3 2 5 11" xfId="25177" xr:uid="{00000000-0005-0000-0000-00000E1A0000}"/>
    <cellStyle name="Calculation 3 2 3 2 5 12" xfId="28122" xr:uid="{00000000-0005-0000-0000-00000F1A0000}"/>
    <cellStyle name="Calculation 3 2 3 2 5 13" xfId="29091" xr:uid="{00000000-0005-0000-0000-0000101A0000}"/>
    <cellStyle name="Calculation 3 2 3 2 5 14" xfId="30130" xr:uid="{00000000-0005-0000-0000-0000111A0000}"/>
    <cellStyle name="Calculation 3 2 3 2 5 15" xfId="31123" xr:uid="{00000000-0005-0000-0000-0000121A0000}"/>
    <cellStyle name="Calculation 3 2 3 2 5 16" xfId="32132" xr:uid="{00000000-0005-0000-0000-0000131A0000}"/>
    <cellStyle name="Calculation 3 2 3 2 5 17" xfId="33135" xr:uid="{00000000-0005-0000-0000-0000141A0000}"/>
    <cellStyle name="Calculation 3 2 3 2 5 18" xfId="34134" xr:uid="{00000000-0005-0000-0000-0000151A0000}"/>
    <cellStyle name="Calculation 3 2 3 2 5 19" xfId="35755" xr:uid="{00000000-0005-0000-0000-0000161A0000}"/>
    <cellStyle name="Calculation 3 2 3 2 5 2" xfId="16158" xr:uid="{00000000-0005-0000-0000-0000171A0000}"/>
    <cellStyle name="Calculation 3 2 3 2 5 20" xfId="36694" xr:uid="{00000000-0005-0000-0000-0000181A0000}"/>
    <cellStyle name="Calculation 3 2 3 2 5 3" xfId="17136" xr:uid="{00000000-0005-0000-0000-0000191A0000}"/>
    <cellStyle name="Calculation 3 2 3 2 5 4" xfId="18164" xr:uid="{00000000-0005-0000-0000-00001A1A0000}"/>
    <cellStyle name="Calculation 3 2 3 2 5 5" xfId="19196" xr:uid="{00000000-0005-0000-0000-00001B1A0000}"/>
    <cellStyle name="Calculation 3 2 3 2 5 6" xfId="20218" xr:uid="{00000000-0005-0000-0000-00001C1A0000}"/>
    <cellStyle name="Calculation 3 2 3 2 5 7" xfId="21227" xr:uid="{00000000-0005-0000-0000-00001D1A0000}"/>
    <cellStyle name="Calculation 3 2 3 2 5 8" xfId="22201" xr:uid="{00000000-0005-0000-0000-00001E1A0000}"/>
    <cellStyle name="Calculation 3 2 3 2 5 9" xfId="23206" xr:uid="{00000000-0005-0000-0000-00001F1A0000}"/>
    <cellStyle name="Calculation 3 2 3 2 6" xfId="13720" xr:uid="{00000000-0005-0000-0000-0000201A0000}"/>
    <cellStyle name="Calculation 3 2 3 2 7" xfId="14137" xr:uid="{00000000-0005-0000-0000-0000211A0000}"/>
    <cellStyle name="Calculation 3 2 3 2 8" xfId="15629" xr:uid="{00000000-0005-0000-0000-0000221A0000}"/>
    <cellStyle name="Calculation 3 2 3 2 9" xfId="14949" xr:uid="{00000000-0005-0000-0000-0000231A0000}"/>
    <cellStyle name="Calculation 3 2 3 20" xfId="30850" xr:uid="{00000000-0005-0000-0000-0000241A0000}"/>
    <cellStyle name="Calculation 3 2 3 21" xfId="26679" xr:uid="{00000000-0005-0000-0000-0000251A0000}"/>
    <cellStyle name="Calculation 3 2 3 22" xfId="34940" xr:uid="{00000000-0005-0000-0000-0000261A0000}"/>
    <cellStyle name="Calculation 3 2 3 23" xfId="35372" xr:uid="{00000000-0005-0000-0000-0000271A0000}"/>
    <cellStyle name="Calculation 3 2 3 3" xfId="887" xr:uid="{00000000-0005-0000-0000-0000281A0000}"/>
    <cellStyle name="Calculation 3 2 3 3 10" xfId="14490" xr:uid="{00000000-0005-0000-0000-0000291A0000}"/>
    <cellStyle name="Calculation 3 2 3 3 11" xfId="15067" xr:uid="{00000000-0005-0000-0000-00002A1A0000}"/>
    <cellStyle name="Calculation 3 2 3 3 12" xfId="26381" xr:uid="{00000000-0005-0000-0000-00002B1A0000}"/>
    <cellStyle name="Calculation 3 2 3 3 13" xfId="27135" xr:uid="{00000000-0005-0000-0000-00002C1A0000}"/>
    <cellStyle name="Calculation 3 2 3 3 14" xfId="26829" xr:uid="{00000000-0005-0000-0000-00002D1A0000}"/>
    <cellStyle name="Calculation 3 2 3 3 15" xfId="29834" xr:uid="{00000000-0005-0000-0000-00002E1A0000}"/>
    <cellStyle name="Calculation 3 2 3 3 16" xfId="26851" xr:uid="{00000000-0005-0000-0000-00002F1A0000}"/>
    <cellStyle name="Calculation 3 2 3 3 17" xfId="27631" xr:uid="{00000000-0005-0000-0000-0000301A0000}"/>
    <cellStyle name="Calculation 3 2 3 3 18" xfId="35072" xr:uid="{00000000-0005-0000-0000-0000311A0000}"/>
    <cellStyle name="Calculation 3 2 3 3 19" xfId="35290" xr:uid="{00000000-0005-0000-0000-0000321A0000}"/>
    <cellStyle name="Calculation 3 2 3 3 2" xfId="888" xr:uid="{00000000-0005-0000-0000-0000331A0000}"/>
    <cellStyle name="Calculation 3 2 3 3 2 10" xfId="23207" xr:uid="{00000000-0005-0000-0000-0000341A0000}"/>
    <cellStyle name="Calculation 3 2 3 3 2 11" xfId="24179" xr:uid="{00000000-0005-0000-0000-0000351A0000}"/>
    <cellStyle name="Calculation 3 2 3 3 2 12" xfId="25178" xr:uid="{00000000-0005-0000-0000-0000361A0000}"/>
    <cellStyle name="Calculation 3 2 3 3 2 13" xfId="28123" xr:uid="{00000000-0005-0000-0000-0000371A0000}"/>
    <cellStyle name="Calculation 3 2 3 3 2 14" xfId="29092" xr:uid="{00000000-0005-0000-0000-0000381A0000}"/>
    <cellStyle name="Calculation 3 2 3 3 2 15" xfId="30131" xr:uid="{00000000-0005-0000-0000-0000391A0000}"/>
    <cellStyle name="Calculation 3 2 3 3 2 16" xfId="31124" xr:uid="{00000000-0005-0000-0000-00003A1A0000}"/>
    <cellStyle name="Calculation 3 2 3 3 2 17" xfId="32133" xr:uid="{00000000-0005-0000-0000-00003B1A0000}"/>
    <cellStyle name="Calculation 3 2 3 3 2 18" xfId="33136" xr:uid="{00000000-0005-0000-0000-00003C1A0000}"/>
    <cellStyle name="Calculation 3 2 3 3 2 19" xfId="34135" xr:uid="{00000000-0005-0000-0000-00003D1A0000}"/>
    <cellStyle name="Calculation 3 2 3 3 2 2" xfId="889" xr:uid="{00000000-0005-0000-0000-00003E1A0000}"/>
    <cellStyle name="Calculation 3 2 3 3 2 2 10" xfId="24180" xr:uid="{00000000-0005-0000-0000-00003F1A0000}"/>
    <cellStyle name="Calculation 3 2 3 3 2 2 11" xfId="25179" xr:uid="{00000000-0005-0000-0000-0000401A0000}"/>
    <cellStyle name="Calculation 3 2 3 3 2 2 12" xfId="28124" xr:uid="{00000000-0005-0000-0000-0000411A0000}"/>
    <cellStyle name="Calculation 3 2 3 3 2 2 13" xfId="29093" xr:uid="{00000000-0005-0000-0000-0000421A0000}"/>
    <cellStyle name="Calculation 3 2 3 3 2 2 14" xfId="30132" xr:uid="{00000000-0005-0000-0000-0000431A0000}"/>
    <cellStyle name="Calculation 3 2 3 3 2 2 15" xfId="31125" xr:uid="{00000000-0005-0000-0000-0000441A0000}"/>
    <cellStyle name="Calculation 3 2 3 3 2 2 16" xfId="32134" xr:uid="{00000000-0005-0000-0000-0000451A0000}"/>
    <cellStyle name="Calculation 3 2 3 3 2 2 17" xfId="33137" xr:uid="{00000000-0005-0000-0000-0000461A0000}"/>
    <cellStyle name="Calculation 3 2 3 3 2 2 18" xfId="34136" xr:uid="{00000000-0005-0000-0000-0000471A0000}"/>
    <cellStyle name="Calculation 3 2 3 3 2 2 19" xfId="35757" xr:uid="{00000000-0005-0000-0000-0000481A0000}"/>
    <cellStyle name="Calculation 3 2 3 3 2 2 2" xfId="16160" xr:uid="{00000000-0005-0000-0000-0000491A0000}"/>
    <cellStyle name="Calculation 3 2 3 3 2 2 20" xfId="36696" xr:uid="{00000000-0005-0000-0000-00004A1A0000}"/>
    <cellStyle name="Calculation 3 2 3 3 2 2 3" xfId="17138" xr:uid="{00000000-0005-0000-0000-00004B1A0000}"/>
    <cellStyle name="Calculation 3 2 3 3 2 2 4" xfId="18166" xr:uid="{00000000-0005-0000-0000-00004C1A0000}"/>
    <cellStyle name="Calculation 3 2 3 3 2 2 5" xfId="19198" xr:uid="{00000000-0005-0000-0000-00004D1A0000}"/>
    <cellStyle name="Calculation 3 2 3 3 2 2 6" xfId="20220" xr:uid="{00000000-0005-0000-0000-00004E1A0000}"/>
    <cellStyle name="Calculation 3 2 3 3 2 2 7" xfId="21229" xr:uid="{00000000-0005-0000-0000-00004F1A0000}"/>
    <cellStyle name="Calculation 3 2 3 3 2 2 8" xfId="22203" xr:uid="{00000000-0005-0000-0000-0000501A0000}"/>
    <cellStyle name="Calculation 3 2 3 3 2 2 9" xfId="23208" xr:uid="{00000000-0005-0000-0000-0000511A0000}"/>
    <cellStyle name="Calculation 3 2 3 3 2 20" xfId="35756" xr:uid="{00000000-0005-0000-0000-0000521A0000}"/>
    <cellStyle name="Calculation 3 2 3 3 2 21" xfId="36695" xr:uid="{00000000-0005-0000-0000-0000531A0000}"/>
    <cellStyle name="Calculation 3 2 3 3 2 3" xfId="16159" xr:uid="{00000000-0005-0000-0000-0000541A0000}"/>
    <cellStyle name="Calculation 3 2 3 3 2 4" xfId="17137" xr:uid="{00000000-0005-0000-0000-0000551A0000}"/>
    <cellStyle name="Calculation 3 2 3 3 2 5" xfId="18165" xr:uid="{00000000-0005-0000-0000-0000561A0000}"/>
    <cellStyle name="Calculation 3 2 3 3 2 6" xfId="19197" xr:uid="{00000000-0005-0000-0000-0000571A0000}"/>
    <cellStyle name="Calculation 3 2 3 3 2 7" xfId="20219" xr:uid="{00000000-0005-0000-0000-0000581A0000}"/>
    <cellStyle name="Calculation 3 2 3 3 2 8" xfId="21228" xr:uid="{00000000-0005-0000-0000-0000591A0000}"/>
    <cellStyle name="Calculation 3 2 3 3 2 9" xfId="22202" xr:uid="{00000000-0005-0000-0000-00005A1A0000}"/>
    <cellStyle name="Calculation 3 2 3 3 3" xfId="890" xr:uid="{00000000-0005-0000-0000-00005B1A0000}"/>
    <cellStyle name="Calculation 3 2 3 3 3 10" xfId="23209" xr:uid="{00000000-0005-0000-0000-00005C1A0000}"/>
    <cellStyle name="Calculation 3 2 3 3 3 11" xfId="24181" xr:uid="{00000000-0005-0000-0000-00005D1A0000}"/>
    <cellStyle name="Calculation 3 2 3 3 3 12" xfId="25180" xr:uid="{00000000-0005-0000-0000-00005E1A0000}"/>
    <cellStyle name="Calculation 3 2 3 3 3 13" xfId="28125" xr:uid="{00000000-0005-0000-0000-00005F1A0000}"/>
    <cellStyle name="Calculation 3 2 3 3 3 14" xfId="29094" xr:uid="{00000000-0005-0000-0000-0000601A0000}"/>
    <cellStyle name="Calculation 3 2 3 3 3 15" xfId="30133" xr:uid="{00000000-0005-0000-0000-0000611A0000}"/>
    <cellStyle name="Calculation 3 2 3 3 3 16" xfId="31126" xr:uid="{00000000-0005-0000-0000-0000621A0000}"/>
    <cellStyle name="Calculation 3 2 3 3 3 17" xfId="32135" xr:uid="{00000000-0005-0000-0000-0000631A0000}"/>
    <cellStyle name="Calculation 3 2 3 3 3 18" xfId="33138" xr:uid="{00000000-0005-0000-0000-0000641A0000}"/>
    <cellStyle name="Calculation 3 2 3 3 3 19" xfId="34137" xr:uid="{00000000-0005-0000-0000-0000651A0000}"/>
    <cellStyle name="Calculation 3 2 3 3 3 2" xfId="891" xr:uid="{00000000-0005-0000-0000-0000661A0000}"/>
    <cellStyle name="Calculation 3 2 3 3 3 2 10" xfId="24182" xr:uid="{00000000-0005-0000-0000-0000671A0000}"/>
    <cellStyle name="Calculation 3 2 3 3 3 2 11" xfId="25181" xr:uid="{00000000-0005-0000-0000-0000681A0000}"/>
    <cellStyle name="Calculation 3 2 3 3 3 2 12" xfId="28126" xr:uid="{00000000-0005-0000-0000-0000691A0000}"/>
    <cellStyle name="Calculation 3 2 3 3 3 2 13" xfId="29095" xr:uid="{00000000-0005-0000-0000-00006A1A0000}"/>
    <cellStyle name="Calculation 3 2 3 3 3 2 14" xfId="30134" xr:uid="{00000000-0005-0000-0000-00006B1A0000}"/>
    <cellStyle name="Calculation 3 2 3 3 3 2 15" xfId="31127" xr:uid="{00000000-0005-0000-0000-00006C1A0000}"/>
    <cellStyle name="Calculation 3 2 3 3 3 2 16" xfId="32136" xr:uid="{00000000-0005-0000-0000-00006D1A0000}"/>
    <cellStyle name="Calculation 3 2 3 3 3 2 17" xfId="33139" xr:uid="{00000000-0005-0000-0000-00006E1A0000}"/>
    <cellStyle name="Calculation 3 2 3 3 3 2 18" xfId="34138" xr:uid="{00000000-0005-0000-0000-00006F1A0000}"/>
    <cellStyle name="Calculation 3 2 3 3 3 2 19" xfId="35759" xr:uid="{00000000-0005-0000-0000-0000701A0000}"/>
    <cellStyle name="Calculation 3 2 3 3 3 2 2" xfId="16162" xr:uid="{00000000-0005-0000-0000-0000711A0000}"/>
    <cellStyle name="Calculation 3 2 3 3 3 2 20" xfId="36698" xr:uid="{00000000-0005-0000-0000-0000721A0000}"/>
    <cellStyle name="Calculation 3 2 3 3 3 2 3" xfId="17140" xr:uid="{00000000-0005-0000-0000-0000731A0000}"/>
    <cellStyle name="Calculation 3 2 3 3 3 2 4" xfId="18168" xr:uid="{00000000-0005-0000-0000-0000741A0000}"/>
    <cellStyle name="Calculation 3 2 3 3 3 2 5" xfId="19200" xr:uid="{00000000-0005-0000-0000-0000751A0000}"/>
    <cellStyle name="Calculation 3 2 3 3 3 2 6" xfId="20222" xr:uid="{00000000-0005-0000-0000-0000761A0000}"/>
    <cellStyle name="Calculation 3 2 3 3 3 2 7" xfId="21231" xr:uid="{00000000-0005-0000-0000-0000771A0000}"/>
    <cellStyle name="Calculation 3 2 3 3 3 2 8" xfId="22205" xr:uid="{00000000-0005-0000-0000-0000781A0000}"/>
    <cellStyle name="Calculation 3 2 3 3 3 2 9" xfId="23210" xr:uid="{00000000-0005-0000-0000-0000791A0000}"/>
    <cellStyle name="Calculation 3 2 3 3 3 20" xfId="35758" xr:uid="{00000000-0005-0000-0000-00007A1A0000}"/>
    <cellStyle name="Calculation 3 2 3 3 3 21" xfId="36697" xr:uid="{00000000-0005-0000-0000-00007B1A0000}"/>
    <cellStyle name="Calculation 3 2 3 3 3 3" xfId="16161" xr:uid="{00000000-0005-0000-0000-00007C1A0000}"/>
    <cellStyle name="Calculation 3 2 3 3 3 4" xfId="17139" xr:uid="{00000000-0005-0000-0000-00007D1A0000}"/>
    <cellStyle name="Calculation 3 2 3 3 3 5" xfId="18167" xr:uid="{00000000-0005-0000-0000-00007E1A0000}"/>
    <cellStyle name="Calculation 3 2 3 3 3 6" xfId="19199" xr:uid="{00000000-0005-0000-0000-00007F1A0000}"/>
    <cellStyle name="Calculation 3 2 3 3 3 7" xfId="20221" xr:uid="{00000000-0005-0000-0000-0000801A0000}"/>
    <cellStyle name="Calculation 3 2 3 3 3 8" xfId="21230" xr:uid="{00000000-0005-0000-0000-0000811A0000}"/>
    <cellStyle name="Calculation 3 2 3 3 3 9" xfId="22204" xr:uid="{00000000-0005-0000-0000-0000821A0000}"/>
    <cellStyle name="Calculation 3 2 3 3 4" xfId="892" xr:uid="{00000000-0005-0000-0000-0000831A0000}"/>
    <cellStyle name="Calculation 3 2 3 3 4 10" xfId="23211" xr:uid="{00000000-0005-0000-0000-0000841A0000}"/>
    <cellStyle name="Calculation 3 2 3 3 4 11" xfId="24183" xr:uid="{00000000-0005-0000-0000-0000851A0000}"/>
    <cellStyle name="Calculation 3 2 3 3 4 12" xfId="25182" xr:uid="{00000000-0005-0000-0000-0000861A0000}"/>
    <cellStyle name="Calculation 3 2 3 3 4 13" xfId="28127" xr:uid="{00000000-0005-0000-0000-0000871A0000}"/>
    <cellStyle name="Calculation 3 2 3 3 4 14" xfId="29096" xr:uid="{00000000-0005-0000-0000-0000881A0000}"/>
    <cellStyle name="Calculation 3 2 3 3 4 15" xfId="30135" xr:uid="{00000000-0005-0000-0000-0000891A0000}"/>
    <cellStyle name="Calculation 3 2 3 3 4 16" xfId="31128" xr:uid="{00000000-0005-0000-0000-00008A1A0000}"/>
    <cellStyle name="Calculation 3 2 3 3 4 17" xfId="32137" xr:uid="{00000000-0005-0000-0000-00008B1A0000}"/>
    <cellStyle name="Calculation 3 2 3 3 4 18" xfId="33140" xr:uid="{00000000-0005-0000-0000-00008C1A0000}"/>
    <cellStyle name="Calculation 3 2 3 3 4 19" xfId="34139" xr:uid="{00000000-0005-0000-0000-00008D1A0000}"/>
    <cellStyle name="Calculation 3 2 3 3 4 2" xfId="893" xr:uid="{00000000-0005-0000-0000-00008E1A0000}"/>
    <cellStyle name="Calculation 3 2 3 3 4 2 10" xfId="24184" xr:uid="{00000000-0005-0000-0000-00008F1A0000}"/>
    <cellStyle name="Calculation 3 2 3 3 4 2 11" xfId="25183" xr:uid="{00000000-0005-0000-0000-0000901A0000}"/>
    <cellStyle name="Calculation 3 2 3 3 4 2 12" xfId="28128" xr:uid="{00000000-0005-0000-0000-0000911A0000}"/>
    <cellStyle name="Calculation 3 2 3 3 4 2 13" xfId="29097" xr:uid="{00000000-0005-0000-0000-0000921A0000}"/>
    <cellStyle name="Calculation 3 2 3 3 4 2 14" xfId="30136" xr:uid="{00000000-0005-0000-0000-0000931A0000}"/>
    <cellStyle name="Calculation 3 2 3 3 4 2 15" xfId="31129" xr:uid="{00000000-0005-0000-0000-0000941A0000}"/>
    <cellStyle name="Calculation 3 2 3 3 4 2 16" xfId="32138" xr:uid="{00000000-0005-0000-0000-0000951A0000}"/>
    <cellStyle name="Calculation 3 2 3 3 4 2 17" xfId="33141" xr:uid="{00000000-0005-0000-0000-0000961A0000}"/>
    <cellStyle name="Calculation 3 2 3 3 4 2 18" xfId="34140" xr:uid="{00000000-0005-0000-0000-0000971A0000}"/>
    <cellStyle name="Calculation 3 2 3 3 4 2 19" xfId="35761" xr:uid="{00000000-0005-0000-0000-0000981A0000}"/>
    <cellStyle name="Calculation 3 2 3 3 4 2 2" xfId="16164" xr:uid="{00000000-0005-0000-0000-0000991A0000}"/>
    <cellStyle name="Calculation 3 2 3 3 4 2 20" xfId="36700" xr:uid="{00000000-0005-0000-0000-00009A1A0000}"/>
    <cellStyle name="Calculation 3 2 3 3 4 2 3" xfId="17142" xr:uid="{00000000-0005-0000-0000-00009B1A0000}"/>
    <cellStyle name="Calculation 3 2 3 3 4 2 4" xfId="18170" xr:uid="{00000000-0005-0000-0000-00009C1A0000}"/>
    <cellStyle name="Calculation 3 2 3 3 4 2 5" xfId="19202" xr:uid="{00000000-0005-0000-0000-00009D1A0000}"/>
    <cellStyle name="Calculation 3 2 3 3 4 2 6" xfId="20224" xr:uid="{00000000-0005-0000-0000-00009E1A0000}"/>
    <cellStyle name="Calculation 3 2 3 3 4 2 7" xfId="21233" xr:uid="{00000000-0005-0000-0000-00009F1A0000}"/>
    <cellStyle name="Calculation 3 2 3 3 4 2 8" xfId="22207" xr:uid="{00000000-0005-0000-0000-0000A01A0000}"/>
    <cellStyle name="Calculation 3 2 3 3 4 2 9" xfId="23212" xr:uid="{00000000-0005-0000-0000-0000A11A0000}"/>
    <cellStyle name="Calculation 3 2 3 3 4 20" xfId="35760" xr:uid="{00000000-0005-0000-0000-0000A21A0000}"/>
    <cellStyle name="Calculation 3 2 3 3 4 21" xfId="36699" xr:uid="{00000000-0005-0000-0000-0000A31A0000}"/>
    <cellStyle name="Calculation 3 2 3 3 4 3" xfId="16163" xr:uid="{00000000-0005-0000-0000-0000A41A0000}"/>
    <cellStyle name="Calculation 3 2 3 3 4 4" xfId="17141" xr:uid="{00000000-0005-0000-0000-0000A51A0000}"/>
    <cellStyle name="Calculation 3 2 3 3 4 5" xfId="18169" xr:uid="{00000000-0005-0000-0000-0000A61A0000}"/>
    <cellStyle name="Calculation 3 2 3 3 4 6" xfId="19201" xr:uid="{00000000-0005-0000-0000-0000A71A0000}"/>
    <cellStyle name="Calculation 3 2 3 3 4 7" xfId="20223" xr:uid="{00000000-0005-0000-0000-0000A81A0000}"/>
    <cellStyle name="Calculation 3 2 3 3 4 8" xfId="21232" xr:uid="{00000000-0005-0000-0000-0000A91A0000}"/>
    <cellStyle name="Calculation 3 2 3 3 4 9" xfId="22206" xr:uid="{00000000-0005-0000-0000-0000AA1A0000}"/>
    <cellStyle name="Calculation 3 2 3 3 5" xfId="894" xr:uid="{00000000-0005-0000-0000-0000AB1A0000}"/>
    <cellStyle name="Calculation 3 2 3 3 5 10" xfId="24185" xr:uid="{00000000-0005-0000-0000-0000AC1A0000}"/>
    <cellStyle name="Calculation 3 2 3 3 5 11" xfId="25184" xr:uid="{00000000-0005-0000-0000-0000AD1A0000}"/>
    <cellStyle name="Calculation 3 2 3 3 5 12" xfId="28129" xr:uid="{00000000-0005-0000-0000-0000AE1A0000}"/>
    <cellStyle name="Calculation 3 2 3 3 5 13" xfId="29098" xr:uid="{00000000-0005-0000-0000-0000AF1A0000}"/>
    <cellStyle name="Calculation 3 2 3 3 5 14" xfId="30137" xr:uid="{00000000-0005-0000-0000-0000B01A0000}"/>
    <cellStyle name="Calculation 3 2 3 3 5 15" xfId="31130" xr:uid="{00000000-0005-0000-0000-0000B11A0000}"/>
    <cellStyle name="Calculation 3 2 3 3 5 16" xfId="32139" xr:uid="{00000000-0005-0000-0000-0000B21A0000}"/>
    <cellStyle name="Calculation 3 2 3 3 5 17" xfId="33142" xr:uid="{00000000-0005-0000-0000-0000B31A0000}"/>
    <cellStyle name="Calculation 3 2 3 3 5 18" xfId="34141" xr:uid="{00000000-0005-0000-0000-0000B41A0000}"/>
    <cellStyle name="Calculation 3 2 3 3 5 19" xfId="35762" xr:uid="{00000000-0005-0000-0000-0000B51A0000}"/>
    <cellStyle name="Calculation 3 2 3 3 5 2" xfId="16165" xr:uid="{00000000-0005-0000-0000-0000B61A0000}"/>
    <cellStyle name="Calculation 3 2 3 3 5 20" xfId="36701" xr:uid="{00000000-0005-0000-0000-0000B71A0000}"/>
    <cellStyle name="Calculation 3 2 3 3 5 3" xfId="17143" xr:uid="{00000000-0005-0000-0000-0000B81A0000}"/>
    <cellStyle name="Calculation 3 2 3 3 5 4" xfId="18171" xr:uid="{00000000-0005-0000-0000-0000B91A0000}"/>
    <cellStyle name="Calculation 3 2 3 3 5 5" xfId="19203" xr:uid="{00000000-0005-0000-0000-0000BA1A0000}"/>
    <cellStyle name="Calculation 3 2 3 3 5 6" xfId="20225" xr:uid="{00000000-0005-0000-0000-0000BB1A0000}"/>
    <cellStyle name="Calculation 3 2 3 3 5 7" xfId="21234" xr:uid="{00000000-0005-0000-0000-0000BC1A0000}"/>
    <cellStyle name="Calculation 3 2 3 3 5 8" xfId="22208" xr:uid="{00000000-0005-0000-0000-0000BD1A0000}"/>
    <cellStyle name="Calculation 3 2 3 3 5 9" xfId="23213" xr:uid="{00000000-0005-0000-0000-0000BE1A0000}"/>
    <cellStyle name="Calculation 3 2 3 3 6" xfId="14052" xr:uid="{00000000-0005-0000-0000-0000BF1A0000}"/>
    <cellStyle name="Calculation 3 2 3 3 7" xfId="14473" xr:uid="{00000000-0005-0000-0000-0000C01A0000}"/>
    <cellStyle name="Calculation 3 2 3 3 8" xfId="15457" xr:uid="{00000000-0005-0000-0000-0000C11A0000}"/>
    <cellStyle name="Calculation 3 2 3 3 9" xfId="15044" xr:uid="{00000000-0005-0000-0000-0000C21A0000}"/>
    <cellStyle name="Calculation 3 2 3 4" xfId="895" xr:uid="{00000000-0005-0000-0000-0000C31A0000}"/>
    <cellStyle name="Calculation 3 2 3 4 10" xfId="13906" xr:uid="{00000000-0005-0000-0000-0000C41A0000}"/>
    <cellStyle name="Calculation 3 2 3 4 11" xfId="13597" xr:uid="{00000000-0005-0000-0000-0000C51A0000}"/>
    <cellStyle name="Calculation 3 2 3 4 12" xfId="26485" xr:uid="{00000000-0005-0000-0000-0000C61A0000}"/>
    <cellStyle name="Calculation 3 2 3 4 13" xfId="27067" xr:uid="{00000000-0005-0000-0000-0000C71A0000}"/>
    <cellStyle name="Calculation 3 2 3 4 14" xfId="26184" xr:uid="{00000000-0005-0000-0000-0000C81A0000}"/>
    <cellStyle name="Calculation 3 2 3 4 15" xfId="26563" xr:uid="{00000000-0005-0000-0000-0000C91A0000}"/>
    <cellStyle name="Calculation 3 2 3 4 16" xfId="27599" xr:uid="{00000000-0005-0000-0000-0000CA1A0000}"/>
    <cellStyle name="Calculation 3 2 3 4 17" xfId="27364" xr:uid="{00000000-0005-0000-0000-0000CB1A0000}"/>
    <cellStyle name="Calculation 3 2 3 4 18" xfId="35168" xr:uid="{00000000-0005-0000-0000-0000CC1A0000}"/>
    <cellStyle name="Calculation 3 2 3 4 19" xfId="35222" xr:uid="{00000000-0005-0000-0000-0000CD1A0000}"/>
    <cellStyle name="Calculation 3 2 3 4 2" xfId="896" xr:uid="{00000000-0005-0000-0000-0000CE1A0000}"/>
    <cellStyle name="Calculation 3 2 3 4 2 10" xfId="23214" xr:uid="{00000000-0005-0000-0000-0000CF1A0000}"/>
    <cellStyle name="Calculation 3 2 3 4 2 11" xfId="24186" xr:uid="{00000000-0005-0000-0000-0000D01A0000}"/>
    <cellStyle name="Calculation 3 2 3 4 2 12" xfId="25185" xr:uid="{00000000-0005-0000-0000-0000D11A0000}"/>
    <cellStyle name="Calculation 3 2 3 4 2 13" xfId="28130" xr:uid="{00000000-0005-0000-0000-0000D21A0000}"/>
    <cellStyle name="Calculation 3 2 3 4 2 14" xfId="29099" xr:uid="{00000000-0005-0000-0000-0000D31A0000}"/>
    <cellStyle name="Calculation 3 2 3 4 2 15" xfId="30138" xr:uid="{00000000-0005-0000-0000-0000D41A0000}"/>
    <cellStyle name="Calculation 3 2 3 4 2 16" xfId="31131" xr:uid="{00000000-0005-0000-0000-0000D51A0000}"/>
    <cellStyle name="Calculation 3 2 3 4 2 17" xfId="32140" xr:uid="{00000000-0005-0000-0000-0000D61A0000}"/>
    <cellStyle name="Calculation 3 2 3 4 2 18" xfId="33143" xr:uid="{00000000-0005-0000-0000-0000D71A0000}"/>
    <cellStyle name="Calculation 3 2 3 4 2 19" xfId="34142" xr:uid="{00000000-0005-0000-0000-0000D81A0000}"/>
    <cellStyle name="Calculation 3 2 3 4 2 2" xfId="897" xr:uid="{00000000-0005-0000-0000-0000D91A0000}"/>
    <cellStyle name="Calculation 3 2 3 4 2 2 10" xfId="24187" xr:uid="{00000000-0005-0000-0000-0000DA1A0000}"/>
    <cellStyle name="Calculation 3 2 3 4 2 2 11" xfId="25186" xr:uid="{00000000-0005-0000-0000-0000DB1A0000}"/>
    <cellStyle name="Calculation 3 2 3 4 2 2 12" xfId="28131" xr:uid="{00000000-0005-0000-0000-0000DC1A0000}"/>
    <cellStyle name="Calculation 3 2 3 4 2 2 13" xfId="29100" xr:uid="{00000000-0005-0000-0000-0000DD1A0000}"/>
    <cellStyle name="Calculation 3 2 3 4 2 2 14" xfId="30139" xr:uid="{00000000-0005-0000-0000-0000DE1A0000}"/>
    <cellStyle name="Calculation 3 2 3 4 2 2 15" xfId="31132" xr:uid="{00000000-0005-0000-0000-0000DF1A0000}"/>
    <cellStyle name="Calculation 3 2 3 4 2 2 16" xfId="32141" xr:uid="{00000000-0005-0000-0000-0000E01A0000}"/>
    <cellStyle name="Calculation 3 2 3 4 2 2 17" xfId="33144" xr:uid="{00000000-0005-0000-0000-0000E11A0000}"/>
    <cellStyle name="Calculation 3 2 3 4 2 2 18" xfId="34143" xr:uid="{00000000-0005-0000-0000-0000E21A0000}"/>
    <cellStyle name="Calculation 3 2 3 4 2 2 19" xfId="35764" xr:uid="{00000000-0005-0000-0000-0000E31A0000}"/>
    <cellStyle name="Calculation 3 2 3 4 2 2 2" xfId="16167" xr:uid="{00000000-0005-0000-0000-0000E41A0000}"/>
    <cellStyle name="Calculation 3 2 3 4 2 2 20" xfId="36703" xr:uid="{00000000-0005-0000-0000-0000E51A0000}"/>
    <cellStyle name="Calculation 3 2 3 4 2 2 3" xfId="17145" xr:uid="{00000000-0005-0000-0000-0000E61A0000}"/>
    <cellStyle name="Calculation 3 2 3 4 2 2 4" xfId="18173" xr:uid="{00000000-0005-0000-0000-0000E71A0000}"/>
    <cellStyle name="Calculation 3 2 3 4 2 2 5" xfId="19205" xr:uid="{00000000-0005-0000-0000-0000E81A0000}"/>
    <cellStyle name="Calculation 3 2 3 4 2 2 6" xfId="20227" xr:uid="{00000000-0005-0000-0000-0000E91A0000}"/>
    <cellStyle name="Calculation 3 2 3 4 2 2 7" xfId="21236" xr:uid="{00000000-0005-0000-0000-0000EA1A0000}"/>
    <cellStyle name="Calculation 3 2 3 4 2 2 8" xfId="22210" xr:uid="{00000000-0005-0000-0000-0000EB1A0000}"/>
    <cellStyle name="Calculation 3 2 3 4 2 2 9" xfId="23215" xr:uid="{00000000-0005-0000-0000-0000EC1A0000}"/>
    <cellStyle name="Calculation 3 2 3 4 2 20" xfId="35763" xr:uid="{00000000-0005-0000-0000-0000ED1A0000}"/>
    <cellStyle name="Calculation 3 2 3 4 2 21" xfId="36702" xr:uid="{00000000-0005-0000-0000-0000EE1A0000}"/>
    <cellStyle name="Calculation 3 2 3 4 2 3" xfId="16166" xr:uid="{00000000-0005-0000-0000-0000EF1A0000}"/>
    <cellStyle name="Calculation 3 2 3 4 2 4" xfId="17144" xr:uid="{00000000-0005-0000-0000-0000F01A0000}"/>
    <cellStyle name="Calculation 3 2 3 4 2 5" xfId="18172" xr:uid="{00000000-0005-0000-0000-0000F11A0000}"/>
    <cellStyle name="Calculation 3 2 3 4 2 6" xfId="19204" xr:uid="{00000000-0005-0000-0000-0000F21A0000}"/>
    <cellStyle name="Calculation 3 2 3 4 2 7" xfId="20226" xr:uid="{00000000-0005-0000-0000-0000F31A0000}"/>
    <cellStyle name="Calculation 3 2 3 4 2 8" xfId="21235" xr:uid="{00000000-0005-0000-0000-0000F41A0000}"/>
    <cellStyle name="Calculation 3 2 3 4 2 9" xfId="22209" xr:uid="{00000000-0005-0000-0000-0000F51A0000}"/>
    <cellStyle name="Calculation 3 2 3 4 3" xfId="898" xr:uid="{00000000-0005-0000-0000-0000F61A0000}"/>
    <cellStyle name="Calculation 3 2 3 4 3 10" xfId="23216" xr:uid="{00000000-0005-0000-0000-0000F71A0000}"/>
    <cellStyle name="Calculation 3 2 3 4 3 11" xfId="24188" xr:uid="{00000000-0005-0000-0000-0000F81A0000}"/>
    <cellStyle name="Calculation 3 2 3 4 3 12" xfId="25187" xr:uid="{00000000-0005-0000-0000-0000F91A0000}"/>
    <cellStyle name="Calculation 3 2 3 4 3 13" xfId="28132" xr:uid="{00000000-0005-0000-0000-0000FA1A0000}"/>
    <cellStyle name="Calculation 3 2 3 4 3 14" xfId="29101" xr:uid="{00000000-0005-0000-0000-0000FB1A0000}"/>
    <cellStyle name="Calculation 3 2 3 4 3 15" xfId="30140" xr:uid="{00000000-0005-0000-0000-0000FC1A0000}"/>
    <cellStyle name="Calculation 3 2 3 4 3 16" xfId="31133" xr:uid="{00000000-0005-0000-0000-0000FD1A0000}"/>
    <cellStyle name="Calculation 3 2 3 4 3 17" xfId="32142" xr:uid="{00000000-0005-0000-0000-0000FE1A0000}"/>
    <cellStyle name="Calculation 3 2 3 4 3 18" xfId="33145" xr:uid="{00000000-0005-0000-0000-0000FF1A0000}"/>
    <cellStyle name="Calculation 3 2 3 4 3 19" xfId="34144" xr:uid="{00000000-0005-0000-0000-0000001B0000}"/>
    <cellStyle name="Calculation 3 2 3 4 3 2" xfId="899" xr:uid="{00000000-0005-0000-0000-0000011B0000}"/>
    <cellStyle name="Calculation 3 2 3 4 3 2 10" xfId="24189" xr:uid="{00000000-0005-0000-0000-0000021B0000}"/>
    <cellStyle name="Calculation 3 2 3 4 3 2 11" xfId="25188" xr:uid="{00000000-0005-0000-0000-0000031B0000}"/>
    <cellStyle name="Calculation 3 2 3 4 3 2 12" xfId="28133" xr:uid="{00000000-0005-0000-0000-0000041B0000}"/>
    <cellStyle name="Calculation 3 2 3 4 3 2 13" xfId="29102" xr:uid="{00000000-0005-0000-0000-0000051B0000}"/>
    <cellStyle name="Calculation 3 2 3 4 3 2 14" xfId="30141" xr:uid="{00000000-0005-0000-0000-0000061B0000}"/>
    <cellStyle name="Calculation 3 2 3 4 3 2 15" xfId="31134" xr:uid="{00000000-0005-0000-0000-0000071B0000}"/>
    <cellStyle name="Calculation 3 2 3 4 3 2 16" xfId="32143" xr:uid="{00000000-0005-0000-0000-0000081B0000}"/>
    <cellStyle name="Calculation 3 2 3 4 3 2 17" xfId="33146" xr:uid="{00000000-0005-0000-0000-0000091B0000}"/>
    <cellStyle name="Calculation 3 2 3 4 3 2 18" xfId="34145" xr:uid="{00000000-0005-0000-0000-00000A1B0000}"/>
    <cellStyle name="Calculation 3 2 3 4 3 2 19" xfId="35766" xr:uid="{00000000-0005-0000-0000-00000B1B0000}"/>
    <cellStyle name="Calculation 3 2 3 4 3 2 2" xfId="16169" xr:uid="{00000000-0005-0000-0000-00000C1B0000}"/>
    <cellStyle name="Calculation 3 2 3 4 3 2 20" xfId="36705" xr:uid="{00000000-0005-0000-0000-00000D1B0000}"/>
    <cellStyle name="Calculation 3 2 3 4 3 2 3" xfId="17147" xr:uid="{00000000-0005-0000-0000-00000E1B0000}"/>
    <cellStyle name="Calculation 3 2 3 4 3 2 4" xfId="18175" xr:uid="{00000000-0005-0000-0000-00000F1B0000}"/>
    <cellStyle name="Calculation 3 2 3 4 3 2 5" xfId="19207" xr:uid="{00000000-0005-0000-0000-0000101B0000}"/>
    <cellStyle name="Calculation 3 2 3 4 3 2 6" xfId="20229" xr:uid="{00000000-0005-0000-0000-0000111B0000}"/>
    <cellStyle name="Calculation 3 2 3 4 3 2 7" xfId="21238" xr:uid="{00000000-0005-0000-0000-0000121B0000}"/>
    <cellStyle name="Calculation 3 2 3 4 3 2 8" xfId="22212" xr:uid="{00000000-0005-0000-0000-0000131B0000}"/>
    <cellStyle name="Calculation 3 2 3 4 3 2 9" xfId="23217" xr:uid="{00000000-0005-0000-0000-0000141B0000}"/>
    <cellStyle name="Calculation 3 2 3 4 3 20" xfId="35765" xr:uid="{00000000-0005-0000-0000-0000151B0000}"/>
    <cellStyle name="Calculation 3 2 3 4 3 21" xfId="36704" xr:uid="{00000000-0005-0000-0000-0000161B0000}"/>
    <cellStyle name="Calculation 3 2 3 4 3 3" xfId="16168" xr:uid="{00000000-0005-0000-0000-0000171B0000}"/>
    <cellStyle name="Calculation 3 2 3 4 3 4" xfId="17146" xr:uid="{00000000-0005-0000-0000-0000181B0000}"/>
    <cellStyle name="Calculation 3 2 3 4 3 5" xfId="18174" xr:uid="{00000000-0005-0000-0000-0000191B0000}"/>
    <cellStyle name="Calculation 3 2 3 4 3 6" xfId="19206" xr:uid="{00000000-0005-0000-0000-00001A1B0000}"/>
    <cellStyle name="Calculation 3 2 3 4 3 7" xfId="20228" xr:uid="{00000000-0005-0000-0000-00001B1B0000}"/>
    <cellStyle name="Calculation 3 2 3 4 3 8" xfId="21237" xr:uid="{00000000-0005-0000-0000-00001C1B0000}"/>
    <cellStyle name="Calculation 3 2 3 4 3 9" xfId="22211" xr:uid="{00000000-0005-0000-0000-00001D1B0000}"/>
    <cellStyle name="Calculation 3 2 3 4 4" xfId="900" xr:uid="{00000000-0005-0000-0000-00001E1B0000}"/>
    <cellStyle name="Calculation 3 2 3 4 4 10" xfId="23218" xr:uid="{00000000-0005-0000-0000-00001F1B0000}"/>
    <cellStyle name="Calculation 3 2 3 4 4 11" xfId="24190" xr:uid="{00000000-0005-0000-0000-0000201B0000}"/>
    <cellStyle name="Calculation 3 2 3 4 4 12" xfId="25189" xr:uid="{00000000-0005-0000-0000-0000211B0000}"/>
    <cellStyle name="Calculation 3 2 3 4 4 13" xfId="28134" xr:uid="{00000000-0005-0000-0000-0000221B0000}"/>
    <cellStyle name="Calculation 3 2 3 4 4 14" xfId="29103" xr:uid="{00000000-0005-0000-0000-0000231B0000}"/>
    <cellStyle name="Calculation 3 2 3 4 4 15" xfId="30142" xr:uid="{00000000-0005-0000-0000-0000241B0000}"/>
    <cellStyle name="Calculation 3 2 3 4 4 16" xfId="31135" xr:uid="{00000000-0005-0000-0000-0000251B0000}"/>
    <cellStyle name="Calculation 3 2 3 4 4 17" xfId="32144" xr:uid="{00000000-0005-0000-0000-0000261B0000}"/>
    <cellStyle name="Calculation 3 2 3 4 4 18" xfId="33147" xr:uid="{00000000-0005-0000-0000-0000271B0000}"/>
    <cellStyle name="Calculation 3 2 3 4 4 19" xfId="34146" xr:uid="{00000000-0005-0000-0000-0000281B0000}"/>
    <cellStyle name="Calculation 3 2 3 4 4 2" xfId="901" xr:uid="{00000000-0005-0000-0000-0000291B0000}"/>
    <cellStyle name="Calculation 3 2 3 4 4 2 10" xfId="24191" xr:uid="{00000000-0005-0000-0000-00002A1B0000}"/>
    <cellStyle name="Calculation 3 2 3 4 4 2 11" xfId="25190" xr:uid="{00000000-0005-0000-0000-00002B1B0000}"/>
    <cellStyle name="Calculation 3 2 3 4 4 2 12" xfId="28135" xr:uid="{00000000-0005-0000-0000-00002C1B0000}"/>
    <cellStyle name="Calculation 3 2 3 4 4 2 13" xfId="29104" xr:uid="{00000000-0005-0000-0000-00002D1B0000}"/>
    <cellStyle name="Calculation 3 2 3 4 4 2 14" xfId="30143" xr:uid="{00000000-0005-0000-0000-00002E1B0000}"/>
    <cellStyle name="Calculation 3 2 3 4 4 2 15" xfId="31136" xr:uid="{00000000-0005-0000-0000-00002F1B0000}"/>
    <cellStyle name="Calculation 3 2 3 4 4 2 16" xfId="32145" xr:uid="{00000000-0005-0000-0000-0000301B0000}"/>
    <cellStyle name="Calculation 3 2 3 4 4 2 17" xfId="33148" xr:uid="{00000000-0005-0000-0000-0000311B0000}"/>
    <cellStyle name="Calculation 3 2 3 4 4 2 18" xfId="34147" xr:uid="{00000000-0005-0000-0000-0000321B0000}"/>
    <cellStyle name="Calculation 3 2 3 4 4 2 19" xfId="35768" xr:uid="{00000000-0005-0000-0000-0000331B0000}"/>
    <cellStyle name="Calculation 3 2 3 4 4 2 2" xfId="16171" xr:uid="{00000000-0005-0000-0000-0000341B0000}"/>
    <cellStyle name="Calculation 3 2 3 4 4 2 20" xfId="36707" xr:uid="{00000000-0005-0000-0000-0000351B0000}"/>
    <cellStyle name="Calculation 3 2 3 4 4 2 3" xfId="17149" xr:uid="{00000000-0005-0000-0000-0000361B0000}"/>
    <cellStyle name="Calculation 3 2 3 4 4 2 4" xfId="18177" xr:uid="{00000000-0005-0000-0000-0000371B0000}"/>
    <cellStyle name="Calculation 3 2 3 4 4 2 5" xfId="19209" xr:uid="{00000000-0005-0000-0000-0000381B0000}"/>
    <cellStyle name="Calculation 3 2 3 4 4 2 6" xfId="20231" xr:uid="{00000000-0005-0000-0000-0000391B0000}"/>
    <cellStyle name="Calculation 3 2 3 4 4 2 7" xfId="21240" xr:uid="{00000000-0005-0000-0000-00003A1B0000}"/>
    <cellStyle name="Calculation 3 2 3 4 4 2 8" xfId="22214" xr:uid="{00000000-0005-0000-0000-00003B1B0000}"/>
    <cellStyle name="Calculation 3 2 3 4 4 2 9" xfId="23219" xr:uid="{00000000-0005-0000-0000-00003C1B0000}"/>
    <cellStyle name="Calculation 3 2 3 4 4 20" xfId="35767" xr:uid="{00000000-0005-0000-0000-00003D1B0000}"/>
    <cellStyle name="Calculation 3 2 3 4 4 21" xfId="36706" xr:uid="{00000000-0005-0000-0000-00003E1B0000}"/>
    <cellStyle name="Calculation 3 2 3 4 4 3" xfId="16170" xr:uid="{00000000-0005-0000-0000-00003F1B0000}"/>
    <cellStyle name="Calculation 3 2 3 4 4 4" xfId="17148" xr:uid="{00000000-0005-0000-0000-0000401B0000}"/>
    <cellStyle name="Calculation 3 2 3 4 4 5" xfId="18176" xr:uid="{00000000-0005-0000-0000-0000411B0000}"/>
    <cellStyle name="Calculation 3 2 3 4 4 6" xfId="19208" xr:uid="{00000000-0005-0000-0000-0000421B0000}"/>
    <cellStyle name="Calculation 3 2 3 4 4 7" xfId="20230" xr:uid="{00000000-0005-0000-0000-0000431B0000}"/>
    <cellStyle name="Calculation 3 2 3 4 4 8" xfId="21239" xr:uid="{00000000-0005-0000-0000-0000441B0000}"/>
    <cellStyle name="Calculation 3 2 3 4 4 9" xfId="22213" xr:uid="{00000000-0005-0000-0000-0000451B0000}"/>
    <cellStyle name="Calculation 3 2 3 4 5" xfId="902" xr:uid="{00000000-0005-0000-0000-0000461B0000}"/>
    <cellStyle name="Calculation 3 2 3 4 5 10" xfId="24192" xr:uid="{00000000-0005-0000-0000-0000471B0000}"/>
    <cellStyle name="Calculation 3 2 3 4 5 11" xfId="25191" xr:uid="{00000000-0005-0000-0000-0000481B0000}"/>
    <cellStyle name="Calculation 3 2 3 4 5 12" xfId="28136" xr:uid="{00000000-0005-0000-0000-0000491B0000}"/>
    <cellStyle name="Calculation 3 2 3 4 5 13" xfId="29105" xr:uid="{00000000-0005-0000-0000-00004A1B0000}"/>
    <cellStyle name="Calculation 3 2 3 4 5 14" xfId="30144" xr:uid="{00000000-0005-0000-0000-00004B1B0000}"/>
    <cellStyle name="Calculation 3 2 3 4 5 15" xfId="31137" xr:uid="{00000000-0005-0000-0000-00004C1B0000}"/>
    <cellStyle name="Calculation 3 2 3 4 5 16" xfId="32146" xr:uid="{00000000-0005-0000-0000-00004D1B0000}"/>
    <cellStyle name="Calculation 3 2 3 4 5 17" xfId="33149" xr:uid="{00000000-0005-0000-0000-00004E1B0000}"/>
    <cellStyle name="Calculation 3 2 3 4 5 18" xfId="34148" xr:uid="{00000000-0005-0000-0000-00004F1B0000}"/>
    <cellStyle name="Calculation 3 2 3 4 5 19" xfId="35769" xr:uid="{00000000-0005-0000-0000-0000501B0000}"/>
    <cellStyle name="Calculation 3 2 3 4 5 2" xfId="16172" xr:uid="{00000000-0005-0000-0000-0000511B0000}"/>
    <cellStyle name="Calculation 3 2 3 4 5 20" xfId="36708" xr:uid="{00000000-0005-0000-0000-0000521B0000}"/>
    <cellStyle name="Calculation 3 2 3 4 5 3" xfId="17150" xr:uid="{00000000-0005-0000-0000-0000531B0000}"/>
    <cellStyle name="Calculation 3 2 3 4 5 4" xfId="18178" xr:uid="{00000000-0005-0000-0000-0000541B0000}"/>
    <cellStyle name="Calculation 3 2 3 4 5 5" xfId="19210" xr:uid="{00000000-0005-0000-0000-0000551B0000}"/>
    <cellStyle name="Calculation 3 2 3 4 5 6" xfId="20232" xr:uid="{00000000-0005-0000-0000-0000561B0000}"/>
    <cellStyle name="Calculation 3 2 3 4 5 7" xfId="21241" xr:uid="{00000000-0005-0000-0000-0000571B0000}"/>
    <cellStyle name="Calculation 3 2 3 4 5 8" xfId="22215" xr:uid="{00000000-0005-0000-0000-0000581B0000}"/>
    <cellStyle name="Calculation 3 2 3 4 5 9" xfId="23220" xr:uid="{00000000-0005-0000-0000-0000591B0000}"/>
    <cellStyle name="Calculation 3 2 3 4 6" xfId="15424" xr:uid="{00000000-0005-0000-0000-00005A1B0000}"/>
    <cellStyle name="Calculation 3 2 3 4 7" xfId="15602" xr:uid="{00000000-0005-0000-0000-00005B1B0000}"/>
    <cellStyle name="Calculation 3 2 3 4 8" xfId="14218" xr:uid="{00000000-0005-0000-0000-00005C1B0000}"/>
    <cellStyle name="Calculation 3 2 3 4 9" xfId="13523" xr:uid="{00000000-0005-0000-0000-00005D1B0000}"/>
    <cellStyle name="Calculation 3 2 3 5" xfId="903" xr:uid="{00000000-0005-0000-0000-00005E1B0000}"/>
    <cellStyle name="Calculation 3 2 3 5 10" xfId="15033" xr:uid="{00000000-0005-0000-0000-00005F1B0000}"/>
    <cellStyle name="Calculation 3 2 3 5 11" xfId="14485" xr:uid="{00000000-0005-0000-0000-0000601B0000}"/>
    <cellStyle name="Calculation 3 2 3 5 12" xfId="26451" xr:uid="{00000000-0005-0000-0000-0000611B0000}"/>
    <cellStyle name="Calculation 3 2 3 5 13" xfId="27090" xr:uid="{00000000-0005-0000-0000-0000621B0000}"/>
    <cellStyle name="Calculation 3 2 3 5 14" xfId="26168" xr:uid="{00000000-0005-0000-0000-0000631B0000}"/>
    <cellStyle name="Calculation 3 2 3 5 15" xfId="26786" xr:uid="{00000000-0005-0000-0000-0000641B0000}"/>
    <cellStyle name="Calculation 3 2 3 5 16" xfId="26665" xr:uid="{00000000-0005-0000-0000-0000651B0000}"/>
    <cellStyle name="Calculation 3 2 3 5 17" xfId="26214" xr:uid="{00000000-0005-0000-0000-0000661B0000}"/>
    <cellStyle name="Calculation 3 2 3 5 18" xfId="35134" xr:uid="{00000000-0005-0000-0000-0000671B0000}"/>
    <cellStyle name="Calculation 3 2 3 5 19" xfId="35410" xr:uid="{00000000-0005-0000-0000-0000681B0000}"/>
    <cellStyle name="Calculation 3 2 3 5 2" xfId="904" xr:uid="{00000000-0005-0000-0000-0000691B0000}"/>
    <cellStyle name="Calculation 3 2 3 5 2 10" xfId="23221" xr:uid="{00000000-0005-0000-0000-00006A1B0000}"/>
    <cellStyle name="Calculation 3 2 3 5 2 11" xfId="24193" xr:uid="{00000000-0005-0000-0000-00006B1B0000}"/>
    <cellStyle name="Calculation 3 2 3 5 2 12" xfId="25192" xr:uid="{00000000-0005-0000-0000-00006C1B0000}"/>
    <cellStyle name="Calculation 3 2 3 5 2 13" xfId="28137" xr:uid="{00000000-0005-0000-0000-00006D1B0000}"/>
    <cellStyle name="Calculation 3 2 3 5 2 14" xfId="29106" xr:uid="{00000000-0005-0000-0000-00006E1B0000}"/>
    <cellStyle name="Calculation 3 2 3 5 2 15" xfId="30145" xr:uid="{00000000-0005-0000-0000-00006F1B0000}"/>
    <cellStyle name="Calculation 3 2 3 5 2 16" xfId="31138" xr:uid="{00000000-0005-0000-0000-0000701B0000}"/>
    <cellStyle name="Calculation 3 2 3 5 2 17" xfId="32147" xr:uid="{00000000-0005-0000-0000-0000711B0000}"/>
    <cellStyle name="Calculation 3 2 3 5 2 18" xfId="33150" xr:uid="{00000000-0005-0000-0000-0000721B0000}"/>
    <cellStyle name="Calculation 3 2 3 5 2 19" xfId="34149" xr:uid="{00000000-0005-0000-0000-0000731B0000}"/>
    <cellStyle name="Calculation 3 2 3 5 2 2" xfId="905" xr:uid="{00000000-0005-0000-0000-0000741B0000}"/>
    <cellStyle name="Calculation 3 2 3 5 2 2 10" xfId="24194" xr:uid="{00000000-0005-0000-0000-0000751B0000}"/>
    <cellStyle name="Calculation 3 2 3 5 2 2 11" xfId="25193" xr:uid="{00000000-0005-0000-0000-0000761B0000}"/>
    <cellStyle name="Calculation 3 2 3 5 2 2 12" xfId="28138" xr:uid="{00000000-0005-0000-0000-0000771B0000}"/>
    <cellStyle name="Calculation 3 2 3 5 2 2 13" xfId="29107" xr:uid="{00000000-0005-0000-0000-0000781B0000}"/>
    <cellStyle name="Calculation 3 2 3 5 2 2 14" xfId="30146" xr:uid="{00000000-0005-0000-0000-0000791B0000}"/>
    <cellStyle name="Calculation 3 2 3 5 2 2 15" xfId="31139" xr:uid="{00000000-0005-0000-0000-00007A1B0000}"/>
    <cellStyle name="Calculation 3 2 3 5 2 2 16" xfId="32148" xr:uid="{00000000-0005-0000-0000-00007B1B0000}"/>
    <cellStyle name="Calculation 3 2 3 5 2 2 17" xfId="33151" xr:uid="{00000000-0005-0000-0000-00007C1B0000}"/>
    <cellStyle name="Calculation 3 2 3 5 2 2 18" xfId="34150" xr:uid="{00000000-0005-0000-0000-00007D1B0000}"/>
    <cellStyle name="Calculation 3 2 3 5 2 2 19" xfId="35771" xr:uid="{00000000-0005-0000-0000-00007E1B0000}"/>
    <cellStyle name="Calculation 3 2 3 5 2 2 2" xfId="16174" xr:uid="{00000000-0005-0000-0000-00007F1B0000}"/>
    <cellStyle name="Calculation 3 2 3 5 2 2 20" xfId="36710" xr:uid="{00000000-0005-0000-0000-0000801B0000}"/>
    <cellStyle name="Calculation 3 2 3 5 2 2 3" xfId="17152" xr:uid="{00000000-0005-0000-0000-0000811B0000}"/>
    <cellStyle name="Calculation 3 2 3 5 2 2 4" xfId="18180" xr:uid="{00000000-0005-0000-0000-0000821B0000}"/>
    <cellStyle name="Calculation 3 2 3 5 2 2 5" xfId="19212" xr:uid="{00000000-0005-0000-0000-0000831B0000}"/>
    <cellStyle name="Calculation 3 2 3 5 2 2 6" xfId="20234" xr:uid="{00000000-0005-0000-0000-0000841B0000}"/>
    <cellStyle name="Calculation 3 2 3 5 2 2 7" xfId="21243" xr:uid="{00000000-0005-0000-0000-0000851B0000}"/>
    <cellStyle name="Calculation 3 2 3 5 2 2 8" xfId="22217" xr:uid="{00000000-0005-0000-0000-0000861B0000}"/>
    <cellStyle name="Calculation 3 2 3 5 2 2 9" xfId="23222" xr:uid="{00000000-0005-0000-0000-0000871B0000}"/>
    <cellStyle name="Calculation 3 2 3 5 2 20" xfId="35770" xr:uid="{00000000-0005-0000-0000-0000881B0000}"/>
    <cellStyle name="Calculation 3 2 3 5 2 21" xfId="36709" xr:uid="{00000000-0005-0000-0000-0000891B0000}"/>
    <cellStyle name="Calculation 3 2 3 5 2 3" xfId="16173" xr:uid="{00000000-0005-0000-0000-00008A1B0000}"/>
    <cellStyle name="Calculation 3 2 3 5 2 4" xfId="17151" xr:uid="{00000000-0005-0000-0000-00008B1B0000}"/>
    <cellStyle name="Calculation 3 2 3 5 2 5" xfId="18179" xr:uid="{00000000-0005-0000-0000-00008C1B0000}"/>
    <cellStyle name="Calculation 3 2 3 5 2 6" xfId="19211" xr:uid="{00000000-0005-0000-0000-00008D1B0000}"/>
    <cellStyle name="Calculation 3 2 3 5 2 7" xfId="20233" xr:uid="{00000000-0005-0000-0000-00008E1B0000}"/>
    <cellStyle name="Calculation 3 2 3 5 2 8" xfId="21242" xr:uid="{00000000-0005-0000-0000-00008F1B0000}"/>
    <cellStyle name="Calculation 3 2 3 5 2 9" xfId="22216" xr:uid="{00000000-0005-0000-0000-0000901B0000}"/>
    <cellStyle name="Calculation 3 2 3 5 3" xfId="906" xr:uid="{00000000-0005-0000-0000-0000911B0000}"/>
    <cellStyle name="Calculation 3 2 3 5 3 10" xfId="23223" xr:uid="{00000000-0005-0000-0000-0000921B0000}"/>
    <cellStyle name="Calculation 3 2 3 5 3 11" xfId="24195" xr:uid="{00000000-0005-0000-0000-0000931B0000}"/>
    <cellStyle name="Calculation 3 2 3 5 3 12" xfId="25194" xr:uid="{00000000-0005-0000-0000-0000941B0000}"/>
    <cellStyle name="Calculation 3 2 3 5 3 13" xfId="28139" xr:uid="{00000000-0005-0000-0000-0000951B0000}"/>
    <cellStyle name="Calculation 3 2 3 5 3 14" xfId="29108" xr:uid="{00000000-0005-0000-0000-0000961B0000}"/>
    <cellStyle name="Calculation 3 2 3 5 3 15" xfId="30147" xr:uid="{00000000-0005-0000-0000-0000971B0000}"/>
    <cellStyle name="Calculation 3 2 3 5 3 16" xfId="31140" xr:uid="{00000000-0005-0000-0000-0000981B0000}"/>
    <cellStyle name="Calculation 3 2 3 5 3 17" xfId="32149" xr:uid="{00000000-0005-0000-0000-0000991B0000}"/>
    <cellStyle name="Calculation 3 2 3 5 3 18" xfId="33152" xr:uid="{00000000-0005-0000-0000-00009A1B0000}"/>
    <cellStyle name="Calculation 3 2 3 5 3 19" xfId="34151" xr:uid="{00000000-0005-0000-0000-00009B1B0000}"/>
    <cellStyle name="Calculation 3 2 3 5 3 2" xfId="907" xr:uid="{00000000-0005-0000-0000-00009C1B0000}"/>
    <cellStyle name="Calculation 3 2 3 5 3 2 10" xfId="24196" xr:uid="{00000000-0005-0000-0000-00009D1B0000}"/>
    <cellStyle name="Calculation 3 2 3 5 3 2 11" xfId="25195" xr:uid="{00000000-0005-0000-0000-00009E1B0000}"/>
    <cellStyle name="Calculation 3 2 3 5 3 2 12" xfId="28140" xr:uid="{00000000-0005-0000-0000-00009F1B0000}"/>
    <cellStyle name="Calculation 3 2 3 5 3 2 13" xfId="29109" xr:uid="{00000000-0005-0000-0000-0000A01B0000}"/>
    <cellStyle name="Calculation 3 2 3 5 3 2 14" xfId="30148" xr:uid="{00000000-0005-0000-0000-0000A11B0000}"/>
    <cellStyle name="Calculation 3 2 3 5 3 2 15" xfId="31141" xr:uid="{00000000-0005-0000-0000-0000A21B0000}"/>
    <cellStyle name="Calculation 3 2 3 5 3 2 16" xfId="32150" xr:uid="{00000000-0005-0000-0000-0000A31B0000}"/>
    <cellStyle name="Calculation 3 2 3 5 3 2 17" xfId="33153" xr:uid="{00000000-0005-0000-0000-0000A41B0000}"/>
    <cellStyle name="Calculation 3 2 3 5 3 2 18" xfId="34152" xr:uid="{00000000-0005-0000-0000-0000A51B0000}"/>
    <cellStyle name="Calculation 3 2 3 5 3 2 19" xfId="35773" xr:uid="{00000000-0005-0000-0000-0000A61B0000}"/>
    <cellStyle name="Calculation 3 2 3 5 3 2 2" xfId="16176" xr:uid="{00000000-0005-0000-0000-0000A71B0000}"/>
    <cellStyle name="Calculation 3 2 3 5 3 2 20" xfId="36712" xr:uid="{00000000-0005-0000-0000-0000A81B0000}"/>
    <cellStyle name="Calculation 3 2 3 5 3 2 3" xfId="17154" xr:uid="{00000000-0005-0000-0000-0000A91B0000}"/>
    <cellStyle name="Calculation 3 2 3 5 3 2 4" xfId="18182" xr:uid="{00000000-0005-0000-0000-0000AA1B0000}"/>
    <cellStyle name="Calculation 3 2 3 5 3 2 5" xfId="19214" xr:uid="{00000000-0005-0000-0000-0000AB1B0000}"/>
    <cellStyle name="Calculation 3 2 3 5 3 2 6" xfId="20236" xr:uid="{00000000-0005-0000-0000-0000AC1B0000}"/>
    <cellStyle name="Calculation 3 2 3 5 3 2 7" xfId="21245" xr:uid="{00000000-0005-0000-0000-0000AD1B0000}"/>
    <cellStyle name="Calculation 3 2 3 5 3 2 8" xfId="22219" xr:uid="{00000000-0005-0000-0000-0000AE1B0000}"/>
    <cellStyle name="Calculation 3 2 3 5 3 2 9" xfId="23224" xr:uid="{00000000-0005-0000-0000-0000AF1B0000}"/>
    <cellStyle name="Calculation 3 2 3 5 3 20" xfId="35772" xr:uid="{00000000-0005-0000-0000-0000B01B0000}"/>
    <cellStyle name="Calculation 3 2 3 5 3 21" xfId="36711" xr:uid="{00000000-0005-0000-0000-0000B11B0000}"/>
    <cellStyle name="Calculation 3 2 3 5 3 3" xfId="16175" xr:uid="{00000000-0005-0000-0000-0000B21B0000}"/>
    <cellStyle name="Calculation 3 2 3 5 3 4" xfId="17153" xr:uid="{00000000-0005-0000-0000-0000B31B0000}"/>
    <cellStyle name="Calculation 3 2 3 5 3 5" xfId="18181" xr:uid="{00000000-0005-0000-0000-0000B41B0000}"/>
    <cellStyle name="Calculation 3 2 3 5 3 6" xfId="19213" xr:uid="{00000000-0005-0000-0000-0000B51B0000}"/>
    <cellStyle name="Calculation 3 2 3 5 3 7" xfId="20235" xr:uid="{00000000-0005-0000-0000-0000B61B0000}"/>
    <cellStyle name="Calculation 3 2 3 5 3 8" xfId="21244" xr:uid="{00000000-0005-0000-0000-0000B71B0000}"/>
    <cellStyle name="Calculation 3 2 3 5 3 9" xfId="22218" xr:uid="{00000000-0005-0000-0000-0000B81B0000}"/>
    <cellStyle name="Calculation 3 2 3 5 4" xfId="908" xr:uid="{00000000-0005-0000-0000-0000B91B0000}"/>
    <cellStyle name="Calculation 3 2 3 5 4 10" xfId="23225" xr:uid="{00000000-0005-0000-0000-0000BA1B0000}"/>
    <cellStyle name="Calculation 3 2 3 5 4 11" xfId="24197" xr:uid="{00000000-0005-0000-0000-0000BB1B0000}"/>
    <cellStyle name="Calculation 3 2 3 5 4 12" xfId="25196" xr:uid="{00000000-0005-0000-0000-0000BC1B0000}"/>
    <cellStyle name="Calculation 3 2 3 5 4 13" xfId="28141" xr:uid="{00000000-0005-0000-0000-0000BD1B0000}"/>
    <cellStyle name="Calculation 3 2 3 5 4 14" xfId="29110" xr:uid="{00000000-0005-0000-0000-0000BE1B0000}"/>
    <cellStyle name="Calculation 3 2 3 5 4 15" xfId="30149" xr:uid="{00000000-0005-0000-0000-0000BF1B0000}"/>
    <cellStyle name="Calculation 3 2 3 5 4 16" xfId="31142" xr:uid="{00000000-0005-0000-0000-0000C01B0000}"/>
    <cellStyle name="Calculation 3 2 3 5 4 17" xfId="32151" xr:uid="{00000000-0005-0000-0000-0000C11B0000}"/>
    <cellStyle name="Calculation 3 2 3 5 4 18" xfId="33154" xr:uid="{00000000-0005-0000-0000-0000C21B0000}"/>
    <cellStyle name="Calculation 3 2 3 5 4 19" xfId="34153" xr:uid="{00000000-0005-0000-0000-0000C31B0000}"/>
    <cellStyle name="Calculation 3 2 3 5 4 2" xfId="909" xr:uid="{00000000-0005-0000-0000-0000C41B0000}"/>
    <cellStyle name="Calculation 3 2 3 5 4 2 10" xfId="24198" xr:uid="{00000000-0005-0000-0000-0000C51B0000}"/>
    <cellStyle name="Calculation 3 2 3 5 4 2 11" xfId="25197" xr:uid="{00000000-0005-0000-0000-0000C61B0000}"/>
    <cellStyle name="Calculation 3 2 3 5 4 2 12" xfId="28142" xr:uid="{00000000-0005-0000-0000-0000C71B0000}"/>
    <cellStyle name="Calculation 3 2 3 5 4 2 13" xfId="29111" xr:uid="{00000000-0005-0000-0000-0000C81B0000}"/>
    <cellStyle name="Calculation 3 2 3 5 4 2 14" xfId="30150" xr:uid="{00000000-0005-0000-0000-0000C91B0000}"/>
    <cellStyle name="Calculation 3 2 3 5 4 2 15" xfId="31143" xr:uid="{00000000-0005-0000-0000-0000CA1B0000}"/>
    <cellStyle name="Calculation 3 2 3 5 4 2 16" xfId="32152" xr:uid="{00000000-0005-0000-0000-0000CB1B0000}"/>
    <cellStyle name="Calculation 3 2 3 5 4 2 17" xfId="33155" xr:uid="{00000000-0005-0000-0000-0000CC1B0000}"/>
    <cellStyle name="Calculation 3 2 3 5 4 2 18" xfId="34154" xr:uid="{00000000-0005-0000-0000-0000CD1B0000}"/>
    <cellStyle name="Calculation 3 2 3 5 4 2 19" xfId="35775" xr:uid="{00000000-0005-0000-0000-0000CE1B0000}"/>
    <cellStyle name="Calculation 3 2 3 5 4 2 2" xfId="16178" xr:uid="{00000000-0005-0000-0000-0000CF1B0000}"/>
    <cellStyle name="Calculation 3 2 3 5 4 2 20" xfId="36714" xr:uid="{00000000-0005-0000-0000-0000D01B0000}"/>
    <cellStyle name="Calculation 3 2 3 5 4 2 3" xfId="17156" xr:uid="{00000000-0005-0000-0000-0000D11B0000}"/>
    <cellStyle name="Calculation 3 2 3 5 4 2 4" xfId="18184" xr:uid="{00000000-0005-0000-0000-0000D21B0000}"/>
    <cellStyle name="Calculation 3 2 3 5 4 2 5" xfId="19216" xr:uid="{00000000-0005-0000-0000-0000D31B0000}"/>
    <cellStyle name="Calculation 3 2 3 5 4 2 6" xfId="20238" xr:uid="{00000000-0005-0000-0000-0000D41B0000}"/>
    <cellStyle name="Calculation 3 2 3 5 4 2 7" xfId="21247" xr:uid="{00000000-0005-0000-0000-0000D51B0000}"/>
    <cellStyle name="Calculation 3 2 3 5 4 2 8" xfId="22221" xr:uid="{00000000-0005-0000-0000-0000D61B0000}"/>
    <cellStyle name="Calculation 3 2 3 5 4 2 9" xfId="23226" xr:uid="{00000000-0005-0000-0000-0000D71B0000}"/>
    <cellStyle name="Calculation 3 2 3 5 4 20" xfId="35774" xr:uid="{00000000-0005-0000-0000-0000D81B0000}"/>
    <cellStyle name="Calculation 3 2 3 5 4 21" xfId="36713" xr:uid="{00000000-0005-0000-0000-0000D91B0000}"/>
    <cellStyle name="Calculation 3 2 3 5 4 3" xfId="16177" xr:uid="{00000000-0005-0000-0000-0000DA1B0000}"/>
    <cellStyle name="Calculation 3 2 3 5 4 4" xfId="17155" xr:uid="{00000000-0005-0000-0000-0000DB1B0000}"/>
    <cellStyle name="Calculation 3 2 3 5 4 5" xfId="18183" xr:uid="{00000000-0005-0000-0000-0000DC1B0000}"/>
    <cellStyle name="Calculation 3 2 3 5 4 6" xfId="19215" xr:uid="{00000000-0005-0000-0000-0000DD1B0000}"/>
    <cellStyle name="Calculation 3 2 3 5 4 7" xfId="20237" xr:uid="{00000000-0005-0000-0000-0000DE1B0000}"/>
    <cellStyle name="Calculation 3 2 3 5 4 8" xfId="21246" xr:uid="{00000000-0005-0000-0000-0000DF1B0000}"/>
    <cellStyle name="Calculation 3 2 3 5 4 9" xfId="22220" xr:uid="{00000000-0005-0000-0000-0000E01B0000}"/>
    <cellStyle name="Calculation 3 2 3 5 5" xfId="910" xr:uid="{00000000-0005-0000-0000-0000E11B0000}"/>
    <cellStyle name="Calculation 3 2 3 5 5 10" xfId="24199" xr:uid="{00000000-0005-0000-0000-0000E21B0000}"/>
    <cellStyle name="Calculation 3 2 3 5 5 11" xfId="25198" xr:uid="{00000000-0005-0000-0000-0000E31B0000}"/>
    <cellStyle name="Calculation 3 2 3 5 5 12" xfId="28143" xr:uid="{00000000-0005-0000-0000-0000E41B0000}"/>
    <cellStyle name="Calculation 3 2 3 5 5 13" xfId="29112" xr:uid="{00000000-0005-0000-0000-0000E51B0000}"/>
    <cellStyle name="Calculation 3 2 3 5 5 14" xfId="30151" xr:uid="{00000000-0005-0000-0000-0000E61B0000}"/>
    <cellStyle name="Calculation 3 2 3 5 5 15" xfId="31144" xr:uid="{00000000-0005-0000-0000-0000E71B0000}"/>
    <cellStyle name="Calculation 3 2 3 5 5 16" xfId="32153" xr:uid="{00000000-0005-0000-0000-0000E81B0000}"/>
    <cellStyle name="Calculation 3 2 3 5 5 17" xfId="33156" xr:uid="{00000000-0005-0000-0000-0000E91B0000}"/>
    <cellStyle name="Calculation 3 2 3 5 5 18" xfId="34155" xr:uid="{00000000-0005-0000-0000-0000EA1B0000}"/>
    <cellStyle name="Calculation 3 2 3 5 5 19" xfId="35776" xr:uid="{00000000-0005-0000-0000-0000EB1B0000}"/>
    <cellStyle name="Calculation 3 2 3 5 5 2" xfId="16179" xr:uid="{00000000-0005-0000-0000-0000EC1B0000}"/>
    <cellStyle name="Calculation 3 2 3 5 5 20" xfId="36715" xr:uid="{00000000-0005-0000-0000-0000ED1B0000}"/>
    <cellStyle name="Calculation 3 2 3 5 5 3" xfId="17157" xr:uid="{00000000-0005-0000-0000-0000EE1B0000}"/>
    <cellStyle name="Calculation 3 2 3 5 5 4" xfId="18185" xr:uid="{00000000-0005-0000-0000-0000EF1B0000}"/>
    <cellStyle name="Calculation 3 2 3 5 5 5" xfId="19217" xr:uid="{00000000-0005-0000-0000-0000F01B0000}"/>
    <cellStyle name="Calculation 3 2 3 5 5 6" xfId="20239" xr:uid="{00000000-0005-0000-0000-0000F11B0000}"/>
    <cellStyle name="Calculation 3 2 3 5 5 7" xfId="21248" xr:uid="{00000000-0005-0000-0000-0000F21B0000}"/>
    <cellStyle name="Calculation 3 2 3 5 5 8" xfId="22222" xr:uid="{00000000-0005-0000-0000-0000F31B0000}"/>
    <cellStyle name="Calculation 3 2 3 5 5 9" xfId="23227" xr:uid="{00000000-0005-0000-0000-0000F41B0000}"/>
    <cellStyle name="Calculation 3 2 3 5 6" xfId="13561" xr:uid="{00000000-0005-0000-0000-0000F51B0000}"/>
    <cellStyle name="Calculation 3 2 3 5 7" xfId="14390" xr:uid="{00000000-0005-0000-0000-0000F61B0000}"/>
    <cellStyle name="Calculation 3 2 3 5 8" xfId="15711" xr:uid="{00000000-0005-0000-0000-0000F71B0000}"/>
    <cellStyle name="Calculation 3 2 3 5 9" xfId="14652" xr:uid="{00000000-0005-0000-0000-0000F81B0000}"/>
    <cellStyle name="Calculation 3 2 3 6" xfId="911" xr:uid="{00000000-0005-0000-0000-0000F91B0000}"/>
    <cellStyle name="Calculation 3 2 3 6 10" xfId="23228" xr:uid="{00000000-0005-0000-0000-0000FA1B0000}"/>
    <cellStyle name="Calculation 3 2 3 6 11" xfId="24200" xr:uid="{00000000-0005-0000-0000-0000FB1B0000}"/>
    <cellStyle name="Calculation 3 2 3 6 12" xfId="25199" xr:uid="{00000000-0005-0000-0000-0000FC1B0000}"/>
    <cellStyle name="Calculation 3 2 3 6 13" xfId="28144" xr:uid="{00000000-0005-0000-0000-0000FD1B0000}"/>
    <cellStyle name="Calculation 3 2 3 6 14" xfId="29113" xr:uid="{00000000-0005-0000-0000-0000FE1B0000}"/>
    <cellStyle name="Calculation 3 2 3 6 15" xfId="30152" xr:uid="{00000000-0005-0000-0000-0000FF1B0000}"/>
    <cellStyle name="Calculation 3 2 3 6 16" xfId="31145" xr:uid="{00000000-0005-0000-0000-0000001C0000}"/>
    <cellStyle name="Calculation 3 2 3 6 17" xfId="32154" xr:uid="{00000000-0005-0000-0000-0000011C0000}"/>
    <cellStyle name="Calculation 3 2 3 6 18" xfId="33157" xr:uid="{00000000-0005-0000-0000-0000021C0000}"/>
    <cellStyle name="Calculation 3 2 3 6 19" xfId="34156" xr:uid="{00000000-0005-0000-0000-0000031C0000}"/>
    <cellStyle name="Calculation 3 2 3 6 2" xfId="912" xr:uid="{00000000-0005-0000-0000-0000041C0000}"/>
    <cellStyle name="Calculation 3 2 3 6 2 10" xfId="24201" xr:uid="{00000000-0005-0000-0000-0000051C0000}"/>
    <cellStyle name="Calculation 3 2 3 6 2 11" xfId="25200" xr:uid="{00000000-0005-0000-0000-0000061C0000}"/>
    <cellStyle name="Calculation 3 2 3 6 2 12" xfId="28145" xr:uid="{00000000-0005-0000-0000-0000071C0000}"/>
    <cellStyle name="Calculation 3 2 3 6 2 13" xfId="29114" xr:uid="{00000000-0005-0000-0000-0000081C0000}"/>
    <cellStyle name="Calculation 3 2 3 6 2 14" xfId="30153" xr:uid="{00000000-0005-0000-0000-0000091C0000}"/>
    <cellStyle name="Calculation 3 2 3 6 2 15" xfId="31146" xr:uid="{00000000-0005-0000-0000-00000A1C0000}"/>
    <cellStyle name="Calculation 3 2 3 6 2 16" xfId="32155" xr:uid="{00000000-0005-0000-0000-00000B1C0000}"/>
    <cellStyle name="Calculation 3 2 3 6 2 17" xfId="33158" xr:uid="{00000000-0005-0000-0000-00000C1C0000}"/>
    <cellStyle name="Calculation 3 2 3 6 2 18" xfId="34157" xr:uid="{00000000-0005-0000-0000-00000D1C0000}"/>
    <cellStyle name="Calculation 3 2 3 6 2 19" xfId="35778" xr:uid="{00000000-0005-0000-0000-00000E1C0000}"/>
    <cellStyle name="Calculation 3 2 3 6 2 2" xfId="16181" xr:uid="{00000000-0005-0000-0000-00000F1C0000}"/>
    <cellStyle name="Calculation 3 2 3 6 2 20" xfId="36717" xr:uid="{00000000-0005-0000-0000-0000101C0000}"/>
    <cellStyle name="Calculation 3 2 3 6 2 3" xfId="17159" xr:uid="{00000000-0005-0000-0000-0000111C0000}"/>
    <cellStyle name="Calculation 3 2 3 6 2 4" xfId="18187" xr:uid="{00000000-0005-0000-0000-0000121C0000}"/>
    <cellStyle name="Calculation 3 2 3 6 2 5" xfId="19219" xr:uid="{00000000-0005-0000-0000-0000131C0000}"/>
    <cellStyle name="Calculation 3 2 3 6 2 6" xfId="20241" xr:uid="{00000000-0005-0000-0000-0000141C0000}"/>
    <cellStyle name="Calculation 3 2 3 6 2 7" xfId="21250" xr:uid="{00000000-0005-0000-0000-0000151C0000}"/>
    <cellStyle name="Calculation 3 2 3 6 2 8" xfId="22224" xr:uid="{00000000-0005-0000-0000-0000161C0000}"/>
    <cellStyle name="Calculation 3 2 3 6 2 9" xfId="23229" xr:uid="{00000000-0005-0000-0000-0000171C0000}"/>
    <cellStyle name="Calculation 3 2 3 6 20" xfId="35777" xr:uid="{00000000-0005-0000-0000-0000181C0000}"/>
    <cellStyle name="Calculation 3 2 3 6 21" xfId="36716" xr:uid="{00000000-0005-0000-0000-0000191C0000}"/>
    <cellStyle name="Calculation 3 2 3 6 3" xfId="16180" xr:uid="{00000000-0005-0000-0000-00001A1C0000}"/>
    <cellStyle name="Calculation 3 2 3 6 4" xfId="17158" xr:uid="{00000000-0005-0000-0000-00001B1C0000}"/>
    <cellStyle name="Calculation 3 2 3 6 5" xfId="18186" xr:uid="{00000000-0005-0000-0000-00001C1C0000}"/>
    <cellStyle name="Calculation 3 2 3 6 6" xfId="19218" xr:uid="{00000000-0005-0000-0000-00001D1C0000}"/>
    <cellStyle name="Calculation 3 2 3 6 7" xfId="20240" xr:uid="{00000000-0005-0000-0000-00001E1C0000}"/>
    <cellStyle name="Calculation 3 2 3 6 8" xfId="21249" xr:uid="{00000000-0005-0000-0000-00001F1C0000}"/>
    <cellStyle name="Calculation 3 2 3 6 9" xfId="22223" xr:uid="{00000000-0005-0000-0000-0000201C0000}"/>
    <cellStyle name="Calculation 3 2 3 7" xfId="913" xr:uid="{00000000-0005-0000-0000-0000211C0000}"/>
    <cellStyle name="Calculation 3 2 3 7 10" xfId="23230" xr:uid="{00000000-0005-0000-0000-0000221C0000}"/>
    <cellStyle name="Calculation 3 2 3 7 11" xfId="24202" xr:uid="{00000000-0005-0000-0000-0000231C0000}"/>
    <cellStyle name="Calculation 3 2 3 7 12" xfId="25201" xr:uid="{00000000-0005-0000-0000-0000241C0000}"/>
    <cellStyle name="Calculation 3 2 3 7 13" xfId="28146" xr:uid="{00000000-0005-0000-0000-0000251C0000}"/>
    <cellStyle name="Calculation 3 2 3 7 14" xfId="29115" xr:uid="{00000000-0005-0000-0000-0000261C0000}"/>
    <cellStyle name="Calculation 3 2 3 7 15" xfId="30154" xr:uid="{00000000-0005-0000-0000-0000271C0000}"/>
    <cellStyle name="Calculation 3 2 3 7 16" xfId="31147" xr:uid="{00000000-0005-0000-0000-0000281C0000}"/>
    <cellStyle name="Calculation 3 2 3 7 17" xfId="32156" xr:uid="{00000000-0005-0000-0000-0000291C0000}"/>
    <cellStyle name="Calculation 3 2 3 7 18" xfId="33159" xr:uid="{00000000-0005-0000-0000-00002A1C0000}"/>
    <cellStyle name="Calculation 3 2 3 7 19" xfId="34158" xr:uid="{00000000-0005-0000-0000-00002B1C0000}"/>
    <cellStyle name="Calculation 3 2 3 7 2" xfId="914" xr:uid="{00000000-0005-0000-0000-00002C1C0000}"/>
    <cellStyle name="Calculation 3 2 3 7 2 10" xfId="24203" xr:uid="{00000000-0005-0000-0000-00002D1C0000}"/>
    <cellStyle name="Calculation 3 2 3 7 2 11" xfId="25202" xr:uid="{00000000-0005-0000-0000-00002E1C0000}"/>
    <cellStyle name="Calculation 3 2 3 7 2 12" xfId="28147" xr:uid="{00000000-0005-0000-0000-00002F1C0000}"/>
    <cellStyle name="Calculation 3 2 3 7 2 13" xfId="29116" xr:uid="{00000000-0005-0000-0000-0000301C0000}"/>
    <cellStyle name="Calculation 3 2 3 7 2 14" xfId="30155" xr:uid="{00000000-0005-0000-0000-0000311C0000}"/>
    <cellStyle name="Calculation 3 2 3 7 2 15" xfId="31148" xr:uid="{00000000-0005-0000-0000-0000321C0000}"/>
    <cellStyle name="Calculation 3 2 3 7 2 16" xfId="32157" xr:uid="{00000000-0005-0000-0000-0000331C0000}"/>
    <cellStyle name="Calculation 3 2 3 7 2 17" xfId="33160" xr:uid="{00000000-0005-0000-0000-0000341C0000}"/>
    <cellStyle name="Calculation 3 2 3 7 2 18" xfId="34159" xr:uid="{00000000-0005-0000-0000-0000351C0000}"/>
    <cellStyle name="Calculation 3 2 3 7 2 19" xfId="35780" xr:uid="{00000000-0005-0000-0000-0000361C0000}"/>
    <cellStyle name="Calculation 3 2 3 7 2 2" xfId="16183" xr:uid="{00000000-0005-0000-0000-0000371C0000}"/>
    <cellStyle name="Calculation 3 2 3 7 2 20" xfId="36719" xr:uid="{00000000-0005-0000-0000-0000381C0000}"/>
    <cellStyle name="Calculation 3 2 3 7 2 3" xfId="17161" xr:uid="{00000000-0005-0000-0000-0000391C0000}"/>
    <cellStyle name="Calculation 3 2 3 7 2 4" xfId="18189" xr:uid="{00000000-0005-0000-0000-00003A1C0000}"/>
    <cellStyle name="Calculation 3 2 3 7 2 5" xfId="19221" xr:uid="{00000000-0005-0000-0000-00003B1C0000}"/>
    <cellStyle name="Calculation 3 2 3 7 2 6" xfId="20243" xr:uid="{00000000-0005-0000-0000-00003C1C0000}"/>
    <cellStyle name="Calculation 3 2 3 7 2 7" xfId="21252" xr:uid="{00000000-0005-0000-0000-00003D1C0000}"/>
    <cellStyle name="Calculation 3 2 3 7 2 8" xfId="22226" xr:uid="{00000000-0005-0000-0000-00003E1C0000}"/>
    <cellStyle name="Calculation 3 2 3 7 2 9" xfId="23231" xr:uid="{00000000-0005-0000-0000-00003F1C0000}"/>
    <cellStyle name="Calculation 3 2 3 7 20" xfId="35779" xr:uid="{00000000-0005-0000-0000-0000401C0000}"/>
    <cellStyle name="Calculation 3 2 3 7 21" xfId="36718" xr:uid="{00000000-0005-0000-0000-0000411C0000}"/>
    <cellStyle name="Calculation 3 2 3 7 3" xfId="16182" xr:uid="{00000000-0005-0000-0000-0000421C0000}"/>
    <cellStyle name="Calculation 3 2 3 7 4" xfId="17160" xr:uid="{00000000-0005-0000-0000-0000431C0000}"/>
    <cellStyle name="Calculation 3 2 3 7 5" xfId="18188" xr:uid="{00000000-0005-0000-0000-0000441C0000}"/>
    <cellStyle name="Calculation 3 2 3 7 6" xfId="19220" xr:uid="{00000000-0005-0000-0000-0000451C0000}"/>
    <cellStyle name="Calculation 3 2 3 7 7" xfId="20242" xr:uid="{00000000-0005-0000-0000-0000461C0000}"/>
    <cellStyle name="Calculation 3 2 3 7 8" xfId="21251" xr:uid="{00000000-0005-0000-0000-0000471C0000}"/>
    <cellStyle name="Calculation 3 2 3 7 9" xfId="22225" xr:uid="{00000000-0005-0000-0000-0000481C0000}"/>
    <cellStyle name="Calculation 3 2 3 8" xfId="915" xr:uid="{00000000-0005-0000-0000-0000491C0000}"/>
    <cellStyle name="Calculation 3 2 3 8 10" xfId="23232" xr:uid="{00000000-0005-0000-0000-00004A1C0000}"/>
    <cellStyle name="Calculation 3 2 3 8 11" xfId="24204" xr:uid="{00000000-0005-0000-0000-00004B1C0000}"/>
    <cellStyle name="Calculation 3 2 3 8 12" xfId="25203" xr:uid="{00000000-0005-0000-0000-00004C1C0000}"/>
    <cellStyle name="Calculation 3 2 3 8 13" xfId="28148" xr:uid="{00000000-0005-0000-0000-00004D1C0000}"/>
    <cellStyle name="Calculation 3 2 3 8 14" xfId="29117" xr:uid="{00000000-0005-0000-0000-00004E1C0000}"/>
    <cellStyle name="Calculation 3 2 3 8 15" xfId="30156" xr:uid="{00000000-0005-0000-0000-00004F1C0000}"/>
    <cellStyle name="Calculation 3 2 3 8 16" xfId="31149" xr:uid="{00000000-0005-0000-0000-0000501C0000}"/>
    <cellStyle name="Calculation 3 2 3 8 17" xfId="32158" xr:uid="{00000000-0005-0000-0000-0000511C0000}"/>
    <cellStyle name="Calculation 3 2 3 8 18" xfId="33161" xr:uid="{00000000-0005-0000-0000-0000521C0000}"/>
    <cellStyle name="Calculation 3 2 3 8 19" xfId="34160" xr:uid="{00000000-0005-0000-0000-0000531C0000}"/>
    <cellStyle name="Calculation 3 2 3 8 2" xfId="916" xr:uid="{00000000-0005-0000-0000-0000541C0000}"/>
    <cellStyle name="Calculation 3 2 3 8 2 10" xfId="24205" xr:uid="{00000000-0005-0000-0000-0000551C0000}"/>
    <cellStyle name="Calculation 3 2 3 8 2 11" xfId="25204" xr:uid="{00000000-0005-0000-0000-0000561C0000}"/>
    <cellStyle name="Calculation 3 2 3 8 2 12" xfId="28149" xr:uid="{00000000-0005-0000-0000-0000571C0000}"/>
    <cellStyle name="Calculation 3 2 3 8 2 13" xfId="29118" xr:uid="{00000000-0005-0000-0000-0000581C0000}"/>
    <cellStyle name="Calculation 3 2 3 8 2 14" xfId="30157" xr:uid="{00000000-0005-0000-0000-0000591C0000}"/>
    <cellStyle name="Calculation 3 2 3 8 2 15" xfId="31150" xr:uid="{00000000-0005-0000-0000-00005A1C0000}"/>
    <cellStyle name="Calculation 3 2 3 8 2 16" xfId="32159" xr:uid="{00000000-0005-0000-0000-00005B1C0000}"/>
    <cellStyle name="Calculation 3 2 3 8 2 17" xfId="33162" xr:uid="{00000000-0005-0000-0000-00005C1C0000}"/>
    <cellStyle name="Calculation 3 2 3 8 2 18" xfId="34161" xr:uid="{00000000-0005-0000-0000-00005D1C0000}"/>
    <cellStyle name="Calculation 3 2 3 8 2 19" xfId="35782" xr:uid="{00000000-0005-0000-0000-00005E1C0000}"/>
    <cellStyle name="Calculation 3 2 3 8 2 2" xfId="16185" xr:uid="{00000000-0005-0000-0000-00005F1C0000}"/>
    <cellStyle name="Calculation 3 2 3 8 2 20" xfId="36721" xr:uid="{00000000-0005-0000-0000-0000601C0000}"/>
    <cellStyle name="Calculation 3 2 3 8 2 3" xfId="17163" xr:uid="{00000000-0005-0000-0000-0000611C0000}"/>
    <cellStyle name="Calculation 3 2 3 8 2 4" xfId="18191" xr:uid="{00000000-0005-0000-0000-0000621C0000}"/>
    <cellStyle name="Calculation 3 2 3 8 2 5" xfId="19223" xr:uid="{00000000-0005-0000-0000-0000631C0000}"/>
    <cellStyle name="Calculation 3 2 3 8 2 6" xfId="20245" xr:uid="{00000000-0005-0000-0000-0000641C0000}"/>
    <cellStyle name="Calculation 3 2 3 8 2 7" xfId="21254" xr:uid="{00000000-0005-0000-0000-0000651C0000}"/>
    <cellStyle name="Calculation 3 2 3 8 2 8" xfId="22228" xr:uid="{00000000-0005-0000-0000-0000661C0000}"/>
    <cellStyle name="Calculation 3 2 3 8 2 9" xfId="23233" xr:uid="{00000000-0005-0000-0000-0000671C0000}"/>
    <cellStyle name="Calculation 3 2 3 8 20" xfId="35781" xr:uid="{00000000-0005-0000-0000-0000681C0000}"/>
    <cellStyle name="Calculation 3 2 3 8 21" xfId="36720" xr:uid="{00000000-0005-0000-0000-0000691C0000}"/>
    <cellStyle name="Calculation 3 2 3 8 3" xfId="16184" xr:uid="{00000000-0005-0000-0000-00006A1C0000}"/>
    <cellStyle name="Calculation 3 2 3 8 4" xfId="17162" xr:uid="{00000000-0005-0000-0000-00006B1C0000}"/>
    <cellStyle name="Calculation 3 2 3 8 5" xfId="18190" xr:uid="{00000000-0005-0000-0000-00006C1C0000}"/>
    <cellStyle name="Calculation 3 2 3 8 6" xfId="19222" xr:uid="{00000000-0005-0000-0000-00006D1C0000}"/>
    <cellStyle name="Calculation 3 2 3 8 7" xfId="20244" xr:uid="{00000000-0005-0000-0000-00006E1C0000}"/>
    <cellStyle name="Calculation 3 2 3 8 8" xfId="21253" xr:uid="{00000000-0005-0000-0000-00006F1C0000}"/>
    <cellStyle name="Calculation 3 2 3 8 9" xfId="22227" xr:uid="{00000000-0005-0000-0000-0000701C0000}"/>
    <cellStyle name="Calculation 3 2 3 9" xfId="917" xr:uid="{00000000-0005-0000-0000-0000711C0000}"/>
    <cellStyle name="Calculation 3 2 3 9 10" xfId="24206" xr:uid="{00000000-0005-0000-0000-0000721C0000}"/>
    <cellStyle name="Calculation 3 2 3 9 11" xfId="25205" xr:uid="{00000000-0005-0000-0000-0000731C0000}"/>
    <cellStyle name="Calculation 3 2 3 9 12" xfId="28150" xr:uid="{00000000-0005-0000-0000-0000741C0000}"/>
    <cellStyle name="Calculation 3 2 3 9 13" xfId="29119" xr:uid="{00000000-0005-0000-0000-0000751C0000}"/>
    <cellStyle name="Calculation 3 2 3 9 14" xfId="30158" xr:uid="{00000000-0005-0000-0000-0000761C0000}"/>
    <cellStyle name="Calculation 3 2 3 9 15" xfId="31151" xr:uid="{00000000-0005-0000-0000-0000771C0000}"/>
    <cellStyle name="Calculation 3 2 3 9 16" xfId="32160" xr:uid="{00000000-0005-0000-0000-0000781C0000}"/>
    <cellStyle name="Calculation 3 2 3 9 17" xfId="33163" xr:uid="{00000000-0005-0000-0000-0000791C0000}"/>
    <cellStyle name="Calculation 3 2 3 9 18" xfId="34162" xr:uid="{00000000-0005-0000-0000-00007A1C0000}"/>
    <cellStyle name="Calculation 3 2 3 9 19" xfId="35783" xr:uid="{00000000-0005-0000-0000-00007B1C0000}"/>
    <cellStyle name="Calculation 3 2 3 9 2" xfId="16186" xr:uid="{00000000-0005-0000-0000-00007C1C0000}"/>
    <cellStyle name="Calculation 3 2 3 9 20" xfId="36722" xr:uid="{00000000-0005-0000-0000-00007D1C0000}"/>
    <cellStyle name="Calculation 3 2 3 9 3" xfId="17164" xr:uid="{00000000-0005-0000-0000-00007E1C0000}"/>
    <cellStyle name="Calculation 3 2 3 9 4" xfId="18192" xr:uid="{00000000-0005-0000-0000-00007F1C0000}"/>
    <cellStyle name="Calculation 3 2 3 9 5" xfId="19224" xr:uid="{00000000-0005-0000-0000-0000801C0000}"/>
    <cellStyle name="Calculation 3 2 3 9 6" xfId="20246" xr:uid="{00000000-0005-0000-0000-0000811C0000}"/>
    <cellStyle name="Calculation 3 2 3 9 7" xfId="21255" xr:uid="{00000000-0005-0000-0000-0000821C0000}"/>
    <cellStyle name="Calculation 3 2 3 9 8" xfId="22229" xr:uid="{00000000-0005-0000-0000-0000831C0000}"/>
    <cellStyle name="Calculation 3 2 3 9 9" xfId="23234" xr:uid="{00000000-0005-0000-0000-0000841C0000}"/>
    <cellStyle name="Calculation 3 2 4" xfId="918" xr:uid="{00000000-0005-0000-0000-0000851C0000}"/>
    <cellStyle name="Calculation 3 2 4 10" xfId="23235" xr:uid="{00000000-0005-0000-0000-0000861C0000}"/>
    <cellStyle name="Calculation 3 2 4 11" xfId="24207" xr:uid="{00000000-0005-0000-0000-0000871C0000}"/>
    <cellStyle name="Calculation 3 2 4 12" xfId="25206" xr:uid="{00000000-0005-0000-0000-0000881C0000}"/>
    <cellStyle name="Calculation 3 2 4 13" xfId="28151" xr:uid="{00000000-0005-0000-0000-0000891C0000}"/>
    <cellStyle name="Calculation 3 2 4 14" xfId="29120" xr:uid="{00000000-0005-0000-0000-00008A1C0000}"/>
    <cellStyle name="Calculation 3 2 4 15" xfId="30159" xr:uid="{00000000-0005-0000-0000-00008B1C0000}"/>
    <cellStyle name="Calculation 3 2 4 16" xfId="31152" xr:uid="{00000000-0005-0000-0000-00008C1C0000}"/>
    <cellStyle name="Calculation 3 2 4 17" xfId="32161" xr:uid="{00000000-0005-0000-0000-00008D1C0000}"/>
    <cellStyle name="Calculation 3 2 4 18" xfId="33164" xr:uid="{00000000-0005-0000-0000-00008E1C0000}"/>
    <cellStyle name="Calculation 3 2 4 19" xfId="34163" xr:uid="{00000000-0005-0000-0000-00008F1C0000}"/>
    <cellStyle name="Calculation 3 2 4 2" xfId="919" xr:uid="{00000000-0005-0000-0000-0000901C0000}"/>
    <cellStyle name="Calculation 3 2 4 2 10" xfId="24208" xr:uid="{00000000-0005-0000-0000-0000911C0000}"/>
    <cellStyle name="Calculation 3 2 4 2 11" xfId="25207" xr:uid="{00000000-0005-0000-0000-0000921C0000}"/>
    <cellStyle name="Calculation 3 2 4 2 12" xfId="28152" xr:uid="{00000000-0005-0000-0000-0000931C0000}"/>
    <cellStyle name="Calculation 3 2 4 2 13" xfId="29121" xr:uid="{00000000-0005-0000-0000-0000941C0000}"/>
    <cellStyle name="Calculation 3 2 4 2 14" xfId="30160" xr:uid="{00000000-0005-0000-0000-0000951C0000}"/>
    <cellStyle name="Calculation 3 2 4 2 15" xfId="31153" xr:uid="{00000000-0005-0000-0000-0000961C0000}"/>
    <cellStyle name="Calculation 3 2 4 2 16" xfId="32162" xr:uid="{00000000-0005-0000-0000-0000971C0000}"/>
    <cellStyle name="Calculation 3 2 4 2 17" xfId="33165" xr:uid="{00000000-0005-0000-0000-0000981C0000}"/>
    <cellStyle name="Calculation 3 2 4 2 18" xfId="34164" xr:uid="{00000000-0005-0000-0000-0000991C0000}"/>
    <cellStyle name="Calculation 3 2 4 2 19" xfId="35785" xr:uid="{00000000-0005-0000-0000-00009A1C0000}"/>
    <cellStyle name="Calculation 3 2 4 2 2" xfId="16188" xr:uid="{00000000-0005-0000-0000-00009B1C0000}"/>
    <cellStyle name="Calculation 3 2 4 2 20" xfId="36724" xr:uid="{00000000-0005-0000-0000-00009C1C0000}"/>
    <cellStyle name="Calculation 3 2 4 2 3" xfId="17166" xr:uid="{00000000-0005-0000-0000-00009D1C0000}"/>
    <cellStyle name="Calculation 3 2 4 2 4" xfId="18194" xr:uid="{00000000-0005-0000-0000-00009E1C0000}"/>
    <cellStyle name="Calculation 3 2 4 2 5" xfId="19226" xr:uid="{00000000-0005-0000-0000-00009F1C0000}"/>
    <cellStyle name="Calculation 3 2 4 2 6" xfId="20248" xr:uid="{00000000-0005-0000-0000-0000A01C0000}"/>
    <cellStyle name="Calculation 3 2 4 2 7" xfId="21257" xr:uid="{00000000-0005-0000-0000-0000A11C0000}"/>
    <cellStyle name="Calculation 3 2 4 2 8" xfId="22231" xr:uid="{00000000-0005-0000-0000-0000A21C0000}"/>
    <cellStyle name="Calculation 3 2 4 2 9" xfId="23236" xr:uid="{00000000-0005-0000-0000-0000A31C0000}"/>
    <cellStyle name="Calculation 3 2 4 20" xfId="35784" xr:uid="{00000000-0005-0000-0000-0000A41C0000}"/>
    <cellStyle name="Calculation 3 2 4 21" xfId="36723" xr:uid="{00000000-0005-0000-0000-0000A51C0000}"/>
    <cellStyle name="Calculation 3 2 4 3" xfId="16187" xr:uid="{00000000-0005-0000-0000-0000A61C0000}"/>
    <cellStyle name="Calculation 3 2 4 4" xfId="17165" xr:uid="{00000000-0005-0000-0000-0000A71C0000}"/>
    <cellStyle name="Calculation 3 2 4 5" xfId="18193" xr:uid="{00000000-0005-0000-0000-0000A81C0000}"/>
    <cellStyle name="Calculation 3 2 4 6" xfId="19225" xr:uid="{00000000-0005-0000-0000-0000A91C0000}"/>
    <cellStyle name="Calculation 3 2 4 7" xfId="20247" xr:uid="{00000000-0005-0000-0000-0000AA1C0000}"/>
    <cellStyle name="Calculation 3 2 4 8" xfId="21256" xr:uid="{00000000-0005-0000-0000-0000AB1C0000}"/>
    <cellStyle name="Calculation 3 2 4 9" xfId="22230" xr:uid="{00000000-0005-0000-0000-0000AC1C0000}"/>
    <cellStyle name="Calculation 3 2 5" xfId="920" xr:uid="{00000000-0005-0000-0000-0000AD1C0000}"/>
    <cellStyle name="Calculation 3 2 5 10" xfId="23237" xr:uid="{00000000-0005-0000-0000-0000AE1C0000}"/>
    <cellStyle name="Calculation 3 2 5 11" xfId="24209" xr:uid="{00000000-0005-0000-0000-0000AF1C0000}"/>
    <cellStyle name="Calculation 3 2 5 12" xfId="25208" xr:uid="{00000000-0005-0000-0000-0000B01C0000}"/>
    <cellStyle name="Calculation 3 2 5 13" xfId="28153" xr:uid="{00000000-0005-0000-0000-0000B11C0000}"/>
    <cellStyle name="Calculation 3 2 5 14" xfId="29122" xr:uid="{00000000-0005-0000-0000-0000B21C0000}"/>
    <cellStyle name="Calculation 3 2 5 15" xfId="30161" xr:uid="{00000000-0005-0000-0000-0000B31C0000}"/>
    <cellStyle name="Calculation 3 2 5 16" xfId="31154" xr:uid="{00000000-0005-0000-0000-0000B41C0000}"/>
    <cellStyle name="Calculation 3 2 5 17" xfId="32163" xr:uid="{00000000-0005-0000-0000-0000B51C0000}"/>
    <cellStyle name="Calculation 3 2 5 18" xfId="33166" xr:uid="{00000000-0005-0000-0000-0000B61C0000}"/>
    <cellStyle name="Calculation 3 2 5 19" xfId="34165" xr:uid="{00000000-0005-0000-0000-0000B71C0000}"/>
    <cellStyle name="Calculation 3 2 5 2" xfId="921" xr:uid="{00000000-0005-0000-0000-0000B81C0000}"/>
    <cellStyle name="Calculation 3 2 5 2 10" xfId="24210" xr:uid="{00000000-0005-0000-0000-0000B91C0000}"/>
    <cellStyle name="Calculation 3 2 5 2 11" xfId="25209" xr:uid="{00000000-0005-0000-0000-0000BA1C0000}"/>
    <cellStyle name="Calculation 3 2 5 2 12" xfId="28154" xr:uid="{00000000-0005-0000-0000-0000BB1C0000}"/>
    <cellStyle name="Calculation 3 2 5 2 13" xfId="29123" xr:uid="{00000000-0005-0000-0000-0000BC1C0000}"/>
    <cellStyle name="Calculation 3 2 5 2 14" xfId="30162" xr:uid="{00000000-0005-0000-0000-0000BD1C0000}"/>
    <cellStyle name="Calculation 3 2 5 2 15" xfId="31155" xr:uid="{00000000-0005-0000-0000-0000BE1C0000}"/>
    <cellStyle name="Calculation 3 2 5 2 16" xfId="32164" xr:uid="{00000000-0005-0000-0000-0000BF1C0000}"/>
    <cellStyle name="Calculation 3 2 5 2 17" xfId="33167" xr:uid="{00000000-0005-0000-0000-0000C01C0000}"/>
    <cellStyle name="Calculation 3 2 5 2 18" xfId="34166" xr:uid="{00000000-0005-0000-0000-0000C11C0000}"/>
    <cellStyle name="Calculation 3 2 5 2 19" xfId="35787" xr:uid="{00000000-0005-0000-0000-0000C21C0000}"/>
    <cellStyle name="Calculation 3 2 5 2 2" xfId="16190" xr:uid="{00000000-0005-0000-0000-0000C31C0000}"/>
    <cellStyle name="Calculation 3 2 5 2 20" xfId="36726" xr:uid="{00000000-0005-0000-0000-0000C41C0000}"/>
    <cellStyle name="Calculation 3 2 5 2 3" xfId="17168" xr:uid="{00000000-0005-0000-0000-0000C51C0000}"/>
    <cellStyle name="Calculation 3 2 5 2 4" xfId="18196" xr:uid="{00000000-0005-0000-0000-0000C61C0000}"/>
    <cellStyle name="Calculation 3 2 5 2 5" xfId="19228" xr:uid="{00000000-0005-0000-0000-0000C71C0000}"/>
    <cellStyle name="Calculation 3 2 5 2 6" xfId="20250" xr:uid="{00000000-0005-0000-0000-0000C81C0000}"/>
    <cellStyle name="Calculation 3 2 5 2 7" xfId="21259" xr:uid="{00000000-0005-0000-0000-0000C91C0000}"/>
    <cellStyle name="Calculation 3 2 5 2 8" xfId="22233" xr:uid="{00000000-0005-0000-0000-0000CA1C0000}"/>
    <cellStyle name="Calculation 3 2 5 2 9" xfId="23238" xr:uid="{00000000-0005-0000-0000-0000CB1C0000}"/>
    <cellStyle name="Calculation 3 2 5 20" xfId="35786" xr:uid="{00000000-0005-0000-0000-0000CC1C0000}"/>
    <cellStyle name="Calculation 3 2 5 21" xfId="36725" xr:uid="{00000000-0005-0000-0000-0000CD1C0000}"/>
    <cellStyle name="Calculation 3 2 5 3" xfId="16189" xr:uid="{00000000-0005-0000-0000-0000CE1C0000}"/>
    <cellStyle name="Calculation 3 2 5 4" xfId="17167" xr:uid="{00000000-0005-0000-0000-0000CF1C0000}"/>
    <cellStyle name="Calculation 3 2 5 5" xfId="18195" xr:uid="{00000000-0005-0000-0000-0000D01C0000}"/>
    <cellStyle name="Calculation 3 2 5 6" xfId="19227" xr:uid="{00000000-0005-0000-0000-0000D11C0000}"/>
    <cellStyle name="Calculation 3 2 5 7" xfId="20249" xr:uid="{00000000-0005-0000-0000-0000D21C0000}"/>
    <cellStyle name="Calculation 3 2 5 8" xfId="21258" xr:uid="{00000000-0005-0000-0000-0000D31C0000}"/>
    <cellStyle name="Calculation 3 2 5 9" xfId="22232" xr:uid="{00000000-0005-0000-0000-0000D41C0000}"/>
    <cellStyle name="Calculation 3 2 6" xfId="922" xr:uid="{00000000-0005-0000-0000-0000D51C0000}"/>
    <cellStyle name="Calculation 3 2 6 10" xfId="23239" xr:uid="{00000000-0005-0000-0000-0000D61C0000}"/>
    <cellStyle name="Calculation 3 2 6 11" xfId="24211" xr:uid="{00000000-0005-0000-0000-0000D71C0000}"/>
    <cellStyle name="Calculation 3 2 6 12" xfId="25210" xr:uid="{00000000-0005-0000-0000-0000D81C0000}"/>
    <cellStyle name="Calculation 3 2 6 13" xfId="28155" xr:uid="{00000000-0005-0000-0000-0000D91C0000}"/>
    <cellStyle name="Calculation 3 2 6 14" xfId="29124" xr:uid="{00000000-0005-0000-0000-0000DA1C0000}"/>
    <cellStyle name="Calculation 3 2 6 15" xfId="30163" xr:uid="{00000000-0005-0000-0000-0000DB1C0000}"/>
    <cellStyle name="Calculation 3 2 6 16" xfId="31156" xr:uid="{00000000-0005-0000-0000-0000DC1C0000}"/>
    <cellStyle name="Calculation 3 2 6 17" xfId="32165" xr:uid="{00000000-0005-0000-0000-0000DD1C0000}"/>
    <cellStyle name="Calculation 3 2 6 18" xfId="33168" xr:uid="{00000000-0005-0000-0000-0000DE1C0000}"/>
    <cellStyle name="Calculation 3 2 6 19" xfId="34167" xr:uid="{00000000-0005-0000-0000-0000DF1C0000}"/>
    <cellStyle name="Calculation 3 2 6 2" xfId="923" xr:uid="{00000000-0005-0000-0000-0000E01C0000}"/>
    <cellStyle name="Calculation 3 2 6 2 10" xfId="24212" xr:uid="{00000000-0005-0000-0000-0000E11C0000}"/>
    <cellStyle name="Calculation 3 2 6 2 11" xfId="25211" xr:uid="{00000000-0005-0000-0000-0000E21C0000}"/>
    <cellStyle name="Calculation 3 2 6 2 12" xfId="28156" xr:uid="{00000000-0005-0000-0000-0000E31C0000}"/>
    <cellStyle name="Calculation 3 2 6 2 13" xfId="29125" xr:uid="{00000000-0005-0000-0000-0000E41C0000}"/>
    <cellStyle name="Calculation 3 2 6 2 14" xfId="30164" xr:uid="{00000000-0005-0000-0000-0000E51C0000}"/>
    <cellStyle name="Calculation 3 2 6 2 15" xfId="31157" xr:uid="{00000000-0005-0000-0000-0000E61C0000}"/>
    <cellStyle name="Calculation 3 2 6 2 16" xfId="32166" xr:uid="{00000000-0005-0000-0000-0000E71C0000}"/>
    <cellStyle name="Calculation 3 2 6 2 17" xfId="33169" xr:uid="{00000000-0005-0000-0000-0000E81C0000}"/>
    <cellStyle name="Calculation 3 2 6 2 18" xfId="34168" xr:uid="{00000000-0005-0000-0000-0000E91C0000}"/>
    <cellStyle name="Calculation 3 2 6 2 19" xfId="35789" xr:uid="{00000000-0005-0000-0000-0000EA1C0000}"/>
    <cellStyle name="Calculation 3 2 6 2 2" xfId="16192" xr:uid="{00000000-0005-0000-0000-0000EB1C0000}"/>
    <cellStyle name="Calculation 3 2 6 2 20" xfId="36728" xr:uid="{00000000-0005-0000-0000-0000EC1C0000}"/>
    <cellStyle name="Calculation 3 2 6 2 3" xfId="17170" xr:uid="{00000000-0005-0000-0000-0000ED1C0000}"/>
    <cellStyle name="Calculation 3 2 6 2 4" xfId="18198" xr:uid="{00000000-0005-0000-0000-0000EE1C0000}"/>
    <cellStyle name="Calculation 3 2 6 2 5" xfId="19230" xr:uid="{00000000-0005-0000-0000-0000EF1C0000}"/>
    <cellStyle name="Calculation 3 2 6 2 6" xfId="20252" xr:uid="{00000000-0005-0000-0000-0000F01C0000}"/>
    <cellStyle name="Calculation 3 2 6 2 7" xfId="21261" xr:uid="{00000000-0005-0000-0000-0000F11C0000}"/>
    <cellStyle name="Calculation 3 2 6 2 8" xfId="22235" xr:uid="{00000000-0005-0000-0000-0000F21C0000}"/>
    <cellStyle name="Calculation 3 2 6 2 9" xfId="23240" xr:uid="{00000000-0005-0000-0000-0000F31C0000}"/>
    <cellStyle name="Calculation 3 2 6 20" xfId="35788" xr:uid="{00000000-0005-0000-0000-0000F41C0000}"/>
    <cellStyle name="Calculation 3 2 6 21" xfId="36727" xr:uid="{00000000-0005-0000-0000-0000F51C0000}"/>
    <cellStyle name="Calculation 3 2 6 3" xfId="16191" xr:uid="{00000000-0005-0000-0000-0000F61C0000}"/>
    <cellStyle name="Calculation 3 2 6 4" xfId="17169" xr:uid="{00000000-0005-0000-0000-0000F71C0000}"/>
    <cellStyle name="Calculation 3 2 6 5" xfId="18197" xr:uid="{00000000-0005-0000-0000-0000F81C0000}"/>
    <cellStyle name="Calculation 3 2 6 6" xfId="19229" xr:uid="{00000000-0005-0000-0000-0000F91C0000}"/>
    <cellStyle name="Calculation 3 2 6 7" xfId="20251" xr:uid="{00000000-0005-0000-0000-0000FA1C0000}"/>
    <cellStyle name="Calculation 3 2 6 8" xfId="21260" xr:uid="{00000000-0005-0000-0000-0000FB1C0000}"/>
    <cellStyle name="Calculation 3 2 6 9" xfId="22234" xr:uid="{00000000-0005-0000-0000-0000FC1C0000}"/>
    <cellStyle name="Calculation 3 2 7" xfId="924" xr:uid="{00000000-0005-0000-0000-0000FD1C0000}"/>
    <cellStyle name="Calculation 3 2 7 10" xfId="24213" xr:uid="{00000000-0005-0000-0000-0000FE1C0000}"/>
    <cellStyle name="Calculation 3 2 7 11" xfId="25212" xr:uid="{00000000-0005-0000-0000-0000FF1C0000}"/>
    <cellStyle name="Calculation 3 2 7 12" xfId="28157" xr:uid="{00000000-0005-0000-0000-0000001D0000}"/>
    <cellStyle name="Calculation 3 2 7 13" xfId="29126" xr:uid="{00000000-0005-0000-0000-0000011D0000}"/>
    <cellStyle name="Calculation 3 2 7 14" xfId="30165" xr:uid="{00000000-0005-0000-0000-0000021D0000}"/>
    <cellStyle name="Calculation 3 2 7 15" xfId="31158" xr:uid="{00000000-0005-0000-0000-0000031D0000}"/>
    <cellStyle name="Calculation 3 2 7 16" xfId="32167" xr:uid="{00000000-0005-0000-0000-0000041D0000}"/>
    <cellStyle name="Calculation 3 2 7 17" xfId="33170" xr:uid="{00000000-0005-0000-0000-0000051D0000}"/>
    <cellStyle name="Calculation 3 2 7 18" xfId="34169" xr:uid="{00000000-0005-0000-0000-0000061D0000}"/>
    <cellStyle name="Calculation 3 2 7 19" xfId="35790" xr:uid="{00000000-0005-0000-0000-0000071D0000}"/>
    <cellStyle name="Calculation 3 2 7 2" xfId="16193" xr:uid="{00000000-0005-0000-0000-0000081D0000}"/>
    <cellStyle name="Calculation 3 2 7 20" xfId="36729" xr:uid="{00000000-0005-0000-0000-0000091D0000}"/>
    <cellStyle name="Calculation 3 2 7 3" xfId="17171" xr:uid="{00000000-0005-0000-0000-00000A1D0000}"/>
    <cellStyle name="Calculation 3 2 7 4" xfId="18199" xr:uid="{00000000-0005-0000-0000-00000B1D0000}"/>
    <cellStyle name="Calculation 3 2 7 5" xfId="19231" xr:uid="{00000000-0005-0000-0000-00000C1D0000}"/>
    <cellStyle name="Calculation 3 2 7 6" xfId="20253" xr:uid="{00000000-0005-0000-0000-00000D1D0000}"/>
    <cellStyle name="Calculation 3 2 7 7" xfId="21262" xr:uid="{00000000-0005-0000-0000-00000E1D0000}"/>
    <cellStyle name="Calculation 3 2 7 8" xfId="22236" xr:uid="{00000000-0005-0000-0000-00000F1D0000}"/>
    <cellStyle name="Calculation 3 2 7 9" xfId="23241" xr:uid="{00000000-0005-0000-0000-0000101D0000}"/>
    <cellStyle name="Calculation 3 2 8" xfId="925" xr:uid="{00000000-0005-0000-0000-0000111D0000}"/>
    <cellStyle name="Calculation 3 2 8 10" xfId="24862" xr:uid="{00000000-0005-0000-0000-0000121D0000}"/>
    <cellStyle name="Calculation 3 2 8 11" xfId="25861" xr:uid="{00000000-0005-0000-0000-0000131D0000}"/>
    <cellStyle name="Calculation 3 2 8 12" xfId="28767" xr:uid="{00000000-0005-0000-0000-0000141D0000}"/>
    <cellStyle name="Calculation 3 2 8 13" xfId="29784" xr:uid="{00000000-0005-0000-0000-0000151D0000}"/>
    <cellStyle name="Calculation 3 2 8 14" xfId="30817" xr:uid="{00000000-0005-0000-0000-0000161D0000}"/>
    <cellStyle name="Calculation 3 2 8 15" xfId="31812" xr:uid="{00000000-0005-0000-0000-0000171D0000}"/>
    <cellStyle name="Calculation 3 2 8 16" xfId="32816" xr:uid="{00000000-0005-0000-0000-0000181D0000}"/>
    <cellStyle name="Calculation 3 2 8 17" xfId="33819" xr:uid="{00000000-0005-0000-0000-0000191D0000}"/>
    <cellStyle name="Calculation 3 2 8 18" xfId="34818" xr:uid="{00000000-0005-0000-0000-00001A1D0000}"/>
    <cellStyle name="Calculation 3 2 8 19" xfId="36379" xr:uid="{00000000-0005-0000-0000-00001B1D0000}"/>
    <cellStyle name="Calculation 3 2 8 2" xfId="16851" xr:uid="{00000000-0005-0000-0000-00001C1D0000}"/>
    <cellStyle name="Calculation 3 2 8 20" xfId="37378" xr:uid="{00000000-0005-0000-0000-00001D1D0000}"/>
    <cellStyle name="Calculation 3 2 8 3" xfId="17831" xr:uid="{00000000-0005-0000-0000-00001E1D0000}"/>
    <cellStyle name="Calculation 3 2 8 4" xfId="18856" xr:uid="{00000000-0005-0000-0000-00001F1D0000}"/>
    <cellStyle name="Calculation 3 2 8 5" xfId="19890" xr:uid="{00000000-0005-0000-0000-0000201D0000}"/>
    <cellStyle name="Calculation 3 2 8 6" xfId="20915" xr:uid="{00000000-0005-0000-0000-0000211D0000}"/>
    <cellStyle name="Calculation 3 2 8 7" xfId="21875" xr:uid="{00000000-0005-0000-0000-0000221D0000}"/>
    <cellStyle name="Calculation 3 2 8 8" xfId="22887" xr:uid="{00000000-0005-0000-0000-0000231D0000}"/>
    <cellStyle name="Calculation 3 2 8 9" xfId="23890" xr:uid="{00000000-0005-0000-0000-0000241D0000}"/>
    <cellStyle name="Calculation 3 2 9" xfId="34888" xr:uid="{00000000-0005-0000-0000-0000251D0000}"/>
    <cellStyle name="Calculation 3 3" xfId="926" xr:uid="{00000000-0005-0000-0000-0000261D0000}"/>
    <cellStyle name="Calculation 3 3 10" xfId="14115" xr:uid="{00000000-0005-0000-0000-0000271D0000}"/>
    <cellStyle name="Calculation 3 3 11" xfId="14817" xr:uid="{00000000-0005-0000-0000-0000281D0000}"/>
    <cellStyle name="Calculation 3 3 12" xfId="15451" xr:uid="{00000000-0005-0000-0000-0000291D0000}"/>
    <cellStyle name="Calculation 3 3 13" xfId="20939" xr:uid="{00000000-0005-0000-0000-00002A1D0000}"/>
    <cellStyle name="Calculation 3 3 14" xfId="25968" xr:uid="{00000000-0005-0000-0000-00002B1D0000}"/>
    <cellStyle name="Calculation 3 3 15" xfId="27311" xr:uid="{00000000-0005-0000-0000-00002C1D0000}"/>
    <cellStyle name="Calculation 3 3 16" xfId="27472" xr:uid="{00000000-0005-0000-0000-00002D1D0000}"/>
    <cellStyle name="Calculation 3 3 17" xfId="26610" xr:uid="{00000000-0005-0000-0000-00002E1D0000}"/>
    <cellStyle name="Calculation 3 3 18" xfId="27393" xr:uid="{00000000-0005-0000-0000-00002F1D0000}"/>
    <cellStyle name="Calculation 3 3 19" xfId="27574" xr:uid="{00000000-0005-0000-0000-0000301D0000}"/>
    <cellStyle name="Calculation 3 3 2" xfId="927" xr:uid="{00000000-0005-0000-0000-0000311D0000}"/>
    <cellStyle name="Calculation 3 3 2 10" xfId="15379" xr:uid="{00000000-0005-0000-0000-0000321D0000}"/>
    <cellStyle name="Calculation 3 3 2 11" xfId="15161" xr:uid="{00000000-0005-0000-0000-0000331D0000}"/>
    <cellStyle name="Calculation 3 3 2 12" xfId="13890" xr:uid="{00000000-0005-0000-0000-0000341D0000}"/>
    <cellStyle name="Calculation 3 3 2 13" xfId="13640" xr:uid="{00000000-0005-0000-0000-0000351D0000}"/>
    <cellStyle name="Calculation 3 3 2 14" xfId="14655" xr:uid="{00000000-0005-0000-0000-0000361D0000}"/>
    <cellStyle name="Calculation 3 3 2 15" xfId="15235" xr:uid="{00000000-0005-0000-0000-0000371D0000}"/>
    <cellStyle name="Calculation 3 3 2 16" xfId="26095" xr:uid="{00000000-0005-0000-0000-0000381D0000}"/>
    <cellStyle name="Calculation 3 3 2 17" xfId="27265" xr:uid="{00000000-0005-0000-0000-0000391D0000}"/>
    <cellStyle name="Calculation 3 3 2 18" xfId="27349" xr:uid="{00000000-0005-0000-0000-00003A1D0000}"/>
    <cellStyle name="Calculation 3 3 2 19" xfId="27850" xr:uid="{00000000-0005-0000-0000-00003B1D0000}"/>
    <cellStyle name="Calculation 3 3 2 2" xfId="928" xr:uid="{00000000-0005-0000-0000-00003C1D0000}"/>
    <cellStyle name="Calculation 3 3 2 2 10" xfId="13673" xr:uid="{00000000-0005-0000-0000-00003D1D0000}"/>
    <cellStyle name="Calculation 3 3 2 2 11" xfId="15749" xr:uid="{00000000-0005-0000-0000-00003E1D0000}"/>
    <cellStyle name="Calculation 3 3 2 2 12" xfId="26316" xr:uid="{00000000-0005-0000-0000-00003F1D0000}"/>
    <cellStyle name="Calculation 3 3 2 2 13" xfId="27177" xr:uid="{00000000-0005-0000-0000-0000401D0000}"/>
    <cellStyle name="Calculation 3 3 2 2 14" xfId="26819" xr:uid="{00000000-0005-0000-0000-0000411D0000}"/>
    <cellStyle name="Calculation 3 3 2 2 15" xfId="26250" xr:uid="{00000000-0005-0000-0000-0000421D0000}"/>
    <cellStyle name="Calculation 3 3 2 2 16" xfId="26854" xr:uid="{00000000-0005-0000-0000-0000431D0000}"/>
    <cellStyle name="Calculation 3 3 2 2 17" xfId="26985" xr:uid="{00000000-0005-0000-0000-0000441D0000}"/>
    <cellStyle name="Calculation 3 3 2 2 18" xfId="35012" xr:uid="{00000000-0005-0000-0000-0000451D0000}"/>
    <cellStyle name="Calculation 3 3 2 2 19" xfId="35459" xr:uid="{00000000-0005-0000-0000-0000461D0000}"/>
    <cellStyle name="Calculation 3 3 2 2 2" xfId="929" xr:uid="{00000000-0005-0000-0000-0000471D0000}"/>
    <cellStyle name="Calculation 3 3 2 2 2 10" xfId="23242" xr:uid="{00000000-0005-0000-0000-0000481D0000}"/>
    <cellStyle name="Calculation 3 3 2 2 2 11" xfId="24214" xr:uid="{00000000-0005-0000-0000-0000491D0000}"/>
    <cellStyle name="Calculation 3 3 2 2 2 12" xfId="25213" xr:uid="{00000000-0005-0000-0000-00004A1D0000}"/>
    <cellStyle name="Calculation 3 3 2 2 2 13" xfId="28158" xr:uid="{00000000-0005-0000-0000-00004B1D0000}"/>
    <cellStyle name="Calculation 3 3 2 2 2 14" xfId="29127" xr:uid="{00000000-0005-0000-0000-00004C1D0000}"/>
    <cellStyle name="Calculation 3 3 2 2 2 15" xfId="30166" xr:uid="{00000000-0005-0000-0000-00004D1D0000}"/>
    <cellStyle name="Calculation 3 3 2 2 2 16" xfId="31159" xr:uid="{00000000-0005-0000-0000-00004E1D0000}"/>
    <cellStyle name="Calculation 3 3 2 2 2 17" xfId="32168" xr:uid="{00000000-0005-0000-0000-00004F1D0000}"/>
    <cellStyle name="Calculation 3 3 2 2 2 18" xfId="33171" xr:uid="{00000000-0005-0000-0000-0000501D0000}"/>
    <cellStyle name="Calculation 3 3 2 2 2 19" xfId="34170" xr:uid="{00000000-0005-0000-0000-0000511D0000}"/>
    <cellStyle name="Calculation 3 3 2 2 2 2" xfId="930" xr:uid="{00000000-0005-0000-0000-0000521D0000}"/>
    <cellStyle name="Calculation 3 3 2 2 2 2 10" xfId="24215" xr:uid="{00000000-0005-0000-0000-0000531D0000}"/>
    <cellStyle name="Calculation 3 3 2 2 2 2 11" xfId="25214" xr:uid="{00000000-0005-0000-0000-0000541D0000}"/>
    <cellStyle name="Calculation 3 3 2 2 2 2 12" xfId="28159" xr:uid="{00000000-0005-0000-0000-0000551D0000}"/>
    <cellStyle name="Calculation 3 3 2 2 2 2 13" xfId="29128" xr:uid="{00000000-0005-0000-0000-0000561D0000}"/>
    <cellStyle name="Calculation 3 3 2 2 2 2 14" xfId="30167" xr:uid="{00000000-0005-0000-0000-0000571D0000}"/>
    <cellStyle name="Calculation 3 3 2 2 2 2 15" xfId="31160" xr:uid="{00000000-0005-0000-0000-0000581D0000}"/>
    <cellStyle name="Calculation 3 3 2 2 2 2 16" xfId="32169" xr:uid="{00000000-0005-0000-0000-0000591D0000}"/>
    <cellStyle name="Calculation 3 3 2 2 2 2 17" xfId="33172" xr:uid="{00000000-0005-0000-0000-00005A1D0000}"/>
    <cellStyle name="Calculation 3 3 2 2 2 2 18" xfId="34171" xr:uid="{00000000-0005-0000-0000-00005B1D0000}"/>
    <cellStyle name="Calculation 3 3 2 2 2 2 19" xfId="35792" xr:uid="{00000000-0005-0000-0000-00005C1D0000}"/>
    <cellStyle name="Calculation 3 3 2 2 2 2 2" xfId="16195" xr:uid="{00000000-0005-0000-0000-00005D1D0000}"/>
    <cellStyle name="Calculation 3 3 2 2 2 2 20" xfId="36731" xr:uid="{00000000-0005-0000-0000-00005E1D0000}"/>
    <cellStyle name="Calculation 3 3 2 2 2 2 3" xfId="17173" xr:uid="{00000000-0005-0000-0000-00005F1D0000}"/>
    <cellStyle name="Calculation 3 3 2 2 2 2 4" xfId="18201" xr:uid="{00000000-0005-0000-0000-0000601D0000}"/>
    <cellStyle name="Calculation 3 3 2 2 2 2 5" xfId="19233" xr:uid="{00000000-0005-0000-0000-0000611D0000}"/>
    <cellStyle name="Calculation 3 3 2 2 2 2 6" xfId="20255" xr:uid="{00000000-0005-0000-0000-0000621D0000}"/>
    <cellStyle name="Calculation 3 3 2 2 2 2 7" xfId="21264" xr:uid="{00000000-0005-0000-0000-0000631D0000}"/>
    <cellStyle name="Calculation 3 3 2 2 2 2 8" xfId="22238" xr:uid="{00000000-0005-0000-0000-0000641D0000}"/>
    <cellStyle name="Calculation 3 3 2 2 2 2 9" xfId="23243" xr:uid="{00000000-0005-0000-0000-0000651D0000}"/>
    <cellStyle name="Calculation 3 3 2 2 2 20" xfId="35791" xr:uid="{00000000-0005-0000-0000-0000661D0000}"/>
    <cellStyle name="Calculation 3 3 2 2 2 21" xfId="36730" xr:uid="{00000000-0005-0000-0000-0000671D0000}"/>
    <cellStyle name="Calculation 3 3 2 2 2 3" xfId="16194" xr:uid="{00000000-0005-0000-0000-0000681D0000}"/>
    <cellStyle name="Calculation 3 3 2 2 2 4" xfId="17172" xr:uid="{00000000-0005-0000-0000-0000691D0000}"/>
    <cellStyle name="Calculation 3 3 2 2 2 5" xfId="18200" xr:uid="{00000000-0005-0000-0000-00006A1D0000}"/>
    <cellStyle name="Calculation 3 3 2 2 2 6" xfId="19232" xr:uid="{00000000-0005-0000-0000-00006B1D0000}"/>
    <cellStyle name="Calculation 3 3 2 2 2 7" xfId="20254" xr:uid="{00000000-0005-0000-0000-00006C1D0000}"/>
    <cellStyle name="Calculation 3 3 2 2 2 8" xfId="21263" xr:uid="{00000000-0005-0000-0000-00006D1D0000}"/>
    <cellStyle name="Calculation 3 3 2 2 2 9" xfId="22237" xr:uid="{00000000-0005-0000-0000-00006E1D0000}"/>
    <cellStyle name="Calculation 3 3 2 2 3" xfId="931" xr:uid="{00000000-0005-0000-0000-00006F1D0000}"/>
    <cellStyle name="Calculation 3 3 2 2 3 10" xfId="23244" xr:uid="{00000000-0005-0000-0000-0000701D0000}"/>
    <cellStyle name="Calculation 3 3 2 2 3 11" xfId="24216" xr:uid="{00000000-0005-0000-0000-0000711D0000}"/>
    <cellStyle name="Calculation 3 3 2 2 3 12" xfId="25215" xr:uid="{00000000-0005-0000-0000-0000721D0000}"/>
    <cellStyle name="Calculation 3 3 2 2 3 13" xfId="28160" xr:uid="{00000000-0005-0000-0000-0000731D0000}"/>
    <cellStyle name="Calculation 3 3 2 2 3 14" xfId="29129" xr:uid="{00000000-0005-0000-0000-0000741D0000}"/>
    <cellStyle name="Calculation 3 3 2 2 3 15" xfId="30168" xr:uid="{00000000-0005-0000-0000-0000751D0000}"/>
    <cellStyle name="Calculation 3 3 2 2 3 16" xfId="31161" xr:uid="{00000000-0005-0000-0000-0000761D0000}"/>
    <cellStyle name="Calculation 3 3 2 2 3 17" xfId="32170" xr:uid="{00000000-0005-0000-0000-0000771D0000}"/>
    <cellStyle name="Calculation 3 3 2 2 3 18" xfId="33173" xr:uid="{00000000-0005-0000-0000-0000781D0000}"/>
    <cellStyle name="Calculation 3 3 2 2 3 19" xfId="34172" xr:uid="{00000000-0005-0000-0000-0000791D0000}"/>
    <cellStyle name="Calculation 3 3 2 2 3 2" xfId="932" xr:uid="{00000000-0005-0000-0000-00007A1D0000}"/>
    <cellStyle name="Calculation 3 3 2 2 3 2 10" xfId="24217" xr:uid="{00000000-0005-0000-0000-00007B1D0000}"/>
    <cellStyle name="Calculation 3 3 2 2 3 2 11" xfId="25216" xr:uid="{00000000-0005-0000-0000-00007C1D0000}"/>
    <cellStyle name="Calculation 3 3 2 2 3 2 12" xfId="28161" xr:uid="{00000000-0005-0000-0000-00007D1D0000}"/>
    <cellStyle name="Calculation 3 3 2 2 3 2 13" xfId="29130" xr:uid="{00000000-0005-0000-0000-00007E1D0000}"/>
    <cellStyle name="Calculation 3 3 2 2 3 2 14" xfId="30169" xr:uid="{00000000-0005-0000-0000-00007F1D0000}"/>
    <cellStyle name="Calculation 3 3 2 2 3 2 15" xfId="31162" xr:uid="{00000000-0005-0000-0000-0000801D0000}"/>
    <cellStyle name="Calculation 3 3 2 2 3 2 16" xfId="32171" xr:uid="{00000000-0005-0000-0000-0000811D0000}"/>
    <cellStyle name="Calculation 3 3 2 2 3 2 17" xfId="33174" xr:uid="{00000000-0005-0000-0000-0000821D0000}"/>
    <cellStyle name="Calculation 3 3 2 2 3 2 18" xfId="34173" xr:uid="{00000000-0005-0000-0000-0000831D0000}"/>
    <cellStyle name="Calculation 3 3 2 2 3 2 19" xfId="35794" xr:uid="{00000000-0005-0000-0000-0000841D0000}"/>
    <cellStyle name="Calculation 3 3 2 2 3 2 2" xfId="16197" xr:uid="{00000000-0005-0000-0000-0000851D0000}"/>
    <cellStyle name="Calculation 3 3 2 2 3 2 20" xfId="36733" xr:uid="{00000000-0005-0000-0000-0000861D0000}"/>
    <cellStyle name="Calculation 3 3 2 2 3 2 3" xfId="17175" xr:uid="{00000000-0005-0000-0000-0000871D0000}"/>
    <cellStyle name="Calculation 3 3 2 2 3 2 4" xfId="18203" xr:uid="{00000000-0005-0000-0000-0000881D0000}"/>
    <cellStyle name="Calculation 3 3 2 2 3 2 5" xfId="19235" xr:uid="{00000000-0005-0000-0000-0000891D0000}"/>
    <cellStyle name="Calculation 3 3 2 2 3 2 6" xfId="20257" xr:uid="{00000000-0005-0000-0000-00008A1D0000}"/>
    <cellStyle name="Calculation 3 3 2 2 3 2 7" xfId="21266" xr:uid="{00000000-0005-0000-0000-00008B1D0000}"/>
    <cellStyle name="Calculation 3 3 2 2 3 2 8" xfId="22240" xr:uid="{00000000-0005-0000-0000-00008C1D0000}"/>
    <cellStyle name="Calculation 3 3 2 2 3 2 9" xfId="23245" xr:uid="{00000000-0005-0000-0000-00008D1D0000}"/>
    <cellStyle name="Calculation 3 3 2 2 3 20" xfId="35793" xr:uid="{00000000-0005-0000-0000-00008E1D0000}"/>
    <cellStyle name="Calculation 3 3 2 2 3 21" xfId="36732" xr:uid="{00000000-0005-0000-0000-00008F1D0000}"/>
    <cellStyle name="Calculation 3 3 2 2 3 3" xfId="16196" xr:uid="{00000000-0005-0000-0000-0000901D0000}"/>
    <cellStyle name="Calculation 3 3 2 2 3 4" xfId="17174" xr:uid="{00000000-0005-0000-0000-0000911D0000}"/>
    <cellStyle name="Calculation 3 3 2 2 3 5" xfId="18202" xr:uid="{00000000-0005-0000-0000-0000921D0000}"/>
    <cellStyle name="Calculation 3 3 2 2 3 6" xfId="19234" xr:uid="{00000000-0005-0000-0000-0000931D0000}"/>
    <cellStyle name="Calculation 3 3 2 2 3 7" xfId="20256" xr:uid="{00000000-0005-0000-0000-0000941D0000}"/>
    <cellStyle name="Calculation 3 3 2 2 3 8" xfId="21265" xr:uid="{00000000-0005-0000-0000-0000951D0000}"/>
    <cellStyle name="Calculation 3 3 2 2 3 9" xfId="22239" xr:uid="{00000000-0005-0000-0000-0000961D0000}"/>
    <cellStyle name="Calculation 3 3 2 2 4" xfId="933" xr:uid="{00000000-0005-0000-0000-0000971D0000}"/>
    <cellStyle name="Calculation 3 3 2 2 4 10" xfId="23246" xr:uid="{00000000-0005-0000-0000-0000981D0000}"/>
    <cellStyle name="Calculation 3 3 2 2 4 11" xfId="24218" xr:uid="{00000000-0005-0000-0000-0000991D0000}"/>
    <cellStyle name="Calculation 3 3 2 2 4 12" xfId="25217" xr:uid="{00000000-0005-0000-0000-00009A1D0000}"/>
    <cellStyle name="Calculation 3 3 2 2 4 13" xfId="28162" xr:uid="{00000000-0005-0000-0000-00009B1D0000}"/>
    <cellStyle name="Calculation 3 3 2 2 4 14" xfId="29131" xr:uid="{00000000-0005-0000-0000-00009C1D0000}"/>
    <cellStyle name="Calculation 3 3 2 2 4 15" xfId="30170" xr:uid="{00000000-0005-0000-0000-00009D1D0000}"/>
    <cellStyle name="Calculation 3 3 2 2 4 16" xfId="31163" xr:uid="{00000000-0005-0000-0000-00009E1D0000}"/>
    <cellStyle name="Calculation 3 3 2 2 4 17" xfId="32172" xr:uid="{00000000-0005-0000-0000-00009F1D0000}"/>
    <cellStyle name="Calculation 3 3 2 2 4 18" xfId="33175" xr:uid="{00000000-0005-0000-0000-0000A01D0000}"/>
    <cellStyle name="Calculation 3 3 2 2 4 19" xfId="34174" xr:uid="{00000000-0005-0000-0000-0000A11D0000}"/>
    <cellStyle name="Calculation 3 3 2 2 4 2" xfId="934" xr:uid="{00000000-0005-0000-0000-0000A21D0000}"/>
    <cellStyle name="Calculation 3 3 2 2 4 2 10" xfId="24219" xr:uid="{00000000-0005-0000-0000-0000A31D0000}"/>
    <cellStyle name="Calculation 3 3 2 2 4 2 11" xfId="25218" xr:uid="{00000000-0005-0000-0000-0000A41D0000}"/>
    <cellStyle name="Calculation 3 3 2 2 4 2 12" xfId="28163" xr:uid="{00000000-0005-0000-0000-0000A51D0000}"/>
    <cellStyle name="Calculation 3 3 2 2 4 2 13" xfId="29132" xr:uid="{00000000-0005-0000-0000-0000A61D0000}"/>
    <cellStyle name="Calculation 3 3 2 2 4 2 14" xfId="30171" xr:uid="{00000000-0005-0000-0000-0000A71D0000}"/>
    <cellStyle name="Calculation 3 3 2 2 4 2 15" xfId="31164" xr:uid="{00000000-0005-0000-0000-0000A81D0000}"/>
    <cellStyle name="Calculation 3 3 2 2 4 2 16" xfId="32173" xr:uid="{00000000-0005-0000-0000-0000A91D0000}"/>
    <cellStyle name="Calculation 3 3 2 2 4 2 17" xfId="33176" xr:uid="{00000000-0005-0000-0000-0000AA1D0000}"/>
    <cellStyle name="Calculation 3 3 2 2 4 2 18" xfId="34175" xr:uid="{00000000-0005-0000-0000-0000AB1D0000}"/>
    <cellStyle name="Calculation 3 3 2 2 4 2 19" xfId="35796" xr:uid="{00000000-0005-0000-0000-0000AC1D0000}"/>
    <cellStyle name="Calculation 3 3 2 2 4 2 2" xfId="16199" xr:uid="{00000000-0005-0000-0000-0000AD1D0000}"/>
    <cellStyle name="Calculation 3 3 2 2 4 2 20" xfId="36735" xr:uid="{00000000-0005-0000-0000-0000AE1D0000}"/>
    <cellStyle name="Calculation 3 3 2 2 4 2 3" xfId="17177" xr:uid="{00000000-0005-0000-0000-0000AF1D0000}"/>
    <cellStyle name="Calculation 3 3 2 2 4 2 4" xfId="18205" xr:uid="{00000000-0005-0000-0000-0000B01D0000}"/>
    <cellStyle name="Calculation 3 3 2 2 4 2 5" xfId="19237" xr:uid="{00000000-0005-0000-0000-0000B11D0000}"/>
    <cellStyle name="Calculation 3 3 2 2 4 2 6" xfId="20259" xr:uid="{00000000-0005-0000-0000-0000B21D0000}"/>
    <cellStyle name="Calculation 3 3 2 2 4 2 7" xfId="21268" xr:uid="{00000000-0005-0000-0000-0000B31D0000}"/>
    <cellStyle name="Calculation 3 3 2 2 4 2 8" xfId="22242" xr:uid="{00000000-0005-0000-0000-0000B41D0000}"/>
    <cellStyle name="Calculation 3 3 2 2 4 2 9" xfId="23247" xr:uid="{00000000-0005-0000-0000-0000B51D0000}"/>
    <cellStyle name="Calculation 3 3 2 2 4 20" xfId="35795" xr:uid="{00000000-0005-0000-0000-0000B61D0000}"/>
    <cellStyle name="Calculation 3 3 2 2 4 21" xfId="36734" xr:uid="{00000000-0005-0000-0000-0000B71D0000}"/>
    <cellStyle name="Calculation 3 3 2 2 4 3" xfId="16198" xr:uid="{00000000-0005-0000-0000-0000B81D0000}"/>
    <cellStyle name="Calculation 3 3 2 2 4 4" xfId="17176" xr:uid="{00000000-0005-0000-0000-0000B91D0000}"/>
    <cellStyle name="Calculation 3 3 2 2 4 5" xfId="18204" xr:uid="{00000000-0005-0000-0000-0000BA1D0000}"/>
    <cellStyle name="Calculation 3 3 2 2 4 6" xfId="19236" xr:uid="{00000000-0005-0000-0000-0000BB1D0000}"/>
    <cellStyle name="Calculation 3 3 2 2 4 7" xfId="20258" xr:uid="{00000000-0005-0000-0000-0000BC1D0000}"/>
    <cellStyle name="Calculation 3 3 2 2 4 8" xfId="21267" xr:uid="{00000000-0005-0000-0000-0000BD1D0000}"/>
    <cellStyle name="Calculation 3 3 2 2 4 9" xfId="22241" xr:uid="{00000000-0005-0000-0000-0000BE1D0000}"/>
    <cellStyle name="Calculation 3 3 2 2 5" xfId="935" xr:uid="{00000000-0005-0000-0000-0000BF1D0000}"/>
    <cellStyle name="Calculation 3 3 2 2 5 10" xfId="24220" xr:uid="{00000000-0005-0000-0000-0000C01D0000}"/>
    <cellStyle name="Calculation 3 3 2 2 5 11" xfId="25219" xr:uid="{00000000-0005-0000-0000-0000C11D0000}"/>
    <cellStyle name="Calculation 3 3 2 2 5 12" xfId="28164" xr:uid="{00000000-0005-0000-0000-0000C21D0000}"/>
    <cellStyle name="Calculation 3 3 2 2 5 13" xfId="29133" xr:uid="{00000000-0005-0000-0000-0000C31D0000}"/>
    <cellStyle name="Calculation 3 3 2 2 5 14" xfId="30172" xr:uid="{00000000-0005-0000-0000-0000C41D0000}"/>
    <cellStyle name="Calculation 3 3 2 2 5 15" xfId="31165" xr:uid="{00000000-0005-0000-0000-0000C51D0000}"/>
    <cellStyle name="Calculation 3 3 2 2 5 16" xfId="32174" xr:uid="{00000000-0005-0000-0000-0000C61D0000}"/>
    <cellStyle name="Calculation 3 3 2 2 5 17" xfId="33177" xr:uid="{00000000-0005-0000-0000-0000C71D0000}"/>
    <cellStyle name="Calculation 3 3 2 2 5 18" xfId="34176" xr:uid="{00000000-0005-0000-0000-0000C81D0000}"/>
    <cellStyle name="Calculation 3 3 2 2 5 19" xfId="35797" xr:uid="{00000000-0005-0000-0000-0000C91D0000}"/>
    <cellStyle name="Calculation 3 3 2 2 5 2" xfId="16200" xr:uid="{00000000-0005-0000-0000-0000CA1D0000}"/>
    <cellStyle name="Calculation 3 3 2 2 5 20" xfId="36736" xr:uid="{00000000-0005-0000-0000-0000CB1D0000}"/>
    <cellStyle name="Calculation 3 3 2 2 5 3" xfId="17178" xr:uid="{00000000-0005-0000-0000-0000CC1D0000}"/>
    <cellStyle name="Calculation 3 3 2 2 5 4" xfId="18206" xr:uid="{00000000-0005-0000-0000-0000CD1D0000}"/>
    <cellStyle name="Calculation 3 3 2 2 5 5" xfId="19238" xr:uid="{00000000-0005-0000-0000-0000CE1D0000}"/>
    <cellStyle name="Calculation 3 3 2 2 5 6" xfId="20260" xr:uid="{00000000-0005-0000-0000-0000CF1D0000}"/>
    <cellStyle name="Calculation 3 3 2 2 5 7" xfId="21269" xr:uid="{00000000-0005-0000-0000-0000D01D0000}"/>
    <cellStyle name="Calculation 3 3 2 2 5 8" xfId="22243" xr:uid="{00000000-0005-0000-0000-0000D11D0000}"/>
    <cellStyle name="Calculation 3 3 2 2 5 9" xfId="23248" xr:uid="{00000000-0005-0000-0000-0000D21D0000}"/>
    <cellStyle name="Calculation 3 3 2 2 6" xfId="13729" xr:uid="{00000000-0005-0000-0000-0000D31D0000}"/>
    <cellStyle name="Calculation 3 3 2 2 7" xfId="13892" xr:uid="{00000000-0005-0000-0000-0000D41D0000}"/>
    <cellStyle name="Calculation 3 3 2 2 8" xfId="13517" xr:uid="{00000000-0005-0000-0000-0000D51D0000}"/>
    <cellStyle name="Calculation 3 3 2 2 9" xfId="15304" xr:uid="{00000000-0005-0000-0000-0000D61D0000}"/>
    <cellStyle name="Calculation 3 3 2 20" xfId="27047" xr:uid="{00000000-0005-0000-0000-0000D71D0000}"/>
    <cellStyle name="Calculation 3 3 2 21" xfId="26972" xr:uid="{00000000-0005-0000-0000-0000D81D0000}"/>
    <cellStyle name="Calculation 3 3 2 22" xfId="34955" xr:uid="{00000000-0005-0000-0000-0000D91D0000}"/>
    <cellStyle name="Calculation 3 3 2 23" xfId="34893" xr:uid="{00000000-0005-0000-0000-0000DA1D0000}"/>
    <cellStyle name="Calculation 3 3 2 3" xfId="936" xr:uid="{00000000-0005-0000-0000-0000DB1D0000}"/>
    <cellStyle name="Calculation 3 3 2 3 10" xfId="15767" xr:uid="{00000000-0005-0000-0000-0000DC1D0000}"/>
    <cellStyle name="Calculation 3 3 2 3 11" xfId="15154" xr:uid="{00000000-0005-0000-0000-0000DD1D0000}"/>
    <cellStyle name="Calculation 3 3 2 3 12" xfId="26396" xr:uid="{00000000-0005-0000-0000-0000DE1D0000}"/>
    <cellStyle name="Calculation 3 3 2 3 13" xfId="27125" xr:uid="{00000000-0005-0000-0000-0000DF1D0000}"/>
    <cellStyle name="Calculation 3 3 2 3 14" xfId="26831" xr:uid="{00000000-0005-0000-0000-0000E01D0000}"/>
    <cellStyle name="Calculation 3 3 2 3 15" xfId="27493" xr:uid="{00000000-0005-0000-0000-0000E11D0000}"/>
    <cellStyle name="Calculation 3 3 2 3 16" xfId="27439" xr:uid="{00000000-0005-0000-0000-0000E21D0000}"/>
    <cellStyle name="Calculation 3 3 2 3 17" xfId="26699" xr:uid="{00000000-0005-0000-0000-0000E31D0000}"/>
    <cellStyle name="Calculation 3 3 2 3 18" xfId="35087" xr:uid="{00000000-0005-0000-0000-0000E41D0000}"/>
    <cellStyle name="Calculation 3 3 2 3 19" xfId="35280" xr:uid="{00000000-0005-0000-0000-0000E51D0000}"/>
    <cellStyle name="Calculation 3 3 2 3 2" xfId="937" xr:uid="{00000000-0005-0000-0000-0000E61D0000}"/>
    <cellStyle name="Calculation 3 3 2 3 2 10" xfId="23249" xr:uid="{00000000-0005-0000-0000-0000E71D0000}"/>
    <cellStyle name="Calculation 3 3 2 3 2 11" xfId="24221" xr:uid="{00000000-0005-0000-0000-0000E81D0000}"/>
    <cellStyle name="Calculation 3 3 2 3 2 12" xfId="25220" xr:uid="{00000000-0005-0000-0000-0000E91D0000}"/>
    <cellStyle name="Calculation 3 3 2 3 2 13" xfId="28165" xr:uid="{00000000-0005-0000-0000-0000EA1D0000}"/>
    <cellStyle name="Calculation 3 3 2 3 2 14" xfId="29134" xr:uid="{00000000-0005-0000-0000-0000EB1D0000}"/>
    <cellStyle name="Calculation 3 3 2 3 2 15" xfId="30173" xr:uid="{00000000-0005-0000-0000-0000EC1D0000}"/>
    <cellStyle name="Calculation 3 3 2 3 2 16" xfId="31166" xr:uid="{00000000-0005-0000-0000-0000ED1D0000}"/>
    <cellStyle name="Calculation 3 3 2 3 2 17" xfId="32175" xr:uid="{00000000-0005-0000-0000-0000EE1D0000}"/>
    <cellStyle name="Calculation 3 3 2 3 2 18" xfId="33178" xr:uid="{00000000-0005-0000-0000-0000EF1D0000}"/>
    <cellStyle name="Calculation 3 3 2 3 2 19" xfId="34177" xr:uid="{00000000-0005-0000-0000-0000F01D0000}"/>
    <cellStyle name="Calculation 3 3 2 3 2 2" xfId="938" xr:uid="{00000000-0005-0000-0000-0000F11D0000}"/>
    <cellStyle name="Calculation 3 3 2 3 2 2 10" xfId="24222" xr:uid="{00000000-0005-0000-0000-0000F21D0000}"/>
    <cellStyle name="Calculation 3 3 2 3 2 2 11" xfId="25221" xr:uid="{00000000-0005-0000-0000-0000F31D0000}"/>
    <cellStyle name="Calculation 3 3 2 3 2 2 12" xfId="28166" xr:uid="{00000000-0005-0000-0000-0000F41D0000}"/>
    <cellStyle name="Calculation 3 3 2 3 2 2 13" xfId="29135" xr:uid="{00000000-0005-0000-0000-0000F51D0000}"/>
    <cellStyle name="Calculation 3 3 2 3 2 2 14" xfId="30174" xr:uid="{00000000-0005-0000-0000-0000F61D0000}"/>
    <cellStyle name="Calculation 3 3 2 3 2 2 15" xfId="31167" xr:uid="{00000000-0005-0000-0000-0000F71D0000}"/>
    <cellStyle name="Calculation 3 3 2 3 2 2 16" xfId="32176" xr:uid="{00000000-0005-0000-0000-0000F81D0000}"/>
    <cellStyle name="Calculation 3 3 2 3 2 2 17" xfId="33179" xr:uid="{00000000-0005-0000-0000-0000F91D0000}"/>
    <cellStyle name="Calculation 3 3 2 3 2 2 18" xfId="34178" xr:uid="{00000000-0005-0000-0000-0000FA1D0000}"/>
    <cellStyle name="Calculation 3 3 2 3 2 2 19" xfId="35799" xr:uid="{00000000-0005-0000-0000-0000FB1D0000}"/>
    <cellStyle name="Calculation 3 3 2 3 2 2 2" xfId="16202" xr:uid="{00000000-0005-0000-0000-0000FC1D0000}"/>
    <cellStyle name="Calculation 3 3 2 3 2 2 20" xfId="36738" xr:uid="{00000000-0005-0000-0000-0000FD1D0000}"/>
    <cellStyle name="Calculation 3 3 2 3 2 2 3" xfId="17180" xr:uid="{00000000-0005-0000-0000-0000FE1D0000}"/>
    <cellStyle name="Calculation 3 3 2 3 2 2 4" xfId="18208" xr:uid="{00000000-0005-0000-0000-0000FF1D0000}"/>
    <cellStyle name="Calculation 3 3 2 3 2 2 5" xfId="19240" xr:uid="{00000000-0005-0000-0000-0000001E0000}"/>
    <cellStyle name="Calculation 3 3 2 3 2 2 6" xfId="20262" xr:uid="{00000000-0005-0000-0000-0000011E0000}"/>
    <cellStyle name="Calculation 3 3 2 3 2 2 7" xfId="21271" xr:uid="{00000000-0005-0000-0000-0000021E0000}"/>
    <cellStyle name="Calculation 3 3 2 3 2 2 8" xfId="22245" xr:uid="{00000000-0005-0000-0000-0000031E0000}"/>
    <cellStyle name="Calculation 3 3 2 3 2 2 9" xfId="23250" xr:uid="{00000000-0005-0000-0000-0000041E0000}"/>
    <cellStyle name="Calculation 3 3 2 3 2 20" xfId="35798" xr:uid="{00000000-0005-0000-0000-0000051E0000}"/>
    <cellStyle name="Calculation 3 3 2 3 2 21" xfId="36737" xr:uid="{00000000-0005-0000-0000-0000061E0000}"/>
    <cellStyle name="Calculation 3 3 2 3 2 3" xfId="16201" xr:uid="{00000000-0005-0000-0000-0000071E0000}"/>
    <cellStyle name="Calculation 3 3 2 3 2 4" xfId="17179" xr:uid="{00000000-0005-0000-0000-0000081E0000}"/>
    <cellStyle name="Calculation 3 3 2 3 2 5" xfId="18207" xr:uid="{00000000-0005-0000-0000-0000091E0000}"/>
    <cellStyle name="Calculation 3 3 2 3 2 6" xfId="19239" xr:uid="{00000000-0005-0000-0000-00000A1E0000}"/>
    <cellStyle name="Calculation 3 3 2 3 2 7" xfId="20261" xr:uid="{00000000-0005-0000-0000-00000B1E0000}"/>
    <cellStyle name="Calculation 3 3 2 3 2 8" xfId="21270" xr:uid="{00000000-0005-0000-0000-00000C1E0000}"/>
    <cellStyle name="Calculation 3 3 2 3 2 9" xfId="22244" xr:uid="{00000000-0005-0000-0000-00000D1E0000}"/>
    <cellStyle name="Calculation 3 3 2 3 3" xfId="939" xr:uid="{00000000-0005-0000-0000-00000E1E0000}"/>
    <cellStyle name="Calculation 3 3 2 3 3 10" xfId="23251" xr:uid="{00000000-0005-0000-0000-00000F1E0000}"/>
    <cellStyle name="Calculation 3 3 2 3 3 11" xfId="24223" xr:uid="{00000000-0005-0000-0000-0000101E0000}"/>
    <cellStyle name="Calculation 3 3 2 3 3 12" xfId="25222" xr:uid="{00000000-0005-0000-0000-0000111E0000}"/>
    <cellStyle name="Calculation 3 3 2 3 3 13" xfId="28167" xr:uid="{00000000-0005-0000-0000-0000121E0000}"/>
    <cellStyle name="Calculation 3 3 2 3 3 14" xfId="29136" xr:uid="{00000000-0005-0000-0000-0000131E0000}"/>
    <cellStyle name="Calculation 3 3 2 3 3 15" xfId="30175" xr:uid="{00000000-0005-0000-0000-0000141E0000}"/>
    <cellStyle name="Calculation 3 3 2 3 3 16" xfId="31168" xr:uid="{00000000-0005-0000-0000-0000151E0000}"/>
    <cellStyle name="Calculation 3 3 2 3 3 17" xfId="32177" xr:uid="{00000000-0005-0000-0000-0000161E0000}"/>
    <cellStyle name="Calculation 3 3 2 3 3 18" xfId="33180" xr:uid="{00000000-0005-0000-0000-0000171E0000}"/>
    <cellStyle name="Calculation 3 3 2 3 3 19" xfId="34179" xr:uid="{00000000-0005-0000-0000-0000181E0000}"/>
    <cellStyle name="Calculation 3 3 2 3 3 2" xfId="940" xr:uid="{00000000-0005-0000-0000-0000191E0000}"/>
    <cellStyle name="Calculation 3 3 2 3 3 2 10" xfId="24224" xr:uid="{00000000-0005-0000-0000-00001A1E0000}"/>
    <cellStyle name="Calculation 3 3 2 3 3 2 11" xfId="25223" xr:uid="{00000000-0005-0000-0000-00001B1E0000}"/>
    <cellStyle name="Calculation 3 3 2 3 3 2 12" xfId="28168" xr:uid="{00000000-0005-0000-0000-00001C1E0000}"/>
    <cellStyle name="Calculation 3 3 2 3 3 2 13" xfId="29137" xr:uid="{00000000-0005-0000-0000-00001D1E0000}"/>
    <cellStyle name="Calculation 3 3 2 3 3 2 14" xfId="30176" xr:uid="{00000000-0005-0000-0000-00001E1E0000}"/>
    <cellStyle name="Calculation 3 3 2 3 3 2 15" xfId="31169" xr:uid="{00000000-0005-0000-0000-00001F1E0000}"/>
    <cellStyle name="Calculation 3 3 2 3 3 2 16" xfId="32178" xr:uid="{00000000-0005-0000-0000-0000201E0000}"/>
    <cellStyle name="Calculation 3 3 2 3 3 2 17" xfId="33181" xr:uid="{00000000-0005-0000-0000-0000211E0000}"/>
    <cellStyle name="Calculation 3 3 2 3 3 2 18" xfId="34180" xr:uid="{00000000-0005-0000-0000-0000221E0000}"/>
    <cellStyle name="Calculation 3 3 2 3 3 2 19" xfId="35801" xr:uid="{00000000-0005-0000-0000-0000231E0000}"/>
    <cellStyle name="Calculation 3 3 2 3 3 2 2" xfId="16204" xr:uid="{00000000-0005-0000-0000-0000241E0000}"/>
    <cellStyle name="Calculation 3 3 2 3 3 2 20" xfId="36740" xr:uid="{00000000-0005-0000-0000-0000251E0000}"/>
    <cellStyle name="Calculation 3 3 2 3 3 2 3" xfId="17182" xr:uid="{00000000-0005-0000-0000-0000261E0000}"/>
    <cellStyle name="Calculation 3 3 2 3 3 2 4" xfId="18210" xr:uid="{00000000-0005-0000-0000-0000271E0000}"/>
    <cellStyle name="Calculation 3 3 2 3 3 2 5" xfId="19242" xr:uid="{00000000-0005-0000-0000-0000281E0000}"/>
    <cellStyle name="Calculation 3 3 2 3 3 2 6" xfId="20264" xr:uid="{00000000-0005-0000-0000-0000291E0000}"/>
    <cellStyle name="Calculation 3 3 2 3 3 2 7" xfId="21273" xr:uid="{00000000-0005-0000-0000-00002A1E0000}"/>
    <cellStyle name="Calculation 3 3 2 3 3 2 8" xfId="22247" xr:uid="{00000000-0005-0000-0000-00002B1E0000}"/>
    <cellStyle name="Calculation 3 3 2 3 3 2 9" xfId="23252" xr:uid="{00000000-0005-0000-0000-00002C1E0000}"/>
    <cellStyle name="Calculation 3 3 2 3 3 20" xfId="35800" xr:uid="{00000000-0005-0000-0000-00002D1E0000}"/>
    <cellStyle name="Calculation 3 3 2 3 3 21" xfId="36739" xr:uid="{00000000-0005-0000-0000-00002E1E0000}"/>
    <cellStyle name="Calculation 3 3 2 3 3 3" xfId="16203" xr:uid="{00000000-0005-0000-0000-00002F1E0000}"/>
    <cellStyle name="Calculation 3 3 2 3 3 4" xfId="17181" xr:uid="{00000000-0005-0000-0000-0000301E0000}"/>
    <cellStyle name="Calculation 3 3 2 3 3 5" xfId="18209" xr:uid="{00000000-0005-0000-0000-0000311E0000}"/>
    <cellStyle name="Calculation 3 3 2 3 3 6" xfId="19241" xr:uid="{00000000-0005-0000-0000-0000321E0000}"/>
    <cellStyle name="Calculation 3 3 2 3 3 7" xfId="20263" xr:uid="{00000000-0005-0000-0000-0000331E0000}"/>
    <cellStyle name="Calculation 3 3 2 3 3 8" xfId="21272" xr:uid="{00000000-0005-0000-0000-0000341E0000}"/>
    <cellStyle name="Calculation 3 3 2 3 3 9" xfId="22246" xr:uid="{00000000-0005-0000-0000-0000351E0000}"/>
    <cellStyle name="Calculation 3 3 2 3 4" xfId="941" xr:uid="{00000000-0005-0000-0000-0000361E0000}"/>
    <cellStyle name="Calculation 3 3 2 3 4 10" xfId="23253" xr:uid="{00000000-0005-0000-0000-0000371E0000}"/>
    <cellStyle name="Calculation 3 3 2 3 4 11" xfId="24225" xr:uid="{00000000-0005-0000-0000-0000381E0000}"/>
    <cellStyle name="Calculation 3 3 2 3 4 12" xfId="25224" xr:uid="{00000000-0005-0000-0000-0000391E0000}"/>
    <cellStyle name="Calculation 3 3 2 3 4 13" xfId="28169" xr:uid="{00000000-0005-0000-0000-00003A1E0000}"/>
    <cellStyle name="Calculation 3 3 2 3 4 14" xfId="29138" xr:uid="{00000000-0005-0000-0000-00003B1E0000}"/>
    <cellStyle name="Calculation 3 3 2 3 4 15" xfId="30177" xr:uid="{00000000-0005-0000-0000-00003C1E0000}"/>
    <cellStyle name="Calculation 3 3 2 3 4 16" xfId="31170" xr:uid="{00000000-0005-0000-0000-00003D1E0000}"/>
    <cellStyle name="Calculation 3 3 2 3 4 17" xfId="32179" xr:uid="{00000000-0005-0000-0000-00003E1E0000}"/>
    <cellStyle name="Calculation 3 3 2 3 4 18" xfId="33182" xr:uid="{00000000-0005-0000-0000-00003F1E0000}"/>
    <cellStyle name="Calculation 3 3 2 3 4 19" xfId="34181" xr:uid="{00000000-0005-0000-0000-0000401E0000}"/>
    <cellStyle name="Calculation 3 3 2 3 4 2" xfId="942" xr:uid="{00000000-0005-0000-0000-0000411E0000}"/>
    <cellStyle name="Calculation 3 3 2 3 4 2 10" xfId="24226" xr:uid="{00000000-0005-0000-0000-0000421E0000}"/>
    <cellStyle name="Calculation 3 3 2 3 4 2 11" xfId="25225" xr:uid="{00000000-0005-0000-0000-0000431E0000}"/>
    <cellStyle name="Calculation 3 3 2 3 4 2 12" xfId="28170" xr:uid="{00000000-0005-0000-0000-0000441E0000}"/>
    <cellStyle name="Calculation 3 3 2 3 4 2 13" xfId="29139" xr:uid="{00000000-0005-0000-0000-0000451E0000}"/>
    <cellStyle name="Calculation 3 3 2 3 4 2 14" xfId="30178" xr:uid="{00000000-0005-0000-0000-0000461E0000}"/>
    <cellStyle name="Calculation 3 3 2 3 4 2 15" xfId="31171" xr:uid="{00000000-0005-0000-0000-0000471E0000}"/>
    <cellStyle name="Calculation 3 3 2 3 4 2 16" xfId="32180" xr:uid="{00000000-0005-0000-0000-0000481E0000}"/>
    <cellStyle name="Calculation 3 3 2 3 4 2 17" xfId="33183" xr:uid="{00000000-0005-0000-0000-0000491E0000}"/>
    <cellStyle name="Calculation 3 3 2 3 4 2 18" xfId="34182" xr:uid="{00000000-0005-0000-0000-00004A1E0000}"/>
    <cellStyle name="Calculation 3 3 2 3 4 2 19" xfId="35803" xr:uid="{00000000-0005-0000-0000-00004B1E0000}"/>
    <cellStyle name="Calculation 3 3 2 3 4 2 2" xfId="16206" xr:uid="{00000000-0005-0000-0000-00004C1E0000}"/>
    <cellStyle name="Calculation 3 3 2 3 4 2 20" xfId="36742" xr:uid="{00000000-0005-0000-0000-00004D1E0000}"/>
    <cellStyle name="Calculation 3 3 2 3 4 2 3" xfId="17184" xr:uid="{00000000-0005-0000-0000-00004E1E0000}"/>
    <cellStyle name="Calculation 3 3 2 3 4 2 4" xfId="18212" xr:uid="{00000000-0005-0000-0000-00004F1E0000}"/>
    <cellStyle name="Calculation 3 3 2 3 4 2 5" xfId="19244" xr:uid="{00000000-0005-0000-0000-0000501E0000}"/>
    <cellStyle name="Calculation 3 3 2 3 4 2 6" xfId="20266" xr:uid="{00000000-0005-0000-0000-0000511E0000}"/>
    <cellStyle name="Calculation 3 3 2 3 4 2 7" xfId="21275" xr:uid="{00000000-0005-0000-0000-0000521E0000}"/>
    <cellStyle name="Calculation 3 3 2 3 4 2 8" xfId="22249" xr:uid="{00000000-0005-0000-0000-0000531E0000}"/>
    <cellStyle name="Calculation 3 3 2 3 4 2 9" xfId="23254" xr:uid="{00000000-0005-0000-0000-0000541E0000}"/>
    <cellStyle name="Calculation 3 3 2 3 4 20" xfId="35802" xr:uid="{00000000-0005-0000-0000-0000551E0000}"/>
    <cellStyle name="Calculation 3 3 2 3 4 21" xfId="36741" xr:uid="{00000000-0005-0000-0000-0000561E0000}"/>
    <cellStyle name="Calculation 3 3 2 3 4 3" xfId="16205" xr:uid="{00000000-0005-0000-0000-0000571E0000}"/>
    <cellStyle name="Calculation 3 3 2 3 4 4" xfId="17183" xr:uid="{00000000-0005-0000-0000-0000581E0000}"/>
    <cellStyle name="Calculation 3 3 2 3 4 5" xfId="18211" xr:uid="{00000000-0005-0000-0000-0000591E0000}"/>
    <cellStyle name="Calculation 3 3 2 3 4 6" xfId="19243" xr:uid="{00000000-0005-0000-0000-00005A1E0000}"/>
    <cellStyle name="Calculation 3 3 2 3 4 7" xfId="20265" xr:uid="{00000000-0005-0000-0000-00005B1E0000}"/>
    <cellStyle name="Calculation 3 3 2 3 4 8" xfId="21274" xr:uid="{00000000-0005-0000-0000-00005C1E0000}"/>
    <cellStyle name="Calculation 3 3 2 3 4 9" xfId="22248" xr:uid="{00000000-0005-0000-0000-00005D1E0000}"/>
    <cellStyle name="Calculation 3 3 2 3 5" xfId="943" xr:uid="{00000000-0005-0000-0000-00005E1E0000}"/>
    <cellStyle name="Calculation 3 3 2 3 5 10" xfId="24227" xr:uid="{00000000-0005-0000-0000-00005F1E0000}"/>
    <cellStyle name="Calculation 3 3 2 3 5 11" xfId="25226" xr:uid="{00000000-0005-0000-0000-0000601E0000}"/>
    <cellStyle name="Calculation 3 3 2 3 5 12" xfId="28171" xr:uid="{00000000-0005-0000-0000-0000611E0000}"/>
    <cellStyle name="Calculation 3 3 2 3 5 13" xfId="29140" xr:uid="{00000000-0005-0000-0000-0000621E0000}"/>
    <cellStyle name="Calculation 3 3 2 3 5 14" xfId="30179" xr:uid="{00000000-0005-0000-0000-0000631E0000}"/>
    <cellStyle name="Calculation 3 3 2 3 5 15" xfId="31172" xr:uid="{00000000-0005-0000-0000-0000641E0000}"/>
    <cellStyle name="Calculation 3 3 2 3 5 16" xfId="32181" xr:uid="{00000000-0005-0000-0000-0000651E0000}"/>
    <cellStyle name="Calculation 3 3 2 3 5 17" xfId="33184" xr:uid="{00000000-0005-0000-0000-0000661E0000}"/>
    <cellStyle name="Calculation 3 3 2 3 5 18" xfId="34183" xr:uid="{00000000-0005-0000-0000-0000671E0000}"/>
    <cellStyle name="Calculation 3 3 2 3 5 19" xfId="35804" xr:uid="{00000000-0005-0000-0000-0000681E0000}"/>
    <cellStyle name="Calculation 3 3 2 3 5 2" xfId="16207" xr:uid="{00000000-0005-0000-0000-0000691E0000}"/>
    <cellStyle name="Calculation 3 3 2 3 5 20" xfId="36743" xr:uid="{00000000-0005-0000-0000-00006A1E0000}"/>
    <cellStyle name="Calculation 3 3 2 3 5 3" xfId="17185" xr:uid="{00000000-0005-0000-0000-00006B1E0000}"/>
    <cellStyle name="Calculation 3 3 2 3 5 4" xfId="18213" xr:uid="{00000000-0005-0000-0000-00006C1E0000}"/>
    <cellStyle name="Calculation 3 3 2 3 5 5" xfId="19245" xr:uid="{00000000-0005-0000-0000-00006D1E0000}"/>
    <cellStyle name="Calculation 3 3 2 3 5 6" xfId="20267" xr:uid="{00000000-0005-0000-0000-00006E1E0000}"/>
    <cellStyle name="Calculation 3 3 2 3 5 7" xfId="21276" xr:uid="{00000000-0005-0000-0000-00006F1E0000}"/>
    <cellStyle name="Calculation 3 3 2 3 5 8" xfId="22250" xr:uid="{00000000-0005-0000-0000-0000701E0000}"/>
    <cellStyle name="Calculation 3 3 2 3 5 9" xfId="23255" xr:uid="{00000000-0005-0000-0000-0000711E0000}"/>
    <cellStyle name="Calculation 3 3 2 3 6" xfId="15415" xr:uid="{00000000-0005-0000-0000-0000721E0000}"/>
    <cellStyle name="Calculation 3 3 2 3 7" xfId="14558" xr:uid="{00000000-0005-0000-0000-0000731E0000}"/>
    <cellStyle name="Calculation 3 3 2 3 8" xfId="14106" xr:uid="{00000000-0005-0000-0000-0000741E0000}"/>
    <cellStyle name="Calculation 3 3 2 3 9" xfId="14129" xr:uid="{00000000-0005-0000-0000-0000751E0000}"/>
    <cellStyle name="Calculation 3 3 2 4" xfId="944" xr:uid="{00000000-0005-0000-0000-0000761E0000}"/>
    <cellStyle name="Calculation 3 3 2 4 10" xfId="14215" xr:uid="{00000000-0005-0000-0000-0000771E0000}"/>
    <cellStyle name="Calculation 3 3 2 4 11" xfId="13811" xr:uid="{00000000-0005-0000-0000-0000781E0000}"/>
    <cellStyle name="Calculation 3 3 2 4 12" xfId="26414" xr:uid="{00000000-0005-0000-0000-0000791E0000}"/>
    <cellStyle name="Calculation 3 3 2 4 13" xfId="27111" xr:uid="{00000000-0005-0000-0000-00007A1E0000}"/>
    <cellStyle name="Calculation 3 3 2 4 14" xfId="25947" xr:uid="{00000000-0005-0000-0000-00007B1E0000}"/>
    <cellStyle name="Calculation 3 3 2 4 15" xfId="26743" xr:uid="{00000000-0005-0000-0000-00007C1E0000}"/>
    <cellStyle name="Calculation 3 3 2 4 16" xfId="26958" xr:uid="{00000000-0005-0000-0000-00007D1E0000}"/>
    <cellStyle name="Calculation 3 3 2 4 17" xfId="27609" xr:uid="{00000000-0005-0000-0000-00007E1E0000}"/>
    <cellStyle name="Calculation 3 3 2 4 18" xfId="35104" xr:uid="{00000000-0005-0000-0000-00007F1E0000}"/>
    <cellStyle name="Calculation 3 3 2 4 19" xfId="35267" xr:uid="{00000000-0005-0000-0000-0000801E0000}"/>
    <cellStyle name="Calculation 3 3 2 4 2" xfId="945" xr:uid="{00000000-0005-0000-0000-0000811E0000}"/>
    <cellStyle name="Calculation 3 3 2 4 2 10" xfId="23256" xr:uid="{00000000-0005-0000-0000-0000821E0000}"/>
    <cellStyle name="Calculation 3 3 2 4 2 11" xfId="24228" xr:uid="{00000000-0005-0000-0000-0000831E0000}"/>
    <cellStyle name="Calculation 3 3 2 4 2 12" xfId="25227" xr:uid="{00000000-0005-0000-0000-0000841E0000}"/>
    <cellStyle name="Calculation 3 3 2 4 2 13" xfId="28172" xr:uid="{00000000-0005-0000-0000-0000851E0000}"/>
    <cellStyle name="Calculation 3 3 2 4 2 14" xfId="29141" xr:uid="{00000000-0005-0000-0000-0000861E0000}"/>
    <cellStyle name="Calculation 3 3 2 4 2 15" xfId="30180" xr:uid="{00000000-0005-0000-0000-0000871E0000}"/>
    <cellStyle name="Calculation 3 3 2 4 2 16" xfId="31173" xr:uid="{00000000-0005-0000-0000-0000881E0000}"/>
    <cellStyle name="Calculation 3 3 2 4 2 17" xfId="32182" xr:uid="{00000000-0005-0000-0000-0000891E0000}"/>
    <cellStyle name="Calculation 3 3 2 4 2 18" xfId="33185" xr:uid="{00000000-0005-0000-0000-00008A1E0000}"/>
    <cellStyle name="Calculation 3 3 2 4 2 19" xfId="34184" xr:uid="{00000000-0005-0000-0000-00008B1E0000}"/>
    <cellStyle name="Calculation 3 3 2 4 2 2" xfId="946" xr:uid="{00000000-0005-0000-0000-00008C1E0000}"/>
    <cellStyle name="Calculation 3 3 2 4 2 2 10" xfId="24229" xr:uid="{00000000-0005-0000-0000-00008D1E0000}"/>
    <cellStyle name="Calculation 3 3 2 4 2 2 11" xfId="25228" xr:uid="{00000000-0005-0000-0000-00008E1E0000}"/>
    <cellStyle name="Calculation 3 3 2 4 2 2 12" xfId="28173" xr:uid="{00000000-0005-0000-0000-00008F1E0000}"/>
    <cellStyle name="Calculation 3 3 2 4 2 2 13" xfId="29142" xr:uid="{00000000-0005-0000-0000-0000901E0000}"/>
    <cellStyle name="Calculation 3 3 2 4 2 2 14" xfId="30181" xr:uid="{00000000-0005-0000-0000-0000911E0000}"/>
    <cellStyle name="Calculation 3 3 2 4 2 2 15" xfId="31174" xr:uid="{00000000-0005-0000-0000-0000921E0000}"/>
    <cellStyle name="Calculation 3 3 2 4 2 2 16" xfId="32183" xr:uid="{00000000-0005-0000-0000-0000931E0000}"/>
    <cellStyle name="Calculation 3 3 2 4 2 2 17" xfId="33186" xr:uid="{00000000-0005-0000-0000-0000941E0000}"/>
    <cellStyle name="Calculation 3 3 2 4 2 2 18" xfId="34185" xr:uid="{00000000-0005-0000-0000-0000951E0000}"/>
    <cellStyle name="Calculation 3 3 2 4 2 2 19" xfId="35806" xr:uid="{00000000-0005-0000-0000-0000961E0000}"/>
    <cellStyle name="Calculation 3 3 2 4 2 2 2" xfId="16209" xr:uid="{00000000-0005-0000-0000-0000971E0000}"/>
    <cellStyle name="Calculation 3 3 2 4 2 2 20" xfId="36745" xr:uid="{00000000-0005-0000-0000-0000981E0000}"/>
    <cellStyle name="Calculation 3 3 2 4 2 2 3" xfId="17187" xr:uid="{00000000-0005-0000-0000-0000991E0000}"/>
    <cellStyle name="Calculation 3 3 2 4 2 2 4" xfId="18215" xr:uid="{00000000-0005-0000-0000-00009A1E0000}"/>
    <cellStyle name="Calculation 3 3 2 4 2 2 5" xfId="19247" xr:uid="{00000000-0005-0000-0000-00009B1E0000}"/>
    <cellStyle name="Calculation 3 3 2 4 2 2 6" xfId="20269" xr:uid="{00000000-0005-0000-0000-00009C1E0000}"/>
    <cellStyle name="Calculation 3 3 2 4 2 2 7" xfId="21278" xr:uid="{00000000-0005-0000-0000-00009D1E0000}"/>
    <cellStyle name="Calculation 3 3 2 4 2 2 8" xfId="22252" xr:uid="{00000000-0005-0000-0000-00009E1E0000}"/>
    <cellStyle name="Calculation 3 3 2 4 2 2 9" xfId="23257" xr:uid="{00000000-0005-0000-0000-00009F1E0000}"/>
    <cellStyle name="Calculation 3 3 2 4 2 20" xfId="35805" xr:uid="{00000000-0005-0000-0000-0000A01E0000}"/>
    <cellStyle name="Calculation 3 3 2 4 2 21" xfId="36744" xr:uid="{00000000-0005-0000-0000-0000A11E0000}"/>
    <cellStyle name="Calculation 3 3 2 4 2 3" xfId="16208" xr:uid="{00000000-0005-0000-0000-0000A21E0000}"/>
    <cellStyle name="Calculation 3 3 2 4 2 4" xfId="17186" xr:uid="{00000000-0005-0000-0000-0000A31E0000}"/>
    <cellStyle name="Calculation 3 3 2 4 2 5" xfId="18214" xr:uid="{00000000-0005-0000-0000-0000A41E0000}"/>
    <cellStyle name="Calculation 3 3 2 4 2 6" xfId="19246" xr:uid="{00000000-0005-0000-0000-0000A51E0000}"/>
    <cellStyle name="Calculation 3 3 2 4 2 7" xfId="20268" xr:uid="{00000000-0005-0000-0000-0000A61E0000}"/>
    <cellStyle name="Calculation 3 3 2 4 2 8" xfId="21277" xr:uid="{00000000-0005-0000-0000-0000A71E0000}"/>
    <cellStyle name="Calculation 3 3 2 4 2 9" xfId="22251" xr:uid="{00000000-0005-0000-0000-0000A81E0000}"/>
    <cellStyle name="Calculation 3 3 2 4 3" xfId="947" xr:uid="{00000000-0005-0000-0000-0000A91E0000}"/>
    <cellStyle name="Calculation 3 3 2 4 3 10" xfId="23258" xr:uid="{00000000-0005-0000-0000-0000AA1E0000}"/>
    <cellStyle name="Calculation 3 3 2 4 3 11" xfId="24230" xr:uid="{00000000-0005-0000-0000-0000AB1E0000}"/>
    <cellStyle name="Calculation 3 3 2 4 3 12" xfId="25229" xr:uid="{00000000-0005-0000-0000-0000AC1E0000}"/>
    <cellStyle name="Calculation 3 3 2 4 3 13" xfId="28174" xr:uid="{00000000-0005-0000-0000-0000AD1E0000}"/>
    <cellStyle name="Calculation 3 3 2 4 3 14" xfId="29143" xr:uid="{00000000-0005-0000-0000-0000AE1E0000}"/>
    <cellStyle name="Calculation 3 3 2 4 3 15" xfId="30182" xr:uid="{00000000-0005-0000-0000-0000AF1E0000}"/>
    <cellStyle name="Calculation 3 3 2 4 3 16" xfId="31175" xr:uid="{00000000-0005-0000-0000-0000B01E0000}"/>
    <cellStyle name="Calculation 3 3 2 4 3 17" xfId="32184" xr:uid="{00000000-0005-0000-0000-0000B11E0000}"/>
    <cellStyle name="Calculation 3 3 2 4 3 18" xfId="33187" xr:uid="{00000000-0005-0000-0000-0000B21E0000}"/>
    <cellStyle name="Calculation 3 3 2 4 3 19" xfId="34186" xr:uid="{00000000-0005-0000-0000-0000B31E0000}"/>
    <cellStyle name="Calculation 3 3 2 4 3 2" xfId="948" xr:uid="{00000000-0005-0000-0000-0000B41E0000}"/>
    <cellStyle name="Calculation 3 3 2 4 3 2 10" xfId="24231" xr:uid="{00000000-0005-0000-0000-0000B51E0000}"/>
    <cellStyle name="Calculation 3 3 2 4 3 2 11" xfId="25230" xr:uid="{00000000-0005-0000-0000-0000B61E0000}"/>
    <cellStyle name="Calculation 3 3 2 4 3 2 12" xfId="28175" xr:uid="{00000000-0005-0000-0000-0000B71E0000}"/>
    <cellStyle name="Calculation 3 3 2 4 3 2 13" xfId="29144" xr:uid="{00000000-0005-0000-0000-0000B81E0000}"/>
    <cellStyle name="Calculation 3 3 2 4 3 2 14" xfId="30183" xr:uid="{00000000-0005-0000-0000-0000B91E0000}"/>
    <cellStyle name="Calculation 3 3 2 4 3 2 15" xfId="31176" xr:uid="{00000000-0005-0000-0000-0000BA1E0000}"/>
    <cellStyle name="Calculation 3 3 2 4 3 2 16" xfId="32185" xr:uid="{00000000-0005-0000-0000-0000BB1E0000}"/>
    <cellStyle name="Calculation 3 3 2 4 3 2 17" xfId="33188" xr:uid="{00000000-0005-0000-0000-0000BC1E0000}"/>
    <cellStyle name="Calculation 3 3 2 4 3 2 18" xfId="34187" xr:uid="{00000000-0005-0000-0000-0000BD1E0000}"/>
    <cellStyle name="Calculation 3 3 2 4 3 2 19" xfId="35808" xr:uid="{00000000-0005-0000-0000-0000BE1E0000}"/>
    <cellStyle name="Calculation 3 3 2 4 3 2 2" xfId="16211" xr:uid="{00000000-0005-0000-0000-0000BF1E0000}"/>
    <cellStyle name="Calculation 3 3 2 4 3 2 20" xfId="36747" xr:uid="{00000000-0005-0000-0000-0000C01E0000}"/>
    <cellStyle name="Calculation 3 3 2 4 3 2 3" xfId="17189" xr:uid="{00000000-0005-0000-0000-0000C11E0000}"/>
    <cellStyle name="Calculation 3 3 2 4 3 2 4" xfId="18217" xr:uid="{00000000-0005-0000-0000-0000C21E0000}"/>
    <cellStyle name="Calculation 3 3 2 4 3 2 5" xfId="19249" xr:uid="{00000000-0005-0000-0000-0000C31E0000}"/>
    <cellStyle name="Calculation 3 3 2 4 3 2 6" xfId="20271" xr:uid="{00000000-0005-0000-0000-0000C41E0000}"/>
    <cellStyle name="Calculation 3 3 2 4 3 2 7" xfId="21280" xr:uid="{00000000-0005-0000-0000-0000C51E0000}"/>
    <cellStyle name="Calculation 3 3 2 4 3 2 8" xfId="22254" xr:uid="{00000000-0005-0000-0000-0000C61E0000}"/>
    <cellStyle name="Calculation 3 3 2 4 3 2 9" xfId="23259" xr:uid="{00000000-0005-0000-0000-0000C71E0000}"/>
    <cellStyle name="Calculation 3 3 2 4 3 20" xfId="35807" xr:uid="{00000000-0005-0000-0000-0000C81E0000}"/>
    <cellStyle name="Calculation 3 3 2 4 3 21" xfId="36746" xr:uid="{00000000-0005-0000-0000-0000C91E0000}"/>
    <cellStyle name="Calculation 3 3 2 4 3 3" xfId="16210" xr:uid="{00000000-0005-0000-0000-0000CA1E0000}"/>
    <cellStyle name="Calculation 3 3 2 4 3 4" xfId="17188" xr:uid="{00000000-0005-0000-0000-0000CB1E0000}"/>
    <cellStyle name="Calculation 3 3 2 4 3 5" xfId="18216" xr:uid="{00000000-0005-0000-0000-0000CC1E0000}"/>
    <cellStyle name="Calculation 3 3 2 4 3 6" xfId="19248" xr:uid="{00000000-0005-0000-0000-0000CD1E0000}"/>
    <cellStyle name="Calculation 3 3 2 4 3 7" xfId="20270" xr:uid="{00000000-0005-0000-0000-0000CE1E0000}"/>
    <cellStyle name="Calculation 3 3 2 4 3 8" xfId="21279" xr:uid="{00000000-0005-0000-0000-0000CF1E0000}"/>
    <cellStyle name="Calculation 3 3 2 4 3 9" xfId="22253" xr:uid="{00000000-0005-0000-0000-0000D01E0000}"/>
    <cellStyle name="Calculation 3 3 2 4 4" xfId="949" xr:uid="{00000000-0005-0000-0000-0000D11E0000}"/>
    <cellStyle name="Calculation 3 3 2 4 4 10" xfId="23260" xr:uid="{00000000-0005-0000-0000-0000D21E0000}"/>
    <cellStyle name="Calculation 3 3 2 4 4 11" xfId="24232" xr:uid="{00000000-0005-0000-0000-0000D31E0000}"/>
    <cellStyle name="Calculation 3 3 2 4 4 12" xfId="25231" xr:uid="{00000000-0005-0000-0000-0000D41E0000}"/>
    <cellStyle name="Calculation 3 3 2 4 4 13" xfId="28176" xr:uid="{00000000-0005-0000-0000-0000D51E0000}"/>
    <cellStyle name="Calculation 3 3 2 4 4 14" xfId="29145" xr:uid="{00000000-0005-0000-0000-0000D61E0000}"/>
    <cellStyle name="Calculation 3 3 2 4 4 15" xfId="30184" xr:uid="{00000000-0005-0000-0000-0000D71E0000}"/>
    <cellStyle name="Calculation 3 3 2 4 4 16" xfId="31177" xr:uid="{00000000-0005-0000-0000-0000D81E0000}"/>
    <cellStyle name="Calculation 3 3 2 4 4 17" xfId="32186" xr:uid="{00000000-0005-0000-0000-0000D91E0000}"/>
    <cellStyle name="Calculation 3 3 2 4 4 18" xfId="33189" xr:uid="{00000000-0005-0000-0000-0000DA1E0000}"/>
    <cellStyle name="Calculation 3 3 2 4 4 19" xfId="34188" xr:uid="{00000000-0005-0000-0000-0000DB1E0000}"/>
    <cellStyle name="Calculation 3 3 2 4 4 2" xfId="950" xr:uid="{00000000-0005-0000-0000-0000DC1E0000}"/>
    <cellStyle name="Calculation 3 3 2 4 4 2 10" xfId="24233" xr:uid="{00000000-0005-0000-0000-0000DD1E0000}"/>
    <cellStyle name="Calculation 3 3 2 4 4 2 11" xfId="25232" xr:uid="{00000000-0005-0000-0000-0000DE1E0000}"/>
    <cellStyle name="Calculation 3 3 2 4 4 2 12" xfId="28177" xr:uid="{00000000-0005-0000-0000-0000DF1E0000}"/>
    <cellStyle name="Calculation 3 3 2 4 4 2 13" xfId="29146" xr:uid="{00000000-0005-0000-0000-0000E01E0000}"/>
    <cellStyle name="Calculation 3 3 2 4 4 2 14" xfId="30185" xr:uid="{00000000-0005-0000-0000-0000E11E0000}"/>
    <cellStyle name="Calculation 3 3 2 4 4 2 15" xfId="31178" xr:uid="{00000000-0005-0000-0000-0000E21E0000}"/>
    <cellStyle name="Calculation 3 3 2 4 4 2 16" xfId="32187" xr:uid="{00000000-0005-0000-0000-0000E31E0000}"/>
    <cellStyle name="Calculation 3 3 2 4 4 2 17" xfId="33190" xr:uid="{00000000-0005-0000-0000-0000E41E0000}"/>
    <cellStyle name="Calculation 3 3 2 4 4 2 18" xfId="34189" xr:uid="{00000000-0005-0000-0000-0000E51E0000}"/>
    <cellStyle name="Calculation 3 3 2 4 4 2 19" xfId="35810" xr:uid="{00000000-0005-0000-0000-0000E61E0000}"/>
    <cellStyle name="Calculation 3 3 2 4 4 2 2" xfId="16213" xr:uid="{00000000-0005-0000-0000-0000E71E0000}"/>
    <cellStyle name="Calculation 3 3 2 4 4 2 20" xfId="36749" xr:uid="{00000000-0005-0000-0000-0000E81E0000}"/>
    <cellStyle name="Calculation 3 3 2 4 4 2 3" xfId="17191" xr:uid="{00000000-0005-0000-0000-0000E91E0000}"/>
    <cellStyle name="Calculation 3 3 2 4 4 2 4" xfId="18219" xr:uid="{00000000-0005-0000-0000-0000EA1E0000}"/>
    <cellStyle name="Calculation 3 3 2 4 4 2 5" xfId="19251" xr:uid="{00000000-0005-0000-0000-0000EB1E0000}"/>
    <cellStyle name="Calculation 3 3 2 4 4 2 6" xfId="20273" xr:uid="{00000000-0005-0000-0000-0000EC1E0000}"/>
    <cellStyle name="Calculation 3 3 2 4 4 2 7" xfId="21282" xr:uid="{00000000-0005-0000-0000-0000ED1E0000}"/>
    <cellStyle name="Calculation 3 3 2 4 4 2 8" xfId="22256" xr:uid="{00000000-0005-0000-0000-0000EE1E0000}"/>
    <cellStyle name="Calculation 3 3 2 4 4 2 9" xfId="23261" xr:uid="{00000000-0005-0000-0000-0000EF1E0000}"/>
    <cellStyle name="Calculation 3 3 2 4 4 20" xfId="35809" xr:uid="{00000000-0005-0000-0000-0000F01E0000}"/>
    <cellStyle name="Calculation 3 3 2 4 4 21" xfId="36748" xr:uid="{00000000-0005-0000-0000-0000F11E0000}"/>
    <cellStyle name="Calculation 3 3 2 4 4 3" xfId="16212" xr:uid="{00000000-0005-0000-0000-0000F21E0000}"/>
    <cellStyle name="Calculation 3 3 2 4 4 4" xfId="17190" xr:uid="{00000000-0005-0000-0000-0000F31E0000}"/>
    <cellStyle name="Calculation 3 3 2 4 4 5" xfId="18218" xr:uid="{00000000-0005-0000-0000-0000F41E0000}"/>
    <cellStyle name="Calculation 3 3 2 4 4 6" xfId="19250" xr:uid="{00000000-0005-0000-0000-0000F51E0000}"/>
    <cellStyle name="Calculation 3 3 2 4 4 7" xfId="20272" xr:uid="{00000000-0005-0000-0000-0000F61E0000}"/>
    <cellStyle name="Calculation 3 3 2 4 4 8" xfId="21281" xr:uid="{00000000-0005-0000-0000-0000F71E0000}"/>
    <cellStyle name="Calculation 3 3 2 4 4 9" xfId="22255" xr:uid="{00000000-0005-0000-0000-0000F81E0000}"/>
    <cellStyle name="Calculation 3 3 2 4 5" xfId="951" xr:uid="{00000000-0005-0000-0000-0000F91E0000}"/>
    <cellStyle name="Calculation 3 3 2 4 5 10" xfId="24234" xr:uid="{00000000-0005-0000-0000-0000FA1E0000}"/>
    <cellStyle name="Calculation 3 3 2 4 5 11" xfId="25233" xr:uid="{00000000-0005-0000-0000-0000FB1E0000}"/>
    <cellStyle name="Calculation 3 3 2 4 5 12" xfId="28178" xr:uid="{00000000-0005-0000-0000-0000FC1E0000}"/>
    <cellStyle name="Calculation 3 3 2 4 5 13" xfId="29147" xr:uid="{00000000-0005-0000-0000-0000FD1E0000}"/>
    <cellStyle name="Calculation 3 3 2 4 5 14" xfId="30186" xr:uid="{00000000-0005-0000-0000-0000FE1E0000}"/>
    <cellStyle name="Calculation 3 3 2 4 5 15" xfId="31179" xr:uid="{00000000-0005-0000-0000-0000FF1E0000}"/>
    <cellStyle name="Calculation 3 3 2 4 5 16" xfId="32188" xr:uid="{00000000-0005-0000-0000-0000001F0000}"/>
    <cellStyle name="Calculation 3 3 2 4 5 17" xfId="33191" xr:uid="{00000000-0005-0000-0000-0000011F0000}"/>
    <cellStyle name="Calculation 3 3 2 4 5 18" xfId="34190" xr:uid="{00000000-0005-0000-0000-0000021F0000}"/>
    <cellStyle name="Calculation 3 3 2 4 5 19" xfId="35811" xr:uid="{00000000-0005-0000-0000-0000031F0000}"/>
    <cellStyle name="Calculation 3 3 2 4 5 2" xfId="16214" xr:uid="{00000000-0005-0000-0000-0000041F0000}"/>
    <cellStyle name="Calculation 3 3 2 4 5 20" xfId="36750" xr:uid="{00000000-0005-0000-0000-0000051F0000}"/>
    <cellStyle name="Calculation 3 3 2 4 5 3" xfId="17192" xr:uid="{00000000-0005-0000-0000-0000061F0000}"/>
    <cellStyle name="Calculation 3 3 2 4 5 4" xfId="18220" xr:uid="{00000000-0005-0000-0000-0000071F0000}"/>
    <cellStyle name="Calculation 3 3 2 4 5 5" xfId="19252" xr:uid="{00000000-0005-0000-0000-0000081F0000}"/>
    <cellStyle name="Calculation 3 3 2 4 5 6" xfId="20274" xr:uid="{00000000-0005-0000-0000-0000091F0000}"/>
    <cellStyle name="Calculation 3 3 2 4 5 7" xfId="21283" xr:uid="{00000000-0005-0000-0000-00000A1F0000}"/>
    <cellStyle name="Calculation 3 3 2 4 5 8" xfId="22257" xr:uid="{00000000-0005-0000-0000-00000B1F0000}"/>
    <cellStyle name="Calculation 3 3 2 4 5 9" xfId="23262" xr:uid="{00000000-0005-0000-0000-00000C1F0000}"/>
    <cellStyle name="Calculation 3 3 2 4 6" xfId="15209" xr:uid="{00000000-0005-0000-0000-00000D1F0000}"/>
    <cellStyle name="Calculation 3 3 2 4 7" xfId="15820" xr:uid="{00000000-0005-0000-0000-00000E1F0000}"/>
    <cellStyle name="Calculation 3 3 2 4 8" xfId="13938" xr:uid="{00000000-0005-0000-0000-00000F1F0000}"/>
    <cellStyle name="Calculation 3 3 2 4 9" xfId="14145" xr:uid="{00000000-0005-0000-0000-0000101F0000}"/>
    <cellStyle name="Calculation 3 3 2 5" xfId="952" xr:uid="{00000000-0005-0000-0000-0000111F0000}"/>
    <cellStyle name="Calculation 3 3 2 5 10" xfId="14021" xr:uid="{00000000-0005-0000-0000-0000121F0000}"/>
    <cellStyle name="Calculation 3 3 2 5 11" xfId="15256" xr:uid="{00000000-0005-0000-0000-0000131F0000}"/>
    <cellStyle name="Calculation 3 3 2 5 12" xfId="26375" xr:uid="{00000000-0005-0000-0000-0000141F0000}"/>
    <cellStyle name="Calculation 3 3 2 5 13" xfId="27141" xr:uid="{00000000-0005-0000-0000-0000151F0000}"/>
    <cellStyle name="Calculation 3 3 2 5 14" xfId="27529" xr:uid="{00000000-0005-0000-0000-0000161F0000}"/>
    <cellStyle name="Calculation 3 3 2 5 15" xfId="26729" xr:uid="{00000000-0005-0000-0000-0000171F0000}"/>
    <cellStyle name="Calculation 3 3 2 5 16" xfId="26686" xr:uid="{00000000-0005-0000-0000-0000181F0000}"/>
    <cellStyle name="Calculation 3 3 2 5 17" xfId="26801" xr:uid="{00000000-0005-0000-0000-0000191F0000}"/>
    <cellStyle name="Calculation 3 3 2 5 18" xfId="35067" xr:uid="{00000000-0005-0000-0000-00001A1F0000}"/>
    <cellStyle name="Calculation 3 3 2 5 19" xfId="34901" xr:uid="{00000000-0005-0000-0000-00001B1F0000}"/>
    <cellStyle name="Calculation 3 3 2 5 2" xfId="953" xr:uid="{00000000-0005-0000-0000-00001C1F0000}"/>
    <cellStyle name="Calculation 3 3 2 5 2 10" xfId="23263" xr:uid="{00000000-0005-0000-0000-00001D1F0000}"/>
    <cellStyle name="Calculation 3 3 2 5 2 11" xfId="24235" xr:uid="{00000000-0005-0000-0000-00001E1F0000}"/>
    <cellStyle name="Calculation 3 3 2 5 2 12" xfId="25234" xr:uid="{00000000-0005-0000-0000-00001F1F0000}"/>
    <cellStyle name="Calculation 3 3 2 5 2 13" xfId="28179" xr:uid="{00000000-0005-0000-0000-0000201F0000}"/>
    <cellStyle name="Calculation 3 3 2 5 2 14" xfId="29148" xr:uid="{00000000-0005-0000-0000-0000211F0000}"/>
    <cellStyle name="Calculation 3 3 2 5 2 15" xfId="30187" xr:uid="{00000000-0005-0000-0000-0000221F0000}"/>
    <cellStyle name="Calculation 3 3 2 5 2 16" xfId="31180" xr:uid="{00000000-0005-0000-0000-0000231F0000}"/>
    <cellStyle name="Calculation 3 3 2 5 2 17" xfId="32189" xr:uid="{00000000-0005-0000-0000-0000241F0000}"/>
    <cellStyle name="Calculation 3 3 2 5 2 18" xfId="33192" xr:uid="{00000000-0005-0000-0000-0000251F0000}"/>
    <cellStyle name="Calculation 3 3 2 5 2 19" xfId="34191" xr:uid="{00000000-0005-0000-0000-0000261F0000}"/>
    <cellStyle name="Calculation 3 3 2 5 2 2" xfId="954" xr:uid="{00000000-0005-0000-0000-0000271F0000}"/>
    <cellStyle name="Calculation 3 3 2 5 2 2 10" xfId="24236" xr:uid="{00000000-0005-0000-0000-0000281F0000}"/>
    <cellStyle name="Calculation 3 3 2 5 2 2 11" xfId="25235" xr:uid="{00000000-0005-0000-0000-0000291F0000}"/>
    <cellStyle name="Calculation 3 3 2 5 2 2 12" xfId="28180" xr:uid="{00000000-0005-0000-0000-00002A1F0000}"/>
    <cellStyle name="Calculation 3 3 2 5 2 2 13" xfId="29149" xr:uid="{00000000-0005-0000-0000-00002B1F0000}"/>
    <cellStyle name="Calculation 3 3 2 5 2 2 14" xfId="30188" xr:uid="{00000000-0005-0000-0000-00002C1F0000}"/>
    <cellStyle name="Calculation 3 3 2 5 2 2 15" xfId="31181" xr:uid="{00000000-0005-0000-0000-00002D1F0000}"/>
    <cellStyle name="Calculation 3 3 2 5 2 2 16" xfId="32190" xr:uid="{00000000-0005-0000-0000-00002E1F0000}"/>
    <cellStyle name="Calculation 3 3 2 5 2 2 17" xfId="33193" xr:uid="{00000000-0005-0000-0000-00002F1F0000}"/>
    <cellStyle name="Calculation 3 3 2 5 2 2 18" xfId="34192" xr:uid="{00000000-0005-0000-0000-0000301F0000}"/>
    <cellStyle name="Calculation 3 3 2 5 2 2 19" xfId="35813" xr:uid="{00000000-0005-0000-0000-0000311F0000}"/>
    <cellStyle name="Calculation 3 3 2 5 2 2 2" xfId="16216" xr:uid="{00000000-0005-0000-0000-0000321F0000}"/>
    <cellStyle name="Calculation 3 3 2 5 2 2 20" xfId="36752" xr:uid="{00000000-0005-0000-0000-0000331F0000}"/>
    <cellStyle name="Calculation 3 3 2 5 2 2 3" xfId="17194" xr:uid="{00000000-0005-0000-0000-0000341F0000}"/>
    <cellStyle name="Calculation 3 3 2 5 2 2 4" xfId="18222" xr:uid="{00000000-0005-0000-0000-0000351F0000}"/>
    <cellStyle name="Calculation 3 3 2 5 2 2 5" xfId="19254" xr:uid="{00000000-0005-0000-0000-0000361F0000}"/>
    <cellStyle name="Calculation 3 3 2 5 2 2 6" xfId="20276" xr:uid="{00000000-0005-0000-0000-0000371F0000}"/>
    <cellStyle name="Calculation 3 3 2 5 2 2 7" xfId="21285" xr:uid="{00000000-0005-0000-0000-0000381F0000}"/>
    <cellStyle name="Calculation 3 3 2 5 2 2 8" xfId="22259" xr:uid="{00000000-0005-0000-0000-0000391F0000}"/>
    <cellStyle name="Calculation 3 3 2 5 2 2 9" xfId="23264" xr:uid="{00000000-0005-0000-0000-00003A1F0000}"/>
    <cellStyle name="Calculation 3 3 2 5 2 20" xfId="35812" xr:uid="{00000000-0005-0000-0000-00003B1F0000}"/>
    <cellStyle name="Calculation 3 3 2 5 2 21" xfId="36751" xr:uid="{00000000-0005-0000-0000-00003C1F0000}"/>
    <cellStyle name="Calculation 3 3 2 5 2 3" xfId="16215" xr:uid="{00000000-0005-0000-0000-00003D1F0000}"/>
    <cellStyle name="Calculation 3 3 2 5 2 4" xfId="17193" xr:uid="{00000000-0005-0000-0000-00003E1F0000}"/>
    <cellStyle name="Calculation 3 3 2 5 2 5" xfId="18221" xr:uid="{00000000-0005-0000-0000-00003F1F0000}"/>
    <cellStyle name="Calculation 3 3 2 5 2 6" xfId="19253" xr:uid="{00000000-0005-0000-0000-0000401F0000}"/>
    <cellStyle name="Calculation 3 3 2 5 2 7" xfId="20275" xr:uid="{00000000-0005-0000-0000-0000411F0000}"/>
    <cellStyle name="Calculation 3 3 2 5 2 8" xfId="21284" xr:uid="{00000000-0005-0000-0000-0000421F0000}"/>
    <cellStyle name="Calculation 3 3 2 5 2 9" xfId="22258" xr:uid="{00000000-0005-0000-0000-0000431F0000}"/>
    <cellStyle name="Calculation 3 3 2 5 3" xfId="955" xr:uid="{00000000-0005-0000-0000-0000441F0000}"/>
    <cellStyle name="Calculation 3 3 2 5 3 10" xfId="23265" xr:uid="{00000000-0005-0000-0000-0000451F0000}"/>
    <cellStyle name="Calculation 3 3 2 5 3 11" xfId="24237" xr:uid="{00000000-0005-0000-0000-0000461F0000}"/>
    <cellStyle name="Calculation 3 3 2 5 3 12" xfId="25236" xr:uid="{00000000-0005-0000-0000-0000471F0000}"/>
    <cellStyle name="Calculation 3 3 2 5 3 13" xfId="28181" xr:uid="{00000000-0005-0000-0000-0000481F0000}"/>
    <cellStyle name="Calculation 3 3 2 5 3 14" xfId="29150" xr:uid="{00000000-0005-0000-0000-0000491F0000}"/>
    <cellStyle name="Calculation 3 3 2 5 3 15" xfId="30189" xr:uid="{00000000-0005-0000-0000-00004A1F0000}"/>
    <cellStyle name="Calculation 3 3 2 5 3 16" xfId="31182" xr:uid="{00000000-0005-0000-0000-00004B1F0000}"/>
    <cellStyle name="Calculation 3 3 2 5 3 17" xfId="32191" xr:uid="{00000000-0005-0000-0000-00004C1F0000}"/>
    <cellStyle name="Calculation 3 3 2 5 3 18" xfId="33194" xr:uid="{00000000-0005-0000-0000-00004D1F0000}"/>
    <cellStyle name="Calculation 3 3 2 5 3 19" xfId="34193" xr:uid="{00000000-0005-0000-0000-00004E1F0000}"/>
    <cellStyle name="Calculation 3 3 2 5 3 2" xfId="956" xr:uid="{00000000-0005-0000-0000-00004F1F0000}"/>
    <cellStyle name="Calculation 3 3 2 5 3 2 10" xfId="24238" xr:uid="{00000000-0005-0000-0000-0000501F0000}"/>
    <cellStyle name="Calculation 3 3 2 5 3 2 11" xfId="25237" xr:uid="{00000000-0005-0000-0000-0000511F0000}"/>
    <cellStyle name="Calculation 3 3 2 5 3 2 12" xfId="28182" xr:uid="{00000000-0005-0000-0000-0000521F0000}"/>
    <cellStyle name="Calculation 3 3 2 5 3 2 13" xfId="29151" xr:uid="{00000000-0005-0000-0000-0000531F0000}"/>
    <cellStyle name="Calculation 3 3 2 5 3 2 14" xfId="30190" xr:uid="{00000000-0005-0000-0000-0000541F0000}"/>
    <cellStyle name="Calculation 3 3 2 5 3 2 15" xfId="31183" xr:uid="{00000000-0005-0000-0000-0000551F0000}"/>
    <cellStyle name="Calculation 3 3 2 5 3 2 16" xfId="32192" xr:uid="{00000000-0005-0000-0000-0000561F0000}"/>
    <cellStyle name="Calculation 3 3 2 5 3 2 17" xfId="33195" xr:uid="{00000000-0005-0000-0000-0000571F0000}"/>
    <cellStyle name="Calculation 3 3 2 5 3 2 18" xfId="34194" xr:uid="{00000000-0005-0000-0000-0000581F0000}"/>
    <cellStyle name="Calculation 3 3 2 5 3 2 19" xfId="35815" xr:uid="{00000000-0005-0000-0000-0000591F0000}"/>
    <cellStyle name="Calculation 3 3 2 5 3 2 2" xfId="16218" xr:uid="{00000000-0005-0000-0000-00005A1F0000}"/>
    <cellStyle name="Calculation 3 3 2 5 3 2 20" xfId="36754" xr:uid="{00000000-0005-0000-0000-00005B1F0000}"/>
    <cellStyle name="Calculation 3 3 2 5 3 2 3" xfId="17196" xr:uid="{00000000-0005-0000-0000-00005C1F0000}"/>
    <cellStyle name="Calculation 3 3 2 5 3 2 4" xfId="18224" xr:uid="{00000000-0005-0000-0000-00005D1F0000}"/>
    <cellStyle name="Calculation 3 3 2 5 3 2 5" xfId="19256" xr:uid="{00000000-0005-0000-0000-00005E1F0000}"/>
    <cellStyle name="Calculation 3 3 2 5 3 2 6" xfId="20278" xr:uid="{00000000-0005-0000-0000-00005F1F0000}"/>
    <cellStyle name="Calculation 3 3 2 5 3 2 7" xfId="21287" xr:uid="{00000000-0005-0000-0000-0000601F0000}"/>
    <cellStyle name="Calculation 3 3 2 5 3 2 8" xfId="22261" xr:uid="{00000000-0005-0000-0000-0000611F0000}"/>
    <cellStyle name="Calculation 3 3 2 5 3 2 9" xfId="23266" xr:uid="{00000000-0005-0000-0000-0000621F0000}"/>
    <cellStyle name="Calculation 3 3 2 5 3 20" xfId="35814" xr:uid="{00000000-0005-0000-0000-0000631F0000}"/>
    <cellStyle name="Calculation 3 3 2 5 3 21" xfId="36753" xr:uid="{00000000-0005-0000-0000-0000641F0000}"/>
    <cellStyle name="Calculation 3 3 2 5 3 3" xfId="16217" xr:uid="{00000000-0005-0000-0000-0000651F0000}"/>
    <cellStyle name="Calculation 3 3 2 5 3 4" xfId="17195" xr:uid="{00000000-0005-0000-0000-0000661F0000}"/>
    <cellStyle name="Calculation 3 3 2 5 3 5" xfId="18223" xr:uid="{00000000-0005-0000-0000-0000671F0000}"/>
    <cellStyle name="Calculation 3 3 2 5 3 6" xfId="19255" xr:uid="{00000000-0005-0000-0000-0000681F0000}"/>
    <cellStyle name="Calculation 3 3 2 5 3 7" xfId="20277" xr:uid="{00000000-0005-0000-0000-0000691F0000}"/>
    <cellStyle name="Calculation 3 3 2 5 3 8" xfId="21286" xr:uid="{00000000-0005-0000-0000-00006A1F0000}"/>
    <cellStyle name="Calculation 3 3 2 5 3 9" xfId="22260" xr:uid="{00000000-0005-0000-0000-00006B1F0000}"/>
    <cellStyle name="Calculation 3 3 2 5 4" xfId="957" xr:uid="{00000000-0005-0000-0000-00006C1F0000}"/>
    <cellStyle name="Calculation 3 3 2 5 4 10" xfId="23267" xr:uid="{00000000-0005-0000-0000-00006D1F0000}"/>
    <cellStyle name="Calculation 3 3 2 5 4 11" xfId="24239" xr:uid="{00000000-0005-0000-0000-00006E1F0000}"/>
    <cellStyle name="Calculation 3 3 2 5 4 12" xfId="25238" xr:uid="{00000000-0005-0000-0000-00006F1F0000}"/>
    <cellStyle name="Calculation 3 3 2 5 4 13" xfId="28183" xr:uid="{00000000-0005-0000-0000-0000701F0000}"/>
    <cellStyle name="Calculation 3 3 2 5 4 14" xfId="29152" xr:uid="{00000000-0005-0000-0000-0000711F0000}"/>
    <cellStyle name="Calculation 3 3 2 5 4 15" xfId="30191" xr:uid="{00000000-0005-0000-0000-0000721F0000}"/>
    <cellStyle name="Calculation 3 3 2 5 4 16" xfId="31184" xr:uid="{00000000-0005-0000-0000-0000731F0000}"/>
    <cellStyle name="Calculation 3 3 2 5 4 17" xfId="32193" xr:uid="{00000000-0005-0000-0000-0000741F0000}"/>
    <cellStyle name="Calculation 3 3 2 5 4 18" xfId="33196" xr:uid="{00000000-0005-0000-0000-0000751F0000}"/>
    <cellStyle name="Calculation 3 3 2 5 4 19" xfId="34195" xr:uid="{00000000-0005-0000-0000-0000761F0000}"/>
    <cellStyle name="Calculation 3 3 2 5 4 2" xfId="958" xr:uid="{00000000-0005-0000-0000-0000771F0000}"/>
    <cellStyle name="Calculation 3 3 2 5 4 2 10" xfId="24240" xr:uid="{00000000-0005-0000-0000-0000781F0000}"/>
    <cellStyle name="Calculation 3 3 2 5 4 2 11" xfId="25239" xr:uid="{00000000-0005-0000-0000-0000791F0000}"/>
    <cellStyle name="Calculation 3 3 2 5 4 2 12" xfId="28184" xr:uid="{00000000-0005-0000-0000-00007A1F0000}"/>
    <cellStyle name="Calculation 3 3 2 5 4 2 13" xfId="29153" xr:uid="{00000000-0005-0000-0000-00007B1F0000}"/>
    <cellStyle name="Calculation 3 3 2 5 4 2 14" xfId="30192" xr:uid="{00000000-0005-0000-0000-00007C1F0000}"/>
    <cellStyle name="Calculation 3 3 2 5 4 2 15" xfId="31185" xr:uid="{00000000-0005-0000-0000-00007D1F0000}"/>
    <cellStyle name="Calculation 3 3 2 5 4 2 16" xfId="32194" xr:uid="{00000000-0005-0000-0000-00007E1F0000}"/>
    <cellStyle name="Calculation 3 3 2 5 4 2 17" xfId="33197" xr:uid="{00000000-0005-0000-0000-00007F1F0000}"/>
    <cellStyle name="Calculation 3 3 2 5 4 2 18" xfId="34196" xr:uid="{00000000-0005-0000-0000-0000801F0000}"/>
    <cellStyle name="Calculation 3 3 2 5 4 2 19" xfId="35817" xr:uid="{00000000-0005-0000-0000-0000811F0000}"/>
    <cellStyle name="Calculation 3 3 2 5 4 2 2" xfId="16220" xr:uid="{00000000-0005-0000-0000-0000821F0000}"/>
    <cellStyle name="Calculation 3 3 2 5 4 2 20" xfId="36756" xr:uid="{00000000-0005-0000-0000-0000831F0000}"/>
    <cellStyle name="Calculation 3 3 2 5 4 2 3" xfId="17198" xr:uid="{00000000-0005-0000-0000-0000841F0000}"/>
    <cellStyle name="Calculation 3 3 2 5 4 2 4" xfId="18226" xr:uid="{00000000-0005-0000-0000-0000851F0000}"/>
    <cellStyle name="Calculation 3 3 2 5 4 2 5" xfId="19258" xr:uid="{00000000-0005-0000-0000-0000861F0000}"/>
    <cellStyle name="Calculation 3 3 2 5 4 2 6" xfId="20280" xr:uid="{00000000-0005-0000-0000-0000871F0000}"/>
    <cellStyle name="Calculation 3 3 2 5 4 2 7" xfId="21289" xr:uid="{00000000-0005-0000-0000-0000881F0000}"/>
    <cellStyle name="Calculation 3 3 2 5 4 2 8" xfId="22263" xr:uid="{00000000-0005-0000-0000-0000891F0000}"/>
    <cellStyle name="Calculation 3 3 2 5 4 2 9" xfId="23268" xr:uid="{00000000-0005-0000-0000-00008A1F0000}"/>
    <cellStyle name="Calculation 3 3 2 5 4 20" xfId="35816" xr:uid="{00000000-0005-0000-0000-00008B1F0000}"/>
    <cellStyle name="Calculation 3 3 2 5 4 21" xfId="36755" xr:uid="{00000000-0005-0000-0000-00008C1F0000}"/>
    <cellStyle name="Calculation 3 3 2 5 4 3" xfId="16219" xr:uid="{00000000-0005-0000-0000-00008D1F0000}"/>
    <cellStyle name="Calculation 3 3 2 5 4 4" xfId="17197" xr:uid="{00000000-0005-0000-0000-00008E1F0000}"/>
    <cellStyle name="Calculation 3 3 2 5 4 5" xfId="18225" xr:uid="{00000000-0005-0000-0000-00008F1F0000}"/>
    <cellStyle name="Calculation 3 3 2 5 4 6" xfId="19257" xr:uid="{00000000-0005-0000-0000-0000901F0000}"/>
    <cellStyle name="Calculation 3 3 2 5 4 7" xfId="20279" xr:uid="{00000000-0005-0000-0000-0000911F0000}"/>
    <cellStyle name="Calculation 3 3 2 5 4 8" xfId="21288" xr:uid="{00000000-0005-0000-0000-0000921F0000}"/>
    <cellStyle name="Calculation 3 3 2 5 4 9" xfId="22262" xr:uid="{00000000-0005-0000-0000-0000931F0000}"/>
    <cellStyle name="Calculation 3 3 2 5 5" xfId="959" xr:uid="{00000000-0005-0000-0000-0000941F0000}"/>
    <cellStyle name="Calculation 3 3 2 5 5 10" xfId="24241" xr:uid="{00000000-0005-0000-0000-0000951F0000}"/>
    <cellStyle name="Calculation 3 3 2 5 5 11" xfId="25240" xr:uid="{00000000-0005-0000-0000-0000961F0000}"/>
    <cellStyle name="Calculation 3 3 2 5 5 12" xfId="28185" xr:uid="{00000000-0005-0000-0000-0000971F0000}"/>
    <cellStyle name="Calculation 3 3 2 5 5 13" xfId="29154" xr:uid="{00000000-0005-0000-0000-0000981F0000}"/>
    <cellStyle name="Calculation 3 3 2 5 5 14" xfId="30193" xr:uid="{00000000-0005-0000-0000-0000991F0000}"/>
    <cellStyle name="Calculation 3 3 2 5 5 15" xfId="31186" xr:uid="{00000000-0005-0000-0000-00009A1F0000}"/>
    <cellStyle name="Calculation 3 3 2 5 5 16" xfId="32195" xr:uid="{00000000-0005-0000-0000-00009B1F0000}"/>
    <cellStyle name="Calculation 3 3 2 5 5 17" xfId="33198" xr:uid="{00000000-0005-0000-0000-00009C1F0000}"/>
    <cellStyle name="Calculation 3 3 2 5 5 18" xfId="34197" xr:uid="{00000000-0005-0000-0000-00009D1F0000}"/>
    <cellStyle name="Calculation 3 3 2 5 5 19" xfId="35818" xr:uid="{00000000-0005-0000-0000-00009E1F0000}"/>
    <cellStyle name="Calculation 3 3 2 5 5 2" xfId="16221" xr:uid="{00000000-0005-0000-0000-00009F1F0000}"/>
    <cellStyle name="Calculation 3 3 2 5 5 20" xfId="36757" xr:uid="{00000000-0005-0000-0000-0000A01F0000}"/>
    <cellStyle name="Calculation 3 3 2 5 5 3" xfId="17199" xr:uid="{00000000-0005-0000-0000-0000A11F0000}"/>
    <cellStyle name="Calculation 3 3 2 5 5 4" xfId="18227" xr:uid="{00000000-0005-0000-0000-0000A21F0000}"/>
    <cellStyle name="Calculation 3 3 2 5 5 5" xfId="19259" xr:uid="{00000000-0005-0000-0000-0000A31F0000}"/>
    <cellStyle name="Calculation 3 3 2 5 5 6" xfId="20281" xr:uid="{00000000-0005-0000-0000-0000A41F0000}"/>
    <cellStyle name="Calculation 3 3 2 5 5 7" xfId="21290" xr:uid="{00000000-0005-0000-0000-0000A51F0000}"/>
    <cellStyle name="Calculation 3 3 2 5 5 8" xfId="22264" xr:uid="{00000000-0005-0000-0000-0000A61F0000}"/>
    <cellStyle name="Calculation 3 3 2 5 5 9" xfId="23269" xr:uid="{00000000-0005-0000-0000-0000A71F0000}"/>
    <cellStyle name="Calculation 3 3 2 5 6" xfId="14050" xr:uid="{00000000-0005-0000-0000-0000A81F0000}"/>
    <cellStyle name="Calculation 3 3 2 5 7" xfId="14472" xr:uid="{00000000-0005-0000-0000-0000A91F0000}"/>
    <cellStyle name="Calculation 3 3 2 5 8" xfId="13430" xr:uid="{00000000-0005-0000-0000-0000AA1F0000}"/>
    <cellStyle name="Calculation 3 3 2 5 9" xfId="14278" xr:uid="{00000000-0005-0000-0000-0000AB1F0000}"/>
    <cellStyle name="Calculation 3 3 2 6" xfId="960" xr:uid="{00000000-0005-0000-0000-0000AC1F0000}"/>
    <cellStyle name="Calculation 3 3 2 6 10" xfId="23270" xr:uid="{00000000-0005-0000-0000-0000AD1F0000}"/>
    <cellStyle name="Calculation 3 3 2 6 11" xfId="24242" xr:uid="{00000000-0005-0000-0000-0000AE1F0000}"/>
    <cellStyle name="Calculation 3 3 2 6 12" xfId="25241" xr:uid="{00000000-0005-0000-0000-0000AF1F0000}"/>
    <cellStyle name="Calculation 3 3 2 6 13" xfId="28186" xr:uid="{00000000-0005-0000-0000-0000B01F0000}"/>
    <cellStyle name="Calculation 3 3 2 6 14" xfId="29155" xr:uid="{00000000-0005-0000-0000-0000B11F0000}"/>
    <cellStyle name="Calculation 3 3 2 6 15" xfId="30194" xr:uid="{00000000-0005-0000-0000-0000B21F0000}"/>
    <cellStyle name="Calculation 3 3 2 6 16" xfId="31187" xr:uid="{00000000-0005-0000-0000-0000B31F0000}"/>
    <cellStyle name="Calculation 3 3 2 6 17" xfId="32196" xr:uid="{00000000-0005-0000-0000-0000B41F0000}"/>
    <cellStyle name="Calculation 3 3 2 6 18" xfId="33199" xr:uid="{00000000-0005-0000-0000-0000B51F0000}"/>
    <cellStyle name="Calculation 3 3 2 6 19" xfId="34198" xr:uid="{00000000-0005-0000-0000-0000B61F0000}"/>
    <cellStyle name="Calculation 3 3 2 6 2" xfId="961" xr:uid="{00000000-0005-0000-0000-0000B71F0000}"/>
    <cellStyle name="Calculation 3 3 2 6 2 10" xfId="24243" xr:uid="{00000000-0005-0000-0000-0000B81F0000}"/>
    <cellStyle name="Calculation 3 3 2 6 2 11" xfId="25242" xr:uid="{00000000-0005-0000-0000-0000B91F0000}"/>
    <cellStyle name="Calculation 3 3 2 6 2 12" xfId="28187" xr:uid="{00000000-0005-0000-0000-0000BA1F0000}"/>
    <cellStyle name="Calculation 3 3 2 6 2 13" xfId="29156" xr:uid="{00000000-0005-0000-0000-0000BB1F0000}"/>
    <cellStyle name="Calculation 3 3 2 6 2 14" xfId="30195" xr:uid="{00000000-0005-0000-0000-0000BC1F0000}"/>
    <cellStyle name="Calculation 3 3 2 6 2 15" xfId="31188" xr:uid="{00000000-0005-0000-0000-0000BD1F0000}"/>
    <cellStyle name="Calculation 3 3 2 6 2 16" xfId="32197" xr:uid="{00000000-0005-0000-0000-0000BE1F0000}"/>
    <cellStyle name="Calculation 3 3 2 6 2 17" xfId="33200" xr:uid="{00000000-0005-0000-0000-0000BF1F0000}"/>
    <cellStyle name="Calculation 3 3 2 6 2 18" xfId="34199" xr:uid="{00000000-0005-0000-0000-0000C01F0000}"/>
    <cellStyle name="Calculation 3 3 2 6 2 19" xfId="35820" xr:uid="{00000000-0005-0000-0000-0000C11F0000}"/>
    <cellStyle name="Calculation 3 3 2 6 2 2" xfId="16223" xr:uid="{00000000-0005-0000-0000-0000C21F0000}"/>
    <cellStyle name="Calculation 3 3 2 6 2 20" xfId="36759" xr:uid="{00000000-0005-0000-0000-0000C31F0000}"/>
    <cellStyle name="Calculation 3 3 2 6 2 3" xfId="17201" xr:uid="{00000000-0005-0000-0000-0000C41F0000}"/>
    <cellStyle name="Calculation 3 3 2 6 2 4" xfId="18229" xr:uid="{00000000-0005-0000-0000-0000C51F0000}"/>
    <cellStyle name="Calculation 3 3 2 6 2 5" xfId="19261" xr:uid="{00000000-0005-0000-0000-0000C61F0000}"/>
    <cellStyle name="Calculation 3 3 2 6 2 6" xfId="20283" xr:uid="{00000000-0005-0000-0000-0000C71F0000}"/>
    <cellStyle name="Calculation 3 3 2 6 2 7" xfId="21292" xr:uid="{00000000-0005-0000-0000-0000C81F0000}"/>
    <cellStyle name="Calculation 3 3 2 6 2 8" xfId="22266" xr:uid="{00000000-0005-0000-0000-0000C91F0000}"/>
    <cellStyle name="Calculation 3 3 2 6 2 9" xfId="23271" xr:uid="{00000000-0005-0000-0000-0000CA1F0000}"/>
    <cellStyle name="Calculation 3 3 2 6 20" xfId="35819" xr:uid="{00000000-0005-0000-0000-0000CB1F0000}"/>
    <cellStyle name="Calculation 3 3 2 6 21" xfId="36758" xr:uid="{00000000-0005-0000-0000-0000CC1F0000}"/>
    <cellStyle name="Calculation 3 3 2 6 3" xfId="16222" xr:uid="{00000000-0005-0000-0000-0000CD1F0000}"/>
    <cellStyle name="Calculation 3 3 2 6 4" xfId="17200" xr:uid="{00000000-0005-0000-0000-0000CE1F0000}"/>
    <cellStyle name="Calculation 3 3 2 6 5" xfId="18228" xr:uid="{00000000-0005-0000-0000-0000CF1F0000}"/>
    <cellStyle name="Calculation 3 3 2 6 6" xfId="19260" xr:uid="{00000000-0005-0000-0000-0000D01F0000}"/>
    <cellStyle name="Calculation 3 3 2 6 7" xfId="20282" xr:uid="{00000000-0005-0000-0000-0000D11F0000}"/>
    <cellStyle name="Calculation 3 3 2 6 8" xfId="21291" xr:uid="{00000000-0005-0000-0000-0000D21F0000}"/>
    <cellStyle name="Calculation 3 3 2 6 9" xfId="22265" xr:uid="{00000000-0005-0000-0000-0000D31F0000}"/>
    <cellStyle name="Calculation 3 3 2 7" xfId="962" xr:uid="{00000000-0005-0000-0000-0000D41F0000}"/>
    <cellStyle name="Calculation 3 3 2 7 10" xfId="23272" xr:uid="{00000000-0005-0000-0000-0000D51F0000}"/>
    <cellStyle name="Calculation 3 3 2 7 11" xfId="24244" xr:uid="{00000000-0005-0000-0000-0000D61F0000}"/>
    <cellStyle name="Calculation 3 3 2 7 12" xfId="25243" xr:uid="{00000000-0005-0000-0000-0000D71F0000}"/>
    <cellStyle name="Calculation 3 3 2 7 13" xfId="28188" xr:uid="{00000000-0005-0000-0000-0000D81F0000}"/>
    <cellStyle name="Calculation 3 3 2 7 14" xfId="29157" xr:uid="{00000000-0005-0000-0000-0000D91F0000}"/>
    <cellStyle name="Calculation 3 3 2 7 15" xfId="30196" xr:uid="{00000000-0005-0000-0000-0000DA1F0000}"/>
    <cellStyle name="Calculation 3 3 2 7 16" xfId="31189" xr:uid="{00000000-0005-0000-0000-0000DB1F0000}"/>
    <cellStyle name="Calculation 3 3 2 7 17" xfId="32198" xr:uid="{00000000-0005-0000-0000-0000DC1F0000}"/>
    <cellStyle name="Calculation 3 3 2 7 18" xfId="33201" xr:uid="{00000000-0005-0000-0000-0000DD1F0000}"/>
    <cellStyle name="Calculation 3 3 2 7 19" xfId="34200" xr:uid="{00000000-0005-0000-0000-0000DE1F0000}"/>
    <cellStyle name="Calculation 3 3 2 7 2" xfId="963" xr:uid="{00000000-0005-0000-0000-0000DF1F0000}"/>
    <cellStyle name="Calculation 3 3 2 7 2 10" xfId="24245" xr:uid="{00000000-0005-0000-0000-0000E01F0000}"/>
    <cellStyle name="Calculation 3 3 2 7 2 11" xfId="25244" xr:uid="{00000000-0005-0000-0000-0000E11F0000}"/>
    <cellStyle name="Calculation 3 3 2 7 2 12" xfId="28189" xr:uid="{00000000-0005-0000-0000-0000E21F0000}"/>
    <cellStyle name="Calculation 3 3 2 7 2 13" xfId="29158" xr:uid="{00000000-0005-0000-0000-0000E31F0000}"/>
    <cellStyle name="Calculation 3 3 2 7 2 14" xfId="30197" xr:uid="{00000000-0005-0000-0000-0000E41F0000}"/>
    <cellStyle name="Calculation 3 3 2 7 2 15" xfId="31190" xr:uid="{00000000-0005-0000-0000-0000E51F0000}"/>
    <cellStyle name="Calculation 3 3 2 7 2 16" xfId="32199" xr:uid="{00000000-0005-0000-0000-0000E61F0000}"/>
    <cellStyle name="Calculation 3 3 2 7 2 17" xfId="33202" xr:uid="{00000000-0005-0000-0000-0000E71F0000}"/>
    <cellStyle name="Calculation 3 3 2 7 2 18" xfId="34201" xr:uid="{00000000-0005-0000-0000-0000E81F0000}"/>
    <cellStyle name="Calculation 3 3 2 7 2 19" xfId="35822" xr:uid="{00000000-0005-0000-0000-0000E91F0000}"/>
    <cellStyle name="Calculation 3 3 2 7 2 2" xfId="16225" xr:uid="{00000000-0005-0000-0000-0000EA1F0000}"/>
    <cellStyle name="Calculation 3 3 2 7 2 20" xfId="36761" xr:uid="{00000000-0005-0000-0000-0000EB1F0000}"/>
    <cellStyle name="Calculation 3 3 2 7 2 3" xfId="17203" xr:uid="{00000000-0005-0000-0000-0000EC1F0000}"/>
    <cellStyle name="Calculation 3 3 2 7 2 4" xfId="18231" xr:uid="{00000000-0005-0000-0000-0000ED1F0000}"/>
    <cellStyle name="Calculation 3 3 2 7 2 5" xfId="19263" xr:uid="{00000000-0005-0000-0000-0000EE1F0000}"/>
    <cellStyle name="Calculation 3 3 2 7 2 6" xfId="20285" xr:uid="{00000000-0005-0000-0000-0000EF1F0000}"/>
    <cellStyle name="Calculation 3 3 2 7 2 7" xfId="21294" xr:uid="{00000000-0005-0000-0000-0000F01F0000}"/>
    <cellStyle name="Calculation 3 3 2 7 2 8" xfId="22268" xr:uid="{00000000-0005-0000-0000-0000F11F0000}"/>
    <cellStyle name="Calculation 3 3 2 7 2 9" xfId="23273" xr:uid="{00000000-0005-0000-0000-0000F21F0000}"/>
    <cellStyle name="Calculation 3 3 2 7 20" xfId="35821" xr:uid="{00000000-0005-0000-0000-0000F31F0000}"/>
    <cellStyle name="Calculation 3 3 2 7 21" xfId="36760" xr:uid="{00000000-0005-0000-0000-0000F41F0000}"/>
    <cellStyle name="Calculation 3 3 2 7 3" xfId="16224" xr:uid="{00000000-0005-0000-0000-0000F51F0000}"/>
    <cellStyle name="Calculation 3 3 2 7 4" xfId="17202" xr:uid="{00000000-0005-0000-0000-0000F61F0000}"/>
    <cellStyle name="Calculation 3 3 2 7 5" xfId="18230" xr:uid="{00000000-0005-0000-0000-0000F71F0000}"/>
    <cellStyle name="Calculation 3 3 2 7 6" xfId="19262" xr:uid="{00000000-0005-0000-0000-0000F81F0000}"/>
    <cellStyle name="Calculation 3 3 2 7 7" xfId="20284" xr:uid="{00000000-0005-0000-0000-0000F91F0000}"/>
    <cellStyle name="Calculation 3 3 2 7 8" xfId="21293" xr:uid="{00000000-0005-0000-0000-0000FA1F0000}"/>
    <cellStyle name="Calculation 3 3 2 7 9" xfId="22267" xr:uid="{00000000-0005-0000-0000-0000FB1F0000}"/>
    <cellStyle name="Calculation 3 3 2 8" xfId="964" xr:uid="{00000000-0005-0000-0000-0000FC1F0000}"/>
    <cellStyle name="Calculation 3 3 2 8 10" xfId="23274" xr:uid="{00000000-0005-0000-0000-0000FD1F0000}"/>
    <cellStyle name="Calculation 3 3 2 8 11" xfId="24246" xr:uid="{00000000-0005-0000-0000-0000FE1F0000}"/>
    <cellStyle name="Calculation 3 3 2 8 12" xfId="25245" xr:uid="{00000000-0005-0000-0000-0000FF1F0000}"/>
    <cellStyle name="Calculation 3 3 2 8 13" xfId="28190" xr:uid="{00000000-0005-0000-0000-000000200000}"/>
    <cellStyle name="Calculation 3 3 2 8 14" xfId="29159" xr:uid="{00000000-0005-0000-0000-000001200000}"/>
    <cellStyle name="Calculation 3 3 2 8 15" xfId="30198" xr:uid="{00000000-0005-0000-0000-000002200000}"/>
    <cellStyle name="Calculation 3 3 2 8 16" xfId="31191" xr:uid="{00000000-0005-0000-0000-000003200000}"/>
    <cellStyle name="Calculation 3 3 2 8 17" xfId="32200" xr:uid="{00000000-0005-0000-0000-000004200000}"/>
    <cellStyle name="Calculation 3 3 2 8 18" xfId="33203" xr:uid="{00000000-0005-0000-0000-000005200000}"/>
    <cellStyle name="Calculation 3 3 2 8 19" xfId="34202" xr:uid="{00000000-0005-0000-0000-000006200000}"/>
    <cellStyle name="Calculation 3 3 2 8 2" xfId="965" xr:uid="{00000000-0005-0000-0000-000007200000}"/>
    <cellStyle name="Calculation 3 3 2 8 2 10" xfId="24247" xr:uid="{00000000-0005-0000-0000-000008200000}"/>
    <cellStyle name="Calculation 3 3 2 8 2 11" xfId="25246" xr:uid="{00000000-0005-0000-0000-000009200000}"/>
    <cellStyle name="Calculation 3 3 2 8 2 12" xfId="28191" xr:uid="{00000000-0005-0000-0000-00000A200000}"/>
    <cellStyle name="Calculation 3 3 2 8 2 13" xfId="29160" xr:uid="{00000000-0005-0000-0000-00000B200000}"/>
    <cellStyle name="Calculation 3 3 2 8 2 14" xfId="30199" xr:uid="{00000000-0005-0000-0000-00000C200000}"/>
    <cellStyle name="Calculation 3 3 2 8 2 15" xfId="31192" xr:uid="{00000000-0005-0000-0000-00000D200000}"/>
    <cellStyle name="Calculation 3 3 2 8 2 16" xfId="32201" xr:uid="{00000000-0005-0000-0000-00000E200000}"/>
    <cellStyle name="Calculation 3 3 2 8 2 17" xfId="33204" xr:uid="{00000000-0005-0000-0000-00000F200000}"/>
    <cellStyle name="Calculation 3 3 2 8 2 18" xfId="34203" xr:uid="{00000000-0005-0000-0000-000010200000}"/>
    <cellStyle name="Calculation 3 3 2 8 2 19" xfId="35824" xr:uid="{00000000-0005-0000-0000-000011200000}"/>
    <cellStyle name="Calculation 3 3 2 8 2 2" xfId="16227" xr:uid="{00000000-0005-0000-0000-000012200000}"/>
    <cellStyle name="Calculation 3 3 2 8 2 20" xfId="36763" xr:uid="{00000000-0005-0000-0000-000013200000}"/>
    <cellStyle name="Calculation 3 3 2 8 2 3" xfId="17205" xr:uid="{00000000-0005-0000-0000-000014200000}"/>
    <cellStyle name="Calculation 3 3 2 8 2 4" xfId="18233" xr:uid="{00000000-0005-0000-0000-000015200000}"/>
    <cellStyle name="Calculation 3 3 2 8 2 5" xfId="19265" xr:uid="{00000000-0005-0000-0000-000016200000}"/>
    <cellStyle name="Calculation 3 3 2 8 2 6" xfId="20287" xr:uid="{00000000-0005-0000-0000-000017200000}"/>
    <cellStyle name="Calculation 3 3 2 8 2 7" xfId="21296" xr:uid="{00000000-0005-0000-0000-000018200000}"/>
    <cellStyle name="Calculation 3 3 2 8 2 8" xfId="22270" xr:uid="{00000000-0005-0000-0000-000019200000}"/>
    <cellStyle name="Calculation 3 3 2 8 2 9" xfId="23275" xr:uid="{00000000-0005-0000-0000-00001A200000}"/>
    <cellStyle name="Calculation 3 3 2 8 20" xfId="35823" xr:uid="{00000000-0005-0000-0000-00001B200000}"/>
    <cellStyle name="Calculation 3 3 2 8 21" xfId="36762" xr:uid="{00000000-0005-0000-0000-00001C200000}"/>
    <cellStyle name="Calculation 3 3 2 8 3" xfId="16226" xr:uid="{00000000-0005-0000-0000-00001D200000}"/>
    <cellStyle name="Calculation 3 3 2 8 4" xfId="17204" xr:uid="{00000000-0005-0000-0000-00001E200000}"/>
    <cellStyle name="Calculation 3 3 2 8 5" xfId="18232" xr:uid="{00000000-0005-0000-0000-00001F200000}"/>
    <cellStyle name="Calculation 3 3 2 8 6" xfId="19264" xr:uid="{00000000-0005-0000-0000-000020200000}"/>
    <cellStyle name="Calculation 3 3 2 8 7" xfId="20286" xr:uid="{00000000-0005-0000-0000-000021200000}"/>
    <cellStyle name="Calculation 3 3 2 8 8" xfId="21295" xr:uid="{00000000-0005-0000-0000-000022200000}"/>
    <cellStyle name="Calculation 3 3 2 8 9" xfId="22269" xr:uid="{00000000-0005-0000-0000-000023200000}"/>
    <cellStyle name="Calculation 3 3 2 9" xfId="966" xr:uid="{00000000-0005-0000-0000-000024200000}"/>
    <cellStyle name="Calculation 3 3 2 9 10" xfId="24248" xr:uid="{00000000-0005-0000-0000-000025200000}"/>
    <cellStyle name="Calculation 3 3 2 9 11" xfId="25247" xr:uid="{00000000-0005-0000-0000-000026200000}"/>
    <cellStyle name="Calculation 3 3 2 9 12" xfId="28192" xr:uid="{00000000-0005-0000-0000-000027200000}"/>
    <cellStyle name="Calculation 3 3 2 9 13" xfId="29161" xr:uid="{00000000-0005-0000-0000-000028200000}"/>
    <cellStyle name="Calculation 3 3 2 9 14" xfId="30200" xr:uid="{00000000-0005-0000-0000-000029200000}"/>
    <cellStyle name="Calculation 3 3 2 9 15" xfId="31193" xr:uid="{00000000-0005-0000-0000-00002A200000}"/>
    <cellStyle name="Calculation 3 3 2 9 16" xfId="32202" xr:uid="{00000000-0005-0000-0000-00002B200000}"/>
    <cellStyle name="Calculation 3 3 2 9 17" xfId="33205" xr:uid="{00000000-0005-0000-0000-00002C200000}"/>
    <cellStyle name="Calculation 3 3 2 9 18" xfId="34204" xr:uid="{00000000-0005-0000-0000-00002D200000}"/>
    <cellStyle name="Calculation 3 3 2 9 19" xfId="35825" xr:uid="{00000000-0005-0000-0000-00002E200000}"/>
    <cellStyle name="Calculation 3 3 2 9 2" xfId="16228" xr:uid="{00000000-0005-0000-0000-00002F200000}"/>
    <cellStyle name="Calculation 3 3 2 9 20" xfId="36764" xr:uid="{00000000-0005-0000-0000-000030200000}"/>
    <cellStyle name="Calculation 3 3 2 9 3" xfId="17206" xr:uid="{00000000-0005-0000-0000-000031200000}"/>
    <cellStyle name="Calculation 3 3 2 9 4" xfId="18234" xr:uid="{00000000-0005-0000-0000-000032200000}"/>
    <cellStyle name="Calculation 3 3 2 9 5" xfId="19266" xr:uid="{00000000-0005-0000-0000-000033200000}"/>
    <cellStyle name="Calculation 3 3 2 9 6" xfId="20288" xr:uid="{00000000-0005-0000-0000-000034200000}"/>
    <cellStyle name="Calculation 3 3 2 9 7" xfId="21297" xr:uid="{00000000-0005-0000-0000-000035200000}"/>
    <cellStyle name="Calculation 3 3 2 9 8" xfId="22271" xr:uid="{00000000-0005-0000-0000-000036200000}"/>
    <cellStyle name="Calculation 3 3 2 9 9" xfId="23276" xr:uid="{00000000-0005-0000-0000-000037200000}"/>
    <cellStyle name="Calculation 3 3 20" xfId="34858" xr:uid="{00000000-0005-0000-0000-000038200000}"/>
    <cellStyle name="Calculation 3 3 21" xfId="34877" xr:uid="{00000000-0005-0000-0000-000039200000}"/>
    <cellStyle name="Calculation 3 3 22" xfId="35384" xr:uid="{00000000-0005-0000-0000-00003A200000}"/>
    <cellStyle name="Calculation 3 3 3" xfId="967" xr:uid="{00000000-0005-0000-0000-00003B200000}"/>
    <cellStyle name="Calculation 3 3 3 10" xfId="14017" xr:uid="{00000000-0005-0000-0000-00003C200000}"/>
    <cellStyle name="Calculation 3 3 3 11" xfId="14659" xr:uid="{00000000-0005-0000-0000-00003D200000}"/>
    <cellStyle name="Calculation 3 3 3 12" xfId="15065" xr:uid="{00000000-0005-0000-0000-00003E200000}"/>
    <cellStyle name="Calculation 3 3 3 13" xfId="17824" xr:uid="{00000000-0005-0000-0000-00003F200000}"/>
    <cellStyle name="Calculation 3 3 3 14" xfId="14521" xr:uid="{00000000-0005-0000-0000-000040200000}"/>
    <cellStyle name="Calculation 3 3 3 15" xfId="21860" xr:uid="{00000000-0005-0000-0000-000041200000}"/>
    <cellStyle name="Calculation 3 3 3 16" xfId="26514" xr:uid="{00000000-0005-0000-0000-000042200000}"/>
    <cellStyle name="Calculation 3 3 3 17" xfId="27054" xr:uid="{00000000-0005-0000-0000-000043200000}"/>
    <cellStyle name="Calculation 3 3 3 18" xfId="26198" xr:uid="{00000000-0005-0000-0000-000044200000}"/>
    <cellStyle name="Calculation 3 3 3 19" xfId="26636" xr:uid="{00000000-0005-0000-0000-000045200000}"/>
    <cellStyle name="Calculation 3 3 3 2" xfId="968" xr:uid="{00000000-0005-0000-0000-000046200000}"/>
    <cellStyle name="Calculation 3 3 3 2 10" xfId="23277" xr:uid="{00000000-0005-0000-0000-000047200000}"/>
    <cellStyle name="Calculation 3 3 3 2 11" xfId="24249" xr:uid="{00000000-0005-0000-0000-000048200000}"/>
    <cellStyle name="Calculation 3 3 3 2 12" xfId="25248" xr:uid="{00000000-0005-0000-0000-000049200000}"/>
    <cellStyle name="Calculation 3 3 3 2 13" xfId="28193" xr:uid="{00000000-0005-0000-0000-00004A200000}"/>
    <cellStyle name="Calculation 3 3 3 2 14" xfId="29162" xr:uid="{00000000-0005-0000-0000-00004B200000}"/>
    <cellStyle name="Calculation 3 3 3 2 15" xfId="30201" xr:uid="{00000000-0005-0000-0000-00004C200000}"/>
    <cellStyle name="Calculation 3 3 3 2 16" xfId="31194" xr:uid="{00000000-0005-0000-0000-00004D200000}"/>
    <cellStyle name="Calculation 3 3 3 2 17" xfId="32203" xr:uid="{00000000-0005-0000-0000-00004E200000}"/>
    <cellStyle name="Calculation 3 3 3 2 18" xfId="33206" xr:uid="{00000000-0005-0000-0000-00004F200000}"/>
    <cellStyle name="Calculation 3 3 3 2 19" xfId="34205" xr:uid="{00000000-0005-0000-0000-000050200000}"/>
    <cellStyle name="Calculation 3 3 3 2 2" xfId="969" xr:uid="{00000000-0005-0000-0000-000051200000}"/>
    <cellStyle name="Calculation 3 3 3 2 2 10" xfId="24250" xr:uid="{00000000-0005-0000-0000-000052200000}"/>
    <cellStyle name="Calculation 3 3 3 2 2 11" xfId="25249" xr:uid="{00000000-0005-0000-0000-000053200000}"/>
    <cellStyle name="Calculation 3 3 3 2 2 12" xfId="28194" xr:uid="{00000000-0005-0000-0000-000054200000}"/>
    <cellStyle name="Calculation 3 3 3 2 2 13" xfId="29163" xr:uid="{00000000-0005-0000-0000-000055200000}"/>
    <cellStyle name="Calculation 3 3 3 2 2 14" xfId="30202" xr:uid="{00000000-0005-0000-0000-000056200000}"/>
    <cellStyle name="Calculation 3 3 3 2 2 15" xfId="31195" xr:uid="{00000000-0005-0000-0000-000057200000}"/>
    <cellStyle name="Calculation 3 3 3 2 2 16" xfId="32204" xr:uid="{00000000-0005-0000-0000-000058200000}"/>
    <cellStyle name="Calculation 3 3 3 2 2 17" xfId="33207" xr:uid="{00000000-0005-0000-0000-000059200000}"/>
    <cellStyle name="Calculation 3 3 3 2 2 18" xfId="34206" xr:uid="{00000000-0005-0000-0000-00005A200000}"/>
    <cellStyle name="Calculation 3 3 3 2 2 19" xfId="35827" xr:uid="{00000000-0005-0000-0000-00005B200000}"/>
    <cellStyle name="Calculation 3 3 3 2 2 2" xfId="16230" xr:uid="{00000000-0005-0000-0000-00005C200000}"/>
    <cellStyle name="Calculation 3 3 3 2 2 20" xfId="36766" xr:uid="{00000000-0005-0000-0000-00005D200000}"/>
    <cellStyle name="Calculation 3 3 3 2 2 3" xfId="17208" xr:uid="{00000000-0005-0000-0000-00005E200000}"/>
    <cellStyle name="Calculation 3 3 3 2 2 4" xfId="18236" xr:uid="{00000000-0005-0000-0000-00005F200000}"/>
    <cellStyle name="Calculation 3 3 3 2 2 5" xfId="19268" xr:uid="{00000000-0005-0000-0000-000060200000}"/>
    <cellStyle name="Calculation 3 3 3 2 2 6" xfId="20290" xr:uid="{00000000-0005-0000-0000-000061200000}"/>
    <cellStyle name="Calculation 3 3 3 2 2 7" xfId="21299" xr:uid="{00000000-0005-0000-0000-000062200000}"/>
    <cellStyle name="Calculation 3 3 3 2 2 8" xfId="22273" xr:uid="{00000000-0005-0000-0000-000063200000}"/>
    <cellStyle name="Calculation 3 3 3 2 2 9" xfId="23278" xr:uid="{00000000-0005-0000-0000-000064200000}"/>
    <cellStyle name="Calculation 3 3 3 2 20" xfId="35826" xr:uid="{00000000-0005-0000-0000-000065200000}"/>
    <cellStyle name="Calculation 3 3 3 2 21" xfId="36765" xr:uid="{00000000-0005-0000-0000-000066200000}"/>
    <cellStyle name="Calculation 3 3 3 2 3" xfId="16229" xr:uid="{00000000-0005-0000-0000-000067200000}"/>
    <cellStyle name="Calculation 3 3 3 2 4" xfId="17207" xr:uid="{00000000-0005-0000-0000-000068200000}"/>
    <cellStyle name="Calculation 3 3 3 2 5" xfId="18235" xr:uid="{00000000-0005-0000-0000-000069200000}"/>
    <cellStyle name="Calculation 3 3 3 2 6" xfId="19267" xr:uid="{00000000-0005-0000-0000-00006A200000}"/>
    <cellStyle name="Calculation 3 3 3 2 7" xfId="20289" xr:uid="{00000000-0005-0000-0000-00006B200000}"/>
    <cellStyle name="Calculation 3 3 3 2 8" xfId="21298" xr:uid="{00000000-0005-0000-0000-00006C200000}"/>
    <cellStyle name="Calculation 3 3 3 2 9" xfId="22272" xr:uid="{00000000-0005-0000-0000-00006D200000}"/>
    <cellStyle name="Calculation 3 3 3 20" xfId="27826" xr:uid="{00000000-0005-0000-0000-00006E200000}"/>
    <cellStyle name="Calculation 3 3 3 21" xfId="27597" xr:uid="{00000000-0005-0000-0000-00006F200000}"/>
    <cellStyle name="Calculation 3 3 3 22" xfId="26569" xr:uid="{00000000-0005-0000-0000-000070200000}"/>
    <cellStyle name="Calculation 3 3 3 23" xfId="35185" xr:uid="{00000000-0005-0000-0000-000071200000}"/>
    <cellStyle name="Calculation 3 3 3 24" xfId="35210" xr:uid="{00000000-0005-0000-0000-000072200000}"/>
    <cellStyle name="Calculation 3 3 3 3" xfId="970" xr:uid="{00000000-0005-0000-0000-000073200000}"/>
    <cellStyle name="Calculation 3 3 3 3 10" xfId="23279" xr:uid="{00000000-0005-0000-0000-000074200000}"/>
    <cellStyle name="Calculation 3 3 3 3 11" xfId="24251" xr:uid="{00000000-0005-0000-0000-000075200000}"/>
    <cellStyle name="Calculation 3 3 3 3 12" xfId="25250" xr:uid="{00000000-0005-0000-0000-000076200000}"/>
    <cellStyle name="Calculation 3 3 3 3 13" xfId="28195" xr:uid="{00000000-0005-0000-0000-000077200000}"/>
    <cellStyle name="Calculation 3 3 3 3 14" xfId="29164" xr:uid="{00000000-0005-0000-0000-000078200000}"/>
    <cellStyle name="Calculation 3 3 3 3 15" xfId="30203" xr:uid="{00000000-0005-0000-0000-000079200000}"/>
    <cellStyle name="Calculation 3 3 3 3 16" xfId="31196" xr:uid="{00000000-0005-0000-0000-00007A200000}"/>
    <cellStyle name="Calculation 3 3 3 3 17" xfId="32205" xr:uid="{00000000-0005-0000-0000-00007B200000}"/>
    <cellStyle name="Calculation 3 3 3 3 18" xfId="33208" xr:uid="{00000000-0005-0000-0000-00007C200000}"/>
    <cellStyle name="Calculation 3 3 3 3 19" xfId="34207" xr:uid="{00000000-0005-0000-0000-00007D200000}"/>
    <cellStyle name="Calculation 3 3 3 3 2" xfId="971" xr:uid="{00000000-0005-0000-0000-00007E200000}"/>
    <cellStyle name="Calculation 3 3 3 3 2 10" xfId="24252" xr:uid="{00000000-0005-0000-0000-00007F200000}"/>
    <cellStyle name="Calculation 3 3 3 3 2 11" xfId="25251" xr:uid="{00000000-0005-0000-0000-000080200000}"/>
    <cellStyle name="Calculation 3 3 3 3 2 12" xfId="28196" xr:uid="{00000000-0005-0000-0000-000081200000}"/>
    <cellStyle name="Calculation 3 3 3 3 2 13" xfId="29165" xr:uid="{00000000-0005-0000-0000-000082200000}"/>
    <cellStyle name="Calculation 3 3 3 3 2 14" xfId="30204" xr:uid="{00000000-0005-0000-0000-000083200000}"/>
    <cellStyle name="Calculation 3 3 3 3 2 15" xfId="31197" xr:uid="{00000000-0005-0000-0000-000084200000}"/>
    <cellStyle name="Calculation 3 3 3 3 2 16" xfId="32206" xr:uid="{00000000-0005-0000-0000-000085200000}"/>
    <cellStyle name="Calculation 3 3 3 3 2 17" xfId="33209" xr:uid="{00000000-0005-0000-0000-000086200000}"/>
    <cellStyle name="Calculation 3 3 3 3 2 18" xfId="34208" xr:uid="{00000000-0005-0000-0000-000087200000}"/>
    <cellStyle name="Calculation 3 3 3 3 2 19" xfId="35829" xr:uid="{00000000-0005-0000-0000-000088200000}"/>
    <cellStyle name="Calculation 3 3 3 3 2 2" xfId="16232" xr:uid="{00000000-0005-0000-0000-000089200000}"/>
    <cellStyle name="Calculation 3 3 3 3 2 20" xfId="36768" xr:uid="{00000000-0005-0000-0000-00008A200000}"/>
    <cellStyle name="Calculation 3 3 3 3 2 3" xfId="17210" xr:uid="{00000000-0005-0000-0000-00008B200000}"/>
    <cellStyle name="Calculation 3 3 3 3 2 4" xfId="18238" xr:uid="{00000000-0005-0000-0000-00008C200000}"/>
    <cellStyle name="Calculation 3 3 3 3 2 5" xfId="19270" xr:uid="{00000000-0005-0000-0000-00008D200000}"/>
    <cellStyle name="Calculation 3 3 3 3 2 6" xfId="20292" xr:uid="{00000000-0005-0000-0000-00008E200000}"/>
    <cellStyle name="Calculation 3 3 3 3 2 7" xfId="21301" xr:uid="{00000000-0005-0000-0000-00008F200000}"/>
    <cellStyle name="Calculation 3 3 3 3 2 8" xfId="22275" xr:uid="{00000000-0005-0000-0000-000090200000}"/>
    <cellStyle name="Calculation 3 3 3 3 2 9" xfId="23280" xr:uid="{00000000-0005-0000-0000-000091200000}"/>
    <cellStyle name="Calculation 3 3 3 3 20" xfId="35828" xr:uid="{00000000-0005-0000-0000-000092200000}"/>
    <cellStyle name="Calculation 3 3 3 3 21" xfId="36767" xr:uid="{00000000-0005-0000-0000-000093200000}"/>
    <cellStyle name="Calculation 3 3 3 3 3" xfId="16231" xr:uid="{00000000-0005-0000-0000-000094200000}"/>
    <cellStyle name="Calculation 3 3 3 3 4" xfId="17209" xr:uid="{00000000-0005-0000-0000-000095200000}"/>
    <cellStyle name="Calculation 3 3 3 3 5" xfId="18237" xr:uid="{00000000-0005-0000-0000-000096200000}"/>
    <cellStyle name="Calculation 3 3 3 3 6" xfId="19269" xr:uid="{00000000-0005-0000-0000-000097200000}"/>
    <cellStyle name="Calculation 3 3 3 3 7" xfId="20291" xr:uid="{00000000-0005-0000-0000-000098200000}"/>
    <cellStyle name="Calculation 3 3 3 3 8" xfId="21300" xr:uid="{00000000-0005-0000-0000-000099200000}"/>
    <cellStyle name="Calculation 3 3 3 3 9" xfId="22274" xr:uid="{00000000-0005-0000-0000-00009A200000}"/>
    <cellStyle name="Calculation 3 3 3 4" xfId="972" xr:uid="{00000000-0005-0000-0000-00009B200000}"/>
    <cellStyle name="Calculation 3 3 3 4 10" xfId="23281" xr:uid="{00000000-0005-0000-0000-00009C200000}"/>
    <cellStyle name="Calculation 3 3 3 4 11" xfId="24253" xr:uid="{00000000-0005-0000-0000-00009D200000}"/>
    <cellStyle name="Calculation 3 3 3 4 12" xfId="25252" xr:uid="{00000000-0005-0000-0000-00009E200000}"/>
    <cellStyle name="Calculation 3 3 3 4 13" xfId="28197" xr:uid="{00000000-0005-0000-0000-00009F200000}"/>
    <cellStyle name="Calculation 3 3 3 4 14" xfId="29166" xr:uid="{00000000-0005-0000-0000-0000A0200000}"/>
    <cellStyle name="Calculation 3 3 3 4 15" xfId="30205" xr:uid="{00000000-0005-0000-0000-0000A1200000}"/>
    <cellStyle name="Calculation 3 3 3 4 16" xfId="31198" xr:uid="{00000000-0005-0000-0000-0000A2200000}"/>
    <cellStyle name="Calculation 3 3 3 4 17" xfId="32207" xr:uid="{00000000-0005-0000-0000-0000A3200000}"/>
    <cellStyle name="Calculation 3 3 3 4 18" xfId="33210" xr:uid="{00000000-0005-0000-0000-0000A4200000}"/>
    <cellStyle name="Calculation 3 3 3 4 19" xfId="34209" xr:uid="{00000000-0005-0000-0000-0000A5200000}"/>
    <cellStyle name="Calculation 3 3 3 4 2" xfId="973" xr:uid="{00000000-0005-0000-0000-0000A6200000}"/>
    <cellStyle name="Calculation 3 3 3 4 2 10" xfId="24254" xr:uid="{00000000-0005-0000-0000-0000A7200000}"/>
    <cellStyle name="Calculation 3 3 3 4 2 11" xfId="25253" xr:uid="{00000000-0005-0000-0000-0000A8200000}"/>
    <cellStyle name="Calculation 3 3 3 4 2 12" xfId="28198" xr:uid="{00000000-0005-0000-0000-0000A9200000}"/>
    <cellStyle name="Calculation 3 3 3 4 2 13" xfId="29167" xr:uid="{00000000-0005-0000-0000-0000AA200000}"/>
    <cellStyle name="Calculation 3 3 3 4 2 14" xfId="30206" xr:uid="{00000000-0005-0000-0000-0000AB200000}"/>
    <cellStyle name="Calculation 3 3 3 4 2 15" xfId="31199" xr:uid="{00000000-0005-0000-0000-0000AC200000}"/>
    <cellStyle name="Calculation 3 3 3 4 2 16" xfId="32208" xr:uid="{00000000-0005-0000-0000-0000AD200000}"/>
    <cellStyle name="Calculation 3 3 3 4 2 17" xfId="33211" xr:uid="{00000000-0005-0000-0000-0000AE200000}"/>
    <cellStyle name="Calculation 3 3 3 4 2 18" xfId="34210" xr:uid="{00000000-0005-0000-0000-0000AF200000}"/>
    <cellStyle name="Calculation 3 3 3 4 2 19" xfId="35831" xr:uid="{00000000-0005-0000-0000-0000B0200000}"/>
    <cellStyle name="Calculation 3 3 3 4 2 2" xfId="16234" xr:uid="{00000000-0005-0000-0000-0000B1200000}"/>
    <cellStyle name="Calculation 3 3 3 4 2 20" xfId="36770" xr:uid="{00000000-0005-0000-0000-0000B2200000}"/>
    <cellStyle name="Calculation 3 3 3 4 2 3" xfId="17212" xr:uid="{00000000-0005-0000-0000-0000B3200000}"/>
    <cellStyle name="Calculation 3 3 3 4 2 4" xfId="18240" xr:uid="{00000000-0005-0000-0000-0000B4200000}"/>
    <cellStyle name="Calculation 3 3 3 4 2 5" xfId="19272" xr:uid="{00000000-0005-0000-0000-0000B5200000}"/>
    <cellStyle name="Calculation 3 3 3 4 2 6" xfId="20294" xr:uid="{00000000-0005-0000-0000-0000B6200000}"/>
    <cellStyle name="Calculation 3 3 3 4 2 7" xfId="21303" xr:uid="{00000000-0005-0000-0000-0000B7200000}"/>
    <cellStyle name="Calculation 3 3 3 4 2 8" xfId="22277" xr:uid="{00000000-0005-0000-0000-0000B8200000}"/>
    <cellStyle name="Calculation 3 3 3 4 2 9" xfId="23282" xr:uid="{00000000-0005-0000-0000-0000B9200000}"/>
    <cellStyle name="Calculation 3 3 3 4 20" xfId="35830" xr:uid="{00000000-0005-0000-0000-0000BA200000}"/>
    <cellStyle name="Calculation 3 3 3 4 21" xfId="36769" xr:uid="{00000000-0005-0000-0000-0000BB200000}"/>
    <cellStyle name="Calculation 3 3 3 4 3" xfId="16233" xr:uid="{00000000-0005-0000-0000-0000BC200000}"/>
    <cellStyle name="Calculation 3 3 3 4 4" xfId="17211" xr:uid="{00000000-0005-0000-0000-0000BD200000}"/>
    <cellStyle name="Calculation 3 3 3 4 5" xfId="18239" xr:uid="{00000000-0005-0000-0000-0000BE200000}"/>
    <cellStyle name="Calculation 3 3 3 4 6" xfId="19271" xr:uid="{00000000-0005-0000-0000-0000BF200000}"/>
    <cellStyle name="Calculation 3 3 3 4 7" xfId="20293" xr:uid="{00000000-0005-0000-0000-0000C0200000}"/>
    <cellStyle name="Calculation 3 3 3 4 8" xfId="21302" xr:uid="{00000000-0005-0000-0000-0000C1200000}"/>
    <cellStyle name="Calculation 3 3 3 4 9" xfId="22276" xr:uid="{00000000-0005-0000-0000-0000C2200000}"/>
    <cellStyle name="Calculation 3 3 3 5" xfId="974" xr:uid="{00000000-0005-0000-0000-0000C3200000}"/>
    <cellStyle name="Calculation 3 3 3 5 10" xfId="24255" xr:uid="{00000000-0005-0000-0000-0000C4200000}"/>
    <cellStyle name="Calculation 3 3 3 5 11" xfId="25254" xr:uid="{00000000-0005-0000-0000-0000C5200000}"/>
    <cellStyle name="Calculation 3 3 3 5 12" xfId="28199" xr:uid="{00000000-0005-0000-0000-0000C6200000}"/>
    <cellStyle name="Calculation 3 3 3 5 13" xfId="29168" xr:uid="{00000000-0005-0000-0000-0000C7200000}"/>
    <cellStyle name="Calculation 3 3 3 5 14" xfId="30207" xr:uid="{00000000-0005-0000-0000-0000C8200000}"/>
    <cellStyle name="Calculation 3 3 3 5 15" xfId="31200" xr:uid="{00000000-0005-0000-0000-0000C9200000}"/>
    <cellStyle name="Calculation 3 3 3 5 16" xfId="32209" xr:uid="{00000000-0005-0000-0000-0000CA200000}"/>
    <cellStyle name="Calculation 3 3 3 5 17" xfId="33212" xr:uid="{00000000-0005-0000-0000-0000CB200000}"/>
    <cellStyle name="Calculation 3 3 3 5 18" xfId="34211" xr:uid="{00000000-0005-0000-0000-0000CC200000}"/>
    <cellStyle name="Calculation 3 3 3 5 19" xfId="35832" xr:uid="{00000000-0005-0000-0000-0000CD200000}"/>
    <cellStyle name="Calculation 3 3 3 5 2" xfId="16235" xr:uid="{00000000-0005-0000-0000-0000CE200000}"/>
    <cellStyle name="Calculation 3 3 3 5 20" xfId="36771" xr:uid="{00000000-0005-0000-0000-0000CF200000}"/>
    <cellStyle name="Calculation 3 3 3 5 3" xfId="17213" xr:uid="{00000000-0005-0000-0000-0000D0200000}"/>
    <cellStyle name="Calculation 3 3 3 5 4" xfId="18241" xr:uid="{00000000-0005-0000-0000-0000D1200000}"/>
    <cellStyle name="Calculation 3 3 3 5 5" xfId="19273" xr:uid="{00000000-0005-0000-0000-0000D2200000}"/>
    <cellStyle name="Calculation 3 3 3 5 6" xfId="20295" xr:uid="{00000000-0005-0000-0000-0000D3200000}"/>
    <cellStyle name="Calculation 3 3 3 5 7" xfId="21304" xr:uid="{00000000-0005-0000-0000-0000D4200000}"/>
    <cellStyle name="Calculation 3 3 3 5 8" xfId="22278" xr:uid="{00000000-0005-0000-0000-0000D5200000}"/>
    <cellStyle name="Calculation 3 3 3 5 9" xfId="23283" xr:uid="{00000000-0005-0000-0000-0000D6200000}"/>
    <cellStyle name="Calculation 3 3 3 6" xfId="13953" xr:uid="{00000000-0005-0000-0000-0000D7200000}"/>
    <cellStyle name="Calculation 3 3 3 7" xfId="14824" xr:uid="{00000000-0005-0000-0000-0000D8200000}"/>
    <cellStyle name="Calculation 3 3 3 8" xfId="14449" xr:uid="{00000000-0005-0000-0000-0000D9200000}"/>
    <cellStyle name="Calculation 3 3 3 9" xfId="15759" xr:uid="{00000000-0005-0000-0000-0000DA200000}"/>
    <cellStyle name="Calculation 3 3 4" xfId="975" xr:uid="{00000000-0005-0000-0000-0000DB200000}"/>
    <cellStyle name="Calculation 3 3 4 10" xfId="23284" xr:uid="{00000000-0005-0000-0000-0000DC200000}"/>
    <cellStyle name="Calculation 3 3 4 11" xfId="24256" xr:uid="{00000000-0005-0000-0000-0000DD200000}"/>
    <cellStyle name="Calculation 3 3 4 12" xfId="25255" xr:uid="{00000000-0005-0000-0000-0000DE200000}"/>
    <cellStyle name="Calculation 3 3 4 13" xfId="28200" xr:uid="{00000000-0005-0000-0000-0000DF200000}"/>
    <cellStyle name="Calculation 3 3 4 14" xfId="29169" xr:uid="{00000000-0005-0000-0000-0000E0200000}"/>
    <cellStyle name="Calculation 3 3 4 15" xfId="30208" xr:uid="{00000000-0005-0000-0000-0000E1200000}"/>
    <cellStyle name="Calculation 3 3 4 16" xfId="31201" xr:uid="{00000000-0005-0000-0000-0000E2200000}"/>
    <cellStyle name="Calculation 3 3 4 17" xfId="32210" xr:uid="{00000000-0005-0000-0000-0000E3200000}"/>
    <cellStyle name="Calculation 3 3 4 18" xfId="33213" xr:uid="{00000000-0005-0000-0000-0000E4200000}"/>
    <cellStyle name="Calculation 3 3 4 19" xfId="34212" xr:uid="{00000000-0005-0000-0000-0000E5200000}"/>
    <cellStyle name="Calculation 3 3 4 2" xfId="976" xr:uid="{00000000-0005-0000-0000-0000E6200000}"/>
    <cellStyle name="Calculation 3 3 4 2 10" xfId="24257" xr:uid="{00000000-0005-0000-0000-0000E7200000}"/>
    <cellStyle name="Calculation 3 3 4 2 11" xfId="25256" xr:uid="{00000000-0005-0000-0000-0000E8200000}"/>
    <cellStyle name="Calculation 3 3 4 2 12" xfId="28201" xr:uid="{00000000-0005-0000-0000-0000E9200000}"/>
    <cellStyle name="Calculation 3 3 4 2 13" xfId="29170" xr:uid="{00000000-0005-0000-0000-0000EA200000}"/>
    <cellStyle name="Calculation 3 3 4 2 14" xfId="30209" xr:uid="{00000000-0005-0000-0000-0000EB200000}"/>
    <cellStyle name="Calculation 3 3 4 2 15" xfId="31202" xr:uid="{00000000-0005-0000-0000-0000EC200000}"/>
    <cellStyle name="Calculation 3 3 4 2 16" xfId="32211" xr:uid="{00000000-0005-0000-0000-0000ED200000}"/>
    <cellStyle name="Calculation 3 3 4 2 17" xfId="33214" xr:uid="{00000000-0005-0000-0000-0000EE200000}"/>
    <cellStyle name="Calculation 3 3 4 2 18" xfId="34213" xr:uid="{00000000-0005-0000-0000-0000EF200000}"/>
    <cellStyle name="Calculation 3 3 4 2 19" xfId="35834" xr:uid="{00000000-0005-0000-0000-0000F0200000}"/>
    <cellStyle name="Calculation 3 3 4 2 2" xfId="16237" xr:uid="{00000000-0005-0000-0000-0000F1200000}"/>
    <cellStyle name="Calculation 3 3 4 2 20" xfId="36773" xr:uid="{00000000-0005-0000-0000-0000F2200000}"/>
    <cellStyle name="Calculation 3 3 4 2 3" xfId="17215" xr:uid="{00000000-0005-0000-0000-0000F3200000}"/>
    <cellStyle name="Calculation 3 3 4 2 4" xfId="18243" xr:uid="{00000000-0005-0000-0000-0000F4200000}"/>
    <cellStyle name="Calculation 3 3 4 2 5" xfId="19275" xr:uid="{00000000-0005-0000-0000-0000F5200000}"/>
    <cellStyle name="Calculation 3 3 4 2 6" xfId="20297" xr:uid="{00000000-0005-0000-0000-0000F6200000}"/>
    <cellStyle name="Calculation 3 3 4 2 7" xfId="21306" xr:uid="{00000000-0005-0000-0000-0000F7200000}"/>
    <cellStyle name="Calculation 3 3 4 2 8" xfId="22280" xr:uid="{00000000-0005-0000-0000-0000F8200000}"/>
    <cellStyle name="Calculation 3 3 4 2 9" xfId="23285" xr:uid="{00000000-0005-0000-0000-0000F9200000}"/>
    <cellStyle name="Calculation 3 3 4 20" xfId="35833" xr:uid="{00000000-0005-0000-0000-0000FA200000}"/>
    <cellStyle name="Calculation 3 3 4 21" xfId="36772" xr:uid="{00000000-0005-0000-0000-0000FB200000}"/>
    <cellStyle name="Calculation 3 3 4 3" xfId="16236" xr:uid="{00000000-0005-0000-0000-0000FC200000}"/>
    <cellStyle name="Calculation 3 3 4 4" xfId="17214" xr:uid="{00000000-0005-0000-0000-0000FD200000}"/>
    <cellStyle name="Calculation 3 3 4 5" xfId="18242" xr:uid="{00000000-0005-0000-0000-0000FE200000}"/>
    <cellStyle name="Calculation 3 3 4 6" xfId="19274" xr:uid="{00000000-0005-0000-0000-0000FF200000}"/>
    <cellStyle name="Calculation 3 3 4 7" xfId="20296" xr:uid="{00000000-0005-0000-0000-000000210000}"/>
    <cellStyle name="Calculation 3 3 4 8" xfId="21305" xr:uid="{00000000-0005-0000-0000-000001210000}"/>
    <cellStyle name="Calculation 3 3 4 9" xfId="22279" xr:uid="{00000000-0005-0000-0000-000002210000}"/>
    <cellStyle name="Calculation 3 3 5" xfId="977" xr:uid="{00000000-0005-0000-0000-000003210000}"/>
    <cellStyle name="Calculation 3 3 5 10" xfId="23286" xr:uid="{00000000-0005-0000-0000-000004210000}"/>
    <cellStyle name="Calculation 3 3 5 11" xfId="24258" xr:uid="{00000000-0005-0000-0000-000005210000}"/>
    <cellStyle name="Calculation 3 3 5 12" xfId="25257" xr:uid="{00000000-0005-0000-0000-000006210000}"/>
    <cellStyle name="Calculation 3 3 5 13" xfId="28202" xr:uid="{00000000-0005-0000-0000-000007210000}"/>
    <cellStyle name="Calculation 3 3 5 14" xfId="29171" xr:uid="{00000000-0005-0000-0000-000008210000}"/>
    <cellStyle name="Calculation 3 3 5 15" xfId="30210" xr:uid="{00000000-0005-0000-0000-000009210000}"/>
    <cellStyle name="Calculation 3 3 5 16" xfId="31203" xr:uid="{00000000-0005-0000-0000-00000A210000}"/>
    <cellStyle name="Calculation 3 3 5 17" xfId="32212" xr:uid="{00000000-0005-0000-0000-00000B210000}"/>
    <cellStyle name="Calculation 3 3 5 18" xfId="33215" xr:uid="{00000000-0005-0000-0000-00000C210000}"/>
    <cellStyle name="Calculation 3 3 5 19" xfId="34214" xr:uid="{00000000-0005-0000-0000-00000D210000}"/>
    <cellStyle name="Calculation 3 3 5 2" xfId="978" xr:uid="{00000000-0005-0000-0000-00000E210000}"/>
    <cellStyle name="Calculation 3 3 5 2 10" xfId="24259" xr:uid="{00000000-0005-0000-0000-00000F210000}"/>
    <cellStyle name="Calculation 3 3 5 2 11" xfId="25258" xr:uid="{00000000-0005-0000-0000-000010210000}"/>
    <cellStyle name="Calculation 3 3 5 2 12" xfId="28203" xr:uid="{00000000-0005-0000-0000-000011210000}"/>
    <cellStyle name="Calculation 3 3 5 2 13" xfId="29172" xr:uid="{00000000-0005-0000-0000-000012210000}"/>
    <cellStyle name="Calculation 3 3 5 2 14" xfId="30211" xr:uid="{00000000-0005-0000-0000-000013210000}"/>
    <cellStyle name="Calculation 3 3 5 2 15" xfId="31204" xr:uid="{00000000-0005-0000-0000-000014210000}"/>
    <cellStyle name="Calculation 3 3 5 2 16" xfId="32213" xr:uid="{00000000-0005-0000-0000-000015210000}"/>
    <cellStyle name="Calculation 3 3 5 2 17" xfId="33216" xr:uid="{00000000-0005-0000-0000-000016210000}"/>
    <cellStyle name="Calculation 3 3 5 2 18" xfId="34215" xr:uid="{00000000-0005-0000-0000-000017210000}"/>
    <cellStyle name="Calculation 3 3 5 2 19" xfId="35836" xr:uid="{00000000-0005-0000-0000-000018210000}"/>
    <cellStyle name="Calculation 3 3 5 2 2" xfId="16239" xr:uid="{00000000-0005-0000-0000-000019210000}"/>
    <cellStyle name="Calculation 3 3 5 2 20" xfId="36775" xr:uid="{00000000-0005-0000-0000-00001A210000}"/>
    <cellStyle name="Calculation 3 3 5 2 3" xfId="17217" xr:uid="{00000000-0005-0000-0000-00001B210000}"/>
    <cellStyle name="Calculation 3 3 5 2 4" xfId="18245" xr:uid="{00000000-0005-0000-0000-00001C210000}"/>
    <cellStyle name="Calculation 3 3 5 2 5" xfId="19277" xr:uid="{00000000-0005-0000-0000-00001D210000}"/>
    <cellStyle name="Calculation 3 3 5 2 6" xfId="20299" xr:uid="{00000000-0005-0000-0000-00001E210000}"/>
    <cellStyle name="Calculation 3 3 5 2 7" xfId="21308" xr:uid="{00000000-0005-0000-0000-00001F210000}"/>
    <cellStyle name="Calculation 3 3 5 2 8" xfId="22282" xr:uid="{00000000-0005-0000-0000-000020210000}"/>
    <cellStyle name="Calculation 3 3 5 2 9" xfId="23287" xr:uid="{00000000-0005-0000-0000-000021210000}"/>
    <cellStyle name="Calculation 3 3 5 20" xfId="35835" xr:uid="{00000000-0005-0000-0000-000022210000}"/>
    <cellStyle name="Calculation 3 3 5 21" xfId="36774" xr:uid="{00000000-0005-0000-0000-000023210000}"/>
    <cellStyle name="Calculation 3 3 5 3" xfId="16238" xr:uid="{00000000-0005-0000-0000-000024210000}"/>
    <cellStyle name="Calculation 3 3 5 4" xfId="17216" xr:uid="{00000000-0005-0000-0000-000025210000}"/>
    <cellStyle name="Calculation 3 3 5 5" xfId="18244" xr:uid="{00000000-0005-0000-0000-000026210000}"/>
    <cellStyle name="Calculation 3 3 5 6" xfId="19276" xr:uid="{00000000-0005-0000-0000-000027210000}"/>
    <cellStyle name="Calculation 3 3 5 7" xfId="20298" xr:uid="{00000000-0005-0000-0000-000028210000}"/>
    <cellStyle name="Calculation 3 3 5 8" xfId="21307" xr:uid="{00000000-0005-0000-0000-000029210000}"/>
    <cellStyle name="Calculation 3 3 5 9" xfId="22281" xr:uid="{00000000-0005-0000-0000-00002A210000}"/>
    <cellStyle name="Calculation 3 3 6" xfId="979" xr:uid="{00000000-0005-0000-0000-00002B210000}"/>
    <cellStyle name="Calculation 3 3 6 10" xfId="23288" xr:uid="{00000000-0005-0000-0000-00002C210000}"/>
    <cellStyle name="Calculation 3 3 6 11" xfId="24260" xr:uid="{00000000-0005-0000-0000-00002D210000}"/>
    <cellStyle name="Calculation 3 3 6 12" xfId="25259" xr:uid="{00000000-0005-0000-0000-00002E210000}"/>
    <cellStyle name="Calculation 3 3 6 13" xfId="28204" xr:uid="{00000000-0005-0000-0000-00002F210000}"/>
    <cellStyle name="Calculation 3 3 6 14" xfId="29173" xr:uid="{00000000-0005-0000-0000-000030210000}"/>
    <cellStyle name="Calculation 3 3 6 15" xfId="30212" xr:uid="{00000000-0005-0000-0000-000031210000}"/>
    <cellStyle name="Calculation 3 3 6 16" xfId="31205" xr:uid="{00000000-0005-0000-0000-000032210000}"/>
    <cellStyle name="Calculation 3 3 6 17" xfId="32214" xr:uid="{00000000-0005-0000-0000-000033210000}"/>
    <cellStyle name="Calculation 3 3 6 18" xfId="33217" xr:uid="{00000000-0005-0000-0000-000034210000}"/>
    <cellStyle name="Calculation 3 3 6 19" xfId="34216" xr:uid="{00000000-0005-0000-0000-000035210000}"/>
    <cellStyle name="Calculation 3 3 6 2" xfId="980" xr:uid="{00000000-0005-0000-0000-000036210000}"/>
    <cellStyle name="Calculation 3 3 6 2 10" xfId="24261" xr:uid="{00000000-0005-0000-0000-000037210000}"/>
    <cellStyle name="Calculation 3 3 6 2 11" xfId="25260" xr:uid="{00000000-0005-0000-0000-000038210000}"/>
    <cellStyle name="Calculation 3 3 6 2 12" xfId="28205" xr:uid="{00000000-0005-0000-0000-000039210000}"/>
    <cellStyle name="Calculation 3 3 6 2 13" xfId="29174" xr:uid="{00000000-0005-0000-0000-00003A210000}"/>
    <cellStyle name="Calculation 3 3 6 2 14" xfId="30213" xr:uid="{00000000-0005-0000-0000-00003B210000}"/>
    <cellStyle name="Calculation 3 3 6 2 15" xfId="31206" xr:uid="{00000000-0005-0000-0000-00003C210000}"/>
    <cellStyle name="Calculation 3 3 6 2 16" xfId="32215" xr:uid="{00000000-0005-0000-0000-00003D210000}"/>
    <cellStyle name="Calculation 3 3 6 2 17" xfId="33218" xr:uid="{00000000-0005-0000-0000-00003E210000}"/>
    <cellStyle name="Calculation 3 3 6 2 18" xfId="34217" xr:uid="{00000000-0005-0000-0000-00003F210000}"/>
    <cellStyle name="Calculation 3 3 6 2 19" xfId="35838" xr:uid="{00000000-0005-0000-0000-000040210000}"/>
    <cellStyle name="Calculation 3 3 6 2 2" xfId="16241" xr:uid="{00000000-0005-0000-0000-000041210000}"/>
    <cellStyle name="Calculation 3 3 6 2 20" xfId="36777" xr:uid="{00000000-0005-0000-0000-000042210000}"/>
    <cellStyle name="Calculation 3 3 6 2 3" xfId="17219" xr:uid="{00000000-0005-0000-0000-000043210000}"/>
    <cellStyle name="Calculation 3 3 6 2 4" xfId="18247" xr:uid="{00000000-0005-0000-0000-000044210000}"/>
    <cellStyle name="Calculation 3 3 6 2 5" xfId="19279" xr:uid="{00000000-0005-0000-0000-000045210000}"/>
    <cellStyle name="Calculation 3 3 6 2 6" xfId="20301" xr:uid="{00000000-0005-0000-0000-000046210000}"/>
    <cellStyle name="Calculation 3 3 6 2 7" xfId="21310" xr:uid="{00000000-0005-0000-0000-000047210000}"/>
    <cellStyle name="Calculation 3 3 6 2 8" xfId="22284" xr:uid="{00000000-0005-0000-0000-000048210000}"/>
    <cellStyle name="Calculation 3 3 6 2 9" xfId="23289" xr:uid="{00000000-0005-0000-0000-000049210000}"/>
    <cellStyle name="Calculation 3 3 6 20" xfId="35837" xr:uid="{00000000-0005-0000-0000-00004A210000}"/>
    <cellStyle name="Calculation 3 3 6 21" xfId="36776" xr:uid="{00000000-0005-0000-0000-00004B210000}"/>
    <cellStyle name="Calculation 3 3 6 3" xfId="16240" xr:uid="{00000000-0005-0000-0000-00004C210000}"/>
    <cellStyle name="Calculation 3 3 6 4" xfId="17218" xr:uid="{00000000-0005-0000-0000-00004D210000}"/>
    <cellStyle name="Calculation 3 3 6 5" xfId="18246" xr:uid="{00000000-0005-0000-0000-00004E210000}"/>
    <cellStyle name="Calculation 3 3 6 6" xfId="19278" xr:uid="{00000000-0005-0000-0000-00004F210000}"/>
    <cellStyle name="Calculation 3 3 6 7" xfId="20300" xr:uid="{00000000-0005-0000-0000-000050210000}"/>
    <cellStyle name="Calculation 3 3 6 8" xfId="21309" xr:uid="{00000000-0005-0000-0000-000051210000}"/>
    <cellStyle name="Calculation 3 3 6 9" xfId="22283" xr:uid="{00000000-0005-0000-0000-000052210000}"/>
    <cellStyle name="Calculation 3 3 7" xfId="981" xr:uid="{00000000-0005-0000-0000-000053210000}"/>
    <cellStyle name="Calculation 3 3 7 10" xfId="24262" xr:uid="{00000000-0005-0000-0000-000054210000}"/>
    <cellStyle name="Calculation 3 3 7 11" xfId="25261" xr:uid="{00000000-0005-0000-0000-000055210000}"/>
    <cellStyle name="Calculation 3 3 7 12" xfId="28206" xr:uid="{00000000-0005-0000-0000-000056210000}"/>
    <cellStyle name="Calculation 3 3 7 13" xfId="29175" xr:uid="{00000000-0005-0000-0000-000057210000}"/>
    <cellStyle name="Calculation 3 3 7 14" xfId="30214" xr:uid="{00000000-0005-0000-0000-000058210000}"/>
    <cellStyle name="Calculation 3 3 7 15" xfId="31207" xr:uid="{00000000-0005-0000-0000-000059210000}"/>
    <cellStyle name="Calculation 3 3 7 16" xfId="32216" xr:uid="{00000000-0005-0000-0000-00005A210000}"/>
    <cellStyle name="Calculation 3 3 7 17" xfId="33219" xr:uid="{00000000-0005-0000-0000-00005B210000}"/>
    <cellStyle name="Calculation 3 3 7 18" xfId="34218" xr:uid="{00000000-0005-0000-0000-00005C210000}"/>
    <cellStyle name="Calculation 3 3 7 19" xfId="35839" xr:uid="{00000000-0005-0000-0000-00005D210000}"/>
    <cellStyle name="Calculation 3 3 7 2" xfId="16242" xr:uid="{00000000-0005-0000-0000-00005E210000}"/>
    <cellStyle name="Calculation 3 3 7 20" xfId="36778" xr:uid="{00000000-0005-0000-0000-00005F210000}"/>
    <cellStyle name="Calculation 3 3 7 3" xfId="17220" xr:uid="{00000000-0005-0000-0000-000060210000}"/>
    <cellStyle name="Calculation 3 3 7 4" xfId="18248" xr:uid="{00000000-0005-0000-0000-000061210000}"/>
    <cellStyle name="Calculation 3 3 7 5" xfId="19280" xr:uid="{00000000-0005-0000-0000-000062210000}"/>
    <cellStyle name="Calculation 3 3 7 6" xfId="20302" xr:uid="{00000000-0005-0000-0000-000063210000}"/>
    <cellStyle name="Calculation 3 3 7 7" xfId="21311" xr:uid="{00000000-0005-0000-0000-000064210000}"/>
    <cellStyle name="Calculation 3 3 7 8" xfId="22285" xr:uid="{00000000-0005-0000-0000-000065210000}"/>
    <cellStyle name="Calculation 3 3 7 9" xfId="23290" xr:uid="{00000000-0005-0000-0000-000066210000}"/>
    <cellStyle name="Calculation 3 3 8" xfId="13435" xr:uid="{00000000-0005-0000-0000-000067210000}"/>
    <cellStyle name="Calculation 3 3 9" xfId="14004" xr:uid="{00000000-0005-0000-0000-000068210000}"/>
    <cellStyle name="Calculation 3 4" xfId="982" xr:uid="{00000000-0005-0000-0000-000069210000}"/>
    <cellStyle name="Calculation 3 4 10" xfId="14029" xr:uid="{00000000-0005-0000-0000-00006A210000}"/>
    <cellStyle name="Calculation 3 4 11" xfId="14090" xr:uid="{00000000-0005-0000-0000-00006B210000}"/>
    <cellStyle name="Calculation 3 4 12" xfId="14670" xr:uid="{00000000-0005-0000-0000-00006C210000}"/>
    <cellStyle name="Calculation 3 4 13" xfId="13399" xr:uid="{00000000-0005-0000-0000-00006D210000}"/>
    <cellStyle name="Calculation 3 4 14" xfId="15582" xr:uid="{00000000-0005-0000-0000-00006E210000}"/>
    <cellStyle name="Calculation 3 4 15" xfId="15402" xr:uid="{00000000-0005-0000-0000-00006F210000}"/>
    <cellStyle name="Calculation 3 4 16" xfId="26287" xr:uid="{00000000-0005-0000-0000-000070210000}"/>
    <cellStyle name="Calculation 3 4 17" xfId="27197" xr:uid="{00000000-0005-0000-0000-000071210000}"/>
    <cellStyle name="Calculation 3 4 18" xfId="26137" xr:uid="{00000000-0005-0000-0000-000072210000}"/>
    <cellStyle name="Calculation 3 4 19" xfId="25882" xr:uid="{00000000-0005-0000-0000-000073210000}"/>
    <cellStyle name="Calculation 3 4 2" xfId="983" xr:uid="{00000000-0005-0000-0000-000074210000}"/>
    <cellStyle name="Calculation 3 4 2 10" xfId="14248" xr:uid="{00000000-0005-0000-0000-000075210000}"/>
    <cellStyle name="Calculation 3 4 2 11" xfId="14105" xr:uid="{00000000-0005-0000-0000-000076210000}"/>
    <cellStyle name="Calculation 3 4 2 12" xfId="26340" xr:uid="{00000000-0005-0000-0000-000077210000}"/>
    <cellStyle name="Calculation 3 4 2 13" xfId="27724" xr:uid="{00000000-0005-0000-0000-000078210000}"/>
    <cellStyle name="Calculation 3 4 2 14" xfId="27524" xr:uid="{00000000-0005-0000-0000-000079210000}"/>
    <cellStyle name="Calculation 3 4 2 15" xfId="26764" xr:uid="{00000000-0005-0000-0000-00007A210000}"/>
    <cellStyle name="Calculation 3 4 2 16" xfId="26892" xr:uid="{00000000-0005-0000-0000-00007B210000}"/>
    <cellStyle name="Calculation 3 4 2 17" xfId="30843" xr:uid="{00000000-0005-0000-0000-00007C210000}"/>
    <cellStyle name="Calculation 3 4 2 18" xfId="35035" xr:uid="{00000000-0005-0000-0000-00007D210000}"/>
    <cellStyle name="Calculation 3 4 2 19" xfId="35449" xr:uid="{00000000-0005-0000-0000-00007E210000}"/>
    <cellStyle name="Calculation 3 4 2 2" xfId="984" xr:uid="{00000000-0005-0000-0000-00007F210000}"/>
    <cellStyle name="Calculation 3 4 2 2 10" xfId="23291" xr:uid="{00000000-0005-0000-0000-000080210000}"/>
    <cellStyle name="Calculation 3 4 2 2 11" xfId="24263" xr:uid="{00000000-0005-0000-0000-000081210000}"/>
    <cellStyle name="Calculation 3 4 2 2 12" xfId="25262" xr:uid="{00000000-0005-0000-0000-000082210000}"/>
    <cellStyle name="Calculation 3 4 2 2 13" xfId="28207" xr:uid="{00000000-0005-0000-0000-000083210000}"/>
    <cellStyle name="Calculation 3 4 2 2 14" xfId="29176" xr:uid="{00000000-0005-0000-0000-000084210000}"/>
    <cellStyle name="Calculation 3 4 2 2 15" xfId="30215" xr:uid="{00000000-0005-0000-0000-000085210000}"/>
    <cellStyle name="Calculation 3 4 2 2 16" xfId="31208" xr:uid="{00000000-0005-0000-0000-000086210000}"/>
    <cellStyle name="Calculation 3 4 2 2 17" xfId="32217" xr:uid="{00000000-0005-0000-0000-000087210000}"/>
    <cellStyle name="Calculation 3 4 2 2 18" xfId="33220" xr:uid="{00000000-0005-0000-0000-000088210000}"/>
    <cellStyle name="Calculation 3 4 2 2 19" xfId="34219" xr:uid="{00000000-0005-0000-0000-000089210000}"/>
    <cellStyle name="Calculation 3 4 2 2 2" xfId="985" xr:uid="{00000000-0005-0000-0000-00008A210000}"/>
    <cellStyle name="Calculation 3 4 2 2 2 10" xfId="24264" xr:uid="{00000000-0005-0000-0000-00008B210000}"/>
    <cellStyle name="Calculation 3 4 2 2 2 11" xfId="25263" xr:uid="{00000000-0005-0000-0000-00008C210000}"/>
    <cellStyle name="Calculation 3 4 2 2 2 12" xfId="28208" xr:uid="{00000000-0005-0000-0000-00008D210000}"/>
    <cellStyle name="Calculation 3 4 2 2 2 13" xfId="29177" xr:uid="{00000000-0005-0000-0000-00008E210000}"/>
    <cellStyle name="Calculation 3 4 2 2 2 14" xfId="30216" xr:uid="{00000000-0005-0000-0000-00008F210000}"/>
    <cellStyle name="Calculation 3 4 2 2 2 15" xfId="31209" xr:uid="{00000000-0005-0000-0000-000090210000}"/>
    <cellStyle name="Calculation 3 4 2 2 2 16" xfId="32218" xr:uid="{00000000-0005-0000-0000-000091210000}"/>
    <cellStyle name="Calculation 3 4 2 2 2 17" xfId="33221" xr:uid="{00000000-0005-0000-0000-000092210000}"/>
    <cellStyle name="Calculation 3 4 2 2 2 18" xfId="34220" xr:uid="{00000000-0005-0000-0000-000093210000}"/>
    <cellStyle name="Calculation 3 4 2 2 2 19" xfId="35841" xr:uid="{00000000-0005-0000-0000-000094210000}"/>
    <cellStyle name="Calculation 3 4 2 2 2 2" xfId="16244" xr:uid="{00000000-0005-0000-0000-000095210000}"/>
    <cellStyle name="Calculation 3 4 2 2 2 20" xfId="36780" xr:uid="{00000000-0005-0000-0000-000096210000}"/>
    <cellStyle name="Calculation 3 4 2 2 2 3" xfId="17222" xr:uid="{00000000-0005-0000-0000-000097210000}"/>
    <cellStyle name="Calculation 3 4 2 2 2 4" xfId="18250" xr:uid="{00000000-0005-0000-0000-000098210000}"/>
    <cellStyle name="Calculation 3 4 2 2 2 5" xfId="19282" xr:uid="{00000000-0005-0000-0000-000099210000}"/>
    <cellStyle name="Calculation 3 4 2 2 2 6" xfId="20304" xr:uid="{00000000-0005-0000-0000-00009A210000}"/>
    <cellStyle name="Calculation 3 4 2 2 2 7" xfId="21313" xr:uid="{00000000-0005-0000-0000-00009B210000}"/>
    <cellStyle name="Calculation 3 4 2 2 2 8" xfId="22287" xr:uid="{00000000-0005-0000-0000-00009C210000}"/>
    <cellStyle name="Calculation 3 4 2 2 2 9" xfId="23292" xr:uid="{00000000-0005-0000-0000-00009D210000}"/>
    <cellStyle name="Calculation 3 4 2 2 20" xfId="35840" xr:uid="{00000000-0005-0000-0000-00009E210000}"/>
    <cellStyle name="Calculation 3 4 2 2 21" xfId="36779" xr:uid="{00000000-0005-0000-0000-00009F210000}"/>
    <cellStyle name="Calculation 3 4 2 2 3" xfId="16243" xr:uid="{00000000-0005-0000-0000-0000A0210000}"/>
    <cellStyle name="Calculation 3 4 2 2 4" xfId="17221" xr:uid="{00000000-0005-0000-0000-0000A1210000}"/>
    <cellStyle name="Calculation 3 4 2 2 5" xfId="18249" xr:uid="{00000000-0005-0000-0000-0000A2210000}"/>
    <cellStyle name="Calculation 3 4 2 2 6" xfId="19281" xr:uid="{00000000-0005-0000-0000-0000A3210000}"/>
    <cellStyle name="Calculation 3 4 2 2 7" xfId="20303" xr:uid="{00000000-0005-0000-0000-0000A4210000}"/>
    <cellStyle name="Calculation 3 4 2 2 8" xfId="21312" xr:uid="{00000000-0005-0000-0000-0000A5210000}"/>
    <cellStyle name="Calculation 3 4 2 2 9" xfId="22286" xr:uid="{00000000-0005-0000-0000-0000A6210000}"/>
    <cellStyle name="Calculation 3 4 2 3" xfId="986" xr:uid="{00000000-0005-0000-0000-0000A7210000}"/>
    <cellStyle name="Calculation 3 4 2 3 10" xfId="23293" xr:uid="{00000000-0005-0000-0000-0000A8210000}"/>
    <cellStyle name="Calculation 3 4 2 3 11" xfId="24265" xr:uid="{00000000-0005-0000-0000-0000A9210000}"/>
    <cellStyle name="Calculation 3 4 2 3 12" xfId="25264" xr:uid="{00000000-0005-0000-0000-0000AA210000}"/>
    <cellStyle name="Calculation 3 4 2 3 13" xfId="28209" xr:uid="{00000000-0005-0000-0000-0000AB210000}"/>
    <cellStyle name="Calculation 3 4 2 3 14" xfId="29178" xr:uid="{00000000-0005-0000-0000-0000AC210000}"/>
    <cellStyle name="Calculation 3 4 2 3 15" xfId="30217" xr:uid="{00000000-0005-0000-0000-0000AD210000}"/>
    <cellStyle name="Calculation 3 4 2 3 16" xfId="31210" xr:uid="{00000000-0005-0000-0000-0000AE210000}"/>
    <cellStyle name="Calculation 3 4 2 3 17" xfId="32219" xr:uid="{00000000-0005-0000-0000-0000AF210000}"/>
    <cellStyle name="Calculation 3 4 2 3 18" xfId="33222" xr:uid="{00000000-0005-0000-0000-0000B0210000}"/>
    <cellStyle name="Calculation 3 4 2 3 19" xfId="34221" xr:uid="{00000000-0005-0000-0000-0000B1210000}"/>
    <cellStyle name="Calculation 3 4 2 3 2" xfId="987" xr:uid="{00000000-0005-0000-0000-0000B2210000}"/>
    <cellStyle name="Calculation 3 4 2 3 2 10" xfId="24266" xr:uid="{00000000-0005-0000-0000-0000B3210000}"/>
    <cellStyle name="Calculation 3 4 2 3 2 11" xfId="25265" xr:uid="{00000000-0005-0000-0000-0000B4210000}"/>
    <cellStyle name="Calculation 3 4 2 3 2 12" xfId="28210" xr:uid="{00000000-0005-0000-0000-0000B5210000}"/>
    <cellStyle name="Calculation 3 4 2 3 2 13" xfId="29179" xr:uid="{00000000-0005-0000-0000-0000B6210000}"/>
    <cellStyle name="Calculation 3 4 2 3 2 14" xfId="30218" xr:uid="{00000000-0005-0000-0000-0000B7210000}"/>
    <cellStyle name="Calculation 3 4 2 3 2 15" xfId="31211" xr:uid="{00000000-0005-0000-0000-0000B8210000}"/>
    <cellStyle name="Calculation 3 4 2 3 2 16" xfId="32220" xr:uid="{00000000-0005-0000-0000-0000B9210000}"/>
    <cellStyle name="Calculation 3 4 2 3 2 17" xfId="33223" xr:uid="{00000000-0005-0000-0000-0000BA210000}"/>
    <cellStyle name="Calculation 3 4 2 3 2 18" xfId="34222" xr:uid="{00000000-0005-0000-0000-0000BB210000}"/>
    <cellStyle name="Calculation 3 4 2 3 2 19" xfId="35843" xr:uid="{00000000-0005-0000-0000-0000BC210000}"/>
    <cellStyle name="Calculation 3 4 2 3 2 2" xfId="16246" xr:uid="{00000000-0005-0000-0000-0000BD210000}"/>
    <cellStyle name="Calculation 3 4 2 3 2 20" xfId="36782" xr:uid="{00000000-0005-0000-0000-0000BE210000}"/>
    <cellStyle name="Calculation 3 4 2 3 2 3" xfId="17224" xr:uid="{00000000-0005-0000-0000-0000BF210000}"/>
    <cellStyle name="Calculation 3 4 2 3 2 4" xfId="18252" xr:uid="{00000000-0005-0000-0000-0000C0210000}"/>
    <cellStyle name="Calculation 3 4 2 3 2 5" xfId="19284" xr:uid="{00000000-0005-0000-0000-0000C1210000}"/>
    <cellStyle name="Calculation 3 4 2 3 2 6" xfId="20306" xr:uid="{00000000-0005-0000-0000-0000C2210000}"/>
    <cellStyle name="Calculation 3 4 2 3 2 7" xfId="21315" xr:uid="{00000000-0005-0000-0000-0000C3210000}"/>
    <cellStyle name="Calculation 3 4 2 3 2 8" xfId="22289" xr:uid="{00000000-0005-0000-0000-0000C4210000}"/>
    <cellStyle name="Calculation 3 4 2 3 2 9" xfId="23294" xr:uid="{00000000-0005-0000-0000-0000C5210000}"/>
    <cellStyle name="Calculation 3 4 2 3 20" xfId="35842" xr:uid="{00000000-0005-0000-0000-0000C6210000}"/>
    <cellStyle name="Calculation 3 4 2 3 21" xfId="36781" xr:uid="{00000000-0005-0000-0000-0000C7210000}"/>
    <cellStyle name="Calculation 3 4 2 3 3" xfId="16245" xr:uid="{00000000-0005-0000-0000-0000C8210000}"/>
    <cellStyle name="Calculation 3 4 2 3 4" xfId="17223" xr:uid="{00000000-0005-0000-0000-0000C9210000}"/>
    <cellStyle name="Calculation 3 4 2 3 5" xfId="18251" xr:uid="{00000000-0005-0000-0000-0000CA210000}"/>
    <cellStyle name="Calculation 3 4 2 3 6" xfId="19283" xr:uid="{00000000-0005-0000-0000-0000CB210000}"/>
    <cellStyle name="Calculation 3 4 2 3 7" xfId="20305" xr:uid="{00000000-0005-0000-0000-0000CC210000}"/>
    <cellStyle name="Calculation 3 4 2 3 8" xfId="21314" xr:uid="{00000000-0005-0000-0000-0000CD210000}"/>
    <cellStyle name="Calculation 3 4 2 3 9" xfId="22288" xr:uid="{00000000-0005-0000-0000-0000CE210000}"/>
    <cellStyle name="Calculation 3 4 2 4" xfId="988" xr:uid="{00000000-0005-0000-0000-0000CF210000}"/>
    <cellStyle name="Calculation 3 4 2 4 10" xfId="23295" xr:uid="{00000000-0005-0000-0000-0000D0210000}"/>
    <cellStyle name="Calculation 3 4 2 4 11" xfId="24267" xr:uid="{00000000-0005-0000-0000-0000D1210000}"/>
    <cellStyle name="Calculation 3 4 2 4 12" xfId="25266" xr:uid="{00000000-0005-0000-0000-0000D2210000}"/>
    <cellStyle name="Calculation 3 4 2 4 13" xfId="28211" xr:uid="{00000000-0005-0000-0000-0000D3210000}"/>
    <cellStyle name="Calculation 3 4 2 4 14" xfId="29180" xr:uid="{00000000-0005-0000-0000-0000D4210000}"/>
    <cellStyle name="Calculation 3 4 2 4 15" xfId="30219" xr:uid="{00000000-0005-0000-0000-0000D5210000}"/>
    <cellStyle name="Calculation 3 4 2 4 16" xfId="31212" xr:uid="{00000000-0005-0000-0000-0000D6210000}"/>
    <cellStyle name="Calculation 3 4 2 4 17" xfId="32221" xr:uid="{00000000-0005-0000-0000-0000D7210000}"/>
    <cellStyle name="Calculation 3 4 2 4 18" xfId="33224" xr:uid="{00000000-0005-0000-0000-0000D8210000}"/>
    <cellStyle name="Calculation 3 4 2 4 19" xfId="34223" xr:uid="{00000000-0005-0000-0000-0000D9210000}"/>
    <cellStyle name="Calculation 3 4 2 4 2" xfId="989" xr:uid="{00000000-0005-0000-0000-0000DA210000}"/>
    <cellStyle name="Calculation 3 4 2 4 2 10" xfId="24268" xr:uid="{00000000-0005-0000-0000-0000DB210000}"/>
    <cellStyle name="Calculation 3 4 2 4 2 11" xfId="25267" xr:uid="{00000000-0005-0000-0000-0000DC210000}"/>
    <cellStyle name="Calculation 3 4 2 4 2 12" xfId="28212" xr:uid="{00000000-0005-0000-0000-0000DD210000}"/>
    <cellStyle name="Calculation 3 4 2 4 2 13" xfId="29181" xr:uid="{00000000-0005-0000-0000-0000DE210000}"/>
    <cellStyle name="Calculation 3 4 2 4 2 14" xfId="30220" xr:uid="{00000000-0005-0000-0000-0000DF210000}"/>
    <cellStyle name="Calculation 3 4 2 4 2 15" xfId="31213" xr:uid="{00000000-0005-0000-0000-0000E0210000}"/>
    <cellStyle name="Calculation 3 4 2 4 2 16" xfId="32222" xr:uid="{00000000-0005-0000-0000-0000E1210000}"/>
    <cellStyle name="Calculation 3 4 2 4 2 17" xfId="33225" xr:uid="{00000000-0005-0000-0000-0000E2210000}"/>
    <cellStyle name="Calculation 3 4 2 4 2 18" xfId="34224" xr:uid="{00000000-0005-0000-0000-0000E3210000}"/>
    <cellStyle name="Calculation 3 4 2 4 2 19" xfId="35845" xr:uid="{00000000-0005-0000-0000-0000E4210000}"/>
    <cellStyle name="Calculation 3 4 2 4 2 2" xfId="16248" xr:uid="{00000000-0005-0000-0000-0000E5210000}"/>
    <cellStyle name="Calculation 3 4 2 4 2 20" xfId="36784" xr:uid="{00000000-0005-0000-0000-0000E6210000}"/>
    <cellStyle name="Calculation 3 4 2 4 2 3" xfId="17226" xr:uid="{00000000-0005-0000-0000-0000E7210000}"/>
    <cellStyle name="Calculation 3 4 2 4 2 4" xfId="18254" xr:uid="{00000000-0005-0000-0000-0000E8210000}"/>
    <cellStyle name="Calculation 3 4 2 4 2 5" xfId="19286" xr:uid="{00000000-0005-0000-0000-0000E9210000}"/>
    <cellStyle name="Calculation 3 4 2 4 2 6" xfId="20308" xr:uid="{00000000-0005-0000-0000-0000EA210000}"/>
    <cellStyle name="Calculation 3 4 2 4 2 7" xfId="21317" xr:uid="{00000000-0005-0000-0000-0000EB210000}"/>
    <cellStyle name="Calculation 3 4 2 4 2 8" xfId="22291" xr:uid="{00000000-0005-0000-0000-0000EC210000}"/>
    <cellStyle name="Calculation 3 4 2 4 2 9" xfId="23296" xr:uid="{00000000-0005-0000-0000-0000ED210000}"/>
    <cellStyle name="Calculation 3 4 2 4 20" xfId="35844" xr:uid="{00000000-0005-0000-0000-0000EE210000}"/>
    <cellStyle name="Calculation 3 4 2 4 21" xfId="36783" xr:uid="{00000000-0005-0000-0000-0000EF210000}"/>
    <cellStyle name="Calculation 3 4 2 4 3" xfId="16247" xr:uid="{00000000-0005-0000-0000-0000F0210000}"/>
    <cellStyle name="Calculation 3 4 2 4 4" xfId="17225" xr:uid="{00000000-0005-0000-0000-0000F1210000}"/>
    <cellStyle name="Calculation 3 4 2 4 5" xfId="18253" xr:uid="{00000000-0005-0000-0000-0000F2210000}"/>
    <cellStyle name="Calculation 3 4 2 4 6" xfId="19285" xr:uid="{00000000-0005-0000-0000-0000F3210000}"/>
    <cellStyle name="Calculation 3 4 2 4 7" xfId="20307" xr:uid="{00000000-0005-0000-0000-0000F4210000}"/>
    <cellStyle name="Calculation 3 4 2 4 8" xfId="21316" xr:uid="{00000000-0005-0000-0000-0000F5210000}"/>
    <cellStyle name="Calculation 3 4 2 4 9" xfId="22290" xr:uid="{00000000-0005-0000-0000-0000F6210000}"/>
    <cellStyle name="Calculation 3 4 2 5" xfId="990" xr:uid="{00000000-0005-0000-0000-0000F7210000}"/>
    <cellStyle name="Calculation 3 4 2 5 10" xfId="24269" xr:uid="{00000000-0005-0000-0000-0000F8210000}"/>
    <cellStyle name="Calculation 3 4 2 5 11" xfId="25268" xr:uid="{00000000-0005-0000-0000-0000F9210000}"/>
    <cellStyle name="Calculation 3 4 2 5 12" xfId="28213" xr:uid="{00000000-0005-0000-0000-0000FA210000}"/>
    <cellStyle name="Calculation 3 4 2 5 13" xfId="29182" xr:uid="{00000000-0005-0000-0000-0000FB210000}"/>
    <cellStyle name="Calculation 3 4 2 5 14" xfId="30221" xr:uid="{00000000-0005-0000-0000-0000FC210000}"/>
    <cellStyle name="Calculation 3 4 2 5 15" xfId="31214" xr:uid="{00000000-0005-0000-0000-0000FD210000}"/>
    <cellStyle name="Calculation 3 4 2 5 16" xfId="32223" xr:uid="{00000000-0005-0000-0000-0000FE210000}"/>
    <cellStyle name="Calculation 3 4 2 5 17" xfId="33226" xr:uid="{00000000-0005-0000-0000-0000FF210000}"/>
    <cellStyle name="Calculation 3 4 2 5 18" xfId="34225" xr:uid="{00000000-0005-0000-0000-000000220000}"/>
    <cellStyle name="Calculation 3 4 2 5 19" xfId="35846" xr:uid="{00000000-0005-0000-0000-000001220000}"/>
    <cellStyle name="Calculation 3 4 2 5 2" xfId="16249" xr:uid="{00000000-0005-0000-0000-000002220000}"/>
    <cellStyle name="Calculation 3 4 2 5 20" xfId="36785" xr:uid="{00000000-0005-0000-0000-000003220000}"/>
    <cellStyle name="Calculation 3 4 2 5 3" xfId="17227" xr:uid="{00000000-0005-0000-0000-000004220000}"/>
    <cellStyle name="Calculation 3 4 2 5 4" xfId="18255" xr:uid="{00000000-0005-0000-0000-000005220000}"/>
    <cellStyle name="Calculation 3 4 2 5 5" xfId="19287" xr:uid="{00000000-0005-0000-0000-000006220000}"/>
    <cellStyle name="Calculation 3 4 2 5 6" xfId="20309" xr:uid="{00000000-0005-0000-0000-000007220000}"/>
    <cellStyle name="Calculation 3 4 2 5 7" xfId="21318" xr:uid="{00000000-0005-0000-0000-000008220000}"/>
    <cellStyle name="Calculation 3 4 2 5 8" xfId="22292" xr:uid="{00000000-0005-0000-0000-000009220000}"/>
    <cellStyle name="Calculation 3 4 2 5 9" xfId="23297" xr:uid="{00000000-0005-0000-0000-00000A220000}"/>
    <cellStyle name="Calculation 3 4 2 6" xfId="13746" xr:uid="{00000000-0005-0000-0000-00000B220000}"/>
    <cellStyle name="Calculation 3 4 2 7" xfId="14007" xr:uid="{00000000-0005-0000-0000-00000C220000}"/>
    <cellStyle name="Calculation 3 4 2 8" xfId="13598" xr:uid="{00000000-0005-0000-0000-00000D220000}"/>
    <cellStyle name="Calculation 3 4 2 9" xfId="15626" xr:uid="{00000000-0005-0000-0000-00000E220000}"/>
    <cellStyle name="Calculation 3 4 20" xfId="27336" xr:uid="{00000000-0005-0000-0000-00000F220000}"/>
    <cellStyle name="Calculation 3 4 21" xfId="27802" xr:uid="{00000000-0005-0000-0000-000010220000}"/>
    <cellStyle name="Calculation 3 4 22" xfId="34983" xr:uid="{00000000-0005-0000-0000-000011220000}"/>
    <cellStyle name="Calculation 3 4 23" xfId="35470" xr:uid="{00000000-0005-0000-0000-000012220000}"/>
    <cellStyle name="Calculation 3 4 3" xfId="991" xr:uid="{00000000-0005-0000-0000-000013220000}"/>
    <cellStyle name="Calculation 3 4 3 10" xfId="14698" xr:uid="{00000000-0005-0000-0000-000014220000}"/>
    <cellStyle name="Calculation 3 4 3 11" xfId="14983" xr:uid="{00000000-0005-0000-0000-000015220000}"/>
    <cellStyle name="Calculation 3 4 3 12" xfId="26479" xr:uid="{00000000-0005-0000-0000-000016220000}"/>
    <cellStyle name="Calculation 3 4 3 13" xfId="27071" xr:uid="{00000000-0005-0000-0000-000017220000}"/>
    <cellStyle name="Calculation 3 4 3 14" xfId="26182" xr:uid="{00000000-0005-0000-0000-000018220000}"/>
    <cellStyle name="Calculation 3 4 3 15" xfId="27502" xr:uid="{00000000-0005-0000-0000-000019220000}"/>
    <cellStyle name="Calculation 3 4 3 16" xfId="27622" xr:uid="{00000000-0005-0000-0000-00001A220000}"/>
    <cellStyle name="Calculation 3 4 3 17" xfId="26843" xr:uid="{00000000-0005-0000-0000-00001B220000}"/>
    <cellStyle name="Calculation 3 4 3 18" xfId="35162" xr:uid="{00000000-0005-0000-0000-00001C220000}"/>
    <cellStyle name="Calculation 3 4 3 19" xfId="35226" xr:uid="{00000000-0005-0000-0000-00001D220000}"/>
    <cellStyle name="Calculation 3 4 3 2" xfId="992" xr:uid="{00000000-0005-0000-0000-00001E220000}"/>
    <cellStyle name="Calculation 3 4 3 2 10" xfId="23298" xr:uid="{00000000-0005-0000-0000-00001F220000}"/>
    <cellStyle name="Calculation 3 4 3 2 11" xfId="24270" xr:uid="{00000000-0005-0000-0000-000020220000}"/>
    <cellStyle name="Calculation 3 4 3 2 12" xfId="25269" xr:uid="{00000000-0005-0000-0000-000021220000}"/>
    <cellStyle name="Calculation 3 4 3 2 13" xfId="28214" xr:uid="{00000000-0005-0000-0000-000022220000}"/>
    <cellStyle name="Calculation 3 4 3 2 14" xfId="29183" xr:uid="{00000000-0005-0000-0000-000023220000}"/>
    <cellStyle name="Calculation 3 4 3 2 15" xfId="30222" xr:uid="{00000000-0005-0000-0000-000024220000}"/>
    <cellStyle name="Calculation 3 4 3 2 16" xfId="31215" xr:uid="{00000000-0005-0000-0000-000025220000}"/>
    <cellStyle name="Calculation 3 4 3 2 17" xfId="32224" xr:uid="{00000000-0005-0000-0000-000026220000}"/>
    <cellStyle name="Calculation 3 4 3 2 18" xfId="33227" xr:uid="{00000000-0005-0000-0000-000027220000}"/>
    <cellStyle name="Calculation 3 4 3 2 19" xfId="34226" xr:uid="{00000000-0005-0000-0000-000028220000}"/>
    <cellStyle name="Calculation 3 4 3 2 2" xfId="993" xr:uid="{00000000-0005-0000-0000-000029220000}"/>
    <cellStyle name="Calculation 3 4 3 2 2 10" xfId="24271" xr:uid="{00000000-0005-0000-0000-00002A220000}"/>
    <cellStyle name="Calculation 3 4 3 2 2 11" xfId="25270" xr:uid="{00000000-0005-0000-0000-00002B220000}"/>
    <cellStyle name="Calculation 3 4 3 2 2 12" xfId="28215" xr:uid="{00000000-0005-0000-0000-00002C220000}"/>
    <cellStyle name="Calculation 3 4 3 2 2 13" xfId="29184" xr:uid="{00000000-0005-0000-0000-00002D220000}"/>
    <cellStyle name="Calculation 3 4 3 2 2 14" xfId="30223" xr:uid="{00000000-0005-0000-0000-00002E220000}"/>
    <cellStyle name="Calculation 3 4 3 2 2 15" xfId="31216" xr:uid="{00000000-0005-0000-0000-00002F220000}"/>
    <cellStyle name="Calculation 3 4 3 2 2 16" xfId="32225" xr:uid="{00000000-0005-0000-0000-000030220000}"/>
    <cellStyle name="Calculation 3 4 3 2 2 17" xfId="33228" xr:uid="{00000000-0005-0000-0000-000031220000}"/>
    <cellStyle name="Calculation 3 4 3 2 2 18" xfId="34227" xr:uid="{00000000-0005-0000-0000-000032220000}"/>
    <cellStyle name="Calculation 3 4 3 2 2 19" xfId="35848" xr:uid="{00000000-0005-0000-0000-000033220000}"/>
    <cellStyle name="Calculation 3 4 3 2 2 2" xfId="16251" xr:uid="{00000000-0005-0000-0000-000034220000}"/>
    <cellStyle name="Calculation 3 4 3 2 2 20" xfId="36787" xr:uid="{00000000-0005-0000-0000-000035220000}"/>
    <cellStyle name="Calculation 3 4 3 2 2 3" xfId="17229" xr:uid="{00000000-0005-0000-0000-000036220000}"/>
    <cellStyle name="Calculation 3 4 3 2 2 4" xfId="18257" xr:uid="{00000000-0005-0000-0000-000037220000}"/>
    <cellStyle name="Calculation 3 4 3 2 2 5" xfId="19289" xr:uid="{00000000-0005-0000-0000-000038220000}"/>
    <cellStyle name="Calculation 3 4 3 2 2 6" xfId="20311" xr:uid="{00000000-0005-0000-0000-000039220000}"/>
    <cellStyle name="Calculation 3 4 3 2 2 7" xfId="21320" xr:uid="{00000000-0005-0000-0000-00003A220000}"/>
    <cellStyle name="Calculation 3 4 3 2 2 8" xfId="22294" xr:uid="{00000000-0005-0000-0000-00003B220000}"/>
    <cellStyle name="Calculation 3 4 3 2 2 9" xfId="23299" xr:uid="{00000000-0005-0000-0000-00003C220000}"/>
    <cellStyle name="Calculation 3 4 3 2 20" xfId="35847" xr:uid="{00000000-0005-0000-0000-00003D220000}"/>
    <cellStyle name="Calculation 3 4 3 2 21" xfId="36786" xr:uid="{00000000-0005-0000-0000-00003E220000}"/>
    <cellStyle name="Calculation 3 4 3 2 3" xfId="16250" xr:uid="{00000000-0005-0000-0000-00003F220000}"/>
    <cellStyle name="Calculation 3 4 3 2 4" xfId="17228" xr:uid="{00000000-0005-0000-0000-000040220000}"/>
    <cellStyle name="Calculation 3 4 3 2 5" xfId="18256" xr:uid="{00000000-0005-0000-0000-000041220000}"/>
    <cellStyle name="Calculation 3 4 3 2 6" xfId="19288" xr:uid="{00000000-0005-0000-0000-000042220000}"/>
    <cellStyle name="Calculation 3 4 3 2 7" xfId="20310" xr:uid="{00000000-0005-0000-0000-000043220000}"/>
    <cellStyle name="Calculation 3 4 3 2 8" xfId="21319" xr:uid="{00000000-0005-0000-0000-000044220000}"/>
    <cellStyle name="Calculation 3 4 3 2 9" xfId="22293" xr:uid="{00000000-0005-0000-0000-000045220000}"/>
    <cellStyle name="Calculation 3 4 3 3" xfId="994" xr:uid="{00000000-0005-0000-0000-000046220000}"/>
    <cellStyle name="Calculation 3 4 3 3 10" xfId="23300" xr:uid="{00000000-0005-0000-0000-000047220000}"/>
    <cellStyle name="Calculation 3 4 3 3 11" xfId="24272" xr:uid="{00000000-0005-0000-0000-000048220000}"/>
    <cellStyle name="Calculation 3 4 3 3 12" xfId="25271" xr:uid="{00000000-0005-0000-0000-000049220000}"/>
    <cellStyle name="Calculation 3 4 3 3 13" xfId="28216" xr:uid="{00000000-0005-0000-0000-00004A220000}"/>
    <cellStyle name="Calculation 3 4 3 3 14" xfId="29185" xr:uid="{00000000-0005-0000-0000-00004B220000}"/>
    <cellStyle name="Calculation 3 4 3 3 15" xfId="30224" xr:uid="{00000000-0005-0000-0000-00004C220000}"/>
    <cellStyle name="Calculation 3 4 3 3 16" xfId="31217" xr:uid="{00000000-0005-0000-0000-00004D220000}"/>
    <cellStyle name="Calculation 3 4 3 3 17" xfId="32226" xr:uid="{00000000-0005-0000-0000-00004E220000}"/>
    <cellStyle name="Calculation 3 4 3 3 18" xfId="33229" xr:uid="{00000000-0005-0000-0000-00004F220000}"/>
    <cellStyle name="Calculation 3 4 3 3 19" xfId="34228" xr:uid="{00000000-0005-0000-0000-000050220000}"/>
    <cellStyle name="Calculation 3 4 3 3 2" xfId="995" xr:uid="{00000000-0005-0000-0000-000051220000}"/>
    <cellStyle name="Calculation 3 4 3 3 2 10" xfId="24273" xr:uid="{00000000-0005-0000-0000-000052220000}"/>
    <cellStyle name="Calculation 3 4 3 3 2 11" xfId="25272" xr:uid="{00000000-0005-0000-0000-000053220000}"/>
    <cellStyle name="Calculation 3 4 3 3 2 12" xfId="28217" xr:uid="{00000000-0005-0000-0000-000054220000}"/>
    <cellStyle name="Calculation 3 4 3 3 2 13" xfId="29186" xr:uid="{00000000-0005-0000-0000-000055220000}"/>
    <cellStyle name="Calculation 3 4 3 3 2 14" xfId="30225" xr:uid="{00000000-0005-0000-0000-000056220000}"/>
    <cellStyle name="Calculation 3 4 3 3 2 15" xfId="31218" xr:uid="{00000000-0005-0000-0000-000057220000}"/>
    <cellStyle name="Calculation 3 4 3 3 2 16" xfId="32227" xr:uid="{00000000-0005-0000-0000-000058220000}"/>
    <cellStyle name="Calculation 3 4 3 3 2 17" xfId="33230" xr:uid="{00000000-0005-0000-0000-000059220000}"/>
    <cellStyle name="Calculation 3 4 3 3 2 18" xfId="34229" xr:uid="{00000000-0005-0000-0000-00005A220000}"/>
    <cellStyle name="Calculation 3 4 3 3 2 19" xfId="35850" xr:uid="{00000000-0005-0000-0000-00005B220000}"/>
    <cellStyle name="Calculation 3 4 3 3 2 2" xfId="16253" xr:uid="{00000000-0005-0000-0000-00005C220000}"/>
    <cellStyle name="Calculation 3 4 3 3 2 20" xfId="36789" xr:uid="{00000000-0005-0000-0000-00005D220000}"/>
    <cellStyle name="Calculation 3 4 3 3 2 3" xfId="17231" xr:uid="{00000000-0005-0000-0000-00005E220000}"/>
    <cellStyle name="Calculation 3 4 3 3 2 4" xfId="18259" xr:uid="{00000000-0005-0000-0000-00005F220000}"/>
    <cellStyle name="Calculation 3 4 3 3 2 5" xfId="19291" xr:uid="{00000000-0005-0000-0000-000060220000}"/>
    <cellStyle name="Calculation 3 4 3 3 2 6" xfId="20313" xr:uid="{00000000-0005-0000-0000-000061220000}"/>
    <cellStyle name="Calculation 3 4 3 3 2 7" xfId="21322" xr:uid="{00000000-0005-0000-0000-000062220000}"/>
    <cellStyle name="Calculation 3 4 3 3 2 8" xfId="22296" xr:uid="{00000000-0005-0000-0000-000063220000}"/>
    <cellStyle name="Calculation 3 4 3 3 2 9" xfId="23301" xr:uid="{00000000-0005-0000-0000-000064220000}"/>
    <cellStyle name="Calculation 3 4 3 3 20" xfId="35849" xr:uid="{00000000-0005-0000-0000-000065220000}"/>
    <cellStyle name="Calculation 3 4 3 3 21" xfId="36788" xr:uid="{00000000-0005-0000-0000-000066220000}"/>
    <cellStyle name="Calculation 3 4 3 3 3" xfId="16252" xr:uid="{00000000-0005-0000-0000-000067220000}"/>
    <cellStyle name="Calculation 3 4 3 3 4" xfId="17230" xr:uid="{00000000-0005-0000-0000-000068220000}"/>
    <cellStyle name="Calculation 3 4 3 3 5" xfId="18258" xr:uid="{00000000-0005-0000-0000-000069220000}"/>
    <cellStyle name="Calculation 3 4 3 3 6" xfId="19290" xr:uid="{00000000-0005-0000-0000-00006A220000}"/>
    <cellStyle name="Calculation 3 4 3 3 7" xfId="20312" xr:uid="{00000000-0005-0000-0000-00006B220000}"/>
    <cellStyle name="Calculation 3 4 3 3 8" xfId="21321" xr:uid="{00000000-0005-0000-0000-00006C220000}"/>
    <cellStyle name="Calculation 3 4 3 3 9" xfId="22295" xr:uid="{00000000-0005-0000-0000-00006D220000}"/>
    <cellStyle name="Calculation 3 4 3 4" xfId="996" xr:uid="{00000000-0005-0000-0000-00006E220000}"/>
    <cellStyle name="Calculation 3 4 3 4 10" xfId="23302" xr:uid="{00000000-0005-0000-0000-00006F220000}"/>
    <cellStyle name="Calculation 3 4 3 4 11" xfId="24274" xr:uid="{00000000-0005-0000-0000-000070220000}"/>
    <cellStyle name="Calculation 3 4 3 4 12" xfId="25273" xr:uid="{00000000-0005-0000-0000-000071220000}"/>
    <cellStyle name="Calculation 3 4 3 4 13" xfId="28218" xr:uid="{00000000-0005-0000-0000-000072220000}"/>
    <cellStyle name="Calculation 3 4 3 4 14" xfId="29187" xr:uid="{00000000-0005-0000-0000-000073220000}"/>
    <cellStyle name="Calculation 3 4 3 4 15" xfId="30226" xr:uid="{00000000-0005-0000-0000-000074220000}"/>
    <cellStyle name="Calculation 3 4 3 4 16" xfId="31219" xr:uid="{00000000-0005-0000-0000-000075220000}"/>
    <cellStyle name="Calculation 3 4 3 4 17" xfId="32228" xr:uid="{00000000-0005-0000-0000-000076220000}"/>
    <cellStyle name="Calculation 3 4 3 4 18" xfId="33231" xr:uid="{00000000-0005-0000-0000-000077220000}"/>
    <cellStyle name="Calculation 3 4 3 4 19" xfId="34230" xr:uid="{00000000-0005-0000-0000-000078220000}"/>
    <cellStyle name="Calculation 3 4 3 4 2" xfId="997" xr:uid="{00000000-0005-0000-0000-000079220000}"/>
    <cellStyle name="Calculation 3 4 3 4 2 10" xfId="24275" xr:uid="{00000000-0005-0000-0000-00007A220000}"/>
    <cellStyle name="Calculation 3 4 3 4 2 11" xfId="25274" xr:uid="{00000000-0005-0000-0000-00007B220000}"/>
    <cellStyle name="Calculation 3 4 3 4 2 12" xfId="28219" xr:uid="{00000000-0005-0000-0000-00007C220000}"/>
    <cellStyle name="Calculation 3 4 3 4 2 13" xfId="29188" xr:uid="{00000000-0005-0000-0000-00007D220000}"/>
    <cellStyle name="Calculation 3 4 3 4 2 14" xfId="30227" xr:uid="{00000000-0005-0000-0000-00007E220000}"/>
    <cellStyle name="Calculation 3 4 3 4 2 15" xfId="31220" xr:uid="{00000000-0005-0000-0000-00007F220000}"/>
    <cellStyle name="Calculation 3 4 3 4 2 16" xfId="32229" xr:uid="{00000000-0005-0000-0000-000080220000}"/>
    <cellStyle name="Calculation 3 4 3 4 2 17" xfId="33232" xr:uid="{00000000-0005-0000-0000-000081220000}"/>
    <cellStyle name="Calculation 3 4 3 4 2 18" xfId="34231" xr:uid="{00000000-0005-0000-0000-000082220000}"/>
    <cellStyle name="Calculation 3 4 3 4 2 19" xfId="35852" xr:uid="{00000000-0005-0000-0000-000083220000}"/>
    <cellStyle name="Calculation 3 4 3 4 2 2" xfId="16255" xr:uid="{00000000-0005-0000-0000-000084220000}"/>
    <cellStyle name="Calculation 3 4 3 4 2 20" xfId="36791" xr:uid="{00000000-0005-0000-0000-000085220000}"/>
    <cellStyle name="Calculation 3 4 3 4 2 3" xfId="17233" xr:uid="{00000000-0005-0000-0000-000086220000}"/>
    <cellStyle name="Calculation 3 4 3 4 2 4" xfId="18261" xr:uid="{00000000-0005-0000-0000-000087220000}"/>
    <cellStyle name="Calculation 3 4 3 4 2 5" xfId="19293" xr:uid="{00000000-0005-0000-0000-000088220000}"/>
    <cellStyle name="Calculation 3 4 3 4 2 6" xfId="20315" xr:uid="{00000000-0005-0000-0000-000089220000}"/>
    <cellStyle name="Calculation 3 4 3 4 2 7" xfId="21324" xr:uid="{00000000-0005-0000-0000-00008A220000}"/>
    <cellStyle name="Calculation 3 4 3 4 2 8" xfId="22298" xr:uid="{00000000-0005-0000-0000-00008B220000}"/>
    <cellStyle name="Calculation 3 4 3 4 2 9" xfId="23303" xr:uid="{00000000-0005-0000-0000-00008C220000}"/>
    <cellStyle name="Calculation 3 4 3 4 20" xfId="35851" xr:uid="{00000000-0005-0000-0000-00008D220000}"/>
    <cellStyle name="Calculation 3 4 3 4 21" xfId="36790" xr:uid="{00000000-0005-0000-0000-00008E220000}"/>
    <cellStyle name="Calculation 3 4 3 4 3" xfId="16254" xr:uid="{00000000-0005-0000-0000-00008F220000}"/>
    <cellStyle name="Calculation 3 4 3 4 4" xfId="17232" xr:uid="{00000000-0005-0000-0000-000090220000}"/>
    <cellStyle name="Calculation 3 4 3 4 5" xfId="18260" xr:uid="{00000000-0005-0000-0000-000091220000}"/>
    <cellStyle name="Calculation 3 4 3 4 6" xfId="19292" xr:uid="{00000000-0005-0000-0000-000092220000}"/>
    <cellStyle name="Calculation 3 4 3 4 7" xfId="20314" xr:uid="{00000000-0005-0000-0000-000093220000}"/>
    <cellStyle name="Calculation 3 4 3 4 8" xfId="21323" xr:uid="{00000000-0005-0000-0000-000094220000}"/>
    <cellStyle name="Calculation 3 4 3 4 9" xfId="22297" xr:uid="{00000000-0005-0000-0000-000095220000}"/>
    <cellStyle name="Calculation 3 4 3 5" xfId="998" xr:uid="{00000000-0005-0000-0000-000096220000}"/>
    <cellStyle name="Calculation 3 4 3 5 10" xfId="24276" xr:uid="{00000000-0005-0000-0000-000097220000}"/>
    <cellStyle name="Calculation 3 4 3 5 11" xfId="25275" xr:uid="{00000000-0005-0000-0000-000098220000}"/>
    <cellStyle name="Calculation 3 4 3 5 12" xfId="28220" xr:uid="{00000000-0005-0000-0000-000099220000}"/>
    <cellStyle name="Calculation 3 4 3 5 13" xfId="29189" xr:uid="{00000000-0005-0000-0000-00009A220000}"/>
    <cellStyle name="Calculation 3 4 3 5 14" xfId="30228" xr:uid="{00000000-0005-0000-0000-00009B220000}"/>
    <cellStyle name="Calculation 3 4 3 5 15" xfId="31221" xr:uid="{00000000-0005-0000-0000-00009C220000}"/>
    <cellStyle name="Calculation 3 4 3 5 16" xfId="32230" xr:uid="{00000000-0005-0000-0000-00009D220000}"/>
    <cellStyle name="Calculation 3 4 3 5 17" xfId="33233" xr:uid="{00000000-0005-0000-0000-00009E220000}"/>
    <cellStyle name="Calculation 3 4 3 5 18" xfId="34232" xr:uid="{00000000-0005-0000-0000-00009F220000}"/>
    <cellStyle name="Calculation 3 4 3 5 19" xfId="35853" xr:uid="{00000000-0005-0000-0000-0000A0220000}"/>
    <cellStyle name="Calculation 3 4 3 5 2" xfId="16256" xr:uid="{00000000-0005-0000-0000-0000A1220000}"/>
    <cellStyle name="Calculation 3 4 3 5 20" xfId="36792" xr:uid="{00000000-0005-0000-0000-0000A2220000}"/>
    <cellStyle name="Calculation 3 4 3 5 3" xfId="17234" xr:uid="{00000000-0005-0000-0000-0000A3220000}"/>
    <cellStyle name="Calculation 3 4 3 5 4" xfId="18262" xr:uid="{00000000-0005-0000-0000-0000A4220000}"/>
    <cellStyle name="Calculation 3 4 3 5 5" xfId="19294" xr:uid="{00000000-0005-0000-0000-0000A5220000}"/>
    <cellStyle name="Calculation 3 4 3 5 6" xfId="20316" xr:uid="{00000000-0005-0000-0000-0000A6220000}"/>
    <cellStyle name="Calculation 3 4 3 5 7" xfId="21325" xr:uid="{00000000-0005-0000-0000-0000A7220000}"/>
    <cellStyle name="Calculation 3 4 3 5 8" xfId="22299" xr:uid="{00000000-0005-0000-0000-0000A8220000}"/>
    <cellStyle name="Calculation 3 4 3 5 9" xfId="23304" xr:uid="{00000000-0005-0000-0000-0000A9220000}"/>
    <cellStyle name="Calculation 3 4 3 6" xfId="14439" xr:uid="{00000000-0005-0000-0000-0000AA220000}"/>
    <cellStyle name="Calculation 3 4 3 7" xfId="14144" xr:uid="{00000000-0005-0000-0000-0000AB220000}"/>
    <cellStyle name="Calculation 3 4 3 8" xfId="13680" xr:uid="{00000000-0005-0000-0000-0000AC220000}"/>
    <cellStyle name="Calculation 3 4 3 9" xfId="15837" xr:uid="{00000000-0005-0000-0000-0000AD220000}"/>
    <cellStyle name="Calculation 3 4 4" xfId="999" xr:uid="{00000000-0005-0000-0000-0000AE220000}"/>
    <cellStyle name="Calculation 3 4 4 10" xfId="13641" xr:uid="{00000000-0005-0000-0000-0000AF220000}"/>
    <cellStyle name="Calculation 3 4 4 11" xfId="14993" xr:uid="{00000000-0005-0000-0000-0000B0220000}"/>
    <cellStyle name="Calculation 3 4 4 12" xfId="26457" xr:uid="{00000000-0005-0000-0000-0000B1220000}"/>
    <cellStyle name="Calculation 3 4 4 13" xfId="27684" xr:uid="{00000000-0005-0000-0000-0000B2220000}"/>
    <cellStyle name="Calculation 3 4 4 14" xfId="26124" xr:uid="{00000000-0005-0000-0000-0000B3220000}"/>
    <cellStyle name="Calculation 3 4 4 15" xfId="27376" xr:uid="{00000000-0005-0000-0000-0000B4220000}"/>
    <cellStyle name="Calculation 3 4 4 16" xfId="28333" xr:uid="{00000000-0005-0000-0000-0000B5220000}"/>
    <cellStyle name="Calculation 3 4 4 17" xfId="26079" xr:uid="{00000000-0005-0000-0000-0000B6220000}"/>
    <cellStyle name="Calculation 3 4 4 18" xfId="35140" xr:uid="{00000000-0005-0000-0000-0000B7220000}"/>
    <cellStyle name="Calculation 3 4 4 19" xfId="35241" xr:uid="{00000000-0005-0000-0000-0000B8220000}"/>
    <cellStyle name="Calculation 3 4 4 2" xfId="1000" xr:uid="{00000000-0005-0000-0000-0000B9220000}"/>
    <cellStyle name="Calculation 3 4 4 2 10" xfId="23305" xr:uid="{00000000-0005-0000-0000-0000BA220000}"/>
    <cellStyle name="Calculation 3 4 4 2 11" xfId="24277" xr:uid="{00000000-0005-0000-0000-0000BB220000}"/>
    <cellStyle name="Calculation 3 4 4 2 12" xfId="25276" xr:uid="{00000000-0005-0000-0000-0000BC220000}"/>
    <cellStyle name="Calculation 3 4 4 2 13" xfId="28221" xr:uid="{00000000-0005-0000-0000-0000BD220000}"/>
    <cellStyle name="Calculation 3 4 4 2 14" xfId="29190" xr:uid="{00000000-0005-0000-0000-0000BE220000}"/>
    <cellStyle name="Calculation 3 4 4 2 15" xfId="30229" xr:uid="{00000000-0005-0000-0000-0000BF220000}"/>
    <cellStyle name="Calculation 3 4 4 2 16" xfId="31222" xr:uid="{00000000-0005-0000-0000-0000C0220000}"/>
    <cellStyle name="Calculation 3 4 4 2 17" xfId="32231" xr:uid="{00000000-0005-0000-0000-0000C1220000}"/>
    <cellStyle name="Calculation 3 4 4 2 18" xfId="33234" xr:uid="{00000000-0005-0000-0000-0000C2220000}"/>
    <cellStyle name="Calculation 3 4 4 2 19" xfId="34233" xr:uid="{00000000-0005-0000-0000-0000C3220000}"/>
    <cellStyle name="Calculation 3 4 4 2 2" xfId="1001" xr:uid="{00000000-0005-0000-0000-0000C4220000}"/>
    <cellStyle name="Calculation 3 4 4 2 2 10" xfId="24278" xr:uid="{00000000-0005-0000-0000-0000C5220000}"/>
    <cellStyle name="Calculation 3 4 4 2 2 11" xfId="25277" xr:uid="{00000000-0005-0000-0000-0000C6220000}"/>
    <cellStyle name="Calculation 3 4 4 2 2 12" xfId="28222" xr:uid="{00000000-0005-0000-0000-0000C7220000}"/>
    <cellStyle name="Calculation 3 4 4 2 2 13" xfId="29191" xr:uid="{00000000-0005-0000-0000-0000C8220000}"/>
    <cellStyle name="Calculation 3 4 4 2 2 14" xfId="30230" xr:uid="{00000000-0005-0000-0000-0000C9220000}"/>
    <cellStyle name="Calculation 3 4 4 2 2 15" xfId="31223" xr:uid="{00000000-0005-0000-0000-0000CA220000}"/>
    <cellStyle name="Calculation 3 4 4 2 2 16" xfId="32232" xr:uid="{00000000-0005-0000-0000-0000CB220000}"/>
    <cellStyle name="Calculation 3 4 4 2 2 17" xfId="33235" xr:uid="{00000000-0005-0000-0000-0000CC220000}"/>
    <cellStyle name="Calculation 3 4 4 2 2 18" xfId="34234" xr:uid="{00000000-0005-0000-0000-0000CD220000}"/>
    <cellStyle name="Calculation 3 4 4 2 2 19" xfId="35855" xr:uid="{00000000-0005-0000-0000-0000CE220000}"/>
    <cellStyle name="Calculation 3 4 4 2 2 2" xfId="16258" xr:uid="{00000000-0005-0000-0000-0000CF220000}"/>
    <cellStyle name="Calculation 3 4 4 2 2 20" xfId="36794" xr:uid="{00000000-0005-0000-0000-0000D0220000}"/>
    <cellStyle name="Calculation 3 4 4 2 2 3" xfId="17236" xr:uid="{00000000-0005-0000-0000-0000D1220000}"/>
    <cellStyle name="Calculation 3 4 4 2 2 4" xfId="18264" xr:uid="{00000000-0005-0000-0000-0000D2220000}"/>
    <cellStyle name="Calculation 3 4 4 2 2 5" xfId="19296" xr:uid="{00000000-0005-0000-0000-0000D3220000}"/>
    <cellStyle name="Calculation 3 4 4 2 2 6" xfId="20318" xr:uid="{00000000-0005-0000-0000-0000D4220000}"/>
    <cellStyle name="Calculation 3 4 4 2 2 7" xfId="21327" xr:uid="{00000000-0005-0000-0000-0000D5220000}"/>
    <cellStyle name="Calculation 3 4 4 2 2 8" xfId="22301" xr:uid="{00000000-0005-0000-0000-0000D6220000}"/>
    <cellStyle name="Calculation 3 4 4 2 2 9" xfId="23306" xr:uid="{00000000-0005-0000-0000-0000D7220000}"/>
    <cellStyle name="Calculation 3 4 4 2 20" xfId="35854" xr:uid="{00000000-0005-0000-0000-0000D8220000}"/>
    <cellStyle name="Calculation 3 4 4 2 21" xfId="36793" xr:uid="{00000000-0005-0000-0000-0000D9220000}"/>
    <cellStyle name="Calculation 3 4 4 2 3" xfId="16257" xr:uid="{00000000-0005-0000-0000-0000DA220000}"/>
    <cellStyle name="Calculation 3 4 4 2 4" xfId="17235" xr:uid="{00000000-0005-0000-0000-0000DB220000}"/>
    <cellStyle name="Calculation 3 4 4 2 5" xfId="18263" xr:uid="{00000000-0005-0000-0000-0000DC220000}"/>
    <cellStyle name="Calculation 3 4 4 2 6" xfId="19295" xr:uid="{00000000-0005-0000-0000-0000DD220000}"/>
    <cellStyle name="Calculation 3 4 4 2 7" xfId="20317" xr:uid="{00000000-0005-0000-0000-0000DE220000}"/>
    <cellStyle name="Calculation 3 4 4 2 8" xfId="21326" xr:uid="{00000000-0005-0000-0000-0000DF220000}"/>
    <cellStyle name="Calculation 3 4 4 2 9" xfId="22300" xr:uid="{00000000-0005-0000-0000-0000E0220000}"/>
    <cellStyle name="Calculation 3 4 4 3" xfId="1002" xr:uid="{00000000-0005-0000-0000-0000E1220000}"/>
    <cellStyle name="Calculation 3 4 4 3 10" xfId="23307" xr:uid="{00000000-0005-0000-0000-0000E2220000}"/>
    <cellStyle name="Calculation 3 4 4 3 11" xfId="24279" xr:uid="{00000000-0005-0000-0000-0000E3220000}"/>
    <cellStyle name="Calculation 3 4 4 3 12" xfId="25278" xr:uid="{00000000-0005-0000-0000-0000E4220000}"/>
    <cellStyle name="Calculation 3 4 4 3 13" xfId="28223" xr:uid="{00000000-0005-0000-0000-0000E5220000}"/>
    <cellStyle name="Calculation 3 4 4 3 14" xfId="29192" xr:uid="{00000000-0005-0000-0000-0000E6220000}"/>
    <cellStyle name="Calculation 3 4 4 3 15" xfId="30231" xr:uid="{00000000-0005-0000-0000-0000E7220000}"/>
    <cellStyle name="Calculation 3 4 4 3 16" xfId="31224" xr:uid="{00000000-0005-0000-0000-0000E8220000}"/>
    <cellStyle name="Calculation 3 4 4 3 17" xfId="32233" xr:uid="{00000000-0005-0000-0000-0000E9220000}"/>
    <cellStyle name="Calculation 3 4 4 3 18" xfId="33236" xr:uid="{00000000-0005-0000-0000-0000EA220000}"/>
    <cellStyle name="Calculation 3 4 4 3 19" xfId="34235" xr:uid="{00000000-0005-0000-0000-0000EB220000}"/>
    <cellStyle name="Calculation 3 4 4 3 2" xfId="1003" xr:uid="{00000000-0005-0000-0000-0000EC220000}"/>
    <cellStyle name="Calculation 3 4 4 3 2 10" xfId="24280" xr:uid="{00000000-0005-0000-0000-0000ED220000}"/>
    <cellStyle name="Calculation 3 4 4 3 2 11" xfId="25279" xr:uid="{00000000-0005-0000-0000-0000EE220000}"/>
    <cellStyle name="Calculation 3 4 4 3 2 12" xfId="28224" xr:uid="{00000000-0005-0000-0000-0000EF220000}"/>
    <cellStyle name="Calculation 3 4 4 3 2 13" xfId="29193" xr:uid="{00000000-0005-0000-0000-0000F0220000}"/>
    <cellStyle name="Calculation 3 4 4 3 2 14" xfId="30232" xr:uid="{00000000-0005-0000-0000-0000F1220000}"/>
    <cellStyle name="Calculation 3 4 4 3 2 15" xfId="31225" xr:uid="{00000000-0005-0000-0000-0000F2220000}"/>
    <cellStyle name="Calculation 3 4 4 3 2 16" xfId="32234" xr:uid="{00000000-0005-0000-0000-0000F3220000}"/>
    <cellStyle name="Calculation 3 4 4 3 2 17" xfId="33237" xr:uid="{00000000-0005-0000-0000-0000F4220000}"/>
    <cellStyle name="Calculation 3 4 4 3 2 18" xfId="34236" xr:uid="{00000000-0005-0000-0000-0000F5220000}"/>
    <cellStyle name="Calculation 3 4 4 3 2 19" xfId="35857" xr:uid="{00000000-0005-0000-0000-0000F6220000}"/>
    <cellStyle name="Calculation 3 4 4 3 2 2" xfId="16260" xr:uid="{00000000-0005-0000-0000-0000F7220000}"/>
    <cellStyle name="Calculation 3 4 4 3 2 20" xfId="36796" xr:uid="{00000000-0005-0000-0000-0000F8220000}"/>
    <cellStyle name="Calculation 3 4 4 3 2 3" xfId="17238" xr:uid="{00000000-0005-0000-0000-0000F9220000}"/>
    <cellStyle name="Calculation 3 4 4 3 2 4" xfId="18266" xr:uid="{00000000-0005-0000-0000-0000FA220000}"/>
    <cellStyle name="Calculation 3 4 4 3 2 5" xfId="19298" xr:uid="{00000000-0005-0000-0000-0000FB220000}"/>
    <cellStyle name="Calculation 3 4 4 3 2 6" xfId="20320" xr:uid="{00000000-0005-0000-0000-0000FC220000}"/>
    <cellStyle name="Calculation 3 4 4 3 2 7" xfId="21329" xr:uid="{00000000-0005-0000-0000-0000FD220000}"/>
    <cellStyle name="Calculation 3 4 4 3 2 8" xfId="22303" xr:uid="{00000000-0005-0000-0000-0000FE220000}"/>
    <cellStyle name="Calculation 3 4 4 3 2 9" xfId="23308" xr:uid="{00000000-0005-0000-0000-0000FF220000}"/>
    <cellStyle name="Calculation 3 4 4 3 20" xfId="35856" xr:uid="{00000000-0005-0000-0000-000000230000}"/>
    <cellStyle name="Calculation 3 4 4 3 21" xfId="36795" xr:uid="{00000000-0005-0000-0000-000001230000}"/>
    <cellStyle name="Calculation 3 4 4 3 3" xfId="16259" xr:uid="{00000000-0005-0000-0000-000002230000}"/>
    <cellStyle name="Calculation 3 4 4 3 4" xfId="17237" xr:uid="{00000000-0005-0000-0000-000003230000}"/>
    <cellStyle name="Calculation 3 4 4 3 5" xfId="18265" xr:uid="{00000000-0005-0000-0000-000004230000}"/>
    <cellStyle name="Calculation 3 4 4 3 6" xfId="19297" xr:uid="{00000000-0005-0000-0000-000005230000}"/>
    <cellStyle name="Calculation 3 4 4 3 7" xfId="20319" xr:uid="{00000000-0005-0000-0000-000006230000}"/>
    <cellStyle name="Calculation 3 4 4 3 8" xfId="21328" xr:uid="{00000000-0005-0000-0000-000007230000}"/>
    <cellStyle name="Calculation 3 4 4 3 9" xfId="22302" xr:uid="{00000000-0005-0000-0000-000008230000}"/>
    <cellStyle name="Calculation 3 4 4 4" xfId="1004" xr:uid="{00000000-0005-0000-0000-000009230000}"/>
    <cellStyle name="Calculation 3 4 4 4 10" xfId="23309" xr:uid="{00000000-0005-0000-0000-00000A230000}"/>
    <cellStyle name="Calculation 3 4 4 4 11" xfId="24281" xr:uid="{00000000-0005-0000-0000-00000B230000}"/>
    <cellStyle name="Calculation 3 4 4 4 12" xfId="25280" xr:uid="{00000000-0005-0000-0000-00000C230000}"/>
    <cellStyle name="Calculation 3 4 4 4 13" xfId="28225" xr:uid="{00000000-0005-0000-0000-00000D230000}"/>
    <cellStyle name="Calculation 3 4 4 4 14" xfId="29194" xr:uid="{00000000-0005-0000-0000-00000E230000}"/>
    <cellStyle name="Calculation 3 4 4 4 15" xfId="30233" xr:uid="{00000000-0005-0000-0000-00000F230000}"/>
    <cellStyle name="Calculation 3 4 4 4 16" xfId="31226" xr:uid="{00000000-0005-0000-0000-000010230000}"/>
    <cellStyle name="Calculation 3 4 4 4 17" xfId="32235" xr:uid="{00000000-0005-0000-0000-000011230000}"/>
    <cellStyle name="Calculation 3 4 4 4 18" xfId="33238" xr:uid="{00000000-0005-0000-0000-000012230000}"/>
    <cellStyle name="Calculation 3 4 4 4 19" xfId="34237" xr:uid="{00000000-0005-0000-0000-000013230000}"/>
    <cellStyle name="Calculation 3 4 4 4 2" xfId="1005" xr:uid="{00000000-0005-0000-0000-000014230000}"/>
    <cellStyle name="Calculation 3 4 4 4 2 10" xfId="24282" xr:uid="{00000000-0005-0000-0000-000015230000}"/>
    <cellStyle name="Calculation 3 4 4 4 2 11" xfId="25281" xr:uid="{00000000-0005-0000-0000-000016230000}"/>
    <cellStyle name="Calculation 3 4 4 4 2 12" xfId="28226" xr:uid="{00000000-0005-0000-0000-000017230000}"/>
    <cellStyle name="Calculation 3 4 4 4 2 13" xfId="29195" xr:uid="{00000000-0005-0000-0000-000018230000}"/>
    <cellStyle name="Calculation 3 4 4 4 2 14" xfId="30234" xr:uid="{00000000-0005-0000-0000-000019230000}"/>
    <cellStyle name="Calculation 3 4 4 4 2 15" xfId="31227" xr:uid="{00000000-0005-0000-0000-00001A230000}"/>
    <cellStyle name="Calculation 3 4 4 4 2 16" xfId="32236" xr:uid="{00000000-0005-0000-0000-00001B230000}"/>
    <cellStyle name="Calculation 3 4 4 4 2 17" xfId="33239" xr:uid="{00000000-0005-0000-0000-00001C230000}"/>
    <cellStyle name="Calculation 3 4 4 4 2 18" xfId="34238" xr:uid="{00000000-0005-0000-0000-00001D230000}"/>
    <cellStyle name="Calculation 3 4 4 4 2 19" xfId="35859" xr:uid="{00000000-0005-0000-0000-00001E230000}"/>
    <cellStyle name="Calculation 3 4 4 4 2 2" xfId="16262" xr:uid="{00000000-0005-0000-0000-00001F230000}"/>
    <cellStyle name="Calculation 3 4 4 4 2 20" xfId="36798" xr:uid="{00000000-0005-0000-0000-000020230000}"/>
    <cellStyle name="Calculation 3 4 4 4 2 3" xfId="17240" xr:uid="{00000000-0005-0000-0000-000021230000}"/>
    <cellStyle name="Calculation 3 4 4 4 2 4" xfId="18268" xr:uid="{00000000-0005-0000-0000-000022230000}"/>
    <cellStyle name="Calculation 3 4 4 4 2 5" xfId="19300" xr:uid="{00000000-0005-0000-0000-000023230000}"/>
    <cellStyle name="Calculation 3 4 4 4 2 6" xfId="20322" xr:uid="{00000000-0005-0000-0000-000024230000}"/>
    <cellStyle name="Calculation 3 4 4 4 2 7" xfId="21331" xr:uid="{00000000-0005-0000-0000-000025230000}"/>
    <cellStyle name="Calculation 3 4 4 4 2 8" xfId="22305" xr:uid="{00000000-0005-0000-0000-000026230000}"/>
    <cellStyle name="Calculation 3 4 4 4 2 9" xfId="23310" xr:uid="{00000000-0005-0000-0000-000027230000}"/>
    <cellStyle name="Calculation 3 4 4 4 20" xfId="35858" xr:uid="{00000000-0005-0000-0000-000028230000}"/>
    <cellStyle name="Calculation 3 4 4 4 21" xfId="36797" xr:uid="{00000000-0005-0000-0000-000029230000}"/>
    <cellStyle name="Calculation 3 4 4 4 3" xfId="16261" xr:uid="{00000000-0005-0000-0000-00002A230000}"/>
    <cellStyle name="Calculation 3 4 4 4 4" xfId="17239" xr:uid="{00000000-0005-0000-0000-00002B230000}"/>
    <cellStyle name="Calculation 3 4 4 4 5" xfId="18267" xr:uid="{00000000-0005-0000-0000-00002C230000}"/>
    <cellStyle name="Calculation 3 4 4 4 6" xfId="19299" xr:uid="{00000000-0005-0000-0000-00002D230000}"/>
    <cellStyle name="Calculation 3 4 4 4 7" xfId="20321" xr:uid="{00000000-0005-0000-0000-00002E230000}"/>
    <cellStyle name="Calculation 3 4 4 4 8" xfId="21330" xr:uid="{00000000-0005-0000-0000-00002F230000}"/>
    <cellStyle name="Calculation 3 4 4 4 9" xfId="22304" xr:uid="{00000000-0005-0000-0000-000030230000}"/>
    <cellStyle name="Calculation 3 4 4 5" xfId="1006" xr:uid="{00000000-0005-0000-0000-000031230000}"/>
    <cellStyle name="Calculation 3 4 4 5 10" xfId="24283" xr:uid="{00000000-0005-0000-0000-000032230000}"/>
    <cellStyle name="Calculation 3 4 4 5 11" xfId="25282" xr:uid="{00000000-0005-0000-0000-000033230000}"/>
    <cellStyle name="Calculation 3 4 4 5 12" xfId="28227" xr:uid="{00000000-0005-0000-0000-000034230000}"/>
    <cellStyle name="Calculation 3 4 4 5 13" xfId="29196" xr:uid="{00000000-0005-0000-0000-000035230000}"/>
    <cellStyle name="Calculation 3 4 4 5 14" xfId="30235" xr:uid="{00000000-0005-0000-0000-000036230000}"/>
    <cellStyle name="Calculation 3 4 4 5 15" xfId="31228" xr:uid="{00000000-0005-0000-0000-000037230000}"/>
    <cellStyle name="Calculation 3 4 4 5 16" xfId="32237" xr:uid="{00000000-0005-0000-0000-000038230000}"/>
    <cellStyle name="Calculation 3 4 4 5 17" xfId="33240" xr:uid="{00000000-0005-0000-0000-000039230000}"/>
    <cellStyle name="Calculation 3 4 4 5 18" xfId="34239" xr:uid="{00000000-0005-0000-0000-00003A230000}"/>
    <cellStyle name="Calculation 3 4 4 5 19" xfId="35860" xr:uid="{00000000-0005-0000-0000-00003B230000}"/>
    <cellStyle name="Calculation 3 4 4 5 2" xfId="16263" xr:uid="{00000000-0005-0000-0000-00003C230000}"/>
    <cellStyle name="Calculation 3 4 4 5 20" xfId="36799" xr:uid="{00000000-0005-0000-0000-00003D230000}"/>
    <cellStyle name="Calculation 3 4 4 5 3" xfId="17241" xr:uid="{00000000-0005-0000-0000-00003E230000}"/>
    <cellStyle name="Calculation 3 4 4 5 4" xfId="18269" xr:uid="{00000000-0005-0000-0000-00003F230000}"/>
    <cellStyle name="Calculation 3 4 4 5 5" xfId="19301" xr:uid="{00000000-0005-0000-0000-000040230000}"/>
    <cellStyle name="Calculation 3 4 4 5 6" xfId="20323" xr:uid="{00000000-0005-0000-0000-000041230000}"/>
    <cellStyle name="Calculation 3 4 4 5 7" xfId="21332" xr:uid="{00000000-0005-0000-0000-000042230000}"/>
    <cellStyle name="Calculation 3 4 4 5 8" xfId="22306" xr:uid="{00000000-0005-0000-0000-000043230000}"/>
    <cellStyle name="Calculation 3 4 4 5 9" xfId="23311" xr:uid="{00000000-0005-0000-0000-000044230000}"/>
    <cellStyle name="Calculation 3 4 4 6" xfId="13562" xr:uid="{00000000-0005-0000-0000-000045230000}"/>
    <cellStyle name="Calculation 3 4 4 7" xfId="15393" xr:uid="{00000000-0005-0000-0000-000046230000}"/>
    <cellStyle name="Calculation 3 4 4 8" xfId="13468" xr:uid="{00000000-0005-0000-0000-000047230000}"/>
    <cellStyle name="Calculation 3 4 4 9" xfId="15502" xr:uid="{00000000-0005-0000-0000-000048230000}"/>
    <cellStyle name="Calculation 3 4 5" xfId="1007" xr:uid="{00000000-0005-0000-0000-000049230000}"/>
    <cellStyle name="Calculation 3 4 5 10" xfId="14189" xr:uid="{00000000-0005-0000-0000-00004A230000}"/>
    <cellStyle name="Calculation 3 4 5 11" xfId="18893" xr:uid="{00000000-0005-0000-0000-00004B230000}"/>
    <cellStyle name="Calculation 3 4 5 12" xfId="26493" xr:uid="{00000000-0005-0000-0000-00004C230000}"/>
    <cellStyle name="Calculation 3 4 5 13" xfId="27061" xr:uid="{00000000-0005-0000-0000-00004D230000}"/>
    <cellStyle name="Calculation 3 4 5 14" xfId="26188" xr:uid="{00000000-0005-0000-0000-00004E230000}"/>
    <cellStyle name="Calculation 3 4 5 15" xfId="26797" xr:uid="{00000000-0005-0000-0000-00004F230000}"/>
    <cellStyle name="Calculation 3 4 5 16" xfId="27598" xr:uid="{00000000-0005-0000-0000-000050230000}"/>
    <cellStyle name="Calculation 3 4 5 17" xfId="26997" xr:uid="{00000000-0005-0000-0000-000051230000}"/>
    <cellStyle name="Calculation 3 4 5 18" xfId="35176" xr:uid="{00000000-0005-0000-0000-000052230000}"/>
    <cellStyle name="Calculation 3 4 5 19" xfId="35216" xr:uid="{00000000-0005-0000-0000-000053230000}"/>
    <cellStyle name="Calculation 3 4 5 2" xfId="1008" xr:uid="{00000000-0005-0000-0000-000054230000}"/>
    <cellStyle name="Calculation 3 4 5 2 10" xfId="23312" xr:uid="{00000000-0005-0000-0000-000055230000}"/>
    <cellStyle name="Calculation 3 4 5 2 11" xfId="24284" xr:uid="{00000000-0005-0000-0000-000056230000}"/>
    <cellStyle name="Calculation 3 4 5 2 12" xfId="25283" xr:uid="{00000000-0005-0000-0000-000057230000}"/>
    <cellStyle name="Calculation 3 4 5 2 13" xfId="28228" xr:uid="{00000000-0005-0000-0000-000058230000}"/>
    <cellStyle name="Calculation 3 4 5 2 14" xfId="29197" xr:uid="{00000000-0005-0000-0000-000059230000}"/>
    <cellStyle name="Calculation 3 4 5 2 15" xfId="30236" xr:uid="{00000000-0005-0000-0000-00005A230000}"/>
    <cellStyle name="Calculation 3 4 5 2 16" xfId="31229" xr:uid="{00000000-0005-0000-0000-00005B230000}"/>
    <cellStyle name="Calculation 3 4 5 2 17" xfId="32238" xr:uid="{00000000-0005-0000-0000-00005C230000}"/>
    <cellStyle name="Calculation 3 4 5 2 18" xfId="33241" xr:uid="{00000000-0005-0000-0000-00005D230000}"/>
    <cellStyle name="Calculation 3 4 5 2 19" xfId="34240" xr:uid="{00000000-0005-0000-0000-00005E230000}"/>
    <cellStyle name="Calculation 3 4 5 2 2" xfId="1009" xr:uid="{00000000-0005-0000-0000-00005F230000}"/>
    <cellStyle name="Calculation 3 4 5 2 2 10" xfId="24285" xr:uid="{00000000-0005-0000-0000-000060230000}"/>
    <cellStyle name="Calculation 3 4 5 2 2 11" xfId="25284" xr:uid="{00000000-0005-0000-0000-000061230000}"/>
    <cellStyle name="Calculation 3 4 5 2 2 12" xfId="28229" xr:uid="{00000000-0005-0000-0000-000062230000}"/>
    <cellStyle name="Calculation 3 4 5 2 2 13" xfId="29198" xr:uid="{00000000-0005-0000-0000-000063230000}"/>
    <cellStyle name="Calculation 3 4 5 2 2 14" xfId="30237" xr:uid="{00000000-0005-0000-0000-000064230000}"/>
    <cellStyle name="Calculation 3 4 5 2 2 15" xfId="31230" xr:uid="{00000000-0005-0000-0000-000065230000}"/>
    <cellStyle name="Calculation 3 4 5 2 2 16" xfId="32239" xr:uid="{00000000-0005-0000-0000-000066230000}"/>
    <cellStyle name="Calculation 3 4 5 2 2 17" xfId="33242" xr:uid="{00000000-0005-0000-0000-000067230000}"/>
    <cellStyle name="Calculation 3 4 5 2 2 18" xfId="34241" xr:uid="{00000000-0005-0000-0000-000068230000}"/>
    <cellStyle name="Calculation 3 4 5 2 2 19" xfId="35862" xr:uid="{00000000-0005-0000-0000-000069230000}"/>
    <cellStyle name="Calculation 3 4 5 2 2 2" xfId="16265" xr:uid="{00000000-0005-0000-0000-00006A230000}"/>
    <cellStyle name="Calculation 3 4 5 2 2 20" xfId="36801" xr:uid="{00000000-0005-0000-0000-00006B230000}"/>
    <cellStyle name="Calculation 3 4 5 2 2 3" xfId="17243" xr:uid="{00000000-0005-0000-0000-00006C230000}"/>
    <cellStyle name="Calculation 3 4 5 2 2 4" xfId="18271" xr:uid="{00000000-0005-0000-0000-00006D230000}"/>
    <cellStyle name="Calculation 3 4 5 2 2 5" xfId="19303" xr:uid="{00000000-0005-0000-0000-00006E230000}"/>
    <cellStyle name="Calculation 3 4 5 2 2 6" xfId="20325" xr:uid="{00000000-0005-0000-0000-00006F230000}"/>
    <cellStyle name="Calculation 3 4 5 2 2 7" xfId="21334" xr:uid="{00000000-0005-0000-0000-000070230000}"/>
    <cellStyle name="Calculation 3 4 5 2 2 8" xfId="22308" xr:uid="{00000000-0005-0000-0000-000071230000}"/>
    <cellStyle name="Calculation 3 4 5 2 2 9" xfId="23313" xr:uid="{00000000-0005-0000-0000-000072230000}"/>
    <cellStyle name="Calculation 3 4 5 2 20" xfId="35861" xr:uid="{00000000-0005-0000-0000-000073230000}"/>
    <cellStyle name="Calculation 3 4 5 2 21" xfId="36800" xr:uid="{00000000-0005-0000-0000-000074230000}"/>
    <cellStyle name="Calculation 3 4 5 2 3" xfId="16264" xr:uid="{00000000-0005-0000-0000-000075230000}"/>
    <cellStyle name="Calculation 3 4 5 2 4" xfId="17242" xr:uid="{00000000-0005-0000-0000-000076230000}"/>
    <cellStyle name="Calculation 3 4 5 2 5" xfId="18270" xr:uid="{00000000-0005-0000-0000-000077230000}"/>
    <cellStyle name="Calculation 3 4 5 2 6" xfId="19302" xr:uid="{00000000-0005-0000-0000-000078230000}"/>
    <cellStyle name="Calculation 3 4 5 2 7" xfId="20324" xr:uid="{00000000-0005-0000-0000-000079230000}"/>
    <cellStyle name="Calculation 3 4 5 2 8" xfId="21333" xr:uid="{00000000-0005-0000-0000-00007A230000}"/>
    <cellStyle name="Calculation 3 4 5 2 9" xfId="22307" xr:uid="{00000000-0005-0000-0000-00007B230000}"/>
    <cellStyle name="Calculation 3 4 5 3" xfId="1010" xr:uid="{00000000-0005-0000-0000-00007C230000}"/>
    <cellStyle name="Calculation 3 4 5 3 10" xfId="23314" xr:uid="{00000000-0005-0000-0000-00007D230000}"/>
    <cellStyle name="Calculation 3 4 5 3 11" xfId="24286" xr:uid="{00000000-0005-0000-0000-00007E230000}"/>
    <cellStyle name="Calculation 3 4 5 3 12" xfId="25285" xr:uid="{00000000-0005-0000-0000-00007F230000}"/>
    <cellStyle name="Calculation 3 4 5 3 13" xfId="28230" xr:uid="{00000000-0005-0000-0000-000080230000}"/>
    <cellStyle name="Calculation 3 4 5 3 14" xfId="29199" xr:uid="{00000000-0005-0000-0000-000081230000}"/>
    <cellStyle name="Calculation 3 4 5 3 15" xfId="30238" xr:uid="{00000000-0005-0000-0000-000082230000}"/>
    <cellStyle name="Calculation 3 4 5 3 16" xfId="31231" xr:uid="{00000000-0005-0000-0000-000083230000}"/>
    <cellStyle name="Calculation 3 4 5 3 17" xfId="32240" xr:uid="{00000000-0005-0000-0000-000084230000}"/>
    <cellStyle name="Calculation 3 4 5 3 18" xfId="33243" xr:uid="{00000000-0005-0000-0000-000085230000}"/>
    <cellStyle name="Calculation 3 4 5 3 19" xfId="34242" xr:uid="{00000000-0005-0000-0000-000086230000}"/>
    <cellStyle name="Calculation 3 4 5 3 2" xfId="1011" xr:uid="{00000000-0005-0000-0000-000087230000}"/>
    <cellStyle name="Calculation 3 4 5 3 2 10" xfId="24287" xr:uid="{00000000-0005-0000-0000-000088230000}"/>
    <cellStyle name="Calculation 3 4 5 3 2 11" xfId="25286" xr:uid="{00000000-0005-0000-0000-000089230000}"/>
    <cellStyle name="Calculation 3 4 5 3 2 12" xfId="28231" xr:uid="{00000000-0005-0000-0000-00008A230000}"/>
    <cellStyle name="Calculation 3 4 5 3 2 13" xfId="29200" xr:uid="{00000000-0005-0000-0000-00008B230000}"/>
    <cellStyle name="Calculation 3 4 5 3 2 14" xfId="30239" xr:uid="{00000000-0005-0000-0000-00008C230000}"/>
    <cellStyle name="Calculation 3 4 5 3 2 15" xfId="31232" xr:uid="{00000000-0005-0000-0000-00008D230000}"/>
    <cellStyle name="Calculation 3 4 5 3 2 16" xfId="32241" xr:uid="{00000000-0005-0000-0000-00008E230000}"/>
    <cellStyle name="Calculation 3 4 5 3 2 17" xfId="33244" xr:uid="{00000000-0005-0000-0000-00008F230000}"/>
    <cellStyle name="Calculation 3 4 5 3 2 18" xfId="34243" xr:uid="{00000000-0005-0000-0000-000090230000}"/>
    <cellStyle name="Calculation 3 4 5 3 2 19" xfId="35864" xr:uid="{00000000-0005-0000-0000-000091230000}"/>
    <cellStyle name="Calculation 3 4 5 3 2 2" xfId="16267" xr:uid="{00000000-0005-0000-0000-000092230000}"/>
    <cellStyle name="Calculation 3 4 5 3 2 20" xfId="36803" xr:uid="{00000000-0005-0000-0000-000093230000}"/>
    <cellStyle name="Calculation 3 4 5 3 2 3" xfId="17245" xr:uid="{00000000-0005-0000-0000-000094230000}"/>
    <cellStyle name="Calculation 3 4 5 3 2 4" xfId="18273" xr:uid="{00000000-0005-0000-0000-000095230000}"/>
    <cellStyle name="Calculation 3 4 5 3 2 5" xfId="19305" xr:uid="{00000000-0005-0000-0000-000096230000}"/>
    <cellStyle name="Calculation 3 4 5 3 2 6" xfId="20327" xr:uid="{00000000-0005-0000-0000-000097230000}"/>
    <cellStyle name="Calculation 3 4 5 3 2 7" xfId="21336" xr:uid="{00000000-0005-0000-0000-000098230000}"/>
    <cellStyle name="Calculation 3 4 5 3 2 8" xfId="22310" xr:uid="{00000000-0005-0000-0000-000099230000}"/>
    <cellStyle name="Calculation 3 4 5 3 2 9" xfId="23315" xr:uid="{00000000-0005-0000-0000-00009A230000}"/>
    <cellStyle name="Calculation 3 4 5 3 20" xfId="35863" xr:uid="{00000000-0005-0000-0000-00009B230000}"/>
    <cellStyle name="Calculation 3 4 5 3 21" xfId="36802" xr:uid="{00000000-0005-0000-0000-00009C230000}"/>
    <cellStyle name="Calculation 3 4 5 3 3" xfId="16266" xr:uid="{00000000-0005-0000-0000-00009D230000}"/>
    <cellStyle name="Calculation 3 4 5 3 4" xfId="17244" xr:uid="{00000000-0005-0000-0000-00009E230000}"/>
    <cellStyle name="Calculation 3 4 5 3 5" xfId="18272" xr:uid="{00000000-0005-0000-0000-00009F230000}"/>
    <cellStyle name="Calculation 3 4 5 3 6" xfId="19304" xr:uid="{00000000-0005-0000-0000-0000A0230000}"/>
    <cellStyle name="Calculation 3 4 5 3 7" xfId="20326" xr:uid="{00000000-0005-0000-0000-0000A1230000}"/>
    <cellStyle name="Calculation 3 4 5 3 8" xfId="21335" xr:uid="{00000000-0005-0000-0000-0000A2230000}"/>
    <cellStyle name="Calculation 3 4 5 3 9" xfId="22309" xr:uid="{00000000-0005-0000-0000-0000A3230000}"/>
    <cellStyle name="Calculation 3 4 5 4" xfId="1012" xr:uid="{00000000-0005-0000-0000-0000A4230000}"/>
    <cellStyle name="Calculation 3 4 5 4 10" xfId="23316" xr:uid="{00000000-0005-0000-0000-0000A5230000}"/>
    <cellStyle name="Calculation 3 4 5 4 11" xfId="24288" xr:uid="{00000000-0005-0000-0000-0000A6230000}"/>
    <cellStyle name="Calculation 3 4 5 4 12" xfId="25287" xr:uid="{00000000-0005-0000-0000-0000A7230000}"/>
    <cellStyle name="Calculation 3 4 5 4 13" xfId="28232" xr:uid="{00000000-0005-0000-0000-0000A8230000}"/>
    <cellStyle name="Calculation 3 4 5 4 14" xfId="29201" xr:uid="{00000000-0005-0000-0000-0000A9230000}"/>
    <cellStyle name="Calculation 3 4 5 4 15" xfId="30240" xr:uid="{00000000-0005-0000-0000-0000AA230000}"/>
    <cellStyle name="Calculation 3 4 5 4 16" xfId="31233" xr:uid="{00000000-0005-0000-0000-0000AB230000}"/>
    <cellStyle name="Calculation 3 4 5 4 17" xfId="32242" xr:uid="{00000000-0005-0000-0000-0000AC230000}"/>
    <cellStyle name="Calculation 3 4 5 4 18" xfId="33245" xr:uid="{00000000-0005-0000-0000-0000AD230000}"/>
    <cellStyle name="Calculation 3 4 5 4 19" xfId="34244" xr:uid="{00000000-0005-0000-0000-0000AE230000}"/>
    <cellStyle name="Calculation 3 4 5 4 2" xfId="1013" xr:uid="{00000000-0005-0000-0000-0000AF230000}"/>
    <cellStyle name="Calculation 3 4 5 4 2 10" xfId="24289" xr:uid="{00000000-0005-0000-0000-0000B0230000}"/>
    <cellStyle name="Calculation 3 4 5 4 2 11" xfId="25288" xr:uid="{00000000-0005-0000-0000-0000B1230000}"/>
    <cellStyle name="Calculation 3 4 5 4 2 12" xfId="28233" xr:uid="{00000000-0005-0000-0000-0000B2230000}"/>
    <cellStyle name="Calculation 3 4 5 4 2 13" xfId="29202" xr:uid="{00000000-0005-0000-0000-0000B3230000}"/>
    <cellStyle name="Calculation 3 4 5 4 2 14" xfId="30241" xr:uid="{00000000-0005-0000-0000-0000B4230000}"/>
    <cellStyle name="Calculation 3 4 5 4 2 15" xfId="31234" xr:uid="{00000000-0005-0000-0000-0000B5230000}"/>
    <cellStyle name="Calculation 3 4 5 4 2 16" xfId="32243" xr:uid="{00000000-0005-0000-0000-0000B6230000}"/>
    <cellStyle name="Calculation 3 4 5 4 2 17" xfId="33246" xr:uid="{00000000-0005-0000-0000-0000B7230000}"/>
    <cellStyle name="Calculation 3 4 5 4 2 18" xfId="34245" xr:uid="{00000000-0005-0000-0000-0000B8230000}"/>
    <cellStyle name="Calculation 3 4 5 4 2 19" xfId="35866" xr:uid="{00000000-0005-0000-0000-0000B9230000}"/>
    <cellStyle name="Calculation 3 4 5 4 2 2" xfId="16269" xr:uid="{00000000-0005-0000-0000-0000BA230000}"/>
    <cellStyle name="Calculation 3 4 5 4 2 20" xfId="36805" xr:uid="{00000000-0005-0000-0000-0000BB230000}"/>
    <cellStyle name="Calculation 3 4 5 4 2 3" xfId="17247" xr:uid="{00000000-0005-0000-0000-0000BC230000}"/>
    <cellStyle name="Calculation 3 4 5 4 2 4" xfId="18275" xr:uid="{00000000-0005-0000-0000-0000BD230000}"/>
    <cellStyle name="Calculation 3 4 5 4 2 5" xfId="19307" xr:uid="{00000000-0005-0000-0000-0000BE230000}"/>
    <cellStyle name="Calculation 3 4 5 4 2 6" xfId="20329" xr:uid="{00000000-0005-0000-0000-0000BF230000}"/>
    <cellStyle name="Calculation 3 4 5 4 2 7" xfId="21338" xr:uid="{00000000-0005-0000-0000-0000C0230000}"/>
    <cellStyle name="Calculation 3 4 5 4 2 8" xfId="22312" xr:uid="{00000000-0005-0000-0000-0000C1230000}"/>
    <cellStyle name="Calculation 3 4 5 4 2 9" xfId="23317" xr:uid="{00000000-0005-0000-0000-0000C2230000}"/>
    <cellStyle name="Calculation 3 4 5 4 20" xfId="35865" xr:uid="{00000000-0005-0000-0000-0000C3230000}"/>
    <cellStyle name="Calculation 3 4 5 4 21" xfId="36804" xr:uid="{00000000-0005-0000-0000-0000C4230000}"/>
    <cellStyle name="Calculation 3 4 5 4 3" xfId="16268" xr:uid="{00000000-0005-0000-0000-0000C5230000}"/>
    <cellStyle name="Calculation 3 4 5 4 4" xfId="17246" xr:uid="{00000000-0005-0000-0000-0000C6230000}"/>
    <cellStyle name="Calculation 3 4 5 4 5" xfId="18274" xr:uid="{00000000-0005-0000-0000-0000C7230000}"/>
    <cellStyle name="Calculation 3 4 5 4 6" xfId="19306" xr:uid="{00000000-0005-0000-0000-0000C8230000}"/>
    <cellStyle name="Calculation 3 4 5 4 7" xfId="20328" xr:uid="{00000000-0005-0000-0000-0000C9230000}"/>
    <cellStyle name="Calculation 3 4 5 4 8" xfId="21337" xr:uid="{00000000-0005-0000-0000-0000CA230000}"/>
    <cellStyle name="Calculation 3 4 5 4 9" xfId="22311" xr:uid="{00000000-0005-0000-0000-0000CB230000}"/>
    <cellStyle name="Calculation 3 4 5 5" xfId="1014" xr:uid="{00000000-0005-0000-0000-0000CC230000}"/>
    <cellStyle name="Calculation 3 4 5 5 10" xfId="24290" xr:uid="{00000000-0005-0000-0000-0000CD230000}"/>
    <cellStyle name="Calculation 3 4 5 5 11" xfId="25289" xr:uid="{00000000-0005-0000-0000-0000CE230000}"/>
    <cellStyle name="Calculation 3 4 5 5 12" xfId="28234" xr:uid="{00000000-0005-0000-0000-0000CF230000}"/>
    <cellStyle name="Calculation 3 4 5 5 13" xfId="29203" xr:uid="{00000000-0005-0000-0000-0000D0230000}"/>
    <cellStyle name="Calculation 3 4 5 5 14" xfId="30242" xr:uid="{00000000-0005-0000-0000-0000D1230000}"/>
    <cellStyle name="Calculation 3 4 5 5 15" xfId="31235" xr:uid="{00000000-0005-0000-0000-0000D2230000}"/>
    <cellStyle name="Calculation 3 4 5 5 16" xfId="32244" xr:uid="{00000000-0005-0000-0000-0000D3230000}"/>
    <cellStyle name="Calculation 3 4 5 5 17" xfId="33247" xr:uid="{00000000-0005-0000-0000-0000D4230000}"/>
    <cellStyle name="Calculation 3 4 5 5 18" xfId="34246" xr:uid="{00000000-0005-0000-0000-0000D5230000}"/>
    <cellStyle name="Calculation 3 4 5 5 19" xfId="35867" xr:uid="{00000000-0005-0000-0000-0000D6230000}"/>
    <cellStyle name="Calculation 3 4 5 5 2" xfId="16270" xr:uid="{00000000-0005-0000-0000-0000D7230000}"/>
    <cellStyle name="Calculation 3 4 5 5 20" xfId="36806" xr:uid="{00000000-0005-0000-0000-0000D8230000}"/>
    <cellStyle name="Calculation 3 4 5 5 3" xfId="17248" xr:uid="{00000000-0005-0000-0000-0000D9230000}"/>
    <cellStyle name="Calculation 3 4 5 5 4" xfId="18276" xr:uid="{00000000-0005-0000-0000-0000DA230000}"/>
    <cellStyle name="Calculation 3 4 5 5 5" xfId="19308" xr:uid="{00000000-0005-0000-0000-0000DB230000}"/>
    <cellStyle name="Calculation 3 4 5 5 6" xfId="20330" xr:uid="{00000000-0005-0000-0000-0000DC230000}"/>
    <cellStyle name="Calculation 3 4 5 5 7" xfId="21339" xr:uid="{00000000-0005-0000-0000-0000DD230000}"/>
    <cellStyle name="Calculation 3 4 5 5 8" xfId="22313" xr:uid="{00000000-0005-0000-0000-0000DE230000}"/>
    <cellStyle name="Calculation 3 4 5 5 9" xfId="23318" xr:uid="{00000000-0005-0000-0000-0000DF230000}"/>
    <cellStyle name="Calculation 3 4 5 6" xfId="15426" xr:uid="{00000000-0005-0000-0000-0000E0230000}"/>
    <cellStyle name="Calculation 3 4 5 7" xfId="14397" xr:uid="{00000000-0005-0000-0000-0000E1230000}"/>
    <cellStyle name="Calculation 3 4 5 8" xfId="14879" xr:uid="{00000000-0005-0000-0000-0000E2230000}"/>
    <cellStyle name="Calculation 3 4 5 9" xfId="14720" xr:uid="{00000000-0005-0000-0000-0000E3230000}"/>
    <cellStyle name="Calculation 3 4 6" xfId="1015" xr:uid="{00000000-0005-0000-0000-0000E4230000}"/>
    <cellStyle name="Calculation 3 4 6 10" xfId="23319" xr:uid="{00000000-0005-0000-0000-0000E5230000}"/>
    <cellStyle name="Calculation 3 4 6 11" xfId="24291" xr:uid="{00000000-0005-0000-0000-0000E6230000}"/>
    <cellStyle name="Calculation 3 4 6 12" xfId="25290" xr:uid="{00000000-0005-0000-0000-0000E7230000}"/>
    <cellStyle name="Calculation 3 4 6 13" xfId="28235" xr:uid="{00000000-0005-0000-0000-0000E8230000}"/>
    <cellStyle name="Calculation 3 4 6 14" xfId="29204" xr:uid="{00000000-0005-0000-0000-0000E9230000}"/>
    <cellStyle name="Calculation 3 4 6 15" xfId="30243" xr:uid="{00000000-0005-0000-0000-0000EA230000}"/>
    <cellStyle name="Calculation 3 4 6 16" xfId="31236" xr:uid="{00000000-0005-0000-0000-0000EB230000}"/>
    <cellStyle name="Calculation 3 4 6 17" xfId="32245" xr:uid="{00000000-0005-0000-0000-0000EC230000}"/>
    <cellStyle name="Calculation 3 4 6 18" xfId="33248" xr:uid="{00000000-0005-0000-0000-0000ED230000}"/>
    <cellStyle name="Calculation 3 4 6 19" xfId="34247" xr:uid="{00000000-0005-0000-0000-0000EE230000}"/>
    <cellStyle name="Calculation 3 4 6 2" xfId="1016" xr:uid="{00000000-0005-0000-0000-0000EF230000}"/>
    <cellStyle name="Calculation 3 4 6 2 10" xfId="24292" xr:uid="{00000000-0005-0000-0000-0000F0230000}"/>
    <cellStyle name="Calculation 3 4 6 2 11" xfId="25291" xr:uid="{00000000-0005-0000-0000-0000F1230000}"/>
    <cellStyle name="Calculation 3 4 6 2 12" xfId="28236" xr:uid="{00000000-0005-0000-0000-0000F2230000}"/>
    <cellStyle name="Calculation 3 4 6 2 13" xfId="29205" xr:uid="{00000000-0005-0000-0000-0000F3230000}"/>
    <cellStyle name="Calculation 3 4 6 2 14" xfId="30244" xr:uid="{00000000-0005-0000-0000-0000F4230000}"/>
    <cellStyle name="Calculation 3 4 6 2 15" xfId="31237" xr:uid="{00000000-0005-0000-0000-0000F5230000}"/>
    <cellStyle name="Calculation 3 4 6 2 16" xfId="32246" xr:uid="{00000000-0005-0000-0000-0000F6230000}"/>
    <cellStyle name="Calculation 3 4 6 2 17" xfId="33249" xr:uid="{00000000-0005-0000-0000-0000F7230000}"/>
    <cellStyle name="Calculation 3 4 6 2 18" xfId="34248" xr:uid="{00000000-0005-0000-0000-0000F8230000}"/>
    <cellStyle name="Calculation 3 4 6 2 19" xfId="35869" xr:uid="{00000000-0005-0000-0000-0000F9230000}"/>
    <cellStyle name="Calculation 3 4 6 2 2" xfId="16272" xr:uid="{00000000-0005-0000-0000-0000FA230000}"/>
    <cellStyle name="Calculation 3 4 6 2 20" xfId="36808" xr:uid="{00000000-0005-0000-0000-0000FB230000}"/>
    <cellStyle name="Calculation 3 4 6 2 3" xfId="17250" xr:uid="{00000000-0005-0000-0000-0000FC230000}"/>
    <cellStyle name="Calculation 3 4 6 2 4" xfId="18278" xr:uid="{00000000-0005-0000-0000-0000FD230000}"/>
    <cellStyle name="Calculation 3 4 6 2 5" xfId="19310" xr:uid="{00000000-0005-0000-0000-0000FE230000}"/>
    <cellStyle name="Calculation 3 4 6 2 6" xfId="20332" xr:uid="{00000000-0005-0000-0000-0000FF230000}"/>
    <cellStyle name="Calculation 3 4 6 2 7" xfId="21341" xr:uid="{00000000-0005-0000-0000-000000240000}"/>
    <cellStyle name="Calculation 3 4 6 2 8" xfId="22315" xr:uid="{00000000-0005-0000-0000-000001240000}"/>
    <cellStyle name="Calculation 3 4 6 2 9" xfId="23320" xr:uid="{00000000-0005-0000-0000-000002240000}"/>
    <cellStyle name="Calculation 3 4 6 20" xfId="35868" xr:uid="{00000000-0005-0000-0000-000003240000}"/>
    <cellStyle name="Calculation 3 4 6 21" xfId="36807" xr:uid="{00000000-0005-0000-0000-000004240000}"/>
    <cellStyle name="Calculation 3 4 6 3" xfId="16271" xr:uid="{00000000-0005-0000-0000-000005240000}"/>
    <cellStyle name="Calculation 3 4 6 4" xfId="17249" xr:uid="{00000000-0005-0000-0000-000006240000}"/>
    <cellStyle name="Calculation 3 4 6 5" xfId="18277" xr:uid="{00000000-0005-0000-0000-000007240000}"/>
    <cellStyle name="Calculation 3 4 6 6" xfId="19309" xr:uid="{00000000-0005-0000-0000-000008240000}"/>
    <cellStyle name="Calculation 3 4 6 7" xfId="20331" xr:uid="{00000000-0005-0000-0000-000009240000}"/>
    <cellStyle name="Calculation 3 4 6 8" xfId="21340" xr:uid="{00000000-0005-0000-0000-00000A240000}"/>
    <cellStyle name="Calculation 3 4 6 9" xfId="22314" xr:uid="{00000000-0005-0000-0000-00000B240000}"/>
    <cellStyle name="Calculation 3 4 7" xfId="1017" xr:uid="{00000000-0005-0000-0000-00000C240000}"/>
    <cellStyle name="Calculation 3 4 7 10" xfId="23321" xr:uid="{00000000-0005-0000-0000-00000D240000}"/>
    <cellStyle name="Calculation 3 4 7 11" xfId="24293" xr:uid="{00000000-0005-0000-0000-00000E240000}"/>
    <cellStyle name="Calculation 3 4 7 12" xfId="25292" xr:uid="{00000000-0005-0000-0000-00000F240000}"/>
    <cellStyle name="Calculation 3 4 7 13" xfId="28237" xr:uid="{00000000-0005-0000-0000-000010240000}"/>
    <cellStyle name="Calculation 3 4 7 14" xfId="29206" xr:uid="{00000000-0005-0000-0000-000011240000}"/>
    <cellStyle name="Calculation 3 4 7 15" xfId="30245" xr:uid="{00000000-0005-0000-0000-000012240000}"/>
    <cellStyle name="Calculation 3 4 7 16" xfId="31238" xr:uid="{00000000-0005-0000-0000-000013240000}"/>
    <cellStyle name="Calculation 3 4 7 17" xfId="32247" xr:uid="{00000000-0005-0000-0000-000014240000}"/>
    <cellStyle name="Calculation 3 4 7 18" xfId="33250" xr:uid="{00000000-0005-0000-0000-000015240000}"/>
    <cellStyle name="Calculation 3 4 7 19" xfId="34249" xr:uid="{00000000-0005-0000-0000-000016240000}"/>
    <cellStyle name="Calculation 3 4 7 2" xfId="1018" xr:uid="{00000000-0005-0000-0000-000017240000}"/>
    <cellStyle name="Calculation 3 4 7 2 10" xfId="24294" xr:uid="{00000000-0005-0000-0000-000018240000}"/>
    <cellStyle name="Calculation 3 4 7 2 11" xfId="25293" xr:uid="{00000000-0005-0000-0000-000019240000}"/>
    <cellStyle name="Calculation 3 4 7 2 12" xfId="28238" xr:uid="{00000000-0005-0000-0000-00001A240000}"/>
    <cellStyle name="Calculation 3 4 7 2 13" xfId="29207" xr:uid="{00000000-0005-0000-0000-00001B240000}"/>
    <cellStyle name="Calculation 3 4 7 2 14" xfId="30246" xr:uid="{00000000-0005-0000-0000-00001C240000}"/>
    <cellStyle name="Calculation 3 4 7 2 15" xfId="31239" xr:uid="{00000000-0005-0000-0000-00001D240000}"/>
    <cellStyle name="Calculation 3 4 7 2 16" xfId="32248" xr:uid="{00000000-0005-0000-0000-00001E240000}"/>
    <cellStyle name="Calculation 3 4 7 2 17" xfId="33251" xr:uid="{00000000-0005-0000-0000-00001F240000}"/>
    <cellStyle name="Calculation 3 4 7 2 18" xfId="34250" xr:uid="{00000000-0005-0000-0000-000020240000}"/>
    <cellStyle name="Calculation 3 4 7 2 19" xfId="35871" xr:uid="{00000000-0005-0000-0000-000021240000}"/>
    <cellStyle name="Calculation 3 4 7 2 2" xfId="16274" xr:uid="{00000000-0005-0000-0000-000022240000}"/>
    <cellStyle name="Calculation 3 4 7 2 20" xfId="36810" xr:uid="{00000000-0005-0000-0000-000023240000}"/>
    <cellStyle name="Calculation 3 4 7 2 3" xfId="17252" xr:uid="{00000000-0005-0000-0000-000024240000}"/>
    <cellStyle name="Calculation 3 4 7 2 4" xfId="18280" xr:uid="{00000000-0005-0000-0000-000025240000}"/>
    <cellStyle name="Calculation 3 4 7 2 5" xfId="19312" xr:uid="{00000000-0005-0000-0000-000026240000}"/>
    <cellStyle name="Calculation 3 4 7 2 6" xfId="20334" xr:uid="{00000000-0005-0000-0000-000027240000}"/>
    <cellStyle name="Calculation 3 4 7 2 7" xfId="21343" xr:uid="{00000000-0005-0000-0000-000028240000}"/>
    <cellStyle name="Calculation 3 4 7 2 8" xfId="22317" xr:uid="{00000000-0005-0000-0000-000029240000}"/>
    <cellStyle name="Calculation 3 4 7 2 9" xfId="23322" xr:uid="{00000000-0005-0000-0000-00002A240000}"/>
    <cellStyle name="Calculation 3 4 7 20" xfId="35870" xr:uid="{00000000-0005-0000-0000-00002B240000}"/>
    <cellStyle name="Calculation 3 4 7 21" xfId="36809" xr:uid="{00000000-0005-0000-0000-00002C240000}"/>
    <cellStyle name="Calculation 3 4 7 3" xfId="16273" xr:uid="{00000000-0005-0000-0000-00002D240000}"/>
    <cellStyle name="Calculation 3 4 7 4" xfId="17251" xr:uid="{00000000-0005-0000-0000-00002E240000}"/>
    <cellStyle name="Calculation 3 4 7 5" xfId="18279" xr:uid="{00000000-0005-0000-0000-00002F240000}"/>
    <cellStyle name="Calculation 3 4 7 6" xfId="19311" xr:uid="{00000000-0005-0000-0000-000030240000}"/>
    <cellStyle name="Calculation 3 4 7 7" xfId="20333" xr:uid="{00000000-0005-0000-0000-000031240000}"/>
    <cellStyle name="Calculation 3 4 7 8" xfId="21342" xr:uid="{00000000-0005-0000-0000-000032240000}"/>
    <cellStyle name="Calculation 3 4 7 9" xfId="22316" xr:uid="{00000000-0005-0000-0000-000033240000}"/>
    <cellStyle name="Calculation 3 4 8" xfId="1019" xr:uid="{00000000-0005-0000-0000-000034240000}"/>
    <cellStyle name="Calculation 3 4 8 10" xfId="23323" xr:uid="{00000000-0005-0000-0000-000035240000}"/>
    <cellStyle name="Calculation 3 4 8 11" xfId="24295" xr:uid="{00000000-0005-0000-0000-000036240000}"/>
    <cellStyle name="Calculation 3 4 8 12" xfId="25294" xr:uid="{00000000-0005-0000-0000-000037240000}"/>
    <cellStyle name="Calculation 3 4 8 13" xfId="28239" xr:uid="{00000000-0005-0000-0000-000038240000}"/>
    <cellStyle name="Calculation 3 4 8 14" xfId="29208" xr:uid="{00000000-0005-0000-0000-000039240000}"/>
    <cellStyle name="Calculation 3 4 8 15" xfId="30247" xr:uid="{00000000-0005-0000-0000-00003A240000}"/>
    <cellStyle name="Calculation 3 4 8 16" xfId="31240" xr:uid="{00000000-0005-0000-0000-00003B240000}"/>
    <cellStyle name="Calculation 3 4 8 17" xfId="32249" xr:uid="{00000000-0005-0000-0000-00003C240000}"/>
    <cellStyle name="Calculation 3 4 8 18" xfId="33252" xr:uid="{00000000-0005-0000-0000-00003D240000}"/>
    <cellStyle name="Calculation 3 4 8 19" xfId="34251" xr:uid="{00000000-0005-0000-0000-00003E240000}"/>
    <cellStyle name="Calculation 3 4 8 2" xfId="1020" xr:uid="{00000000-0005-0000-0000-00003F240000}"/>
    <cellStyle name="Calculation 3 4 8 2 10" xfId="24296" xr:uid="{00000000-0005-0000-0000-000040240000}"/>
    <cellStyle name="Calculation 3 4 8 2 11" xfId="25295" xr:uid="{00000000-0005-0000-0000-000041240000}"/>
    <cellStyle name="Calculation 3 4 8 2 12" xfId="28240" xr:uid="{00000000-0005-0000-0000-000042240000}"/>
    <cellStyle name="Calculation 3 4 8 2 13" xfId="29209" xr:uid="{00000000-0005-0000-0000-000043240000}"/>
    <cellStyle name="Calculation 3 4 8 2 14" xfId="30248" xr:uid="{00000000-0005-0000-0000-000044240000}"/>
    <cellStyle name="Calculation 3 4 8 2 15" xfId="31241" xr:uid="{00000000-0005-0000-0000-000045240000}"/>
    <cellStyle name="Calculation 3 4 8 2 16" xfId="32250" xr:uid="{00000000-0005-0000-0000-000046240000}"/>
    <cellStyle name="Calculation 3 4 8 2 17" xfId="33253" xr:uid="{00000000-0005-0000-0000-000047240000}"/>
    <cellStyle name="Calculation 3 4 8 2 18" xfId="34252" xr:uid="{00000000-0005-0000-0000-000048240000}"/>
    <cellStyle name="Calculation 3 4 8 2 19" xfId="35873" xr:uid="{00000000-0005-0000-0000-000049240000}"/>
    <cellStyle name="Calculation 3 4 8 2 2" xfId="16276" xr:uid="{00000000-0005-0000-0000-00004A240000}"/>
    <cellStyle name="Calculation 3 4 8 2 20" xfId="36812" xr:uid="{00000000-0005-0000-0000-00004B240000}"/>
    <cellStyle name="Calculation 3 4 8 2 3" xfId="17254" xr:uid="{00000000-0005-0000-0000-00004C240000}"/>
    <cellStyle name="Calculation 3 4 8 2 4" xfId="18282" xr:uid="{00000000-0005-0000-0000-00004D240000}"/>
    <cellStyle name="Calculation 3 4 8 2 5" xfId="19314" xr:uid="{00000000-0005-0000-0000-00004E240000}"/>
    <cellStyle name="Calculation 3 4 8 2 6" xfId="20336" xr:uid="{00000000-0005-0000-0000-00004F240000}"/>
    <cellStyle name="Calculation 3 4 8 2 7" xfId="21345" xr:uid="{00000000-0005-0000-0000-000050240000}"/>
    <cellStyle name="Calculation 3 4 8 2 8" xfId="22319" xr:uid="{00000000-0005-0000-0000-000051240000}"/>
    <cellStyle name="Calculation 3 4 8 2 9" xfId="23324" xr:uid="{00000000-0005-0000-0000-000052240000}"/>
    <cellStyle name="Calculation 3 4 8 20" xfId="35872" xr:uid="{00000000-0005-0000-0000-000053240000}"/>
    <cellStyle name="Calculation 3 4 8 21" xfId="36811" xr:uid="{00000000-0005-0000-0000-000054240000}"/>
    <cellStyle name="Calculation 3 4 8 3" xfId="16275" xr:uid="{00000000-0005-0000-0000-000055240000}"/>
    <cellStyle name="Calculation 3 4 8 4" xfId="17253" xr:uid="{00000000-0005-0000-0000-000056240000}"/>
    <cellStyle name="Calculation 3 4 8 5" xfId="18281" xr:uid="{00000000-0005-0000-0000-000057240000}"/>
    <cellStyle name="Calculation 3 4 8 6" xfId="19313" xr:uid="{00000000-0005-0000-0000-000058240000}"/>
    <cellStyle name="Calculation 3 4 8 7" xfId="20335" xr:uid="{00000000-0005-0000-0000-000059240000}"/>
    <cellStyle name="Calculation 3 4 8 8" xfId="21344" xr:uid="{00000000-0005-0000-0000-00005A240000}"/>
    <cellStyle name="Calculation 3 4 8 9" xfId="22318" xr:uid="{00000000-0005-0000-0000-00005B240000}"/>
    <cellStyle name="Calculation 3 4 9" xfId="1021" xr:uid="{00000000-0005-0000-0000-00005C240000}"/>
    <cellStyle name="Calculation 3 4 9 10" xfId="24297" xr:uid="{00000000-0005-0000-0000-00005D240000}"/>
    <cellStyle name="Calculation 3 4 9 11" xfId="25296" xr:uid="{00000000-0005-0000-0000-00005E240000}"/>
    <cellStyle name="Calculation 3 4 9 12" xfId="28241" xr:uid="{00000000-0005-0000-0000-00005F240000}"/>
    <cellStyle name="Calculation 3 4 9 13" xfId="29210" xr:uid="{00000000-0005-0000-0000-000060240000}"/>
    <cellStyle name="Calculation 3 4 9 14" xfId="30249" xr:uid="{00000000-0005-0000-0000-000061240000}"/>
    <cellStyle name="Calculation 3 4 9 15" xfId="31242" xr:uid="{00000000-0005-0000-0000-000062240000}"/>
    <cellStyle name="Calculation 3 4 9 16" xfId="32251" xr:uid="{00000000-0005-0000-0000-000063240000}"/>
    <cellStyle name="Calculation 3 4 9 17" xfId="33254" xr:uid="{00000000-0005-0000-0000-000064240000}"/>
    <cellStyle name="Calculation 3 4 9 18" xfId="34253" xr:uid="{00000000-0005-0000-0000-000065240000}"/>
    <cellStyle name="Calculation 3 4 9 19" xfId="35874" xr:uid="{00000000-0005-0000-0000-000066240000}"/>
    <cellStyle name="Calculation 3 4 9 2" xfId="16277" xr:uid="{00000000-0005-0000-0000-000067240000}"/>
    <cellStyle name="Calculation 3 4 9 20" xfId="36813" xr:uid="{00000000-0005-0000-0000-000068240000}"/>
    <cellStyle name="Calculation 3 4 9 3" xfId="17255" xr:uid="{00000000-0005-0000-0000-000069240000}"/>
    <cellStyle name="Calculation 3 4 9 4" xfId="18283" xr:uid="{00000000-0005-0000-0000-00006A240000}"/>
    <cellStyle name="Calculation 3 4 9 5" xfId="19315" xr:uid="{00000000-0005-0000-0000-00006B240000}"/>
    <cellStyle name="Calculation 3 4 9 6" xfId="20337" xr:uid="{00000000-0005-0000-0000-00006C240000}"/>
    <cellStyle name="Calculation 3 4 9 7" xfId="21346" xr:uid="{00000000-0005-0000-0000-00006D240000}"/>
    <cellStyle name="Calculation 3 4 9 8" xfId="22320" xr:uid="{00000000-0005-0000-0000-00006E240000}"/>
    <cellStyle name="Calculation 3 4 9 9" xfId="23325" xr:uid="{00000000-0005-0000-0000-00006F240000}"/>
    <cellStyle name="Calculation 3 5" xfId="1022" xr:uid="{00000000-0005-0000-0000-000070240000}"/>
    <cellStyle name="Calculation 3 5 10" xfId="15845" xr:uid="{00000000-0005-0000-0000-000071240000}"/>
    <cellStyle name="Calculation 3 5 11" xfId="17855" xr:uid="{00000000-0005-0000-0000-000072240000}"/>
    <cellStyle name="Calculation 3 5 12" xfId="13790" xr:uid="{00000000-0005-0000-0000-000073240000}"/>
    <cellStyle name="Calculation 3 5 13" xfId="17865" xr:uid="{00000000-0005-0000-0000-000074240000}"/>
    <cellStyle name="Calculation 3 5 14" xfId="20912" xr:uid="{00000000-0005-0000-0000-000075240000}"/>
    <cellStyle name="Calculation 3 5 15" xfId="13696" xr:uid="{00000000-0005-0000-0000-000076240000}"/>
    <cellStyle name="Calculation 3 5 16" xfId="26077" xr:uid="{00000000-0005-0000-0000-000077240000}"/>
    <cellStyle name="Calculation 3 5 17" xfId="27851" xr:uid="{00000000-0005-0000-0000-000078240000}"/>
    <cellStyle name="Calculation 3 5 18" xfId="25960" xr:uid="{00000000-0005-0000-0000-000079240000}"/>
    <cellStyle name="Calculation 3 5 19" xfId="29822" xr:uid="{00000000-0005-0000-0000-00007A240000}"/>
    <cellStyle name="Calculation 3 5 2" xfId="1023" xr:uid="{00000000-0005-0000-0000-00007B240000}"/>
    <cellStyle name="Calculation 3 5 2 10" xfId="14152" xr:uid="{00000000-0005-0000-0000-00007C240000}"/>
    <cellStyle name="Calculation 3 5 2 11" xfId="13785" xr:uid="{00000000-0005-0000-0000-00007D240000}"/>
    <cellStyle name="Calculation 3 5 2 12" xfId="26300" xr:uid="{00000000-0005-0000-0000-00007E240000}"/>
    <cellStyle name="Calculation 3 5 2 13" xfId="27740" xr:uid="{00000000-0005-0000-0000-00007F240000}"/>
    <cellStyle name="Calculation 3 5 2 14" xfId="26255" xr:uid="{00000000-0005-0000-0000-000080240000}"/>
    <cellStyle name="Calculation 3 5 2 15" xfId="27365" xr:uid="{00000000-0005-0000-0000-000081240000}"/>
    <cellStyle name="Calculation 3 5 2 16" xfId="27852" xr:uid="{00000000-0005-0000-0000-000082240000}"/>
    <cellStyle name="Calculation 3 5 2 17" xfId="26745" xr:uid="{00000000-0005-0000-0000-000083240000}"/>
    <cellStyle name="Calculation 3 5 2 18" xfId="34996" xr:uid="{00000000-0005-0000-0000-000084240000}"/>
    <cellStyle name="Calculation 3 5 2 19" xfId="35340" xr:uid="{00000000-0005-0000-0000-000085240000}"/>
    <cellStyle name="Calculation 3 5 2 2" xfId="1024" xr:uid="{00000000-0005-0000-0000-000086240000}"/>
    <cellStyle name="Calculation 3 5 2 2 10" xfId="23326" xr:uid="{00000000-0005-0000-0000-000087240000}"/>
    <cellStyle name="Calculation 3 5 2 2 11" xfId="24298" xr:uid="{00000000-0005-0000-0000-000088240000}"/>
    <cellStyle name="Calculation 3 5 2 2 12" xfId="25297" xr:uid="{00000000-0005-0000-0000-000089240000}"/>
    <cellStyle name="Calculation 3 5 2 2 13" xfId="28242" xr:uid="{00000000-0005-0000-0000-00008A240000}"/>
    <cellStyle name="Calculation 3 5 2 2 14" xfId="29211" xr:uid="{00000000-0005-0000-0000-00008B240000}"/>
    <cellStyle name="Calculation 3 5 2 2 15" xfId="30250" xr:uid="{00000000-0005-0000-0000-00008C240000}"/>
    <cellStyle name="Calculation 3 5 2 2 16" xfId="31243" xr:uid="{00000000-0005-0000-0000-00008D240000}"/>
    <cellStyle name="Calculation 3 5 2 2 17" xfId="32252" xr:uid="{00000000-0005-0000-0000-00008E240000}"/>
    <cellStyle name="Calculation 3 5 2 2 18" xfId="33255" xr:uid="{00000000-0005-0000-0000-00008F240000}"/>
    <cellStyle name="Calculation 3 5 2 2 19" xfId="34254" xr:uid="{00000000-0005-0000-0000-000090240000}"/>
    <cellStyle name="Calculation 3 5 2 2 2" xfId="1025" xr:uid="{00000000-0005-0000-0000-000091240000}"/>
    <cellStyle name="Calculation 3 5 2 2 2 10" xfId="24299" xr:uid="{00000000-0005-0000-0000-000092240000}"/>
    <cellStyle name="Calculation 3 5 2 2 2 11" xfId="25298" xr:uid="{00000000-0005-0000-0000-000093240000}"/>
    <cellStyle name="Calculation 3 5 2 2 2 12" xfId="28243" xr:uid="{00000000-0005-0000-0000-000094240000}"/>
    <cellStyle name="Calculation 3 5 2 2 2 13" xfId="29212" xr:uid="{00000000-0005-0000-0000-000095240000}"/>
    <cellStyle name="Calculation 3 5 2 2 2 14" xfId="30251" xr:uid="{00000000-0005-0000-0000-000096240000}"/>
    <cellStyle name="Calculation 3 5 2 2 2 15" xfId="31244" xr:uid="{00000000-0005-0000-0000-000097240000}"/>
    <cellStyle name="Calculation 3 5 2 2 2 16" xfId="32253" xr:uid="{00000000-0005-0000-0000-000098240000}"/>
    <cellStyle name="Calculation 3 5 2 2 2 17" xfId="33256" xr:uid="{00000000-0005-0000-0000-000099240000}"/>
    <cellStyle name="Calculation 3 5 2 2 2 18" xfId="34255" xr:uid="{00000000-0005-0000-0000-00009A240000}"/>
    <cellStyle name="Calculation 3 5 2 2 2 19" xfId="35876" xr:uid="{00000000-0005-0000-0000-00009B240000}"/>
    <cellStyle name="Calculation 3 5 2 2 2 2" xfId="16279" xr:uid="{00000000-0005-0000-0000-00009C240000}"/>
    <cellStyle name="Calculation 3 5 2 2 2 20" xfId="36815" xr:uid="{00000000-0005-0000-0000-00009D240000}"/>
    <cellStyle name="Calculation 3 5 2 2 2 3" xfId="17257" xr:uid="{00000000-0005-0000-0000-00009E240000}"/>
    <cellStyle name="Calculation 3 5 2 2 2 4" xfId="18285" xr:uid="{00000000-0005-0000-0000-00009F240000}"/>
    <cellStyle name="Calculation 3 5 2 2 2 5" xfId="19317" xr:uid="{00000000-0005-0000-0000-0000A0240000}"/>
    <cellStyle name="Calculation 3 5 2 2 2 6" xfId="20339" xr:uid="{00000000-0005-0000-0000-0000A1240000}"/>
    <cellStyle name="Calculation 3 5 2 2 2 7" xfId="21348" xr:uid="{00000000-0005-0000-0000-0000A2240000}"/>
    <cellStyle name="Calculation 3 5 2 2 2 8" xfId="22322" xr:uid="{00000000-0005-0000-0000-0000A3240000}"/>
    <cellStyle name="Calculation 3 5 2 2 2 9" xfId="23327" xr:uid="{00000000-0005-0000-0000-0000A4240000}"/>
    <cellStyle name="Calculation 3 5 2 2 20" xfId="35875" xr:uid="{00000000-0005-0000-0000-0000A5240000}"/>
    <cellStyle name="Calculation 3 5 2 2 21" xfId="36814" xr:uid="{00000000-0005-0000-0000-0000A6240000}"/>
    <cellStyle name="Calculation 3 5 2 2 3" xfId="16278" xr:uid="{00000000-0005-0000-0000-0000A7240000}"/>
    <cellStyle name="Calculation 3 5 2 2 4" xfId="17256" xr:uid="{00000000-0005-0000-0000-0000A8240000}"/>
    <cellStyle name="Calculation 3 5 2 2 5" xfId="18284" xr:uid="{00000000-0005-0000-0000-0000A9240000}"/>
    <cellStyle name="Calculation 3 5 2 2 6" xfId="19316" xr:uid="{00000000-0005-0000-0000-0000AA240000}"/>
    <cellStyle name="Calculation 3 5 2 2 7" xfId="20338" xr:uid="{00000000-0005-0000-0000-0000AB240000}"/>
    <cellStyle name="Calculation 3 5 2 2 8" xfId="21347" xr:uid="{00000000-0005-0000-0000-0000AC240000}"/>
    <cellStyle name="Calculation 3 5 2 2 9" xfId="22321" xr:uid="{00000000-0005-0000-0000-0000AD240000}"/>
    <cellStyle name="Calculation 3 5 2 3" xfId="1026" xr:uid="{00000000-0005-0000-0000-0000AE240000}"/>
    <cellStyle name="Calculation 3 5 2 3 10" xfId="23328" xr:uid="{00000000-0005-0000-0000-0000AF240000}"/>
    <cellStyle name="Calculation 3 5 2 3 11" xfId="24300" xr:uid="{00000000-0005-0000-0000-0000B0240000}"/>
    <cellStyle name="Calculation 3 5 2 3 12" xfId="25299" xr:uid="{00000000-0005-0000-0000-0000B1240000}"/>
    <cellStyle name="Calculation 3 5 2 3 13" xfId="28244" xr:uid="{00000000-0005-0000-0000-0000B2240000}"/>
    <cellStyle name="Calculation 3 5 2 3 14" xfId="29213" xr:uid="{00000000-0005-0000-0000-0000B3240000}"/>
    <cellStyle name="Calculation 3 5 2 3 15" xfId="30252" xr:uid="{00000000-0005-0000-0000-0000B4240000}"/>
    <cellStyle name="Calculation 3 5 2 3 16" xfId="31245" xr:uid="{00000000-0005-0000-0000-0000B5240000}"/>
    <cellStyle name="Calculation 3 5 2 3 17" xfId="32254" xr:uid="{00000000-0005-0000-0000-0000B6240000}"/>
    <cellStyle name="Calculation 3 5 2 3 18" xfId="33257" xr:uid="{00000000-0005-0000-0000-0000B7240000}"/>
    <cellStyle name="Calculation 3 5 2 3 19" xfId="34256" xr:uid="{00000000-0005-0000-0000-0000B8240000}"/>
    <cellStyle name="Calculation 3 5 2 3 2" xfId="1027" xr:uid="{00000000-0005-0000-0000-0000B9240000}"/>
    <cellStyle name="Calculation 3 5 2 3 2 10" xfId="24301" xr:uid="{00000000-0005-0000-0000-0000BA240000}"/>
    <cellStyle name="Calculation 3 5 2 3 2 11" xfId="25300" xr:uid="{00000000-0005-0000-0000-0000BB240000}"/>
    <cellStyle name="Calculation 3 5 2 3 2 12" xfId="28245" xr:uid="{00000000-0005-0000-0000-0000BC240000}"/>
    <cellStyle name="Calculation 3 5 2 3 2 13" xfId="29214" xr:uid="{00000000-0005-0000-0000-0000BD240000}"/>
    <cellStyle name="Calculation 3 5 2 3 2 14" xfId="30253" xr:uid="{00000000-0005-0000-0000-0000BE240000}"/>
    <cellStyle name="Calculation 3 5 2 3 2 15" xfId="31246" xr:uid="{00000000-0005-0000-0000-0000BF240000}"/>
    <cellStyle name="Calculation 3 5 2 3 2 16" xfId="32255" xr:uid="{00000000-0005-0000-0000-0000C0240000}"/>
    <cellStyle name="Calculation 3 5 2 3 2 17" xfId="33258" xr:uid="{00000000-0005-0000-0000-0000C1240000}"/>
    <cellStyle name="Calculation 3 5 2 3 2 18" xfId="34257" xr:uid="{00000000-0005-0000-0000-0000C2240000}"/>
    <cellStyle name="Calculation 3 5 2 3 2 19" xfId="35878" xr:uid="{00000000-0005-0000-0000-0000C3240000}"/>
    <cellStyle name="Calculation 3 5 2 3 2 2" xfId="16281" xr:uid="{00000000-0005-0000-0000-0000C4240000}"/>
    <cellStyle name="Calculation 3 5 2 3 2 20" xfId="36817" xr:uid="{00000000-0005-0000-0000-0000C5240000}"/>
    <cellStyle name="Calculation 3 5 2 3 2 3" xfId="17259" xr:uid="{00000000-0005-0000-0000-0000C6240000}"/>
    <cellStyle name="Calculation 3 5 2 3 2 4" xfId="18287" xr:uid="{00000000-0005-0000-0000-0000C7240000}"/>
    <cellStyle name="Calculation 3 5 2 3 2 5" xfId="19319" xr:uid="{00000000-0005-0000-0000-0000C8240000}"/>
    <cellStyle name="Calculation 3 5 2 3 2 6" xfId="20341" xr:uid="{00000000-0005-0000-0000-0000C9240000}"/>
    <cellStyle name="Calculation 3 5 2 3 2 7" xfId="21350" xr:uid="{00000000-0005-0000-0000-0000CA240000}"/>
    <cellStyle name="Calculation 3 5 2 3 2 8" xfId="22324" xr:uid="{00000000-0005-0000-0000-0000CB240000}"/>
    <cellStyle name="Calculation 3 5 2 3 2 9" xfId="23329" xr:uid="{00000000-0005-0000-0000-0000CC240000}"/>
    <cellStyle name="Calculation 3 5 2 3 20" xfId="35877" xr:uid="{00000000-0005-0000-0000-0000CD240000}"/>
    <cellStyle name="Calculation 3 5 2 3 21" xfId="36816" xr:uid="{00000000-0005-0000-0000-0000CE240000}"/>
    <cellStyle name="Calculation 3 5 2 3 3" xfId="16280" xr:uid="{00000000-0005-0000-0000-0000CF240000}"/>
    <cellStyle name="Calculation 3 5 2 3 4" xfId="17258" xr:uid="{00000000-0005-0000-0000-0000D0240000}"/>
    <cellStyle name="Calculation 3 5 2 3 5" xfId="18286" xr:uid="{00000000-0005-0000-0000-0000D1240000}"/>
    <cellStyle name="Calculation 3 5 2 3 6" xfId="19318" xr:uid="{00000000-0005-0000-0000-0000D2240000}"/>
    <cellStyle name="Calculation 3 5 2 3 7" xfId="20340" xr:uid="{00000000-0005-0000-0000-0000D3240000}"/>
    <cellStyle name="Calculation 3 5 2 3 8" xfId="21349" xr:uid="{00000000-0005-0000-0000-0000D4240000}"/>
    <cellStyle name="Calculation 3 5 2 3 9" xfId="22323" xr:uid="{00000000-0005-0000-0000-0000D5240000}"/>
    <cellStyle name="Calculation 3 5 2 4" xfId="1028" xr:uid="{00000000-0005-0000-0000-0000D6240000}"/>
    <cellStyle name="Calculation 3 5 2 4 10" xfId="23330" xr:uid="{00000000-0005-0000-0000-0000D7240000}"/>
    <cellStyle name="Calculation 3 5 2 4 11" xfId="24302" xr:uid="{00000000-0005-0000-0000-0000D8240000}"/>
    <cellStyle name="Calculation 3 5 2 4 12" xfId="25301" xr:uid="{00000000-0005-0000-0000-0000D9240000}"/>
    <cellStyle name="Calculation 3 5 2 4 13" xfId="28246" xr:uid="{00000000-0005-0000-0000-0000DA240000}"/>
    <cellStyle name="Calculation 3 5 2 4 14" xfId="29215" xr:uid="{00000000-0005-0000-0000-0000DB240000}"/>
    <cellStyle name="Calculation 3 5 2 4 15" xfId="30254" xr:uid="{00000000-0005-0000-0000-0000DC240000}"/>
    <cellStyle name="Calculation 3 5 2 4 16" xfId="31247" xr:uid="{00000000-0005-0000-0000-0000DD240000}"/>
    <cellStyle name="Calculation 3 5 2 4 17" xfId="32256" xr:uid="{00000000-0005-0000-0000-0000DE240000}"/>
    <cellStyle name="Calculation 3 5 2 4 18" xfId="33259" xr:uid="{00000000-0005-0000-0000-0000DF240000}"/>
    <cellStyle name="Calculation 3 5 2 4 19" xfId="34258" xr:uid="{00000000-0005-0000-0000-0000E0240000}"/>
    <cellStyle name="Calculation 3 5 2 4 2" xfId="1029" xr:uid="{00000000-0005-0000-0000-0000E1240000}"/>
    <cellStyle name="Calculation 3 5 2 4 2 10" xfId="24303" xr:uid="{00000000-0005-0000-0000-0000E2240000}"/>
    <cellStyle name="Calculation 3 5 2 4 2 11" xfId="25302" xr:uid="{00000000-0005-0000-0000-0000E3240000}"/>
    <cellStyle name="Calculation 3 5 2 4 2 12" xfId="28247" xr:uid="{00000000-0005-0000-0000-0000E4240000}"/>
    <cellStyle name="Calculation 3 5 2 4 2 13" xfId="29216" xr:uid="{00000000-0005-0000-0000-0000E5240000}"/>
    <cellStyle name="Calculation 3 5 2 4 2 14" xfId="30255" xr:uid="{00000000-0005-0000-0000-0000E6240000}"/>
    <cellStyle name="Calculation 3 5 2 4 2 15" xfId="31248" xr:uid="{00000000-0005-0000-0000-0000E7240000}"/>
    <cellStyle name="Calculation 3 5 2 4 2 16" xfId="32257" xr:uid="{00000000-0005-0000-0000-0000E8240000}"/>
    <cellStyle name="Calculation 3 5 2 4 2 17" xfId="33260" xr:uid="{00000000-0005-0000-0000-0000E9240000}"/>
    <cellStyle name="Calculation 3 5 2 4 2 18" xfId="34259" xr:uid="{00000000-0005-0000-0000-0000EA240000}"/>
    <cellStyle name="Calculation 3 5 2 4 2 19" xfId="35880" xr:uid="{00000000-0005-0000-0000-0000EB240000}"/>
    <cellStyle name="Calculation 3 5 2 4 2 2" xfId="16283" xr:uid="{00000000-0005-0000-0000-0000EC240000}"/>
    <cellStyle name="Calculation 3 5 2 4 2 20" xfId="36819" xr:uid="{00000000-0005-0000-0000-0000ED240000}"/>
    <cellStyle name="Calculation 3 5 2 4 2 3" xfId="17261" xr:uid="{00000000-0005-0000-0000-0000EE240000}"/>
    <cellStyle name="Calculation 3 5 2 4 2 4" xfId="18289" xr:uid="{00000000-0005-0000-0000-0000EF240000}"/>
    <cellStyle name="Calculation 3 5 2 4 2 5" xfId="19321" xr:uid="{00000000-0005-0000-0000-0000F0240000}"/>
    <cellStyle name="Calculation 3 5 2 4 2 6" xfId="20343" xr:uid="{00000000-0005-0000-0000-0000F1240000}"/>
    <cellStyle name="Calculation 3 5 2 4 2 7" xfId="21352" xr:uid="{00000000-0005-0000-0000-0000F2240000}"/>
    <cellStyle name="Calculation 3 5 2 4 2 8" xfId="22326" xr:uid="{00000000-0005-0000-0000-0000F3240000}"/>
    <cellStyle name="Calculation 3 5 2 4 2 9" xfId="23331" xr:uid="{00000000-0005-0000-0000-0000F4240000}"/>
    <cellStyle name="Calculation 3 5 2 4 20" xfId="35879" xr:uid="{00000000-0005-0000-0000-0000F5240000}"/>
    <cellStyle name="Calculation 3 5 2 4 21" xfId="36818" xr:uid="{00000000-0005-0000-0000-0000F6240000}"/>
    <cellStyle name="Calculation 3 5 2 4 3" xfId="16282" xr:uid="{00000000-0005-0000-0000-0000F7240000}"/>
    <cellStyle name="Calculation 3 5 2 4 4" xfId="17260" xr:uid="{00000000-0005-0000-0000-0000F8240000}"/>
    <cellStyle name="Calculation 3 5 2 4 5" xfId="18288" xr:uid="{00000000-0005-0000-0000-0000F9240000}"/>
    <cellStyle name="Calculation 3 5 2 4 6" xfId="19320" xr:uid="{00000000-0005-0000-0000-0000FA240000}"/>
    <cellStyle name="Calculation 3 5 2 4 7" xfId="20342" xr:uid="{00000000-0005-0000-0000-0000FB240000}"/>
    <cellStyle name="Calculation 3 5 2 4 8" xfId="21351" xr:uid="{00000000-0005-0000-0000-0000FC240000}"/>
    <cellStyle name="Calculation 3 5 2 4 9" xfId="22325" xr:uid="{00000000-0005-0000-0000-0000FD240000}"/>
    <cellStyle name="Calculation 3 5 2 5" xfId="1030" xr:uid="{00000000-0005-0000-0000-0000FE240000}"/>
    <cellStyle name="Calculation 3 5 2 5 10" xfId="24304" xr:uid="{00000000-0005-0000-0000-0000FF240000}"/>
    <cellStyle name="Calculation 3 5 2 5 11" xfId="25303" xr:uid="{00000000-0005-0000-0000-000000250000}"/>
    <cellStyle name="Calculation 3 5 2 5 12" xfId="28248" xr:uid="{00000000-0005-0000-0000-000001250000}"/>
    <cellStyle name="Calculation 3 5 2 5 13" xfId="29217" xr:uid="{00000000-0005-0000-0000-000002250000}"/>
    <cellStyle name="Calculation 3 5 2 5 14" xfId="30256" xr:uid="{00000000-0005-0000-0000-000003250000}"/>
    <cellStyle name="Calculation 3 5 2 5 15" xfId="31249" xr:uid="{00000000-0005-0000-0000-000004250000}"/>
    <cellStyle name="Calculation 3 5 2 5 16" xfId="32258" xr:uid="{00000000-0005-0000-0000-000005250000}"/>
    <cellStyle name="Calculation 3 5 2 5 17" xfId="33261" xr:uid="{00000000-0005-0000-0000-000006250000}"/>
    <cellStyle name="Calculation 3 5 2 5 18" xfId="34260" xr:uid="{00000000-0005-0000-0000-000007250000}"/>
    <cellStyle name="Calculation 3 5 2 5 19" xfId="35881" xr:uid="{00000000-0005-0000-0000-000008250000}"/>
    <cellStyle name="Calculation 3 5 2 5 2" xfId="16284" xr:uid="{00000000-0005-0000-0000-000009250000}"/>
    <cellStyle name="Calculation 3 5 2 5 20" xfId="36820" xr:uid="{00000000-0005-0000-0000-00000A250000}"/>
    <cellStyle name="Calculation 3 5 2 5 3" xfId="17262" xr:uid="{00000000-0005-0000-0000-00000B250000}"/>
    <cellStyle name="Calculation 3 5 2 5 4" xfId="18290" xr:uid="{00000000-0005-0000-0000-00000C250000}"/>
    <cellStyle name="Calculation 3 5 2 5 5" xfId="19322" xr:uid="{00000000-0005-0000-0000-00000D250000}"/>
    <cellStyle name="Calculation 3 5 2 5 6" xfId="20344" xr:uid="{00000000-0005-0000-0000-00000E250000}"/>
    <cellStyle name="Calculation 3 5 2 5 7" xfId="21353" xr:uid="{00000000-0005-0000-0000-00000F250000}"/>
    <cellStyle name="Calculation 3 5 2 5 8" xfId="22327" xr:uid="{00000000-0005-0000-0000-000010250000}"/>
    <cellStyle name="Calculation 3 5 2 5 9" xfId="23332" xr:uid="{00000000-0005-0000-0000-000011250000}"/>
    <cellStyle name="Calculation 3 5 2 6" xfId="13719" xr:uid="{00000000-0005-0000-0000-000012250000}"/>
    <cellStyle name="Calculation 3 5 2 7" xfId="14383" xr:uid="{00000000-0005-0000-0000-000013250000}"/>
    <cellStyle name="Calculation 3 5 2 8" xfId="14312" xr:uid="{00000000-0005-0000-0000-000014250000}"/>
    <cellStyle name="Calculation 3 5 2 9" xfId="13808" xr:uid="{00000000-0005-0000-0000-000015250000}"/>
    <cellStyle name="Calculation 3 5 20" xfId="27431" xr:uid="{00000000-0005-0000-0000-000016250000}"/>
    <cellStyle name="Calculation 3 5 21" xfId="26981" xr:uid="{00000000-0005-0000-0000-000017250000}"/>
    <cellStyle name="Calculation 3 5 22" xfId="34939" xr:uid="{00000000-0005-0000-0000-000018250000}"/>
    <cellStyle name="Calculation 3 5 23" xfId="35373" xr:uid="{00000000-0005-0000-0000-000019250000}"/>
    <cellStyle name="Calculation 3 5 3" xfId="1031" xr:uid="{00000000-0005-0000-0000-00001A250000}"/>
    <cellStyle name="Calculation 3 5 3 10" xfId="13595" xr:uid="{00000000-0005-0000-0000-00001B250000}"/>
    <cellStyle name="Calculation 3 5 3 11" xfId="19921" xr:uid="{00000000-0005-0000-0000-00001C250000}"/>
    <cellStyle name="Calculation 3 5 3 12" xfId="26380" xr:uid="{00000000-0005-0000-0000-00001D250000}"/>
    <cellStyle name="Calculation 3 5 3 13" xfId="27712" xr:uid="{00000000-0005-0000-0000-00001E250000}"/>
    <cellStyle name="Calculation 3 5 3 14" xfId="26501" xr:uid="{00000000-0005-0000-0000-00001F250000}"/>
    <cellStyle name="Calculation 3 5 3 15" xfId="26550" xr:uid="{00000000-0005-0000-0000-000020250000}"/>
    <cellStyle name="Calculation 3 5 3 16" xfId="26977" xr:uid="{00000000-0005-0000-0000-000021250000}"/>
    <cellStyle name="Calculation 3 5 3 17" xfId="27010" xr:uid="{00000000-0005-0000-0000-000022250000}"/>
    <cellStyle name="Calculation 3 5 3 18" xfId="35071" xr:uid="{00000000-0005-0000-0000-000023250000}"/>
    <cellStyle name="Calculation 3 5 3 19" xfId="35436" xr:uid="{00000000-0005-0000-0000-000024250000}"/>
    <cellStyle name="Calculation 3 5 3 2" xfId="1032" xr:uid="{00000000-0005-0000-0000-000025250000}"/>
    <cellStyle name="Calculation 3 5 3 2 10" xfId="23333" xr:uid="{00000000-0005-0000-0000-000026250000}"/>
    <cellStyle name="Calculation 3 5 3 2 11" xfId="24305" xr:uid="{00000000-0005-0000-0000-000027250000}"/>
    <cellStyle name="Calculation 3 5 3 2 12" xfId="25304" xr:uid="{00000000-0005-0000-0000-000028250000}"/>
    <cellStyle name="Calculation 3 5 3 2 13" xfId="28249" xr:uid="{00000000-0005-0000-0000-000029250000}"/>
    <cellStyle name="Calculation 3 5 3 2 14" xfId="29218" xr:uid="{00000000-0005-0000-0000-00002A250000}"/>
    <cellStyle name="Calculation 3 5 3 2 15" xfId="30257" xr:uid="{00000000-0005-0000-0000-00002B250000}"/>
    <cellStyle name="Calculation 3 5 3 2 16" xfId="31250" xr:uid="{00000000-0005-0000-0000-00002C250000}"/>
    <cellStyle name="Calculation 3 5 3 2 17" xfId="32259" xr:uid="{00000000-0005-0000-0000-00002D250000}"/>
    <cellStyle name="Calculation 3 5 3 2 18" xfId="33262" xr:uid="{00000000-0005-0000-0000-00002E250000}"/>
    <cellStyle name="Calculation 3 5 3 2 19" xfId="34261" xr:uid="{00000000-0005-0000-0000-00002F250000}"/>
    <cellStyle name="Calculation 3 5 3 2 2" xfId="1033" xr:uid="{00000000-0005-0000-0000-000030250000}"/>
    <cellStyle name="Calculation 3 5 3 2 2 10" xfId="24306" xr:uid="{00000000-0005-0000-0000-000031250000}"/>
    <cellStyle name="Calculation 3 5 3 2 2 11" xfId="25305" xr:uid="{00000000-0005-0000-0000-000032250000}"/>
    <cellStyle name="Calculation 3 5 3 2 2 12" xfId="28250" xr:uid="{00000000-0005-0000-0000-000033250000}"/>
    <cellStyle name="Calculation 3 5 3 2 2 13" xfId="29219" xr:uid="{00000000-0005-0000-0000-000034250000}"/>
    <cellStyle name="Calculation 3 5 3 2 2 14" xfId="30258" xr:uid="{00000000-0005-0000-0000-000035250000}"/>
    <cellStyle name="Calculation 3 5 3 2 2 15" xfId="31251" xr:uid="{00000000-0005-0000-0000-000036250000}"/>
    <cellStyle name="Calculation 3 5 3 2 2 16" xfId="32260" xr:uid="{00000000-0005-0000-0000-000037250000}"/>
    <cellStyle name="Calculation 3 5 3 2 2 17" xfId="33263" xr:uid="{00000000-0005-0000-0000-000038250000}"/>
    <cellStyle name="Calculation 3 5 3 2 2 18" xfId="34262" xr:uid="{00000000-0005-0000-0000-000039250000}"/>
    <cellStyle name="Calculation 3 5 3 2 2 19" xfId="35883" xr:uid="{00000000-0005-0000-0000-00003A250000}"/>
    <cellStyle name="Calculation 3 5 3 2 2 2" xfId="16286" xr:uid="{00000000-0005-0000-0000-00003B250000}"/>
    <cellStyle name="Calculation 3 5 3 2 2 20" xfId="36822" xr:uid="{00000000-0005-0000-0000-00003C250000}"/>
    <cellStyle name="Calculation 3 5 3 2 2 3" xfId="17264" xr:uid="{00000000-0005-0000-0000-00003D250000}"/>
    <cellStyle name="Calculation 3 5 3 2 2 4" xfId="18292" xr:uid="{00000000-0005-0000-0000-00003E250000}"/>
    <cellStyle name="Calculation 3 5 3 2 2 5" xfId="19324" xr:uid="{00000000-0005-0000-0000-00003F250000}"/>
    <cellStyle name="Calculation 3 5 3 2 2 6" xfId="20346" xr:uid="{00000000-0005-0000-0000-000040250000}"/>
    <cellStyle name="Calculation 3 5 3 2 2 7" xfId="21355" xr:uid="{00000000-0005-0000-0000-000041250000}"/>
    <cellStyle name="Calculation 3 5 3 2 2 8" xfId="22329" xr:uid="{00000000-0005-0000-0000-000042250000}"/>
    <cellStyle name="Calculation 3 5 3 2 2 9" xfId="23334" xr:uid="{00000000-0005-0000-0000-000043250000}"/>
    <cellStyle name="Calculation 3 5 3 2 20" xfId="35882" xr:uid="{00000000-0005-0000-0000-000044250000}"/>
    <cellStyle name="Calculation 3 5 3 2 21" xfId="36821" xr:uid="{00000000-0005-0000-0000-000045250000}"/>
    <cellStyle name="Calculation 3 5 3 2 3" xfId="16285" xr:uid="{00000000-0005-0000-0000-000046250000}"/>
    <cellStyle name="Calculation 3 5 3 2 4" xfId="17263" xr:uid="{00000000-0005-0000-0000-000047250000}"/>
    <cellStyle name="Calculation 3 5 3 2 5" xfId="18291" xr:uid="{00000000-0005-0000-0000-000048250000}"/>
    <cellStyle name="Calculation 3 5 3 2 6" xfId="19323" xr:uid="{00000000-0005-0000-0000-000049250000}"/>
    <cellStyle name="Calculation 3 5 3 2 7" xfId="20345" xr:uid="{00000000-0005-0000-0000-00004A250000}"/>
    <cellStyle name="Calculation 3 5 3 2 8" xfId="21354" xr:uid="{00000000-0005-0000-0000-00004B250000}"/>
    <cellStyle name="Calculation 3 5 3 2 9" xfId="22328" xr:uid="{00000000-0005-0000-0000-00004C250000}"/>
    <cellStyle name="Calculation 3 5 3 3" xfId="1034" xr:uid="{00000000-0005-0000-0000-00004D250000}"/>
    <cellStyle name="Calculation 3 5 3 3 10" xfId="23335" xr:uid="{00000000-0005-0000-0000-00004E250000}"/>
    <cellStyle name="Calculation 3 5 3 3 11" xfId="24307" xr:uid="{00000000-0005-0000-0000-00004F250000}"/>
    <cellStyle name="Calculation 3 5 3 3 12" xfId="25306" xr:uid="{00000000-0005-0000-0000-000050250000}"/>
    <cellStyle name="Calculation 3 5 3 3 13" xfId="28251" xr:uid="{00000000-0005-0000-0000-000051250000}"/>
    <cellStyle name="Calculation 3 5 3 3 14" xfId="29220" xr:uid="{00000000-0005-0000-0000-000052250000}"/>
    <cellStyle name="Calculation 3 5 3 3 15" xfId="30259" xr:uid="{00000000-0005-0000-0000-000053250000}"/>
    <cellStyle name="Calculation 3 5 3 3 16" xfId="31252" xr:uid="{00000000-0005-0000-0000-000054250000}"/>
    <cellStyle name="Calculation 3 5 3 3 17" xfId="32261" xr:uid="{00000000-0005-0000-0000-000055250000}"/>
    <cellStyle name="Calculation 3 5 3 3 18" xfId="33264" xr:uid="{00000000-0005-0000-0000-000056250000}"/>
    <cellStyle name="Calculation 3 5 3 3 19" xfId="34263" xr:uid="{00000000-0005-0000-0000-000057250000}"/>
    <cellStyle name="Calculation 3 5 3 3 2" xfId="1035" xr:uid="{00000000-0005-0000-0000-000058250000}"/>
    <cellStyle name="Calculation 3 5 3 3 2 10" xfId="24308" xr:uid="{00000000-0005-0000-0000-000059250000}"/>
    <cellStyle name="Calculation 3 5 3 3 2 11" xfId="25307" xr:uid="{00000000-0005-0000-0000-00005A250000}"/>
    <cellStyle name="Calculation 3 5 3 3 2 12" xfId="28252" xr:uid="{00000000-0005-0000-0000-00005B250000}"/>
    <cellStyle name="Calculation 3 5 3 3 2 13" xfId="29221" xr:uid="{00000000-0005-0000-0000-00005C250000}"/>
    <cellStyle name="Calculation 3 5 3 3 2 14" xfId="30260" xr:uid="{00000000-0005-0000-0000-00005D250000}"/>
    <cellStyle name="Calculation 3 5 3 3 2 15" xfId="31253" xr:uid="{00000000-0005-0000-0000-00005E250000}"/>
    <cellStyle name="Calculation 3 5 3 3 2 16" xfId="32262" xr:uid="{00000000-0005-0000-0000-00005F250000}"/>
    <cellStyle name="Calculation 3 5 3 3 2 17" xfId="33265" xr:uid="{00000000-0005-0000-0000-000060250000}"/>
    <cellStyle name="Calculation 3 5 3 3 2 18" xfId="34264" xr:uid="{00000000-0005-0000-0000-000061250000}"/>
    <cellStyle name="Calculation 3 5 3 3 2 19" xfId="35885" xr:uid="{00000000-0005-0000-0000-000062250000}"/>
    <cellStyle name="Calculation 3 5 3 3 2 2" xfId="16288" xr:uid="{00000000-0005-0000-0000-000063250000}"/>
    <cellStyle name="Calculation 3 5 3 3 2 20" xfId="36824" xr:uid="{00000000-0005-0000-0000-000064250000}"/>
    <cellStyle name="Calculation 3 5 3 3 2 3" xfId="17266" xr:uid="{00000000-0005-0000-0000-000065250000}"/>
    <cellStyle name="Calculation 3 5 3 3 2 4" xfId="18294" xr:uid="{00000000-0005-0000-0000-000066250000}"/>
    <cellStyle name="Calculation 3 5 3 3 2 5" xfId="19326" xr:uid="{00000000-0005-0000-0000-000067250000}"/>
    <cellStyle name="Calculation 3 5 3 3 2 6" xfId="20348" xr:uid="{00000000-0005-0000-0000-000068250000}"/>
    <cellStyle name="Calculation 3 5 3 3 2 7" xfId="21357" xr:uid="{00000000-0005-0000-0000-000069250000}"/>
    <cellStyle name="Calculation 3 5 3 3 2 8" xfId="22331" xr:uid="{00000000-0005-0000-0000-00006A250000}"/>
    <cellStyle name="Calculation 3 5 3 3 2 9" xfId="23336" xr:uid="{00000000-0005-0000-0000-00006B250000}"/>
    <cellStyle name="Calculation 3 5 3 3 20" xfId="35884" xr:uid="{00000000-0005-0000-0000-00006C250000}"/>
    <cellStyle name="Calculation 3 5 3 3 21" xfId="36823" xr:uid="{00000000-0005-0000-0000-00006D250000}"/>
    <cellStyle name="Calculation 3 5 3 3 3" xfId="16287" xr:uid="{00000000-0005-0000-0000-00006E250000}"/>
    <cellStyle name="Calculation 3 5 3 3 4" xfId="17265" xr:uid="{00000000-0005-0000-0000-00006F250000}"/>
    <cellStyle name="Calculation 3 5 3 3 5" xfId="18293" xr:uid="{00000000-0005-0000-0000-000070250000}"/>
    <cellStyle name="Calculation 3 5 3 3 6" xfId="19325" xr:uid="{00000000-0005-0000-0000-000071250000}"/>
    <cellStyle name="Calculation 3 5 3 3 7" xfId="20347" xr:uid="{00000000-0005-0000-0000-000072250000}"/>
    <cellStyle name="Calculation 3 5 3 3 8" xfId="21356" xr:uid="{00000000-0005-0000-0000-000073250000}"/>
    <cellStyle name="Calculation 3 5 3 3 9" xfId="22330" xr:uid="{00000000-0005-0000-0000-000074250000}"/>
    <cellStyle name="Calculation 3 5 3 4" xfId="1036" xr:uid="{00000000-0005-0000-0000-000075250000}"/>
    <cellStyle name="Calculation 3 5 3 4 10" xfId="23337" xr:uid="{00000000-0005-0000-0000-000076250000}"/>
    <cellStyle name="Calculation 3 5 3 4 11" xfId="24309" xr:uid="{00000000-0005-0000-0000-000077250000}"/>
    <cellStyle name="Calculation 3 5 3 4 12" xfId="25308" xr:uid="{00000000-0005-0000-0000-000078250000}"/>
    <cellStyle name="Calculation 3 5 3 4 13" xfId="28253" xr:uid="{00000000-0005-0000-0000-000079250000}"/>
    <cellStyle name="Calculation 3 5 3 4 14" xfId="29222" xr:uid="{00000000-0005-0000-0000-00007A250000}"/>
    <cellStyle name="Calculation 3 5 3 4 15" xfId="30261" xr:uid="{00000000-0005-0000-0000-00007B250000}"/>
    <cellStyle name="Calculation 3 5 3 4 16" xfId="31254" xr:uid="{00000000-0005-0000-0000-00007C250000}"/>
    <cellStyle name="Calculation 3 5 3 4 17" xfId="32263" xr:uid="{00000000-0005-0000-0000-00007D250000}"/>
    <cellStyle name="Calculation 3 5 3 4 18" xfId="33266" xr:uid="{00000000-0005-0000-0000-00007E250000}"/>
    <cellStyle name="Calculation 3 5 3 4 19" xfId="34265" xr:uid="{00000000-0005-0000-0000-00007F250000}"/>
    <cellStyle name="Calculation 3 5 3 4 2" xfId="1037" xr:uid="{00000000-0005-0000-0000-000080250000}"/>
    <cellStyle name="Calculation 3 5 3 4 2 10" xfId="24310" xr:uid="{00000000-0005-0000-0000-000081250000}"/>
    <cellStyle name="Calculation 3 5 3 4 2 11" xfId="25309" xr:uid="{00000000-0005-0000-0000-000082250000}"/>
    <cellStyle name="Calculation 3 5 3 4 2 12" xfId="28254" xr:uid="{00000000-0005-0000-0000-000083250000}"/>
    <cellStyle name="Calculation 3 5 3 4 2 13" xfId="29223" xr:uid="{00000000-0005-0000-0000-000084250000}"/>
    <cellStyle name="Calculation 3 5 3 4 2 14" xfId="30262" xr:uid="{00000000-0005-0000-0000-000085250000}"/>
    <cellStyle name="Calculation 3 5 3 4 2 15" xfId="31255" xr:uid="{00000000-0005-0000-0000-000086250000}"/>
    <cellStyle name="Calculation 3 5 3 4 2 16" xfId="32264" xr:uid="{00000000-0005-0000-0000-000087250000}"/>
    <cellStyle name="Calculation 3 5 3 4 2 17" xfId="33267" xr:uid="{00000000-0005-0000-0000-000088250000}"/>
    <cellStyle name="Calculation 3 5 3 4 2 18" xfId="34266" xr:uid="{00000000-0005-0000-0000-000089250000}"/>
    <cellStyle name="Calculation 3 5 3 4 2 19" xfId="35887" xr:uid="{00000000-0005-0000-0000-00008A250000}"/>
    <cellStyle name="Calculation 3 5 3 4 2 2" xfId="16290" xr:uid="{00000000-0005-0000-0000-00008B250000}"/>
    <cellStyle name="Calculation 3 5 3 4 2 20" xfId="36826" xr:uid="{00000000-0005-0000-0000-00008C250000}"/>
    <cellStyle name="Calculation 3 5 3 4 2 3" xfId="17268" xr:uid="{00000000-0005-0000-0000-00008D250000}"/>
    <cellStyle name="Calculation 3 5 3 4 2 4" xfId="18296" xr:uid="{00000000-0005-0000-0000-00008E250000}"/>
    <cellStyle name="Calculation 3 5 3 4 2 5" xfId="19328" xr:uid="{00000000-0005-0000-0000-00008F250000}"/>
    <cellStyle name="Calculation 3 5 3 4 2 6" xfId="20350" xr:uid="{00000000-0005-0000-0000-000090250000}"/>
    <cellStyle name="Calculation 3 5 3 4 2 7" xfId="21359" xr:uid="{00000000-0005-0000-0000-000091250000}"/>
    <cellStyle name="Calculation 3 5 3 4 2 8" xfId="22333" xr:uid="{00000000-0005-0000-0000-000092250000}"/>
    <cellStyle name="Calculation 3 5 3 4 2 9" xfId="23338" xr:uid="{00000000-0005-0000-0000-000093250000}"/>
    <cellStyle name="Calculation 3 5 3 4 20" xfId="35886" xr:uid="{00000000-0005-0000-0000-000094250000}"/>
    <cellStyle name="Calculation 3 5 3 4 21" xfId="36825" xr:uid="{00000000-0005-0000-0000-000095250000}"/>
    <cellStyle name="Calculation 3 5 3 4 3" xfId="16289" xr:uid="{00000000-0005-0000-0000-000096250000}"/>
    <cellStyle name="Calculation 3 5 3 4 4" xfId="17267" xr:uid="{00000000-0005-0000-0000-000097250000}"/>
    <cellStyle name="Calculation 3 5 3 4 5" xfId="18295" xr:uid="{00000000-0005-0000-0000-000098250000}"/>
    <cellStyle name="Calculation 3 5 3 4 6" xfId="19327" xr:uid="{00000000-0005-0000-0000-000099250000}"/>
    <cellStyle name="Calculation 3 5 3 4 7" xfId="20349" xr:uid="{00000000-0005-0000-0000-00009A250000}"/>
    <cellStyle name="Calculation 3 5 3 4 8" xfId="21358" xr:uid="{00000000-0005-0000-0000-00009B250000}"/>
    <cellStyle name="Calculation 3 5 3 4 9" xfId="22332" xr:uid="{00000000-0005-0000-0000-00009C250000}"/>
    <cellStyle name="Calculation 3 5 3 5" xfId="1038" xr:uid="{00000000-0005-0000-0000-00009D250000}"/>
    <cellStyle name="Calculation 3 5 3 5 10" xfId="24311" xr:uid="{00000000-0005-0000-0000-00009E250000}"/>
    <cellStyle name="Calculation 3 5 3 5 11" xfId="25310" xr:uid="{00000000-0005-0000-0000-00009F250000}"/>
    <cellStyle name="Calculation 3 5 3 5 12" xfId="28255" xr:uid="{00000000-0005-0000-0000-0000A0250000}"/>
    <cellStyle name="Calculation 3 5 3 5 13" xfId="29224" xr:uid="{00000000-0005-0000-0000-0000A1250000}"/>
    <cellStyle name="Calculation 3 5 3 5 14" xfId="30263" xr:uid="{00000000-0005-0000-0000-0000A2250000}"/>
    <cellStyle name="Calculation 3 5 3 5 15" xfId="31256" xr:uid="{00000000-0005-0000-0000-0000A3250000}"/>
    <cellStyle name="Calculation 3 5 3 5 16" xfId="32265" xr:uid="{00000000-0005-0000-0000-0000A4250000}"/>
    <cellStyle name="Calculation 3 5 3 5 17" xfId="33268" xr:uid="{00000000-0005-0000-0000-0000A5250000}"/>
    <cellStyle name="Calculation 3 5 3 5 18" xfId="34267" xr:uid="{00000000-0005-0000-0000-0000A6250000}"/>
    <cellStyle name="Calculation 3 5 3 5 19" xfId="35888" xr:uid="{00000000-0005-0000-0000-0000A7250000}"/>
    <cellStyle name="Calculation 3 5 3 5 2" xfId="16291" xr:uid="{00000000-0005-0000-0000-0000A8250000}"/>
    <cellStyle name="Calculation 3 5 3 5 20" xfId="36827" xr:uid="{00000000-0005-0000-0000-0000A9250000}"/>
    <cellStyle name="Calculation 3 5 3 5 3" xfId="17269" xr:uid="{00000000-0005-0000-0000-0000AA250000}"/>
    <cellStyle name="Calculation 3 5 3 5 4" xfId="18297" xr:uid="{00000000-0005-0000-0000-0000AB250000}"/>
    <cellStyle name="Calculation 3 5 3 5 5" xfId="19329" xr:uid="{00000000-0005-0000-0000-0000AC250000}"/>
    <cellStyle name="Calculation 3 5 3 5 6" xfId="20351" xr:uid="{00000000-0005-0000-0000-0000AD250000}"/>
    <cellStyle name="Calculation 3 5 3 5 7" xfId="21360" xr:uid="{00000000-0005-0000-0000-0000AE250000}"/>
    <cellStyle name="Calculation 3 5 3 5 8" xfId="22334" xr:uid="{00000000-0005-0000-0000-0000AF250000}"/>
    <cellStyle name="Calculation 3 5 3 5 9" xfId="23339" xr:uid="{00000000-0005-0000-0000-0000B0250000}"/>
    <cellStyle name="Calculation 3 5 3 6" xfId="15412" xr:uid="{00000000-0005-0000-0000-0000B1250000}"/>
    <cellStyle name="Calculation 3 5 3 7" xfId="14140" xr:uid="{00000000-0005-0000-0000-0000B2250000}"/>
    <cellStyle name="Calculation 3 5 3 8" xfId="15429" xr:uid="{00000000-0005-0000-0000-0000B3250000}"/>
    <cellStyle name="Calculation 3 5 3 9" xfId="14225" xr:uid="{00000000-0005-0000-0000-0000B4250000}"/>
    <cellStyle name="Calculation 3 5 4" xfId="1039" xr:uid="{00000000-0005-0000-0000-0000B5250000}"/>
    <cellStyle name="Calculation 3 5 4 10" xfId="15071" xr:uid="{00000000-0005-0000-0000-0000B6250000}"/>
    <cellStyle name="Calculation 3 5 4 11" xfId="13876" xr:uid="{00000000-0005-0000-0000-0000B7250000}"/>
    <cellStyle name="Calculation 3 5 4 12" xfId="26351" xr:uid="{00000000-0005-0000-0000-0000B8250000}"/>
    <cellStyle name="Calculation 3 5 4 13" xfId="27152" xr:uid="{00000000-0005-0000-0000-0000B9250000}"/>
    <cellStyle name="Calculation 3 5 4 14" xfId="27843" xr:uid="{00000000-0005-0000-0000-0000BA250000}"/>
    <cellStyle name="Calculation 3 5 4 15" xfId="26219" xr:uid="{00000000-0005-0000-0000-0000BB250000}"/>
    <cellStyle name="Calculation 3 5 4 16" xfId="26979" xr:uid="{00000000-0005-0000-0000-0000BC250000}"/>
    <cellStyle name="Calculation 3 5 4 17" xfId="26995" xr:uid="{00000000-0005-0000-0000-0000BD250000}"/>
    <cellStyle name="Calculation 3 5 4 18" xfId="35045" xr:uid="{00000000-0005-0000-0000-0000BE250000}"/>
    <cellStyle name="Calculation 3 5 4 19" xfId="35307" xr:uid="{00000000-0005-0000-0000-0000BF250000}"/>
    <cellStyle name="Calculation 3 5 4 2" xfId="1040" xr:uid="{00000000-0005-0000-0000-0000C0250000}"/>
    <cellStyle name="Calculation 3 5 4 2 10" xfId="23340" xr:uid="{00000000-0005-0000-0000-0000C1250000}"/>
    <cellStyle name="Calculation 3 5 4 2 11" xfId="24312" xr:uid="{00000000-0005-0000-0000-0000C2250000}"/>
    <cellStyle name="Calculation 3 5 4 2 12" xfId="25311" xr:uid="{00000000-0005-0000-0000-0000C3250000}"/>
    <cellStyle name="Calculation 3 5 4 2 13" xfId="28256" xr:uid="{00000000-0005-0000-0000-0000C4250000}"/>
    <cellStyle name="Calculation 3 5 4 2 14" xfId="29225" xr:uid="{00000000-0005-0000-0000-0000C5250000}"/>
    <cellStyle name="Calculation 3 5 4 2 15" xfId="30264" xr:uid="{00000000-0005-0000-0000-0000C6250000}"/>
    <cellStyle name="Calculation 3 5 4 2 16" xfId="31257" xr:uid="{00000000-0005-0000-0000-0000C7250000}"/>
    <cellStyle name="Calculation 3 5 4 2 17" xfId="32266" xr:uid="{00000000-0005-0000-0000-0000C8250000}"/>
    <cellStyle name="Calculation 3 5 4 2 18" xfId="33269" xr:uid="{00000000-0005-0000-0000-0000C9250000}"/>
    <cellStyle name="Calculation 3 5 4 2 19" xfId="34268" xr:uid="{00000000-0005-0000-0000-0000CA250000}"/>
    <cellStyle name="Calculation 3 5 4 2 2" xfId="1041" xr:uid="{00000000-0005-0000-0000-0000CB250000}"/>
    <cellStyle name="Calculation 3 5 4 2 2 10" xfId="24313" xr:uid="{00000000-0005-0000-0000-0000CC250000}"/>
    <cellStyle name="Calculation 3 5 4 2 2 11" xfId="25312" xr:uid="{00000000-0005-0000-0000-0000CD250000}"/>
    <cellStyle name="Calculation 3 5 4 2 2 12" xfId="28257" xr:uid="{00000000-0005-0000-0000-0000CE250000}"/>
    <cellStyle name="Calculation 3 5 4 2 2 13" xfId="29226" xr:uid="{00000000-0005-0000-0000-0000CF250000}"/>
    <cellStyle name="Calculation 3 5 4 2 2 14" xfId="30265" xr:uid="{00000000-0005-0000-0000-0000D0250000}"/>
    <cellStyle name="Calculation 3 5 4 2 2 15" xfId="31258" xr:uid="{00000000-0005-0000-0000-0000D1250000}"/>
    <cellStyle name="Calculation 3 5 4 2 2 16" xfId="32267" xr:uid="{00000000-0005-0000-0000-0000D2250000}"/>
    <cellStyle name="Calculation 3 5 4 2 2 17" xfId="33270" xr:uid="{00000000-0005-0000-0000-0000D3250000}"/>
    <cellStyle name="Calculation 3 5 4 2 2 18" xfId="34269" xr:uid="{00000000-0005-0000-0000-0000D4250000}"/>
    <cellStyle name="Calculation 3 5 4 2 2 19" xfId="35890" xr:uid="{00000000-0005-0000-0000-0000D5250000}"/>
    <cellStyle name="Calculation 3 5 4 2 2 2" xfId="16293" xr:uid="{00000000-0005-0000-0000-0000D6250000}"/>
    <cellStyle name="Calculation 3 5 4 2 2 20" xfId="36829" xr:uid="{00000000-0005-0000-0000-0000D7250000}"/>
    <cellStyle name="Calculation 3 5 4 2 2 3" xfId="17271" xr:uid="{00000000-0005-0000-0000-0000D8250000}"/>
    <cellStyle name="Calculation 3 5 4 2 2 4" xfId="18299" xr:uid="{00000000-0005-0000-0000-0000D9250000}"/>
    <cellStyle name="Calculation 3 5 4 2 2 5" xfId="19331" xr:uid="{00000000-0005-0000-0000-0000DA250000}"/>
    <cellStyle name="Calculation 3 5 4 2 2 6" xfId="20353" xr:uid="{00000000-0005-0000-0000-0000DB250000}"/>
    <cellStyle name="Calculation 3 5 4 2 2 7" xfId="21362" xr:uid="{00000000-0005-0000-0000-0000DC250000}"/>
    <cellStyle name="Calculation 3 5 4 2 2 8" xfId="22336" xr:uid="{00000000-0005-0000-0000-0000DD250000}"/>
    <cellStyle name="Calculation 3 5 4 2 2 9" xfId="23341" xr:uid="{00000000-0005-0000-0000-0000DE250000}"/>
    <cellStyle name="Calculation 3 5 4 2 20" xfId="35889" xr:uid="{00000000-0005-0000-0000-0000DF250000}"/>
    <cellStyle name="Calculation 3 5 4 2 21" xfId="36828" xr:uid="{00000000-0005-0000-0000-0000E0250000}"/>
    <cellStyle name="Calculation 3 5 4 2 3" xfId="16292" xr:uid="{00000000-0005-0000-0000-0000E1250000}"/>
    <cellStyle name="Calculation 3 5 4 2 4" xfId="17270" xr:uid="{00000000-0005-0000-0000-0000E2250000}"/>
    <cellStyle name="Calculation 3 5 4 2 5" xfId="18298" xr:uid="{00000000-0005-0000-0000-0000E3250000}"/>
    <cellStyle name="Calculation 3 5 4 2 6" xfId="19330" xr:uid="{00000000-0005-0000-0000-0000E4250000}"/>
    <cellStyle name="Calculation 3 5 4 2 7" xfId="20352" xr:uid="{00000000-0005-0000-0000-0000E5250000}"/>
    <cellStyle name="Calculation 3 5 4 2 8" xfId="21361" xr:uid="{00000000-0005-0000-0000-0000E6250000}"/>
    <cellStyle name="Calculation 3 5 4 2 9" xfId="22335" xr:uid="{00000000-0005-0000-0000-0000E7250000}"/>
    <cellStyle name="Calculation 3 5 4 3" xfId="1042" xr:uid="{00000000-0005-0000-0000-0000E8250000}"/>
    <cellStyle name="Calculation 3 5 4 3 10" xfId="23342" xr:uid="{00000000-0005-0000-0000-0000E9250000}"/>
    <cellStyle name="Calculation 3 5 4 3 11" xfId="24314" xr:uid="{00000000-0005-0000-0000-0000EA250000}"/>
    <cellStyle name="Calculation 3 5 4 3 12" xfId="25313" xr:uid="{00000000-0005-0000-0000-0000EB250000}"/>
    <cellStyle name="Calculation 3 5 4 3 13" xfId="28258" xr:uid="{00000000-0005-0000-0000-0000EC250000}"/>
    <cellStyle name="Calculation 3 5 4 3 14" xfId="29227" xr:uid="{00000000-0005-0000-0000-0000ED250000}"/>
    <cellStyle name="Calculation 3 5 4 3 15" xfId="30266" xr:uid="{00000000-0005-0000-0000-0000EE250000}"/>
    <cellStyle name="Calculation 3 5 4 3 16" xfId="31259" xr:uid="{00000000-0005-0000-0000-0000EF250000}"/>
    <cellStyle name="Calculation 3 5 4 3 17" xfId="32268" xr:uid="{00000000-0005-0000-0000-0000F0250000}"/>
    <cellStyle name="Calculation 3 5 4 3 18" xfId="33271" xr:uid="{00000000-0005-0000-0000-0000F1250000}"/>
    <cellStyle name="Calculation 3 5 4 3 19" xfId="34270" xr:uid="{00000000-0005-0000-0000-0000F2250000}"/>
    <cellStyle name="Calculation 3 5 4 3 2" xfId="1043" xr:uid="{00000000-0005-0000-0000-0000F3250000}"/>
    <cellStyle name="Calculation 3 5 4 3 2 10" xfId="24315" xr:uid="{00000000-0005-0000-0000-0000F4250000}"/>
    <cellStyle name="Calculation 3 5 4 3 2 11" xfId="25314" xr:uid="{00000000-0005-0000-0000-0000F5250000}"/>
    <cellStyle name="Calculation 3 5 4 3 2 12" xfId="28259" xr:uid="{00000000-0005-0000-0000-0000F6250000}"/>
    <cellStyle name="Calculation 3 5 4 3 2 13" xfId="29228" xr:uid="{00000000-0005-0000-0000-0000F7250000}"/>
    <cellStyle name="Calculation 3 5 4 3 2 14" xfId="30267" xr:uid="{00000000-0005-0000-0000-0000F8250000}"/>
    <cellStyle name="Calculation 3 5 4 3 2 15" xfId="31260" xr:uid="{00000000-0005-0000-0000-0000F9250000}"/>
    <cellStyle name="Calculation 3 5 4 3 2 16" xfId="32269" xr:uid="{00000000-0005-0000-0000-0000FA250000}"/>
    <cellStyle name="Calculation 3 5 4 3 2 17" xfId="33272" xr:uid="{00000000-0005-0000-0000-0000FB250000}"/>
    <cellStyle name="Calculation 3 5 4 3 2 18" xfId="34271" xr:uid="{00000000-0005-0000-0000-0000FC250000}"/>
    <cellStyle name="Calculation 3 5 4 3 2 19" xfId="35892" xr:uid="{00000000-0005-0000-0000-0000FD250000}"/>
    <cellStyle name="Calculation 3 5 4 3 2 2" xfId="16295" xr:uid="{00000000-0005-0000-0000-0000FE250000}"/>
    <cellStyle name="Calculation 3 5 4 3 2 20" xfId="36831" xr:uid="{00000000-0005-0000-0000-0000FF250000}"/>
    <cellStyle name="Calculation 3 5 4 3 2 3" xfId="17273" xr:uid="{00000000-0005-0000-0000-000000260000}"/>
    <cellStyle name="Calculation 3 5 4 3 2 4" xfId="18301" xr:uid="{00000000-0005-0000-0000-000001260000}"/>
    <cellStyle name="Calculation 3 5 4 3 2 5" xfId="19333" xr:uid="{00000000-0005-0000-0000-000002260000}"/>
    <cellStyle name="Calculation 3 5 4 3 2 6" xfId="20355" xr:uid="{00000000-0005-0000-0000-000003260000}"/>
    <cellStyle name="Calculation 3 5 4 3 2 7" xfId="21364" xr:uid="{00000000-0005-0000-0000-000004260000}"/>
    <cellStyle name="Calculation 3 5 4 3 2 8" xfId="22338" xr:uid="{00000000-0005-0000-0000-000005260000}"/>
    <cellStyle name="Calculation 3 5 4 3 2 9" xfId="23343" xr:uid="{00000000-0005-0000-0000-000006260000}"/>
    <cellStyle name="Calculation 3 5 4 3 20" xfId="35891" xr:uid="{00000000-0005-0000-0000-000007260000}"/>
    <cellStyle name="Calculation 3 5 4 3 21" xfId="36830" xr:uid="{00000000-0005-0000-0000-000008260000}"/>
    <cellStyle name="Calculation 3 5 4 3 3" xfId="16294" xr:uid="{00000000-0005-0000-0000-000009260000}"/>
    <cellStyle name="Calculation 3 5 4 3 4" xfId="17272" xr:uid="{00000000-0005-0000-0000-00000A260000}"/>
    <cellStyle name="Calculation 3 5 4 3 5" xfId="18300" xr:uid="{00000000-0005-0000-0000-00000B260000}"/>
    <cellStyle name="Calculation 3 5 4 3 6" xfId="19332" xr:uid="{00000000-0005-0000-0000-00000C260000}"/>
    <cellStyle name="Calculation 3 5 4 3 7" xfId="20354" xr:uid="{00000000-0005-0000-0000-00000D260000}"/>
    <cellStyle name="Calculation 3 5 4 3 8" xfId="21363" xr:uid="{00000000-0005-0000-0000-00000E260000}"/>
    <cellStyle name="Calculation 3 5 4 3 9" xfId="22337" xr:uid="{00000000-0005-0000-0000-00000F260000}"/>
    <cellStyle name="Calculation 3 5 4 4" xfId="1044" xr:uid="{00000000-0005-0000-0000-000010260000}"/>
    <cellStyle name="Calculation 3 5 4 4 10" xfId="23344" xr:uid="{00000000-0005-0000-0000-000011260000}"/>
    <cellStyle name="Calculation 3 5 4 4 11" xfId="24316" xr:uid="{00000000-0005-0000-0000-000012260000}"/>
    <cellStyle name="Calculation 3 5 4 4 12" xfId="25315" xr:uid="{00000000-0005-0000-0000-000013260000}"/>
    <cellStyle name="Calculation 3 5 4 4 13" xfId="28260" xr:uid="{00000000-0005-0000-0000-000014260000}"/>
    <cellStyle name="Calculation 3 5 4 4 14" xfId="29229" xr:uid="{00000000-0005-0000-0000-000015260000}"/>
    <cellStyle name="Calculation 3 5 4 4 15" xfId="30268" xr:uid="{00000000-0005-0000-0000-000016260000}"/>
    <cellStyle name="Calculation 3 5 4 4 16" xfId="31261" xr:uid="{00000000-0005-0000-0000-000017260000}"/>
    <cellStyle name="Calculation 3 5 4 4 17" xfId="32270" xr:uid="{00000000-0005-0000-0000-000018260000}"/>
    <cellStyle name="Calculation 3 5 4 4 18" xfId="33273" xr:uid="{00000000-0005-0000-0000-000019260000}"/>
    <cellStyle name="Calculation 3 5 4 4 19" xfId="34272" xr:uid="{00000000-0005-0000-0000-00001A260000}"/>
    <cellStyle name="Calculation 3 5 4 4 2" xfId="1045" xr:uid="{00000000-0005-0000-0000-00001B260000}"/>
    <cellStyle name="Calculation 3 5 4 4 2 10" xfId="24317" xr:uid="{00000000-0005-0000-0000-00001C260000}"/>
    <cellStyle name="Calculation 3 5 4 4 2 11" xfId="25316" xr:uid="{00000000-0005-0000-0000-00001D260000}"/>
    <cellStyle name="Calculation 3 5 4 4 2 12" xfId="28261" xr:uid="{00000000-0005-0000-0000-00001E260000}"/>
    <cellStyle name="Calculation 3 5 4 4 2 13" xfId="29230" xr:uid="{00000000-0005-0000-0000-00001F260000}"/>
    <cellStyle name="Calculation 3 5 4 4 2 14" xfId="30269" xr:uid="{00000000-0005-0000-0000-000020260000}"/>
    <cellStyle name="Calculation 3 5 4 4 2 15" xfId="31262" xr:uid="{00000000-0005-0000-0000-000021260000}"/>
    <cellStyle name="Calculation 3 5 4 4 2 16" xfId="32271" xr:uid="{00000000-0005-0000-0000-000022260000}"/>
    <cellStyle name="Calculation 3 5 4 4 2 17" xfId="33274" xr:uid="{00000000-0005-0000-0000-000023260000}"/>
    <cellStyle name="Calculation 3 5 4 4 2 18" xfId="34273" xr:uid="{00000000-0005-0000-0000-000024260000}"/>
    <cellStyle name="Calculation 3 5 4 4 2 19" xfId="35894" xr:uid="{00000000-0005-0000-0000-000025260000}"/>
    <cellStyle name="Calculation 3 5 4 4 2 2" xfId="16297" xr:uid="{00000000-0005-0000-0000-000026260000}"/>
    <cellStyle name="Calculation 3 5 4 4 2 20" xfId="36833" xr:uid="{00000000-0005-0000-0000-000027260000}"/>
    <cellStyle name="Calculation 3 5 4 4 2 3" xfId="17275" xr:uid="{00000000-0005-0000-0000-000028260000}"/>
    <cellStyle name="Calculation 3 5 4 4 2 4" xfId="18303" xr:uid="{00000000-0005-0000-0000-000029260000}"/>
    <cellStyle name="Calculation 3 5 4 4 2 5" xfId="19335" xr:uid="{00000000-0005-0000-0000-00002A260000}"/>
    <cellStyle name="Calculation 3 5 4 4 2 6" xfId="20357" xr:uid="{00000000-0005-0000-0000-00002B260000}"/>
    <cellStyle name="Calculation 3 5 4 4 2 7" xfId="21366" xr:uid="{00000000-0005-0000-0000-00002C260000}"/>
    <cellStyle name="Calculation 3 5 4 4 2 8" xfId="22340" xr:uid="{00000000-0005-0000-0000-00002D260000}"/>
    <cellStyle name="Calculation 3 5 4 4 2 9" xfId="23345" xr:uid="{00000000-0005-0000-0000-00002E260000}"/>
    <cellStyle name="Calculation 3 5 4 4 20" xfId="35893" xr:uid="{00000000-0005-0000-0000-00002F260000}"/>
    <cellStyle name="Calculation 3 5 4 4 21" xfId="36832" xr:uid="{00000000-0005-0000-0000-000030260000}"/>
    <cellStyle name="Calculation 3 5 4 4 3" xfId="16296" xr:uid="{00000000-0005-0000-0000-000031260000}"/>
    <cellStyle name="Calculation 3 5 4 4 4" xfId="17274" xr:uid="{00000000-0005-0000-0000-000032260000}"/>
    <cellStyle name="Calculation 3 5 4 4 5" xfId="18302" xr:uid="{00000000-0005-0000-0000-000033260000}"/>
    <cellStyle name="Calculation 3 5 4 4 6" xfId="19334" xr:uid="{00000000-0005-0000-0000-000034260000}"/>
    <cellStyle name="Calculation 3 5 4 4 7" xfId="20356" xr:uid="{00000000-0005-0000-0000-000035260000}"/>
    <cellStyle name="Calculation 3 5 4 4 8" xfId="21365" xr:uid="{00000000-0005-0000-0000-000036260000}"/>
    <cellStyle name="Calculation 3 5 4 4 9" xfId="22339" xr:uid="{00000000-0005-0000-0000-000037260000}"/>
    <cellStyle name="Calculation 3 5 4 5" xfId="1046" xr:uid="{00000000-0005-0000-0000-000038260000}"/>
    <cellStyle name="Calculation 3 5 4 5 10" xfId="24318" xr:uid="{00000000-0005-0000-0000-000039260000}"/>
    <cellStyle name="Calculation 3 5 4 5 11" xfId="25317" xr:uid="{00000000-0005-0000-0000-00003A260000}"/>
    <cellStyle name="Calculation 3 5 4 5 12" xfId="28262" xr:uid="{00000000-0005-0000-0000-00003B260000}"/>
    <cellStyle name="Calculation 3 5 4 5 13" xfId="29231" xr:uid="{00000000-0005-0000-0000-00003C260000}"/>
    <cellStyle name="Calculation 3 5 4 5 14" xfId="30270" xr:uid="{00000000-0005-0000-0000-00003D260000}"/>
    <cellStyle name="Calculation 3 5 4 5 15" xfId="31263" xr:uid="{00000000-0005-0000-0000-00003E260000}"/>
    <cellStyle name="Calculation 3 5 4 5 16" xfId="32272" xr:uid="{00000000-0005-0000-0000-00003F260000}"/>
    <cellStyle name="Calculation 3 5 4 5 17" xfId="33275" xr:uid="{00000000-0005-0000-0000-000040260000}"/>
    <cellStyle name="Calculation 3 5 4 5 18" xfId="34274" xr:uid="{00000000-0005-0000-0000-000041260000}"/>
    <cellStyle name="Calculation 3 5 4 5 19" xfId="35895" xr:uid="{00000000-0005-0000-0000-000042260000}"/>
    <cellStyle name="Calculation 3 5 4 5 2" xfId="16298" xr:uid="{00000000-0005-0000-0000-000043260000}"/>
    <cellStyle name="Calculation 3 5 4 5 20" xfId="36834" xr:uid="{00000000-0005-0000-0000-000044260000}"/>
    <cellStyle name="Calculation 3 5 4 5 3" xfId="17276" xr:uid="{00000000-0005-0000-0000-000045260000}"/>
    <cellStyle name="Calculation 3 5 4 5 4" xfId="18304" xr:uid="{00000000-0005-0000-0000-000046260000}"/>
    <cellStyle name="Calculation 3 5 4 5 5" xfId="19336" xr:uid="{00000000-0005-0000-0000-000047260000}"/>
    <cellStyle name="Calculation 3 5 4 5 6" xfId="20358" xr:uid="{00000000-0005-0000-0000-000048260000}"/>
    <cellStyle name="Calculation 3 5 4 5 7" xfId="21367" xr:uid="{00000000-0005-0000-0000-000049260000}"/>
    <cellStyle name="Calculation 3 5 4 5 8" xfId="22341" xr:uid="{00000000-0005-0000-0000-00004A260000}"/>
    <cellStyle name="Calculation 3 5 4 5 9" xfId="23346" xr:uid="{00000000-0005-0000-0000-00004B260000}"/>
    <cellStyle name="Calculation 3 5 4 6" xfId="15166" xr:uid="{00000000-0005-0000-0000-00004C260000}"/>
    <cellStyle name="Calculation 3 5 4 7" xfId="13467" xr:uid="{00000000-0005-0000-0000-00004D260000}"/>
    <cellStyle name="Calculation 3 5 4 8" xfId="15585" xr:uid="{00000000-0005-0000-0000-00004E260000}"/>
    <cellStyle name="Calculation 3 5 4 9" xfId="14593" xr:uid="{00000000-0005-0000-0000-00004F260000}"/>
    <cellStyle name="Calculation 3 5 5" xfId="1047" xr:uid="{00000000-0005-0000-0000-000050260000}"/>
    <cellStyle name="Calculation 3 5 5 10" xfId="15330" xr:uid="{00000000-0005-0000-0000-000051260000}"/>
    <cellStyle name="Calculation 3 5 5 11" xfId="15577" xr:uid="{00000000-0005-0000-0000-000052260000}"/>
    <cellStyle name="Calculation 3 5 5 12" xfId="26452" xr:uid="{00000000-0005-0000-0000-000053260000}"/>
    <cellStyle name="Calculation 3 5 5 13" xfId="27686" xr:uid="{00000000-0005-0000-0000-000054260000}"/>
    <cellStyle name="Calculation 3 5 5 14" xfId="26169" xr:uid="{00000000-0005-0000-0000-000055260000}"/>
    <cellStyle name="Calculation 3 5 5 15" xfId="26264" xr:uid="{00000000-0005-0000-0000-000056260000}"/>
    <cellStyle name="Calculation 3 5 5 16" xfId="27832" xr:uid="{00000000-0005-0000-0000-000057260000}"/>
    <cellStyle name="Calculation 3 5 5 17" xfId="26803" xr:uid="{00000000-0005-0000-0000-000058260000}"/>
    <cellStyle name="Calculation 3 5 5 18" xfId="35135" xr:uid="{00000000-0005-0000-0000-000059260000}"/>
    <cellStyle name="Calculation 3 5 5 19" xfId="35245" xr:uid="{00000000-0005-0000-0000-00005A260000}"/>
    <cellStyle name="Calculation 3 5 5 2" xfId="1048" xr:uid="{00000000-0005-0000-0000-00005B260000}"/>
    <cellStyle name="Calculation 3 5 5 2 10" xfId="23347" xr:uid="{00000000-0005-0000-0000-00005C260000}"/>
    <cellStyle name="Calculation 3 5 5 2 11" xfId="24319" xr:uid="{00000000-0005-0000-0000-00005D260000}"/>
    <cellStyle name="Calculation 3 5 5 2 12" xfId="25318" xr:uid="{00000000-0005-0000-0000-00005E260000}"/>
    <cellStyle name="Calculation 3 5 5 2 13" xfId="28263" xr:uid="{00000000-0005-0000-0000-00005F260000}"/>
    <cellStyle name="Calculation 3 5 5 2 14" xfId="29232" xr:uid="{00000000-0005-0000-0000-000060260000}"/>
    <cellStyle name="Calculation 3 5 5 2 15" xfId="30271" xr:uid="{00000000-0005-0000-0000-000061260000}"/>
    <cellStyle name="Calculation 3 5 5 2 16" xfId="31264" xr:uid="{00000000-0005-0000-0000-000062260000}"/>
    <cellStyle name="Calculation 3 5 5 2 17" xfId="32273" xr:uid="{00000000-0005-0000-0000-000063260000}"/>
    <cellStyle name="Calculation 3 5 5 2 18" xfId="33276" xr:uid="{00000000-0005-0000-0000-000064260000}"/>
    <cellStyle name="Calculation 3 5 5 2 19" xfId="34275" xr:uid="{00000000-0005-0000-0000-000065260000}"/>
    <cellStyle name="Calculation 3 5 5 2 2" xfId="1049" xr:uid="{00000000-0005-0000-0000-000066260000}"/>
    <cellStyle name="Calculation 3 5 5 2 2 10" xfId="24320" xr:uid="{00000000-0005-0000-0000-000067260000}"/>
    <cellStyle name="Calculation 3 5 5 2 2 11" xfId="25319" xr:uid="{00000000-0005-0000-0000-000068260000}"/>
    <cellStyle name="Calculation 3 5 5 2 2 12" xfId="28264" xr:uid="{00000000-0005-0000-0000-000069260000}"/>
    <cellStyle name="Calculation 3 5 5 2 2 13" xfId="29233" xr:uid="{00000000-0005-0000-0000-00006A260000}"/>
    <cellStyle name="Calculation 3 5 5 2 2 14" xfId="30272" xr:uid="{00000000-0005-0000-0000-00006B260000}"/>
    <cellStyle name="Calculation 3 5 5 2 2 15" xfId="31265" xr:uid="{00000000-0005-0000-0000-00006C260000}"/>
    <cellStyle name="Calculation 3 5 5 2 2 16" xfId="32274" xr:uid="{00000000-0005-0000-0000-00006D260000}"/>
    <cellStyle name="Calculation 3 5 5 2 2 17" xfId="33277" xr:uid="{00000000-0005-0000-0000-00006E260000}"/>
    <cellStyle name="Calculation 3 5 5 2 2 18" xfId="34276" xr:uid="{00000000-0005-0000-0000-00006F260000}"/>
    <cellStyle name="Calculation 3 5 5 2 2 19" xfId="35897" xr:uid="{00000000-0005-0000-0000-000070260000}"/>
    <cellStyle name="Calculation 3 5 5 2 2 2" xfId="16300" xr:uid="{00000000-0005-0000-0000-000071260000}"/>
    <cellStyle name="Calculation 3 5 5 2 2 20" xfId="36836" xr:uid="{00000000-0005-0000-0000-000072260000}"/>
    <cellStyle name="Calculation 3 5 5 2 2 3" xfId="17278" xr:uid="{00000000-0005-0000-0000-000073260000}"/>
    <cellStyle name="Calculation 3 5 5 2 2 4" xfId="18306" xr:uid="{00000000-0005-0000-0000-000074260000}"/>
    <cellStyle name="Calculation 3 5 5 2 2 5" xfId="19338" xr:uid="{00000000-0005-0000-0000-000075260000}"/>
    <cellStyle name="Calculation 3 5 5 2 2 6" xfId="20360" xr:uid="{00000000-0005-0000-0000-000076260000}"/>
    <cellStyle name="Calculation 3 5 5 2 2 7" xfId="21369" xr:uid="{00000000-0005-0000-0000-000077260000}"/>
    <cellStyle name="Calculation 3 5 5 2 2 8" xfId="22343" xr:uid="{00000000-0005-0000-0000-000078260000}"/>
    <cellStyle name="Calculation 3 5 5 2 2 9" xfId="23348" xr:uid="{00000000-0005-0000-0000-000079260000}"/>
    <cellStyle name="Calculation 3 5 5 2 20" xfId="35896" xr:uid="{00000000-0005-0000-0000-00007A260000}"/>
    <cellStyle name="Calculation 3 5 5 2 21" xfId="36835" xr:uid="{00000000-0005-0000-0000-00007B260000}"/>
    <cellStyle name="Calculation 3 5 5 2 3" xfId="16299" xr:uid="{00000000-0005-0000-0000-00007C260000}"/>
    <cellStyle name="Calculation 3 5 5 2 4" xfId="17277" xr:uid="{00000000-0005-0000-0000-00007D260000}"/>
    <cellStyle name="Calculation 3 5 5 2 5" xfId="18305" xr:uid="{00000000-0005-0000-0000-00007E260000}"/>
    <cellStyle name="Calculation 3 5 5 2 6" xfId="19337" xr:uid="{00000000-0005-0000-0000-00007F260000}"/>
    <cellStyle name="Calculation 3 5 5 2 7" xfId="20359" xr:uid="{00000000-0005-0000-0000-000080260000}"/>
    <cellStyle name="Calculation 3 5 5 2 8" xfId="21368" xr:uid="{00000000-0005-0000-0000-000081260000}"/>
    <cellStyle name="Calculation 3 5 5 2 9" xfId="22342" xr:uid="{00000000-0005-0000-0000-000082260000}"/>
    <cellStyle name="Calculation 3 5 5 3" xfId="1050" xr:uid="{00000000-0005-0000-0000-000083260000}"/>
    <cellStyle name="Calculation 3 5 5 3 10" xfId="23349" xr:uid="{00000000-0005-0000-0000-000084260000}"/>
    <cellStyle name="Calculation 3 5 5 3 11" xfId="24321" xr:uid="{00000000-0005-0000-0000-000085260000}"/>
    <cellStyle name="Calculation 3 5 5 3 12" xfId="25320" xr:uid="{00000000-0005-0000-0000-000086260000}"/>
    <cellStyle name="Calculation 3 5 5 3 13" xfId="28265" xr:uid="{00000000-0005-0000-0000-000087260000}"/>
    <cellStyle name="Calculation 3 5 5 3 14" xfId="29234" xr:uid="{00000000-0005-0000-0000-000088260000}"/>
    <cellStyle name="Calculation 3 5 5 3 15" xfId="30273" xr:uid="{00000000-0005-0000-0000-000089260000}"/>
    <cellStyle name="Calculation 3 5 5 3 16" xfId="31266" xr:uid="{00000000-0005-0000-0000-00008A260000}"/>
    <cellStyle name="Calculation 3 5 5 3 17" xfId="32275" xr:uid="{00000000-0005-0000-0000-00008B260000}"/>
    <cellStyle name="Calculation 3 5 5 3 18" xfId="33278" xr:uid="{00000000-0005-0000-0000-00008C260000}"/>
    <cellStyle name="Calculation 3 5 5 3 19" xfId="34277" xr:uid="{00000000-0005-0000-0000-00008D260000}"/>
    <cellStyle name="Calculation 3 5 5 3 2" xfId="1051" xr:uid="{00000000-0005-0000-0000-00008E260000}"/>
    <cellStyle name="Calculation 3 5 5 3 2 10" xfId="24322" xr:uid="{00000000-0005-0000-0000-00008F260000}"/>
    <cellStyle name="Calculation 3 5 5 3 2 11" xfId="25321" xr:uid="{00000000-0005-0000-0000-000090260000}"/>
    <cellStyle name="Calculation 3 5 5 3 2 12" xfId="28266" xr:uid="{00000000-0005-0000-0000-000091260000}"/>
    <cellStyle name="Calculation 3 5 5 3 2 13" xfId="29235" xr:uid="{00000000-0005-0000-0000-000092260000}"/>
    <cellStyle name="Calculation 3 5 5 3 2 14" xfId="30274" xr:uid="{00000000-0005-0000-0000-000093260000}"/>
    <cellStyle name="Calculation 3 5 5 3 2 15" xfId="31267" xr:uid="{00000000-0005-0000-0000-000094260000}"/>
    <cellStyle name="Calculation 3 5 5 3 2 16" xfId="32276" xr:uid="{00000000-0005-0000-0000-000095260000}"/>
    <cellStyle name="Calculation 3 5 5 3 2 17" xfId="33279" xr:uid="{00000000-0005-0000-0000-000096260000}"/>
    <cellStyle name="Calculation 3 5 5 3 2 18" xfId="34278" xr:uid="{00000000-0005-0000-0000-000097260000}"/>
    <cellStyle name="Calculation 3 5 5 3 2 19" xfId="35899" xr:uid="{00000000-0005-0000-0000-000098260000}"/>
    <cellStyle name="Calculation 3 5 5 3 2 2" xfId="16302" xr:uid="{00000000-0005-0000-0000-000099260000}"/>
    <cellStyle name="Calculation 3 5 5 3 2 20" xfId="36838" xr:uid="{00000000-0005-0000-0000-00009A260000}"/>
    <cellStyle name="Calculation 3 5 5 3 2 3" xfId="17280" xr:uid="{00000000-0005-0000-0000-00009B260000}"/>
    <cellStyle name="Calculation 3 5 5 3 2 4" xfId="18308" xr:uid="{00000000-0005-0000-0000-00009C260000}"/>
    <cellStyle name="Calculation 3 5 5 3 2 5" xfId="19340" xr:uid="{00000000-0005-0000-0000-00009D260000}"/>
    <cellStyle name="Calculation 3 5 5 3 2 6" xfId="20362" xr:uid="{00000000-0005-0000-0000-00009E260000}"/>
    <cellStyle name="Calculation 3 5 5 3 2 7" xfId="21371" xr:uid="{00000000-0005-0000-0000-00009F260000}"/>
    <cellStyle name="Calculation 3 5 5 3 2 8" xfId="22345" xr:uid="{00000000-0005-0000-0000-0000A0260000}"/>
    <cellStyle name="Calculation 3 5 5 3 2 9" xfId="23350" xr:uid="{00000000-0005-0000-0000-0000A1260000}"/>
    <cellStyle name="Calculation 3 5 5 3 20" xfId="35898" xr:uid="{00000000-0005-0000-0000-0000A2260000}"/>
    <cellStyle name="Calculation 3 5 5 3 21" xfId="36837" xr:uid="{00000000-0005-0000-0000-0000A3260000}"/>
    <cellStyle name="Calculation 3 5 5 3 3" xfId="16301" xr:uid="{00000000-0005-0000-0000-0000A4260000}"/>
    <cellStyle name="Calculation 3 5 5 3 4" xfId="17279" xr:uid="{00000000-0005-0000-0000-0000A5260000}"/>
    <cellStyle name="Calculation 3 5 5 3 5" xfId="18307" xr:uid="{00000000-0005-0000-0000-0000A6260000}"/>
    <cellStyle name="Calculation 3 5 5 3 6" xfId="19339" xr:uid="{00000000-0005-0000-0000-0000A7260000}"/>
    <cellStyle name="Calculation 3 5 5 3 7" xfId="20361" xr:uid="{00000000-0005-0000-0000-0000A8260000}"/>
    <cellStyle name="Calculation 3 5 5 3 8" xfId="21370" xr:uid="{00000000-0005-0000-0000-0000A9260000}"/>
    <cellStyle name="Calculation 3 5 5 3 9" xfId="22344" xr:uid="{00000000-0005-0000-0000-0000AA260000}"/>
    <cellStyle name="Calculation 3 5 5 4" xfId="1052" xr:uid="{00000000-0005-0000-0000-0000AB260000}"/>
    <cellStyle name="Calculation 3 5 5 4 10" xfId="23351" xr:uid="{00000000-0005-0000-0000-0000AC260000}"/>
    <cellStyle name="Calculation 3 5 5 4 11" xfId="24323" xr:uid="{00000000-0005-0000-0000-0000AD260000}"/>
    <cellStyle name="Calculation 3 5 5 4 12" xfId="25322" xr:uid="{00000000-0005-0000-0000-0000AE260000}"/>
    <cellStyle name="Calculation 3 5 5 4 13" xfId="28267" xr:uid="{00000000-0005-0000-0000-0000AF260000}"/>
    <cellStyle name="Calculation 3 5 5 4 14" xfId="29236" xr:uid="{00000000-0005-0000-0000-0000B0260000}"/>
    <cellStyle name="Calculation 3 5 5 4 15" xfId="30275" xr:uid="{00000000-0005-0000-0000-0000B1260000}"/>
    <cellStyle name="Calculation 3 5 5 4 16" xfId="31268" xr:uid="{00000000-0005-0000-0000-0000B2260000}"/>
    <cellStyle name="Calculation 3 5 5 4 17" xfId="32277" xr:uid="{00000000-0005-0000-0000-0000B3260000}"/>
    <cellStyle name="Calculation 3 5 5 4 18" xfId="33280" xr:uid="{00000000-0005-0000-0000-0000B4260000}"/>
    <cellStyle name="Calculation 3 5 5 4 19" xfId="34279" xr:uid="{00000000-0005-0000-0000-0000B5260000}"/>
    <cellStyle name="Calculation 3 5 5 4 2" xfId="1053" xr:uid="{00000000-0005-0000-0000-0000B6260000}"/>
    <cellStyle name="Calculation 3 5 5 4 2 10" xfId="24324" xr:uid="{00000000-0005-0000-0000-0000B7260000}"/>
    <cellStyle name="Calculation 3 5 5 4 2 11" xfId="25323" xr:uid="{00000000-0005-0000-0000-0000B8260000}"/>
    <cellStyle name="Calculation 3 5 5 4 2 12" xfId="28268" xr:uid="{00000000-0005-0000-0000-0000B9260000}"/>
    <cellStyle name="Calculation 3 5 5 4 2 13" xfId="29237" xr:uid="{00000000-0005-0000-0000-0000BA260000}"/>
    <cellStyle name="Calculation 3 5 5 4 2 14" xfId="30276" xr:uid="{00000000-0005-0000-0000-0000BB260000}"/>
    <cellStyle name="Calculation 3 5 5 4 2 15" xfId="31269" xr:uid="{00000000-0005-0000-0000-0000BC260000}"/>
    <cellStyle name="Calculation 3 5 5 4 2 16" xfId="32278" xr:uid="{00000000-0005-0000-0000-0000BD260000}"/>
    <cellStyle name="Calculation 3 5 5 4 2 17" xfId="33281" xr:uid="{00000000-0005-0000-0000-0000BE260000}"/>
    <cellStyle name="Calculation 3 5 5 4 2 18" xfId="34280" xr:uid="{00000000-0005-0000-0000-0000BF260000}"/>
    <cellStyle name="Calculation 3 5 5 4 2 19" xfId="35901" xr:uid="{00000000-0005-0000-0000-0000C0260000}"/>
    <cellStyle name="Calculation 3 5 5 4 2 2" xfId="16304" xr:uid="{00000000-0005-0000-0000-0000C1260000}"/>
    <cellStyle name="Calculation 3 5 5 4 2 20" xfId="36840" xr:uid="{00000000-0005-0000-0000-0000C2260000}"/>
    <cellStyle name="Calculation 3 5 5 4 2 3" xfId="17282" xr:uid="{00000000-0005-0000-0000-0000C3260000}"/>
    <cellStyle name="Calculation 3 5 5 4 2 4" xfId="18310" xr:uid="{00000000-0005-0000-0000-0000C4260000}"/>
    <cellStyle name="Calculation 3 5 5 4 2 5" xfId="19342" xr:uid="{00000000-0005-0000-0000-0000C5260000}"/>
    <cellStyle name="Calculation 3 5 5 4 2 6" xfId="20364" xr:uid="{00000000-0005-0000-0000-0000C6260000}"/>
    <cellStyle name="Calculation 3 5 5 4 2 7" xfId="21373" xr:uid="{00000000-0005-0000-0000-0000C7260000}"/>
    <cellStyle name="Calculation 3 5 5 4 2 8" xfId="22347" xr:uid="{00000000-0005-0000-0000-0000C8260000}"/>
    <cellStyle name="Calculation 3 5 5 4 2 9" xfId="23352" xr:uid="{00000000-0005-0000-0000-0000C9260000}"/>
    <cellStyle name="Calculation 3 5 5 4 20" xfId="35900" xr:uid="{00000000-0005-0000-0000-0000CA260000}"/>
    <cellStyle name="Calculation 3 5 5 4 21" xfId="36839" xr:uid="{00000000-0005-0000-0000-0000CB260000}"/>
    <cellStyle name="Calculation 3 5 5 4 3" xfId="16303" xr:uid="{00000000-0005-0000-0000-0000CC260000}"/>
    <cellStyle name="Calculation 3 5 5 4 4" xfId="17281" xr:uid="{00000000-0005-0000-0000-0000CD260000}"/>
    <cellStyle name="Calculation 3 5 5 4 5" xfId="18309" xr:uid="{00000000-0005-0000-0000-0000CE260000}"/>
    <cellStyle name="Calculation 3 5 5 4 6" xfId="19341" xr:uid="{00000000-0005-0000-0000-0000CF260000}"/>
    <cellStyle name="Calculation 3 5 5 4 7" xfId="20363" xr:uid="{00000000-0005-0000-0000-0000D0260000}"/>
    <cellStyle name="Calculation 3 5 5 4 8" xfId="21372" xr:uid="{00000000-0005-0000-0000-0000D1260000}"/>
    <cellStyle name="Calculation 3 5 5 4 9" xfId="22346" xr:uid="{00000000-0005-0000-0000-0000D2260000}"/>
    <cellStyle name="Calculation 3 5 5 5" xfId="1054" xr:uid="{00000000-0005-0000-0000-0000D3260000}"/>
    <cellStyle name="Calculation 3 5 5 5 10" xfId="24325" xr:uid="{00000000-0005-0000-0000-0000D4260000}"/>
    <cellStyle name="Calculation 3 5 5 5 11" xfId="25324" xr:uid="{00000000-0005-0000-0000-0000D5260000}"/>
    <cellStyle name="Calculation 3 5 5 5 12" xfId="28269" xr:uid="{00000000-0005-0000-0000-0000D6260000}"/>
    <cellStyle name="Calculation 3 5 5 5 13" xfId="29238" xr:uid="{00000000-0005-0000-0000-0000D7260000}"/>
    <cellStyle name="Calculation 3 5 5 5 14" xfId="30277" xr:uid="{00000000-0005-0000-0000-0000D8260000}"/>
    <cellStyle name="Calculation 3 5 5 5 15" xfId="31270" xr:uid="{00000000-0005-0000-0000-0000D9260000}"/>
    <cellStyle name="Calculation 3 5 5 5 16" xfId="32279" xr:uid="{00000000-0005-0000-0000-0000DA260000}"/>
    <cellStyle name="Calculation 3 5 5 5 17" xfId="33282" xr:uid="{00000000-0005-0000-0000-0000DB260000}"/>
    <cellStyle name="Calculation 3 5 5 5 18" xfId="34281" xr:uid="{00000000-0005-0000-0000-0000DC260000}"/>
    <cellStyle name="Calculation 3 5 5 5 19" xfId="35902" xr:uid="{00000000-0005-0000-0000-0000DD260000}"/>
    <cellStyle name="Calculation 3 5 5 5 2" xfId="16305" xr:uid="{00000000-0005-0000-0000-0000DE260000}"/>
    <cellStyle name="Calculation 3 5 5 5 20" xfId="36841" xr:uid="{00000000-0005-0000-0000-0000DF260000}"/>
    <cellStyle name="Calculation 3 5 5 5 3" xfId="17283" xr:uid="{00000000-0005-0000-0000-0000E0260000}"/>
    <cellStyle name="Calculation 3 5 5 5 4" xfId="18311" xr:uid="{00000000-0005-0000-0000-0000E1260000}"/>
    <cellStyle name="Calculation 3 5 5 5 5" xfId="19343" xr:uid="{00000000-0005-0000-0000-0000E2260000}"/>
    <cellStyle name="Calculation 3 5 5 5 6" xfId="20365" xr:uid="{00000000-0005-0000-0000-0000E3260000}"/>
    <cellStyle name="Calculation 3 5 5 5 7" xfId="21374" xr:uid="{00000000-0005-0000-0000-0000E4260000}"/>
    <cellStyle name="Calculation 3 5 5 5 8" xfId="22348" xr:uid="{00000000-0005-0000-0000-0000E5260000}"/>
    <cellStyle name="Calculation 3 5 5 5 9" xfId="23353" xr:uid="{00000000-0005-0000-0000-0000E6260000}"/>
    <cellStyle name="Calculation 3 5 5 6" xfId="14068" xr:uid="{00000000-0005-0000-0000-0000E7260000}"/>
    <cellStyle name="Calculation 3 5 5 7" xfId="14479" xr:uid="{00000000-0005-0000-0000-0000E8260000}"/>
    <cellStyle name="Calculation 3 5 5 8" xfId="15559" xr:uid="{00000000-0005-0000-0000-0000E9260000}"/>
    <cellStyle name="Calculation 3 5 5 9" xfId="13873" xr:uid="{00000000-0005-0000-0000-0000EA260000}"/>
    <cellStyle name="Calculation 3 5 6" xfId="1055" xr:uid="{00000000-0005-0000-0000-0000EB260000}"/>
    <cellStyle name="Calculation 3 5 6 10" xfId="23354" xr:uid="{00000000-0005-0000-0000-0000EC260000}"/>
    <cellStyle name="Calculation 3 5 6 11" xfId="24326" xr:uid="{00000000-0005-0000-0000-0000ED260000}"/>
    <cellStyle name="Calculation 3 5 6 12" xfId="25325" xr:uid="{00000000-0005-0000-0000-0000EE260000}"/>
    <cellStyle name="Calculation 3 5 6 13" xfId="28270" xr:uid="{00000000-0005-0000-0000-0000EF260000}"/>
    <cellStyle name="Calculation 3 5 6 14" xfId="29239" xr:uid="{00000000-0005-0000-0000-0000F0260000}"/>
    <cellStyle name="Calculation 3 5 6 15" xfId="30278" xr:uid="{00000000-0005-0000-0000-0000F1260000}"/>
    <cellStyle name="Calculation 3 5 6 16" xfId="31271" xr:uid="{00000000-0005-0000-0000-0000F2260000}"/>
    <cellStyle name="Calculation 3 5 6 17" xfId="32280" xr:uid="{00000000-0005-0000-0000-0000F3260000}"/>
    <cellStyle name="Calculation 3 5 6 18" xfId="33283" xr:uid="{00000000-0005-0000-0000-0000F4260000}"/>
    <cellStyle name="Calculation 3 5 6 19" xfId="34282" xr:uid="{00000000-0005-0000-0000-0000F5260000}"/>
    <cellStyle name="Calculation 3 5 6 2" xfId="1056" xr:uid="{00000000-0005-0000-0000-0000F6260000}"/>
    <cellStyle name="Calculation 3 5 6 2 10" xfId="24327" xr:uid="{00000000-0005-0000-0000-0000F7260000}"/>
    <cellStyle name="Calculation 3 5 6 2 11" xfId="25326" xr:uid="{00000000-0005-0000-0000-0000F8260000}"/>
    <cellStyle name="Calculation 3 5 6 2 12" xfId="28271" xr:uid="{00000000-0005-0000-0000-0000F9260000}"/>
    <cellStyle name="Calculation 3 5 6 2 13" xfId="29240" xr:uid="{00000000-0005-0000-0000-0000FA260000}"/>
    <cellStyle name="Calculation 3 5 6 2 14" xfId="30279" xr:uid="{00000000-0005-0000-0000-0000FB260000}"/>
    <cellStyle name="Calculation 3 5 6 2 15" xfId="31272" xr:uid="{00000000-0005-0000-0000-0000FC260000}"/>
    <cellStyle name="Calculation 3 5 6 2 16" xfId="32281" xr:uid="{00000000-0005-0000-0000-0000FD260000}"/>
    <cellStyle name="Calculation 3 5 6 2 17" xfId="33284" xr:uid="{00000000-0005-0000-0000-0000FE260000}"/>
    <cellStyle name="Calculation 3 5 6 2 18" xfId="34283" xr:uid="{00000000-0005-0000-0000-0000FF260000}"/>
    <cellStyle name="Calculation 3 5 6 2 19" xfId="35904" xr:uid="{00000000-0005-0000-0000-000000270000}"/>
    <cellStyle name="Calculation 3 5 6 2 2" xfId="16307" xr:uid="{00000000-0005-0000-0000-000001270000}"/>
    <cellStyle name="Calculation 3 5 6 2 20" xfId="36843" xr:uid="{00000000-0005-0000-0000-000002270000}"/>
    <cellStyle name="Calculation 3 5 6 2 3" xfId="17285" xr:uid="{00000000-0005-0000-0000-000003270000}"/>
    <cellStyle name="Calculation 3 5 6 2 4" xfId="18313" xr:uid="{00000000-0005-0000-0000-000004270000}"/>
    <cellStyle name="Calculation 3 5 6 2 5" xfId="19345" xr:uid="{00000000-0005-0000-0000-000005270000}"/>
    <cellStyle name="Calculation 3 5 6 2 6" xfId="20367" xr:uid="{00000000-0005-0000-0000-000006270000}"/>
    <cellStyle name="Calculation 3 5 6 2 7" xfId="21376" xr:uid="{00000000-0005-0000-0000-000007270000}"/>
    <cellStyle name="Calculation 3 5 6 2 8" xfId="22350" xr:uid="{00000000-0005-0000-0000-000008270000}"/>
    <cellStyle name="Calculation 3 5 6 2 9" xfId="23355" xr:uid="{00000000-0005-0000-0000-000009270000}"/>
    <cellStyle name="Calculation 3 5 6 20" xfId="35903" xr:uid="{00000000-0005-0000-0000-00000A270000}"/>
    <cellStyle name="Calculation 3 5 6 21" xfId="36842" xr:uid="{00000000-0005-0000-0000-00000B270000}"/>
    <cellStyle name="Calculation 3 5 6 3" xfId="16306" xr:uid="{00000000-0005-0000-0000-00000C270000}"/>
    <cellStyle name="Calculation 3 5 6 4" xfId="17284" xr:uid="{00000000-0005-0000-0000-00000D270000}"/>
    <cellStyle name="Calculation 3 5 6 5" xfId="18312" xr:uid="{00000000-0005-0000-0000-00000E270000}"/>
    <cellStyle name="Calculation 3 5 6 6" xfId="19344" xr:uid="{00000000-0005-0000-0000-00000F270000}"/>
    <cellStyle name="Calculation 3 5 6 7" xfId="20366" xr:uid="{00000000-0005-0000-0000-000010270000}"/>
    <cellStyle name="Calculation 3 5 6 8" xfId="21375" xr:uid="{00000000-0005-0000-0000-000011270000}"/>
    <cellStyle name="Calculation 3 5 6 9" xfId="22349" xr:uid="{00000000-0005-0000-0000-000012270000}"/>
    <cellStyle name="Calculation 3 5 7" xfId="1057" xr:uid="{00000000-0005-0000-0000-000013270000}"/>
    <cellStyle name="Calculation 3 5 7 10" xfId="23356" xr:uid="{00000000-0005-0000-0000-000014270000}"/>
    <cellStyle name="Calculation 3 5 7 11" xfId="24328" xr:uid="{00000000-0005-0000-0000-000015270000}"/>
    <cellStyle name="Calculation 3 5 7 12" xfId="25327" xr:uid="{00000000-0005-0000-0000-000016270000}"/>
    <cellStyle name="Calculation 3 5 7 13" xfId="28272" xr:uid="{00000000-0005-0000-0000-000017270000}"/>
    <cellStyle name="Calculation 3 5 7 14" xfId="29241" xr:uid="{00000000-0005-0000-0000-000018270000}"/>
    <cellStyle name="Calculation 3 5 7 15" xfId="30280" xr:uid="{00000000-0005-0000-0000-000019270000}"/>
    <cellStyle name="Calculation 3 5 7 16" xfId="31273" xr:uid="{00000000-0005-0000-0000-00001A270000}"/>
    <cellStyle name="Calculation 3 5 7 17" xfId="32282" xr:uid="{00000000-0005-0000-0000-00001B270000}"/>
    <cellStyle name="Calculation 3 5 7 18" xfId="33285" xr:uid="{00000000-0005-0000-0000-00001C270000}"/>
    <cellStyle name="Calculation 3 5 7 19" xfId="34284" xr:uid="{00000000-0005-0000-0000-00001D270000}"/>
    <cellStyle name="Calculation 3 5 7 2" xfId="1058" xr:uid="{00000000-0005-0000-0000-00001E270000}"/>
    <cellStyle name="Calculation 3 5 7 2 10" xfId="24329" xr:uid="{00000000-0005-0000-0000-00001F270000}"/>
    <cellStyle name="Calculation 3 5 7 2 11" xfId="25328" xr:uid="{00000000-0005-0000-0000-000020270000}"/>
    <cellStyle name="Calculation 3 5 7 2 12" xfId="28273" xr:uid="{00000000-0005-0000-0000-000021270000}"/>
    <cellStyle name="Calculation 3 5 7 2 13" xfId="29242" xr:uid="{00000000-0005-0000-0000-000022270000}"/>
    <cellStyle name="Calculation 3 5 7 2 14" xfId="30281" xr:uid="{00000000-0005-0000-0000-000023270000}"/>
    <cellStyle name="Calculation 3 5 7 2 15" xfId="31274" xr:uid="{00000000-0005-0000-0000-000024270000}"/>
    <cellStyle name="Calculation 3 5 7 2 16" xfId="32283" xr:uid="{00000000-0005-0000-0000-000025270000}"/>
    <cellStyle name="Calculation 3 5 7 2 17" xfId="33286" xr:uid="{00000000-0005-0000-0000-000026270000}"/>
    <cellStyle name="Calculation 3 5 7 2 18" xfId="34285" xr:uid="{00000000-0005-0000-0000-000027270000}"/>
    <cellStyle name="Calculation 3 5 7 2 19" xfId="35906" xr:uid="{00000000-0005-0000-0000-000028270000}"/>
    <cellStyle name="Calculation 3 5 7 2 2" xfId="16309" xr:uid="{00000000-0005-0000-0000-000029270000}"/>
    <cellStyle name="Calculation 3 5 7 2 20" xfId="36845" xr:uid="{00000000-0005-0000-0000-00002A270000}"/>
    <cellStyle name="Calculation 3 5 7 2 3" xfId="17287" xr:uid="{00000000-0005-0000-0000-00002B270000}"/>
    <cellStyle name="Calculation 3 5 7 2 4" xfId="18315" xr:uid="{00000000-0005-0000-0000-00002C270000}"/>
    <cellStyle name="Calculation 3 5 7 2 5" xfId="19347" xr:uid="{00000000-0005-0000-0000-00002D270000}"/>
    <cellStyle name="Calculation 3 5 7 2 6" xfId="20369" xr:uid="{00000000-0005-0000-0000-00002E270000}"/>
    <cellStyle name="Calculation 3 5 7 2 7" xfId="21378" xr:uid="{00000000-0005-0000-0000-00002F270000}"/>
    <cellStyle name="Calculation 3 5 7 2 8" xfId="22352" xr:uid="{00000000-0005-0000-0000-000030270000}"/>
    <cellStyle name="Calculation 3 5 7 2 9" xfId="23357" xr:uid="{00000000-0005-0000-0000-000031270000}"/>
    <cellStyle name="Calculation 3 5 7 20" xfId="35905" xr:uid="{00000000-0005-0000-0000-000032270000}"/>
    <cellStyle name="Calculation 3 5 7 21" xfId="36844" xr:uid="{00000000-0005-0000-0000-000033270000}"/>
    <cellStyle name="Calculation 3 5 7 3" xfId="16308" xr:uid="{00000000-0005-0000-0000-000034270000}"/>
    <cellStyle name="Calculation 3 5 7 4" xfId="17286" xr:uid="{00000000-0005-0000-0000-000035270000}"/>
    <cellStyle name="Calculation 3 5 7 5" xfId="18314" xr:uid="{00000000-0005-0000-0000-000036270000}"/>
    <cellStyle name="Calculation 3 5 7 6" xfId="19346" xr:uid="{00000000-0005-0000-0000-000037270000}"/>
    <cellStyle name="Calculation 3 5 7 7" xfId="20368" xr:uid="{00000000-0005-0000-0000-000038270000}"/>
    <cellStyle name="Calculation 3 5 7 8" xfId="21377" xr:uid="{00000000-0005-0000-0000-000039270000}"/>
    <cellStyle name="Calculation 3 5 7 9" xfId="22351" xr:uid="{00000000-0005-0000-0000-00003A270000}"/>
    <cellStyle name="Calculation 3 5 8" xfId="1059" xr:uid="{00000000-0005-0000-0000-00003B270000}"/>
    <cellStyle name="Calculation 3 5 8 10" xfId="23358" xr:uid="{00000000-0005-0000-0000-00003C270000}"/>
    <cellStyle name="Calculation 3 5 8 11" xfId="24330" xr:uid="{00000000-0005-0000-0000-00003D270000}"/>
    <cellStyle name="Calculation 3 5 8 12" xfId="25329" xr:uid="{00000000-0005-0000-0000-00003E270000}"/>
    <cellStyle name="Calculation 3 5 8 13" xfId="28274" xr:uid="{00000000-0005-0000-0000-00003F270000}"/>
    <cellStyle name="Calculation 3 5 8 14" xfId="29243" xr:uid="{00000000-0005-0000-0000-000040270000}"/>
    <cellStyle name="Calculation 3 5 8 15" xfId="30282" xr:uid="{00000000-0005-0000-0000-000041270000}"/>
    <cellStyle name="Calculation 3 5 8 16" xfId="31275" xr:uid="{00000000-0005-0000-0000-000042270000}"/>
    <cellStyle name="Calculation 3 5 8 17" xfId="32284" xr:uid="{00000000-0005-0000-0000-000043270000}"/>
    <cellStyle name="Calculation 3 5 8 18" xfId="33287" xr:uid="{00000000-0005-0000-0000-000044270000}"/>
    <cellStyle name="Calculation 3 5 8 19" xfId="34286" xr:uid="{00000000-0005-0000-0000-000045270000}"/>
    <cellStyle name="Calculation 3 5 8 2" xfId="1060" xr:uid="{00000000-0005-0000-0000-000046270000}"/>
    <cellStyle name="Calculation 3 5 8 2 10" xfId="24331" xr:uid="{00000000-0005-0000-0000-000047270000}"/>
    <cellStyle name="Calculation 3 5 8 2 11" xfId="25330" xr:uid="{00000000-0005-0000-0000-000048270000}"/>
    <cellStyle name="Calculation 3 5 8 2 12" xfId="28275" xr:uid="{00000000-0005-0000-0000-000049270000}"/>
    <cellStyle name="Calculation 3 5 8 2 13" xfId="29244" xr:uid="{00000000-0005-0000-0000-00004A270000}"/>
    <cellStyle name="Calculation 3 5 8 2 14" xfId="30283" xr:uid="{00000000-0005-0000-0000-00004B270000}"/>
    <cellStyle name="Calculation 3 5 8 2 15" xfId="31276" xr:uid="{00000000-0005-0000-0000-00004C270000}"/>
    <cellStyle name="Calculation 3 5 8 2 16" xfId="32285" xr:uid="{00000000-0005-0000-0000-00004D270000}"/>
    <cellStyle name="Calculation 3 5 8 2 17" xfId="33288" xr:uid="{00000000-0005-0000-0000-00004E270000}"/>
    <cellStyle name="Calculation 3 5 8 2 18" xfId="34287" xr:uid="{00000000-0005-0000-0000-00004F270000}"/>
    <cellStyle name="Calculation 3 5 8 2 19" xfId="35908" xr:uid="{00000000-0005-0000-0000-000050270000}"/>
    <cellStyle name="Calculation 3 5 8 2 2" xfId="16311" xr:uid="{00000000-0005-0000-0000-000051270000}"/>
    <cellStyle name="Calculation 3 5 8 2 20" xfId="36847" xr:uid="{00000000-0005-0000-0000-000052270000}"/>
    <cellStyle name="Calculation 3 5 8 2 3" xfId="17289" xr:uid="{00000000-0005-0000-0000-000053270000}"/>
    <cellStyle name="Calculation 3 5 8 2 4" xfId="18317" xr:uid="{00000000-0005-0000-0000-000054270000}"/>
    <cellStyle name="Calculation 3 5 8 2 5" xfId="19349" xr:uid="{00000000-0005-0000-0000-000055270000}"/>
    <cellStyle name="Calculation 3 5 8 2 6" xfId="20371" xr:uid="{00000000-0005-0000-0000-000056270000}"/>
    <cellStyle name="Calculation 3 5 8 2 7" xfId="21380" xr:uid="{00000000-0005-0000-0000-000057270000}"/>
    <cellStyle name="Calculation 3 5 8 2 8" xfId="22354" xr:uid="{00000000-0005-0000-0000-000058270000}"/>
    <cellStyle name="Calculation 3 5 8 2 9" xfId="23359" xr:uid="{00000000-0005-0000-0000-000059270000}"/>
    <cellStyle name="Calculation 3 5 8 20" xfId="35907" xr:uid="{00000000-0005-0000-0000-00005A270000}"/>
    <cellStyle name="Calculation 3 5 8 21" xfId="36846" xr:uid="{00000000-0005-0000-0000-00005B270000}"/>
    <cellStyle name="Calculation 3 5 8 3" xfId="16310" xr:uid="{00000000-0005-0000-0000-00005C270000}"/>
    <cellStyle name="Calculation 3 5 8 4" xfId="17288" xr:uid="{00000000-0005-0000-0000-00005D270000}"/>
    <cellStyle name="Calculation 3 5 8 5" xfId="18316" xr:uid="{00000000-0005-0000-0000-00005E270000}"/>
    <cellStyle name="Calculation 3 5 8 6" xfId="19348" xr:uid="{00000000-0005-0000-0000-00005F270000}"/>
    <cellStyle name="Calculation 3 5 8 7" xfId="20370" xr:uid="{00000000-0005-0000-0000-000060270000}"/>
    <cellStyle name="Calculation 3 5 8 8" xfId="21379" xr:uid="{00000000-0005-0000-0000-000061270000}"/>
    <cellStyle name="Calculation 3 5 8 9" xfId="22353" xr:uid="{00000000-0005-0000-0000-000062270000}"/>
    <cellStyle name="Calculation 3 5 9" xfId="1061" xr:uid="{00000000-0005-0000-0000-000063270000}"/>
    <cellStyle name="Calculation 3 5 9 10" xfId="24332" xr:uid="{00000000-0005-0000-0000-000064270000}"/>
    <cellStyle name="Calculation 3 5 9 11" xfId="25331" xr:uid="{00000000-0005-0000-0000-000065270000}"/>
    <cellStyle name="Calculation 3 5 9 12" xfId="28276" xr:uid="{00000000-0005-0000-0000-000066270000}"/>
    <cellStyle name="Calculation 3 5 9 13" xfId="29245" xr:uid="{00000000-0005-0000-0000-000067270000}"/>
    <cellStyle name="Calculation 3 5 9 14" xfId="30284" xr:uid="{00000000-0005-0000-0000-000068270000}"/>
    <cellStyle name="Calculation 3 5 9 15" xfId="31277" xr:uid="{00000000-0005-0000-0000-000069270000}"/>
    <cellStyle name="Calculation 3 5 9 16" xfId="32286" xr:uid="{00000000-0005-0000-0000-00006A270000}"/>
    <cellStyle name="Calculation 3 5 9 17" xfId="33289" xr:uid="{00000000-0005-0000-0000-00006B270000}"/>
    <cellStyle name="Calculation 3 5 9 18" xfId="34288" xr:uid="{00000000-0005-0000-0000-00006C270000}"/>
    <cellStyle name="Calculation 3 5 9 19" xfId="35909" xr:uid="{00000000-0005-0000-0000-00006D270000}"/>
    <cellStyle name="Calculation 3 5 9 2" xfId="16312" xr:uid="{00000000-0005-0000-0000-00006E270000}"/>
    <cellStyle name="Calculation 3 5 9 20" xfId="36848" xr:uid="{00000000-0005-0000-0000-00006F270000}"/>
    <cellStyle name="Calculation 3 5 9 3" xfId="17290" xr:uid="{00000000-0005-0000-0000-000070270000}"/>
    <cellStyle name="Calculation 3 5 9 4" xfId="18318" xr:uid="{00000000-0005-0000-0000-000071270000}"/>
    <cellStyle name="Calculation 3 5 9 5" xfId="19350" xr:uid="{00000000-0005-0000-0000-000072270000}"/>
    <cellStyle name="Calculation 3 5 9 6" xfId="20372" xr:uid="{00000000-0005-0000-0000-000073270000}"/>
    <cellStyle name="Calculation 3 5 9 7" xfId="21381" xr:uid="{00000000-0005-0000-0000-000074270000}"/>
    <cellStyle name="Calculation 3 5 9 8" xfId="22355" xr:uid="{00000000-0005-0000-0000-000075270000}"/>
    <cellStyle name="Calculation 3 5 9 9" xfId="23360" xr:uid="{00000000-0005-0000-0000-000076270000}"/>
    <cellStyle name="Calculation 3 6" xfId="1062" xr:uid="{00000000-0005-0000-0000-000077270000}"/>
    <cellStyle name="Calculation 3 6 10" xfId="23361" xr:uid="{00000000-0005-0000-0000-000078270000}"/>
    <cellStyle name="Calculation 3 6 11" xfId="24333" xr:uid="{00000000-0005-0000-0000-000079270000}"/>
    <cellStyle name="Calculation 3 6 12" xfId="25332" xr:uid="{00000000-0005-0000-0000-00007A270000}"/>
    <cellStyle name="Calculation 3 6 13" xfId="28277" xr:uid="{00000000-0005-0000-0000-00007B270000}"/>
    <cellStyle name="Calculation 3 6 14" xfId="29246" xr:uid="{00000000-0005-0000-0000-00007C270000}"/>
    <cellStyle name="Calculation 3 6 15" xfId="30285" xr:uid="{00000000-0005-0000-0000-00007D270000}"/>
    <cellStyle name="Calculation 3 6 16" xfId="31278" xr:uid="{00000000-0005-0000-0000-00007E270000}"/>
    <cellStyle name="Calculation 3 6 17" xfId="32287" xr:uid="{00000000-0005-0000-0000-00007F270000}"/>
    <cellStyle name="Calculation 3 6 18" xfId="33290" xr:uid="{00000000-0005-0000-0000-000080270000}"/>
    <cellStyle name="Calculation 3 6 19" xfId="34289" xr:uid="{00000000-0005-0000-0000-000081270000}"/>
    <cellStyle name="Calculation 3 6 2" xfId="1063" xr:uid="{00000000-0005-0000-0000-000082270000}"/>
    <cellStyle name="Calculation 3 6 2 10" xfId="24334" xr:uid="{00000000-0005-0000-0000-000083270000}"/>
    <cellStyle name="Calculation 3 6 2 11" xfId="25333" xr:uid="{00000000-0005-0000-0000-000084270000}"/>
    <cellStyle name="Calculation 3 6 2 12" xfId="28278" xr:uid="{00000000-0005-0000-0000-000085270000}"/>
    <cellStyle name="Calculation 3 6 2 13" xfId="29247" xr:uid="{00000000-0005-0000-0000-000086270000}"/>
    <cellStyle name="Calculation 3 6 2 14" xfId="30286" xr:uid="{00000000-0005-0000-0000-000087270000}"/>
    <cellStyle name="Calculation 3 6 2 15" xfId="31279" xr:uid="{00000000-0005-0000-0000-000088270000}"/>
    <cellStyle name="Calculation 3 6 2 16" xfId="32288" xr:uid="{00000000-0005-0000-0000-000089270000}"/>
    <cellStyle name="Calculation 3 6 2 17" xfId="33291" xr:uid="{00000000-0005-0000-0000-00008A270000}"/>
    <cellStyle name="Calculation 3 6 2 18" xfId="34290" xr:uid="{00000000-0005-0000-0000-00008B270000}"/>
    <cellStyle name="Calculation 3 6 2 19" xfId="35911" xr:uid="{00000000-0005-0000-0000-00008C270000}"/>
    <cellStyle name="Calculation 3 6 2 2" xfId="16314" xr:uid="{00000000-0005-0000-0000-00008D270000}"/>
    <cellStyle name="Calculation 3 6 2 20" xfId="36850" xr:uid="{00000000-0005-0000-0000-00008E270000}"/>
    <cellStyle name="Calculation 3 6 2 3" xfId="17292" xr:uid="{00000000-0005-0000-0000-00008F270000}"/>
    <cellStyle name="Calculation 3 6 2 4" xfId="18320" xr:uid="{00000000-0005-0000-0000-000090270000}"/>
    <cellStyle name="Calculation 3 6 2 5" xfId="19352" xr:uid="{00000000-0005-0000-0000-000091270000}"/>
    <cellStyle name="Calculation 3 6 2 6" xfId="20374" xr:uid="{00000000-0005-0000-0000-000092270000}"/>
    <cellStyle name="Calculation 3 6 2 7" xfId="21383" xr:uid="{00000000-0005-0000-0000-000093270000}"/>
    <cellStyle name="Calculation 3 6 2 8" xfId="22357" xr:uid="{00000000-0005-0000-0000-000094270000}"/>
    <cellStyle name="Calculation 3 6 2 9" xfId="23362" xr:uid="{00000000-0005-0000-0000-000095270000}"/>
    <cellStyle name="Calculation 3 6 20" xfId="35910" xr:uid="{00000000-0005-0000-0000-000096270000}"/>
    <cellStyle name="Calculation 3 6 21" xfId="36849" xr:uid="{00000000-0005-0000-0000-000097270000}"/>
    <cellStyle name="Calculation 3 6 3" xfId="16313" xr:uid="{00000000-0005-0000-0000-000098270000}"/>
    <cellStyle name="Calculation 3 6 4" xfId="17291" xr:uid="{00000000-0005-0000-0000-000099270000}"/>
    <cellStyle name="Calculation 3 6 5" xfId="18319" xr:uid="{00000000-0005-0000-0000-00009A270000}"/>
    <cellStyle name="Calculation 3 6 6" xfId="19351" xr:uid="{00000000-0005-0000-0000-00009B270000}"/>
    <cellStyle name="Calculation 3 6 7" xfId="20373" xr:uid="{00000000-0005-0000-0000-00009C270000}"/>
    <cellStyle name="Calculation 3 6 8" xfId="21382" xr:uid="{00000000-0005-0000-0000-00009D270000}"/>
    <cellStyle name="Calculation 3 6 9" xfId="22356" xr:uid="{00000000-0005-0000-0000-00009E270000}"/>
    <cellStyle name="Calculation 3 7" xfId="1064" xr:uid="{00000000-0005-0000-0000-00009F270000}"/>
    <cellStyle name="Calculation 3 7 10" xfId="23363" xr:uid="{00000000-0005-0000-0000-0000A0270000}"/>
    <cellStyle name="Calculation 3 7 11" xfId="24335" xr:uid="{00000000-0005-0000-0000-0000A1270000}"/>
    <cellStyle name="Calculation 3 7 12" xfId="25334" xr:uid="{00000000-0005-0000-0000-0000A2270000}"/>
    <cellStyle name="Calculation 3 7 13" xfId="28279" xr:uid="{00000000-0005-0000-0000-0000A3270000}"/>
    <cellStyle name="Calculation 3 7 14" xfId="29248" xr:uid="{00000000-0005-0000-0000-0000A4270000}"/>
    <cellStyle name="Calculation 3 7 15" xfId="30287" xr:uid="{00000000-0005-0000-0000-0000A5270000}"/>
    <cellStyle name="Calculation 3 7 16" xfId="31280" xr:uid="{00000000-0005-0000-0000-0000A6270000}"/>
    <cellStyle name="Calculation 3 7 17" xfId="32289" xr:uid="{00000000-0005-0000-0000-0000A7270000}"/>
    <cellStyle name="Calculation 3 7 18" xfId="33292" xr:uid="{00000000-0005-0000-0000-0000A8270000}"/>
    <cellStyle name="Calculation 3 7 19" xfId="34291" xr:uid="{00000000-0005-0000-0000-0000A9270000}"/>
    <cellStyle name="Calculation 3 7 2" xfId="1065" xr:uid="{00000000-0005-0000-0000-0000AA270000}"/>
    <cellStyle name="Calculation 3 7 2 10" xfId="24336" xr:uid="{00000000-0005-0000-0000-0000AB270000}"/>
    <cellStyle name="Calculation 3 7 2 11" xfId="25335" xr:uid="{00000000-0005-0000-0000-0000AC270000}"/>
    <cellStyle name="Calculation 3 7 2 12" xfId="28280" xr:uid="{00000000-0005-0000-0000-0000AD270000}"/>
    <cellStyle name="Calculation 3 7 2 13" xfId="29249" xr:uid="{00000000-0005-0000-0000-0000AE270000}"/>
    <cellStyle name="Calculation 3 7 2 14" xfId="30288" xr:uid="{00000000-0005-0000-0000-0000AF270000}"/>
    <cellStyle name="Calculation 3 7 2 15" xfId="31281" xr:uid="{00000000-0005-0000-0000-0000B0270000}"/>
    <cellStyle name="Calculation 3 7 2 16" xfId="32290" xr:uid="{00000000-0005-0000-0000-0000B1270000}"/>
    <cellStyle name="Calculation 3 7 2 17" xfId="33293" xr:uid="{00000000-0005-0000-0000-0000B2270000}"/>
    <cellStyle name="Calculation 3 7 2 18" xfId="34292" xr:uid="{00000000-0005-0000-0000-0000B3270000}"/>
    <cellStyle name="Calculation 3 7 2 19" xfId="35913" xr:uid="{00000000-0005-0000-0000-0000B4270000}"/>
    <cellStyle name="Calculation 3 7 2 2" xfId="16316" xr:uid="{00000000-0005-0000-0000-0000B5270000}"/>
    <cellStyle name="Calculation 3 7 2 20" xfId="36852" xr:uid="{00000000-0005-0000-0000-0000B6270000}"/>
    <cellStyle name="Calculation 3 7 2 3" xfId="17294" xr:uid="{00000000-0005-0000-0000-0000B7270000}"/>
    <cellStyle name="Calculation 3 7 2 4" xfId="18322" xr:uid="{00000000-0005-0000-0000-0000B8270000}"/>
    <cellStyle name="Calculation 3 7 2 5" xfId="19354" xr:uid="{00000000-0005-0000-0000-0000B9270000}"/>
    <cellStyle name="Calculation 3 7 2 6" xfId="20376" xr:uid="{00000000-0005-0000-0000-0000BA270000}"/>
    <cellStyle name="Calculation 3 7 2 7" xfId="21385" xr:uid="{00000000-0005-0000-0000-0000BB270000}"/>
    <cellStyle name="Calculation 3 7 2 8" xfId="22359" xr:uid="{00000000-0005-0000-0000-0000BC270000}"/>
    <cellStyle name="Calculation 3 7 2 9" xfId="23364" xr:uid="{00000000-0005-0000-0000-0000BD270000}"/>
    <cellStyle name="Calculation 3 7 20" xfId="35912" xr:uid="{00000000-0005-0000-0000-0000BE270000}"/>
    <cellStyle name="Calculation 3 7 21" xfId="36851" xr:uid="{00000000-0005-0000-0000-0000BF270000}"/>
    <cellStyle name="Calculation 3 7 3" xfId="16315" xr:uid="{00000000-0005-0000-0000-0000C0270000}"/>
    <cellStyle name="Calculation 3 7 4" xfId="17293" xr:uid="{00000000-0005-0000-0000-0000C1270000}"/>
    <cellStyle name="Calculation 3 7 5" xfId="18321" xr:uid="{00000000-0005-0000-0000-0000C2270000}"/>
    <cellStyle name="Calculation 3 7 6" xfId="19353" xr:uid="{00000000-0005-0000-0000-0000C3270000}"/>
    <cellStyle name="Calculation 3 7 7" xfId="20375" xr:uid="{00000000-0005-0000-0000-0000C4270000}"/>
    <cellStyle name="Calculation 3 7 8" xfId="21384" xr:uid="{00000000-0005-0000-0000-0000C5270000}"/>
    <cellStyle name="Calculation 3 7 9" xfId="22358" xr:uid="{00000000-0005-0000-0000-0000C6270000}"/>
    <cellStyle name="Calculation 3 8" xfId="1066" xr:uid="{00000000-0005-0000-0000-0000C7270000}"/>
    <cellStyle name="Calculation 3 8 10" xfId="23365" xr:uid="{00000000-0005-0000-0000-0000C8270000}"/>
    <cellStyle name="Calculation 3 8 11" xfId="24337" xr:uid="{00000000-0005-0000-0000-0000C9270000}"/>
    <cellStyle name="Calculation 3 8 12" xfId="25336" xr:uid="{00000000-0005-0000-0000-0000CA270000}"/>
    <cellStyle name="Calculation 3 8 13" xfId="28281" xr:uid="{00000000-0005-0000-0000-0000CB270000}"/>
    <cellStyle name="Calculation 3 8 14" xfId="29250" xr:uid="{00000000-0005-0000-0000-0000CC270000}"/>
    <cellStyle name="Calculation 3 8 15" xfId="30289" xr:uid="{00000000-0005-0000-0000-0000CD270000}"/>
    <cellStyle name="Calculation 3 8 16" xfId="31282" xr:uid="{00000000-0005-0000-0000-0000CE270000}"/>
    <cellStyle name="Calculation 3 8 17" xfId="32291" xr:uid="{00000000-0005-0000-0000-0000CF270000}"/>
    <cellStyle name="Calculation 3 8 18" xfId="33294" xr:uid="{00000000-0005-0000-0000-0000D0270000}"/>
    <cellStyle name="Calculation 3 8 19" xfId="34293" xr:uid="{00000000-0005-0000-0000-0000D1270000}"/>
    <cellStyle name="Calculation 3 8 2" xfId="1067" xr:uid="{00000000-0005-0000-0000-0000D2270000}"/>
    <cellStyle name="Calculation 3 8 2 10" xfId="24338" xr:uid="{00000000-0005-0000-0000-0000D3270000}"/>
    <cellStyle name="Calculation 3 8 2 11" xfId="25337" xr:uid="{00000000-0005-0000-0000-0000D4270000}"/>
    <cellStyle name="Calculation 3 8 2 12" xfId="28282" xr:uid="{00000000-0005-0000-0000-0000D5270000}"/>
    <cellStyle name="Calculation 3 8 2 13" xfId="29251" xr:uid="{00000000-0005-0000-0000-0000D6270000}"/>
    <cellStyle name="Calculation 3 8 2 14" xfId="30290" xr:uid="{00000000-0005-0000-0000-0000D7270000}"/>
    <cellStyle name="Calculation 3 8 2 15" xfId="31283" xr:uid="{00000000-0005-0000-0000-0000D8270000}"/>
    <cellStyle name="Calculation 3 8 2 16" xfId="32292" xr:uid="{00000000-0005-0000-0000-0000D9270000}"/>
    <cellStyle name="Calculation 3 8 2 17" xfId="33295" xr:uid="{00000000-0005-0000-0000-0000DA270000}"/>
    <cellStyle name="Calculation 3 8 2 18" xfId="34294" xr:uid="{00000000-0005-0000-0000-0000DB270000}"/>
    <cellStyle name="Calculation 3 8 2 19" xfId="35915" xr:uid="{00000000-0005-0000-0000-0000DC270000}"/>
    <cellStyle name="Calculation 3 8 2 2" xfId="16318" xr:uid="{00000000-0005-0000-0000-0000DD270000}"/>
    <cellStyle name="Calculation 3 8 2 20" xfId="36854" xr:uid="{00000000-0005-0000-0000-0000DE270000}"/>
    <cellStyle name="Calculation 3 8 2 3" xfId="17296" xr:uid="{00000000-0005-0000-0000-0000DF270000}"/>
    <cellStyle name="Calculation 3 8 2 4" xfId="18324" xr:uid="{00000000-0005-0000-0000-0000E0270000}"/>
    <cellStyle name="Calculation 3 8 2 5" xfId="19356" xr:uid="{00000000-0005-0000-0000-0000E1270000}"/>
    <cellStyle name="Calculation 3 8 2 6" xfId="20378" xr:uid="{00000000-0005-0000-0000-0000E2270000}"/>
    <cellStyle name="Calculation 3 8 2 7" xfId="21387" xr:uid="{00000000-0005-0000-0000-0000E3270000}"/>
    <cellStyle name="Calculation 3 8 2 8" xfId="22361" xr:uid="{00000000-0005-0000-0000-0000E4270000}"/>
    <cellStyle name="Calculation 3 8 2 9" xfId="23366" xr:uid="{00000000-0005-0000-0000-0000E5270000}"/>
    <cellStyle name="Calculation 3 8 20" xfId="35914" xr:uid="{00000000-0005-0000-0000-0000E6270000}"/>
    <cellStyle name="Calculation 3 8 21" xfId="36853" xr:uid="{00000000-0005-0000-0000-0000E7270000}"/>
    <cellStyle name="Calculation 3 8 3" xfId="16317" xr:uid="{00000000-0005-0000-0000-0000E8270000}"/>
    <cellStyle name="Calculation 3 8 4" xfId="17295" xr:uid="{00000000-0005-0000-0000-0000E9270000}"/>
    <cellStyle name="Calculation 3 8 5" xfId="18323" xr:uid="{00000000-0005-0000-0000-0000EA270000}"/>
    <cellStyle name="Calculation 3 8 6" xfId="19355" xr:uid="{00000000-0005-0000-0000-0000EB270000}"/>
    <cellStyle name="Calculation 3 8 7" xfId="20377" xr:uid="{00000000-0005-0000-0000-0000EC270000}"/>
    <cellStyle name="Calculation 3 8 8" xfId="21386" xr:uid="{00000000-0005-0000-0000-0000ED270000}"/>
    <cellStyle name="Calculation 3 8 9" xfId="22360" xr:uid="{00000000-0005-0000-0000-0000EE270000}"/>
    <cellStyle name="Calculation 3 9" xfId="1068" xr:uid="{00000000-0005-0000-0000-0000EF270000}"/>
    <cellStyle name="Calculation 3 9 10" xfId="24339" xr:uid="{00000000-0005-0000-0000-0000F0270000}"/>
    <cellStyle name="Calculation 3 9 11" xfId="25338" xr:uid="{00000000-0005-0000-0000-0000F1270000}"/>
    <cellStyle name="Calculation 3 9 12" xfId="28283" xr:uid="{00000000-0005-0000-0000-0000F2270000}"/>
    <cellStyle name="Calculation 3 9 13" xfId="29252" xr:uid="{00000000-0005-0000-0000-0000F3270000}"/>
    <cellStyle name="Calculation 3 9 14" xfId="30291" xr:uid="{00000000-0005-0000-0000-0000F4270000}"/>
    <cellStyle name="Calculation 3 9 15" xfId="31284" xr:uid="{00000000-0005-0000-0000-0000F5270000}"/>
    <cellStyle name="Calculation 3 9 16" xfId="32293" xr:uid="{00000000-0005-0000-0000-0000F6270000}"/>
    <cellStyle name="Calculation 3 9 17" xfId="33296" xr:uid="{00000000-0005-0000-0000-0000F7270000}"/>
    <cellStyle name="Calculation 3 9 18" xfId="34295" xr:uid="{00000000-0005-0000-0000-0000F8270000}"/>
    <cellStyle name="Calculation 3 9 19" xfId="35916" xr:uid="{00000000-0005-0000-0000-0000F9270000}"/>
    <cellStyle name="Calculation 3 9 2" xfId="16319" xr:uid="{00000000-0005-0000-0000-0000FA270000}"/>
    <cellStyle name="Calculation 3 9 20" xfId="36855" xr:uid="{00000000-0005-0000-0000-0000FB270000}"/>
    <cellStyle name="Calculation 3 9 3" xfId="17297" xr:uid="{00000000-0005-0000-0000-0000FC270000}"/>
    <cellStyle name="Calculation 3 9 4" xfId="18325" xr:uid="{00000000-0005-0000-0000-0000FD270000}"/>
    <cellStyle name="Calculation 3 9 5" xfId="19357" xr:uid="{00000000-0005-0000-0000-0000FE270000}"/>
    <cellStyle name="Calculation 3 9 6" xfId="20379" xr:uid="{00000000-0005-0000-0000-0000FF270000}"/>
    <cellStyle name="Calculation 3 9 7" xfId="21388" xr:uid="{00000000-0005-0000-0000-000000280000}"/>
    <cellStyle name="Calculation 3 9 8" xfId="22362" xr:uid="{00000000-0005-0000-0000-000001280000}"/>
    <cellStyle name="Calculation 3 9 9" xfId="23367" xr:uid="{00000000-0005-0000-0000-000002280000}"/>
    <cellStyle name="Calculation 4" xfId="1069" xr:uid="{00000000-0005-0000-0000-000003280000}"/>
    <cellStyle name="Calculation 4 10" xfId="13466" xr:uid="{00000000-0005-0000-0000-000004280000}"/>
    <cellStyle name="Calculation 4 11" xfId="15331" xr:uid="{00000000-0005-0000-0000-000005280000}"/>
    <cellStyle name="Calculation 4 12" xfId="18877" xr:uid="{00000000-0005-0000-0000-000006280000}"/>
    <cellStyle name="Calculation 4 13" xfId="13591" xr:uid="{00000000-0005-0000-0000-000007280000}"/>
    <cellStyle name="Calculation 4 14" xfId="15125" xr:uid="{00000000-0005-0000-0000-000008280000}"/>
    <cellStyle name="Calculation 4 15" xfId="25969" xr:uid="{00000000-0005-0000-0000-000009280000}"/>
    <cellStyle name="Calculation 4 16" xfId="27310" xr:uid="{00000000-0005-0000-0000-00000A280000}"/>
    <cellStyle name="Calculation 4 17" xfId="26736" xr:uid="{00000000-0005-0000-0000-00000B280000}"/>
    <cellStyle name="Calculation 4 18" xfId="26983" xr:uid="{00000000-0005-0000-0000-00000C280000}"/>
    <cellStyle name="Calculation 4 19" xfId="27407" xr:uid="{00000000-0005-0000-0000-00000D280000}"/>
    <cellStyle name="Calculation 4 2" xfId="1070" xr:uid="{00000000-0005-0000-0000-00000E280000}"/>
    <cellStyle name="Calculation 4 20" xfId="32836" xr:uid="{00000000-0005-0000-0000-00000F280000}"/>
    <cellStyle name="Calculation 4 21" xfId="34859" xr:uid="{00000000-0005-0000-0000-000010280000}"/>
    <cellStyle name="Calculation 4 22" xfId="34876" xr:uid="{00000000-0005-0000-0000-000011280000}"/>
    <cellStyle name="Calculation 4 23" xfId="35383" xr:uid="{00000000-0005-0000-0000-000012280000}"/>
    <cellStyle name="Calculation 4 3" xfId="1071" xr:uid="{00000000-0005-0000-0000-000013280000}"/>
    <cellStyle name="Calculation 4 3 10" xfId="14360" xr:uid="{00000000-0005-0000-0000-000014280000}"/>
    <cellStyle name="Calculation 4 3 11" xfId="14316" xr:uid="{00000000-0005-0000-0000-000015280000}"/>
    <cellStyle name="Calculation 4 3 12" xfId="13889" xr:uid="{00000000-0005-0000-0000-000016280000}"/>
    <cellStyle name="Calculation 4 3 13" xfId="14515" xr:uid="{00000000-0005-0000-0000-000017280000}"/>
    <cellStyle name="Calculation 4 3 14" xfId="14119" xr:uid="{00000000-0005-0000-0000-000018280000}"/>
    <cellStyle name="Calculation 4 3 15" xfId="14184" xr:uid="{00000000-0005-0000-0000-000019280000}"/>
    <cellStyle name="Calculation 4 3 16" xfId="26096" xr:uid="{00000000-0005-0000-0000-00001A280000}"/>
    <cellStyle name="Calculation 4 3 17" xfId="27264" xr:uid="{00000000-0005-0000-0000-00001B280000}"/>
    <cellStyle name="Calculation 4 3 18" xfId="27839" xr:uid="{00000000-0005-0000-0000-00001C280000}"/>
    <cellStyle name="Calculation 4 3 19" xfId="26693" xr:uid="{00000000-0005-0000-0000-00001D280000}"/>
    <cellStyle name="Calculation 4 3 2" xfId="1072" xr:uid="{00000000-0005-0000-0000-00001E280000}"/>
    <cellStyle name="Calculation 4 3 2 10" xfId="14827" xr:uid="{00000000-0005-0000-0000-00001F280000}"/>
    <cellStyle name="Calculation 4 3 2 11" xfId="13460" xr:uid="{00000000-0005-0000-0000-000020280000}"/>
    <cellStyle name="Calculation 4 3 2 12" xfId="26317" xr:uid="{00000000-0005-0000-0000-000021280000}"/>
    <cellStyle name="Calculation 4 3 2 13" xfId="27734" xr:uid="{00000000-0005-0000-0000-000022280000}"/>
    <cellStyle name="Calculation 4 3 2 14" xfId="26820" xr:uid="{00000000-0005-0000-0000-000023280000}"/>
    <cellStyle name="Calculation 4 3 2 15" xfId="25926" xr:uid="{00000000-0005-0000-0000-000024280000}"/>
    <cellStyle name="Calculation 4 3 2 16" xfId="27007" xr:uid="{00000000-0005-0000-0000-000025280000}"/>
    <cellStyle name="Calculation 4 3 2 17" xfId="26011" xr:uid="{00000000-0005-0000-0000-000026280000}"/>
    <cellStyle name="Calculation 4 3 2 18" xfId="35013" xr:uid="{00000000-0005-0000-0000-000027280000}"/>
    <cellStyle name="Calculation 4 3 2 19" xfId="35331" xr:uid="{00000000-0005-0000-0000-000028280000}"/>
    <cellStyle name="Calculation 4 3 2 2" xfId="1073" xr:uid="{00000000-0005-0000-0000-000029280000}"/>
    <cellStyle name="Calculation 4 3 2 2 10" xfId="23368" xr:uid="{00000000-0005-0000-0000-00002A280000}"/>
    <cellStyle name="Calculation 4 3 2 2 11" xfId="24340" xr:uid="{00000000-0005-0000-0000-00002B280000}"/>
    <cellStyle name="Calculation 4 3 2 2 12" xfId="25339" xr:uid="{00000000-0005-0000-0000-00002C280000}"/>
    <cellStyle name="Calculation 4 3 2 2 13" xfId="28284" xr:uid="{00000000-0005-0000-0000-00002D280000}"/>
    <cellStyle name="Calculation 4 3 2 2 14" xfId="29253" xr:uid="{00000000-0005-0000-0000-00002E280000}"/>
    <cellStyle name="Calculation 4 3 2 2 15" xfId="30292" xr:uid="{00000000-0005-0000-0000-00002F280000}"/>
    <cellStyle name="Calculation 4 3 2 2 16" xfId="31285" xr:uid="{00000000-0005-0000-0000-000030280000}"/>
    <cellStyle name="Calculation 4 3 2 2 17" xfId="32294" xr:uid="{00000000-0005-0000-0000-000031280000}"/>
    <cellStyle name="Calculation 4 3 2 2 18" xfId="33297" xr:uid="{00000000-0005-0000-0000-000032280000}"/>
    <cellStyle name="Calculation 4 3 2 2 19" xfId="34296" xr:uid="{00000000-0005-0000-0000-000033280000}"/>
    <cellStyle name="Calculation 4 3 2 2 2" xfId="1074" xr:uid="{00000000-0005-0000-0000-000034280000}"/>
    <cellStyle name="Calculation 4 3 2 2 2 10" xfId="24341" xr:uid="{00000000-0005-0000-0000-000035280000}"/>
    <cellStyle name="Calculation 4 3 2 2 2 11" xfId="25340" xr:uid="{00000000-0005-0000-0000-000036280000}"/>
    <cellStyle name="Calculation 4 3 2 2 2 12" xfId="28285" xr:uid="{00000000-0005-0000-0000-000037280000}"/>
    <cellStyle name="Calculation 4 3 2 2 2 13" xfId="29254" xr:uid="{00000000-0005-0000-0000-000038280000}"/>
    <cellStyle name="Calculation 4 3 2 2 2 14" xfId="30293" xr:uid="{00000000-0005-0000-0000-000039280000}"/>
    <cellStyle name="Calculation 4 3 2 2 2 15" xfId="31286" xr:uid="{00000000-0005-0000-0000-00003A280000}"/>
    <cellStyle name="Calculation 4 3 2 2 2 16" xfId="32295" xr:uid="{00000000-0005-0000-0000-00003B280000}"/>
    <cellStyle name="Calculation 4 3 2 2 2 17" xfId="33298" xr:uid="{00000000-0005-0000-0000-00003C280000}"/>
    <cellStyle name="Calculation 4 3 2 2 2 18" xfId="34297" xr:uid="{00000000-0005-0000-0000-00003D280000}"/>
    <cellStyle name="Calculation 4 3 2 2 2 19" xfId="35918" xr:uid="{00000000-0005-0000-0000-00003E280000}"/>
    <cellStyle name="Calculation 4 3 2 2 2 2" xfId="16321" xr:uid="{00000000-0005-0000-0000-00003F280000}"/>
    <cellStyle name="Calculation 4 3 2 2 2 20" xfId="36857" xr:uid="{00000000-0005-0000-0000-000040280000}"/>
    <cellStyle name="Calculation 4 3 2 2 2 3" xfId="17299" xr:uid="{00000000-0005-0000-0000-000041280000}"/>
    <cellStyle name="Calculation 4 3 2 2 2 4" xfId="18327" xr:uid="{00000000-0005-0000-0000-000042280000}"/>
    <cellStyle name="Calculation 4 3 2 2 2 5" xfId="19359" xr:uid="{00000000-0005-0000-0000-000043280000}"/>
    <cellStyle name="Calculation 4 3 2 2 2 6" xfId="20381" xr:uid="{00000000-0005-0000-0000-000044280000}"/>
    <cellStyle name="Calculation 4 3 2 2 2 7" xfId="21390" xr:uid="{00000000-0005-0000-0000-000045280000}"/>
    <cellStyle name="Calculation 4 3 2 2 2 8" xfId="22364" xr:uid="{00000000-0005-0000-0000-000046280000}"/>
    <cellStyle name="Calculation 4 3 2 2 2 9" xfId="23369" xr:uid="{00000000-0005-0000-0000-000047280000}"/>
    <cellStyle name="Calculation 4 3 2 2 20" xfId="35917" xr:uid="{00000000-0005-0000-0000-000048280000}"/>
    <cellStyle name="Calculation 4 3 2 2 21" xfId="36856" xr:uid="{00000000-0005-0000-0000-000049280000}"/>
    <cellStyle name="Calculation 4 3 2 2 3" xfId="16320" xr:uid="{00000000-0005-0000-0000-00004A280000}"/>
    <cellStyle name="Calculation 4 3 2 2 4" xfId="17298" xr:uid="{00000000-0005-0000-0000-00004B280000}"/>
    <cellStyle name="Calculation 4 3 2 2 5" xfId="18326" xr:uid="{00000000-0005-0000-0000-00004C280000}"/>
    <cellStyle name="Calculation 4 3 2 2 6" xfId="19358" xr:uid="{00000000-0005-0000-0000-00004D280000}"/>
    <cellStyle name="Calculation 4 3 2 2 7" xfId="20380" xr:uid="{00000000-0005-0000-0000-00004E280000}"/>
    <cellStyle name="Calculation 4 3 2 2 8" xfId="21389" xr:uid="{00000000-0005-0000-0000-00004F280000}"/>
    <cellStyle name="Calculation 4 3 2 2 9" xfId="22363" xr:uid="{00000000-0005-0000-0000-000050280000}"/>
    <cellStyle name="Calculation 4 3 2 3" xfId="1075" xr:uid="{00000000-0005-0000-0000-000051280000}"/>
    <cellStyle name="Calculation 4 3 2 3 10" xfId="23370" xr:uid="{00000000-0005-0000-0000-000052280000}"/>
    <cellStyle name="Calculation 4 3 2 3 11" xfId="24342" xr:uid="{00000000-0005-0000-0000-000053280000}"/>
    <cellStyle name="Calculation 4 3 2 3 12" xfId="25341" xr:uid="{00000000-0005-0000-0000-000054280000}"/>
    <cellStyle name="Calculation 4 3 2 3 13" xfId="28286" xr:uid="{00000000-0005-0000-0000-000055280000}"/>
    <cellStyle name="Calculation 4 3 2 3 14" xfId="29255" xr:uid="{00000000-0005-0000-0000-000056280000}"/>
    <cellStyle name="Calculation 4 3 2 3 15" xfId="30294" xr:uid="{00000000-0005-0000-0000-000057280000}"/>
    <cellStyle name="Calculation 4 3 2 3 16" xfId="31287" xr:uid="{00000000-0005-0000-0000-000058280000}"/>
    <cellStyle name="Calculation 4 3 2 3 17" xfId="32296" xr:uid="{00000000-0005-0000-0000-000059280000}"/>
    <cellStyle name="Calculation 4 3 2 3 18" xfId="33299" xr:uid="{00000000-0005-0000-0000-00005A280000}"/>
    <cellStyle name="Calculation 4 3 2 3 19" xfId="34298" xr:uid="{00000000-0005-0000-0000-00005B280000}"/>
    <cellStyle name="Calculation 4 3 2 3 2" xfId="1076" xr:uid="{00000000-0005-0000-0000-00005C280000}"/>
    <cellStyle name="Calculation 4 3 2 3 2 10" xfId="24343" xr:uid="{00000000-0005-0000-0000-00005D280000}"/>
    <cellStyle name="Calculation 4 3 2 3 2 11" xfId="25342" xr:uid="{00000000-0005-0000-0000-00005E280000}"/>
    <cellStyle name="Calculation 4 3 2 3 2 12" xfId="28287" xr:uid="{00000000-0005-0000-0000-00005F280000}"/>
    <cellStyle name="Calculation 4 3 2 3 2 13" xfId="29256" xr:uid="{00000000-0005-0000-0000-000060280000}"/>
    <cellStyle name="Calculation 4 3 2 3 2 14" xfId="30295" xr:uid="{00000000-0005-0000-0000-000061280000}"/>
    <cellStyle name="Calculation 4 3 2 3 2 15" xfId="31288" xr:uid="{00000000-0005-0000-0000-000062280000}"/>
    <cellStyle name="Calculation 4 3 2 3 2 16" xfId="32297" xr:uid="{00000000-0005-0000-0000-000063280000}"/>
    <cellStyle name="Calculation 4 3 2 3 2 17" xfId="33300" xr:uid="{00000000-0005-0000-0000-000064280000}"/>
    <cellStyle name="Calculation 4 3 2 3 2 18" xfId="34299" xr:uid="{00000000-0005-0000-0000-000065280000}"/>
    <cellStyle name="Calculation 4 3 2 3 2 19" xfId="35920" xr:uid="{00000000-0005-0000-0000-000066280000}"/>
    <cellStyle name="Calculation 4 3 2 3 2 2" xfId="16323" xr:uid="{00000000-0005-0000-0000-000067280000}"/>
    <cellStyle name="Calculation 4 3 2 3 2 20" xfId="36859" xr:uid="{00000000-0005-0000-0000-000068280000}"/>
    <cellStyle name="Calculation 4 3 2 3 2 3" xfId="17301" xr:uid="{00000000-0005-0000-0000-000069280000}"/>
    <cellStyle name="Calculation 4 3 2 3 2 4" xfId="18329" xr:uid="{00000000-0005-0000-0000-00006A280000}"/>
    <cellStyle name="Calculation 4 3 2 3 2 5" xfId="19361" xr:uid="{00000000-0005-0000-0000-00006B280000}"/>
    <cellStyle name="Calculation 4 3 2 3 2 6" xfId="20383" xr:uid="{00000000-0005-0000-0000-00006C280000}"/>
    <cellStyle name="Calculation 4 3 2 3 2 7" xfId="21392" xr:uid="{00000000-0005-0000-0000-00006D280000}"/>
    <cellStyle name="Calculation 4 3 2 3 2 8" xfId="22366" xr:uid="{00000000-0005-0000-0000-00006E280000}"/>
    <cellStyle name="Calculation 4 3 2 3 2 9" xfId="23371" xr:uid="{00000000-0005-0000-0000-00006F280000}"/>
    <cellStyle name="Calculation 4 3 2 3 20" xfId="35919" xr:uid="{00000000-0005-0000-0000-000070280000}"/>
    <cellStyle name="Calculation 4 3 2 3 21" xfId="36858" xr:uid="{00000000-0005-0000-0000-000071280000}"/>
    <cellStyle name="Calculation 4 3 2 3 3" xfId="16322" xr:uid="{00000000-0005-0000-0000-000072280000}"/>
    <cellStyle name="Calculation 4 3 2 3 4" xfId="17300" xr:uid="{00000000-0005-0000-0000-000073280000}"/>
    <cellStyle name="Calculation 4 3 2 3 5" xfId="18328" xr:uid="{00000000-0005-0000-0000-000074280000}"/>
    <cellStyle name="Calculation 4 3 2 3 6" xfId="19360" xr:uid="{00000000-0005-0000-0000-000075280000}"/>
    <cellStyle name="Calculation 4 3 2 3 7" xfId="20382" xr:uid="{00000000-0005-0000-0000-000076280000}"/>
    <cellStyle name="Calculation 4 3 2 3 8" xfId="21391" xr:uid="{00000000-0005-0000-0000-000077280000}"/>
    <cellStyle name="Calculation 4 3 2 3 9" xfId="22365" xr:uid="{00000000-0005-0000-0000-000078280000}"/>
    <cellStyle name="Calculation 4 3 2 4" xfId="1077" xr:uid="{00000000-0005-0000-0000-000079280000}"/>
    <cellStyle name="Calculation 4 3 2 4 10" xfId="23372" xr:uid="{00000000-0005-0000-0000-00007A280000}"/>
    <cellStyle name="Calculation 4 3 2 4 11" xfId="24344" xr:uid="{00000000-0005-0000-0000-00007B280000}"/>
    <cellStyle name="Calculation 4 3 2 4 12" xfId="25343" xr:uid="{00000000-0005-0000-0000-00007C280000}"/>
    <cellStyle name="Calculation 4 3 2 4 13" xfId="28288" xr:uid="{00000000-0005-0000-0000-00007D280000}"/>
    <cellStyle name="Calculation 4 3 2 4 14" xfId="29257" xr:uid="{00000000-0005-0000-0000-00007E280000}"/>
    <cellStyle name="Calculation 4 3 2 4 15" xfId="30296" xr:uid="{00000000-0005-0000-0000-00007F280000}"/>
    <cellStyle name="Calculation 4 3 2 4 16" xfId="31289" xr:uid="{00000000-0005-0000-0000-000080280000}"/>
    <cellStyle name="Calculation 4 3 2 4 17" xfId="32298" xr:uid="{00000000-0005-0000-0000-000081280000}"/>
    <cellStyle name="Calculation 4 3 2 4 18" xfId="33301" xr:uid="{00000000-0005-0000-0000-000082280000}"/>
    <cellStyle name="Calculation 4 3 2 4 19" xfId="34300" xr:uid="{00000000-0005-0000-0000-000083280000}"/>
    <cellStyle name="Calculation 4 3 2 4 2" xfId="1078" xr:uid="{00000000-0005-0000-0000-000084280000}"/>
    <cellStyle name="Calculation 4 3 2 4 2 10" xfId="24345" xr:uid="{00000000-0005-0000-0000-000085280000}"/>
    <cellStyle name="Calculation 4 3 2 4 2 11" xfId="25344" xr:uid="{00000000-0005-0000-0000-000086280000}"/>
    <cellStyle name="Calculation 4 3 2 4 2 12" xfId="28289" xr:uid="{00000000-0005-0000-0000-000087280000}"/>
    <cellStyle name="Calculation 4 3 2 4 2 13" xfId="29258" xr:uid="{00000000-0005-0000-0000-000088280000}"/>
    <cellStyle name="Calculation 4 3 2 4 2 14" xfId="30297" xr:uid="{00000000-0005-0000-0000-000089280000}"/>
    <cellStyle name="Calculation 4 3 2 4 2 15" xfId="31290" xr:uid="{00000000-0005-0000-0000-00008A280000}"/>
    <cellStyle name="Calculation 4 3 2 4 2 16" xfId="32299" xr:uid="{00000000-0005-0000-0000-00008B280000}"/>
    <cellStyle name="Calculation 4 3 2 4 2 17" xfId="33302" xr:uid="{00000000-0005-0000-0000-00008C280000}"/>
    <cellStyle name="Calculation 4 3 2 4 2 18" xfId="34301" xr:uid="{00000000-0005-0000-0000-00008D280000}"/>
    <cellStyle name="Calculation 4 3 2 4 2 19" xfId="35922" xr:uid="{00000000-0005-0000-0000-00008E280000}"/>
    <cellStyle name="Calculation 4 3 2 4 2 2" xfId="16325" xr:uid="{00000000-0005-0000-0000-00008F280000}"/>
    <cellStyle name="Calculation 4 3 2 4 2 20" xfId="36861" xr:uid="{00000000-0005-0000-0000-000090280000}"/>
    <cellStyle name="Calculation 4 3 2 4 2 3" xfId="17303" xr:uid="{00000000-0005-0000-0000-000091280000}"/>
    <cellStyle name="Calculation 4 3 2 4 2 4" xfId="18331" xr:uid="{00000000-0005-0000-0000-000092280000}"/>
    <cellStyle name="Calculation 4 3 2 4 2 5" xfId="19363" xr:uid="{00000000-0005-0000-0000-000093280000}"/>
    <cellStyle name="Calculation 4 3 2 4 2 6" xfId="20385" xr:uid="{00000000-0005-0000-0000-000094280000}"/>
    <cellStyle name="Calculation 4 3 2 4 2 7" xfId="21394" xr:uid="{00000000-0005-0000-0000-000095280000}"/>
    <cellStyle name="Calculation 4 3 2 4 2 8" xfId="22368" xr:uid="{00000000-0005-0000-0000-000096280000}"/>
    <cellStyle name="Calculation 4 3 2 4 2 9" xfId="23373" xr:uid="{00000000-0005-0000-0000-000097280000}"/>
    <cellStyle name="Calculation 4 3 2 4 20" xfId="35921" xr:uid="{00000000-0005-0000-0000-000098280000}"/>
    <cellStyle name="Calculation 4 3 2 4 21" xfId="36860" xr:uid="{00000000-0005-0000-0000-000099280000}"/>
    <cellStyle name="Calculation 4 3 2 4 3" xfId="16324" xr:uid="{00000000-0005-0000-0000-00009A280000}"/>
    <cellStyle name="Calculation 4 3 2 4 4" xfId="17302" xr:uid="{00000000-0005-0000-0000-00009B280000}"/>
    <cellStyle name="Calculation 4 3 2 4 5" xfId="18330" xr:uid="{00000000-0005-0000-0000-00009C280000}"/>
    <cellStyle name="Calculation 4 3 2 4 6" xfId="19362" xr:uid="{00000000-0005-0000-0000-00009D280000}"/>
    <cellStyle name="Calculation 4 3 2 4 7" xfId="20384" xr:uid="{00000000-0005-0000-0000-00009E280000}"/>
    <cellStyle name="Calculation 4 3 2 4 8" xfId="21393" xr:uid="{00000000-0005-0000-0000-00009F280000}"/>
    <cellStyle name="Calculation 4 3 2 4 9" xfId="22367" xr:uid="{00000000-0005-0000-0000-0000A0280000}"/>
    <cellStyle name="Calculation 4 3 2 5" xfId="1079" xr:uid="{00000000-0005-0000-0000-0000A1280000}"/>
    <cellStyle name="Calculation 4 3 2 5 10" xfId="24346" xr:uid="{00000000-0005-0000-0000-0000A2280000}"/>
    <cellStyle name="Calculation 4 3 2 5 11" xfId="25345" xr:uid="{00000000-0005-0000-0000-0000A3280000}"/>
    <cellStyle name="Calculation 4 3 2 5 12" xfId="28290" xr:uid="{00000000-0005-0000-0000-0000A4280000}"/>
    <cellStyle name="Calculation 4 3 2 5 13" xfId="29259" xr:uid="{00000000-0005-0000-0000-0000A5280000}"/>
    <cellStyle name="Calculation 4 3 2 5 14" xfId="30298" xr:uid="{00000000-0005-0000-0000-0000A6280000}"/>
    <cellStyle name="Calculation 4 3 2 5 15" xfId="31291" xr:uid="{00000000-0005-0000-0000-0000A7280000}"/>
    <cellStyle name="Calculation 4 3 2 5 16" xfId="32300" xr:uid="{00000000-0005-0000-0000-0000A8280000}"/>
    <cellStyle name="Calculation 4 3 2 5 17" xfId="33303" xr:uid="{00000000-0005-0000-0000-0000A9280000}"/>
    <cellStyle name="Calculation 4 3 2 5 18" xfId="34302" xr:uid="{00000000-0005-0000-0000-0000AA280000}"/>
    <cellStyle name="Calculation 4 3 2 5 19" xfId="35923" xr:uid="{00000000-0005-0000-0000-0000AB280000}"/>
    <cellStyle name="Calculation 4 3 2 5 2" xfId="16326" xr:uid="{00000000-0005-0000-0000-0000AC280000}"/>
    <cellStyle name="Calculation 4 3 2 5 20" xfId="36862" xr:uid="{00000000-0005-0000-0000-0000AD280000}"/>
    <cellStyle name="Calculation 4 3 2 5 3" xfId="17304" xr:uid="{00000000-0005-0000-0000-0000AE280000}"/>
    <cellStyle name="Calculation 4 3 2 5 4" xfId="18332" xr:uid="{00000000-0005-0000-0000-0000AF280000}"/>
    <cellStyle name="Calculation 4 3 2 5 5" xfId="19364" xr:uid="{00000000-0005-0000-0000-0000B0280000}"/>
    <cellStyle name="Calculation 4 3 2 5 6" xfId="20386" xr:uid="{00000000-0005-0000-0000-0000B1280000}"/>
    <cellStyle name="Calculation 4 3 2 5 7" xfId="21395" xr:uid="{00000000-0005-0000-0000-0000B2280000}"/>
    <cellStyle name="Calculation 4 3 2 5 8" xfId="22369" xr:uid="{00000000-0005-0000-0000-0000B3280000}"/>
    <cellStyle name="Calculation 4 3 2 5 9" xfId="23374" xr:uid="{00000000-0005-0000-0000-0000B4280000}"/>
    <cellStyle name="Calculation 4 3 2 6" xfId="14038" xr:uid="{00000000-0005-0000-0000-0000B5280000}"/>
    <cellStyle name="Calculation 4 3 2 7" xfId="15438" xr:uid="{00000000-0005-0000-0000-0000B6280000}"/>
    <cellStyle name="Calculation 4 3 2 8" xfId="13662" xr:uid="{00000000-0005-0000-0000-0000B7280000}"/>
    <cellStyle name="Calculation 4 3 2 9" xfId="13502" xr:uid="{00000000-0005-0000-0000-0000B8280000}"/>
    <cellStyle name="Calculation 4 3 20" xfId="26689" xr:uid="{00000000-0005-0000-0000-0000B9280000}"/>
    <cellStyle name="Calculation 4 3 21" xfId="26129" xr:uid="{00000000-0005-0000-0000-0000BA280000}"/>
    <cellStyle name="Calculation 4 3 22" xfId="34956" xr:uid="{00000000-0005-0000-0000-0000BB280000}"/>
    <cellStyle name="Calculation 4 3 23" xfId="34894" xr:uid="{00000000-0005-0000-0000-0000BC280000}"/>
    <cellStyle name="Calculation 4 3 3" xfId="1080" xr:uid="{00000000-0005-0000-0000-0000BD280000}"/>
    <cellStyle name="Calculation 4 3 3 10" xfId="14125" xr:uid="{00000000-0005-0000-0000-0000BE280000}"/>
    <cellStyle name="Calculation 4 3 3 11" xfId="15312" xr:uid="{00000000-0005-0000-0000-0000BF280000}"/>
    <cellStyle name="Calculation 4 3 3 12" xfId="26397" xr:uid="{00000000-0005-0000-0000-0000C0280000}"/>
    <cellStyle name="Calculation 4 3 3 13" xfId="27706" xr:uid="{00000000-0005-0000-0000-0000C1280000}"/>
    <cellStyle name="Calculation 4 3 3 14" xfId="25979" xr:uid="{00000000-0005-0000-0000-0000C2280000}"/>
    <cellStyle name="Calculation 4 3 3 15" xfId="26777" xr:uid="{00000000-0005-0000-0000-0000C3280000}"/>
    <cellStyle name="Calculation 4 3 3 16" xfId="27627" xr:uid="{00000000-0005-0000-0000-0000C4280000}"/>
    <cellStyle name="Calculation 4 3 3 17" xfId="26229" xr:uid="{00000000-0005-0000-0000-0000C5280000}"/>
    <cellStyle name="Calculation 4 3 3 18" xfId="35088" xr:uid="{00000000-0005-0000-0000-0000C6280000}"/>
    <cellStyle name="Calculation 4 3 3 19" xfId="35430" xr:uid="{00000000-0005-0000-0000-0000C7280000}"/>
    <cellStyle name="Calculation 4 3 3 2" xfId="1081" xr:uid="{00000000-0005-0000-0000-0000C8280000}"/>
    <cellStyle name="Calculation 4 3 3 2 10" xfId="23375" xr:uid="{00000000-0005-0000-0000-0000C9280000}"/>
    <cellStyle name="Calculation 4 3 3 2 11" xfId="24347" xr:uid="{00000000-0005-0000-0000-0000CA280000}"/>
    <cellStyle name="Calculation 4 3 3 2 12" xfId="25346" xr:uid="{00000000-0005-0000-0000-0000CB280000}"/>
    <cellStyle name="Calculation 4 3 3 2 13" xfId="28291" xr:uid="{00000000-0005-0000-0000-0000CC280000}"/>
    <cellStyle name="Calculation 4 3 3 2 14" xfId="29260" xr:uid="{00000000-0005-0000-0000-0000CD280000}"/>
    <cellStyle name="Calculation 4 3 3 2 15" xfId="30299" xr:uid="{00000000-0005-0000-0000-0000CE280000}"/>
    <cellStyle name="Calculation 4 3 3 2 16" xfId="31292" xr:uid="{00000000-0005-0000-0000-0000CF280000}"/>
    <cellStyle name="Calculation 4 3 3 2 17" xfId="32301" xr:uid="{00000000-0005-0000-0000-0000D0280000}"/>
    <cellStyle name="Calculation 4 3 3 2 18" xfId="33304" xr:uid="{00000000-0005-0000-0000-0000D1280000}"/>
    <cellStyle name="Calculation 4 3 3 2 19" xfId="34303" xr:uid="{00000000-0005-0000-0000-0000D2280000}"/>
    <cellStyle name="Calculation 4 3 3 2 2" xfId="1082" xr:uid="{00000000-0005-0000-0000-0000D3280000}"/>
    <cellStyle name="Calculation 4 3 3 2 2 10" xfId="24348" xr:uid="{00000000-0005-0000-0000-0000D4280000}"/>
    <cellStyle name="Calculation 4 3 3 2 2 11" xfId="25347" xr:uid="{00000000-0005-0000-0000-0000D5280000}"/>
    <cellStyle name="Calculation 4 3 3 2 2 12" xfId="28292" xr:uid="{00000000-0005-0000-0000-0000D6280000}"/>
    <cellStyle name="Calculation 4 3 3 2 2 13" xfId="29261" xr:uid="{00000000-0005-0000-0000-0000D7280000}"/>
    <cellStyle name="Calculation 4 3 3 2 2 14" xfId="30300" xr:uid="{00000000-0005-0000-0000-0000D8280000}"/>
    <cellStyle name="Calculation 4 3 3 2 2 15" xfId="31293" xr:uid="{00000000-0005-0000-0000-0000D9280000}"/>
    <cellStyle name="Calculation 4 3 3 2 2 16" xfId="32302" xr:uid="{00000000-0005-0000-0000-0000DA280000}"/>
    <cellStyle name="Calculation 4 3 3 2 2 17" xfId="33305" xr:uid="{00000000-0005-0000-0000-0000DB280000}"/>
    <cellStyle name="Calculation 4 3 3 2 2 18" xfId="34304" xr:uid="{00000000-0005-0000-0000-0000DC280000}"/>
    <cellStyle name="Calculation 4 3 3 2 2 19" xfId="35925" xr:uid="{00000000-0005-0000-0000-0000DD280000}"/>
    <cellStyle name="Calculation 4 3 3 2 2 2" xfId="16328" xr:uid="{00000000-0005-0000-0000-0000DE280000}"/>
    <cellStyle name="Calculation 4 3 3 2 2 20" xfId="36864" xr:uid="{00000000-0005-0000-0000-0000DF280000}"/>
    <cellStyle name="Calculation 4 3 3 2 2 3" xfId="17306" xr:uid="{00000000-0005-0000-0000-0000E0280000}"/>
    <cellStyle name="Calculation 4 3 3 2 2 4" xfId="18334" xr:uid="{00000000-0005-0000-0000-0000E1280000}"/>
    <cellStyle name="Calculation 4 3 3 2 2 5" xfId="19366" xr:uid="{00000000-0005-0000-0000-0000E2280000}"/>
    <cellStyle name="Calculation 4 3 3 2 2 6" xfId="20388" xr:uid="{00000000-0005-0000-0000-0000E3280000}"/>
    <cellStyle name="Calculation 4 3 3 2 2 7" xfId="21397" xr:uid="{00000000-0005-0000-0000-0000E4280000}"/>
    <cellStyle name="Calculation 4 3 3 2 2 8" xfId="22371" xr:uid="{00000000-0005-0000-0000-0000E5280000}"/>
    <cellStyle name="Calculation 4 3 3 2 2 9" xfId="23376" xr:uid="{00000000-0005-0000-0000-0000E6280000}"/>
    <cellStyle name="Calculation 4 3 3 2 20" xfId="35924" xr:uid="{00000000-0005-0000-0000-0000E7280000}"/>
    <cellStyle name="Calculation 4 3 3 2 21" xfId="36863" xr:uid="{00000000-0005-0000-0000-0000E8280000}"/>
    <cellStyle name="Calculation 4 3 3 2 3" xfId="16327" xr:uid="{00000000-0005-0000-0000-0000E9280000}"/>
    <cellStyle name="Calculation 4 3 3 2 4" xfId="17305" xr:uid="{00000000-0005-0000-0000-0000EA280000}"/>
    <cellStyle name="Calculation 4 3 3 2 5" xfId="18333" xr:uid="{00000000-0005-0000-0000-0000EB280000}"/>
    <cellStyle name="Calculation 4 3 3 2 6" xfId="19365" xr:uid="{00000000-0005-0000-0000-0000EC280000}"/>
    <cellStyle name="Calculation 4 3 3 2 7" xfId="20387" xr:uid="{00000000-0005-0000-0000-0000ED280000}"/>
    <cellStyle name="Calculation 4 3 3 2 8" xfId="21396" xr:uid="{00000000-0005-0000-0000-0000EE280000}"/>
    <cellStyle name="Calculation 4 3 3 2 9" xfId="22370" xr:uid="{00000000-0005-0000-0000-0000EF280000}"/>
    <cellStyle name="Calculation 4 3 3 3" xfId="1083" xr:uid="{00000000-0005-0000-0000-0000F0280000}"/>
    <cellStyle name="Calculation 4 3 3 3 10" xfId="23377" xr:uid="{00000000-0005-0000-0000-0000F1280000}"/>
    <cellStyle name="Calculation 4 3 3 3 11" xfId="24349" xr:uid="{00000000-0005-0000-0000-0000F2280000}"/>
    <cellStyle name="Calculation 4 3 3 3 12" xfId="25348" xr:uid="{00000000-0005-0000-0000-0000F3280000}"/>
    <cellStyle name="Calculation 4 3 3 3 13" xfId="28293" xr:uid="{00000000-0005-0000-0000-0000F4280000}"/>
    <cellStyle name="Calculation 4 3 3 3 14" xfId="29262" xr:uid="{00000000-0005-0000-0000-0000F5280000}"/>
    <cellStyle name="Calculation 4 3 3 3 15" xfId="30301" xr:uid="{00000000-0005-0000-0000-0000F6280000}"/>
    <cellStyle name="Calculation 4 3 3 3 16" xfId="31294" xr:uid="{00000000-0005-0000-0000-0000F7280000}"/>
    <cellStyle name="Calculation 4 3 3 3 17" xfId="32303" xr:uid="{00000000-0005-0000-0000-0000F8280000}"/>
    <cellStyle name="Calculation 4 3 3 3 18" xfId="33306" xr:uid="{00000000-0005-0000-0000-0000F9280000}"/>
    <cellStyle name="Calculation 4 3 3 3 19" xfId="34305" xr:uid="{00000000-0005-0000-0000-0000FA280000}"/>
    <cellStyle name="Calculation 4 3 3 3 2" xfId="1084" xr:uid="{00000000-0005-0000-0000-0000FB280000}"/>
    <cellStyle name="Calculation 4 3 3 3 2 10" xfId="24350" xr:uid="{00000000-0005-0000-0000-0000FC280000}"/>
    <cellStyle name="Calculation 4 3 3 3 2 11" xfId="25349" xr:uid="{00000000-0005-0000-0000-0000FD280000}"/>
    <cellStyle name="Calculation 4 3 3 3 2 12" xfId="28294" xr:uid="{00000000-0005-0000-0000-0000FE280000}"/>
    <cellStyle name="Calculation 4 3 3 3 2 13" xfId="29263" xr:uid="{00000000-0005-0000-0000-0000FF280000}"/>
    <cellStyle name="Calculation 4 3 3 3 2 14" xfId="30302" xr:uid="{00000000-0005-0000-0000-000000290000}"/>
    <cellStyle name="Calculation 4 3 3 3 2 15" xfId="31295" xr:uid="{00000000-0005-0000-0000-000001290000}"/>
    <cellStyle name="Calculation 4 3 3 3 2 16" xfId="32304" xr:uid="{00000000-0005-0000-0000-000002290000}"/>
    <cellStyle name="Calculation 4 3 3 3 2 17" xfId="33307" xr:uid="{00000000-0005-0000-0000-000003290000}"/>
    <cellStyle name="Calculation 4 3 3 3 2 18" xfId="34306" xr:uid="{00000000-0005-0000-0000-000004290000}"/>
    <cellStyle name="Calculation 4 3 3 3 2 19" xfId="35927" xr:uid="{00000000-0005-0000-0000-000005290000}"/>
    <cellStyle name="Calculation 4 3 3 3 2 2" xfId="16330" xr:uid="{00000000-0005-0000-0000-000006290000}"/>
    <cellStyle name="Calculation 4 3 3 3 2 20" xfId="36866" xr:uid="{00000000-0005-0000-0000-000007290000}"/>
    <cellStyle name="Calculation 4 3 3 3 2 3" xfId="17308" xr:uid="{00000000-0005-0000-0000-000008290000}"/>
    <cellStyle name="Calculation 4 3 3 3 2 4" xfId="18336" xr:uid="{00000000-0005-0000-0000-000009290000}"/>
    <cellStyle name="Calculation 4 3 3 3 2 5" xfId="19368" xr:uid="{00000000-0005-0000-0000-00000A290000}"/>
    <cellStyle name="Calculation 4 3 3 3 2 6" xfId="20390" xr:uid="{00000000-0005-0000-0000-00000B290000}"/>
    <cellStyle name="Calculation 4 3 3 3 2 7" xfId="21399" xr:uid="{00000000-0005-0000-0000-00000C290000}"/>
    <cellStyle name="Calculation 4 3 3 3 2 8" xfId="22373" xr:uid="{00000000-0005-0000-0000-00000D290000}"/>
    <cellStyle name="Calculation 4 3 3 3 2 9" xfId="23378" xr:uid="{00000000-0005-0000-0000-00000E290000}"/>
    <cellStyle name="Calculation 4 3 3 3 20" xfId="35926" xr:uid="{00000000-0005-0000-0000-00000F290000}"/>
    <cellStyle name="Calculation 4 3 3 3 21" xfId="36865" xr:uid="{00000000-0005-0000-0000-000010290000}"/>
    <cellStyle name="Calculation 4 3 3 3 3" xfId="16329" xr:uid="{00000000-0005-0000-0000-000011290000}"/>
    <cellStyle name="Calculation 4 3 3 3 4" xfId="17307" xr:uid="{00000000-0005-0000-0000-000012290000}"/>
    <cellStyle name="Calculation 4 3 3 3 5" xfId="18335" xr:uid="{00000000-0005-0000-0000-000013290000}"/>
    <cellStyle name="Calculation 4 3 3 3 6" xfId="19367" xr:uid="{00000000-0005-0000-0000-000014290000}"/>
    <cellStyle name="Calculation 4 3 3 3 7" xfId="20389" xr:uid="{00000000-0005-0000-0000-000015290000}"/>
    <cellStyle name="Calculation 4 3 3 3 8" xfId="21398" xr:uid="{00000000-0005-0000-0000-000016290000}"/>
    <cellStyle name="Calculation 4 3 3 3 9" xfId="22372" xr:uid="{00000000-0005-0000-0000-000017290000}"/>
    <cellStyle name="Calculation 4 3 3 4" xfId="1085" xr:uid="{00000000-0005-0000-0000-000018290000}"/>
    <cellStyle name="Calculation 4 3 3 4 10" xfId="23379" xr:uid="{00000000-0005-0000-0000-000019290000}"/>
    <cellStyle name="Calculation 4 3 3 4 11" xfId="24351" xr:uid="{00000000-0005-0000-0000-00001A290000}"/>
    <cellStyle name="Calculation 4 3 3 4 12" xfId="25350" xr:uid="{00000000-0005-0000-0000-00001B290000}"/>
    <cellStyle name="Calculation 4 3 3 4 13" xfId="28295" xr:uid="{00000000-0005-0000-0000-00001C290000}"/>
    <cellStyle name="Calculation 4 3 3 4 14" xfId="29264" xr:uid="{00000000-0005-0000-0000-00001D290000}"/>
    <cellStyle name="Calculation 4 3 3 4 15" xfId="30303" xr:uid="{00000000-0005-0000-0000-00001E290000}"/>
    <cellStyle name="Calculation 4 3 3 4 16" xfId="31296" xr:uid="{00000000-0005-0000-0000-00001F290000}"/>
    <cellStyle name="Calculation 4 3 3 4 17" xfId="32305" xr:uid="{00000000-0005-0000-0000-000020290000}"/>
    <cellStyle name="Calculation 4 3 3 4 18" xfId="33308" xr:uid="{00000000-0005-0000-0000-000021290000}"/>
    <cellStyle name="Calculation 4 3 3 4 19" xfId="34307" xr:uid="{00000000-0005-0000-0000-000022290000}"/>
    <cellStyle name="Calculation 4 3 3 4 2" xfId="1086" xr:uid="{00000000-0005-0000-0000-000023290000}"/>
    <cellStyle name="Calculation 4 3 3 4 2 10" xfId="24352" xr:uid="{00000000-0005-0000-0000-000024290000}"/>
    <cellStyle name="Calculation 4 3 3 4 2 11" xfId="25351" xr:uid="{00000000-0005-0000-0000-000025290000}"/>
    <cellStyle name="Calculation 4 3 3 4 2 12" xfId="28296" xr:uid="{00000000-0005-0000-0000-000026290000}"/>
    <cellStyle name="Calculation 4 3 3 4 2 13" xfId="29265" xr:uid="{00000000-0005-0000-0000-000027290000}"/>
    <cellStyle name="Calculation 4 3 3 4 2 14" xfId="30304" xr:uid="{00000000-0005-0000-0000-000028290000}"/>
    <cellStyle name="Calculation 4 3 3 4 2 15" xfId="31297" xr:uid="{00000000-0005-0000-0000-000029290000}"/>
    <cellStyle name="Calculation 4 3 3 4 2 16" xfId="32306" xr:uid="{00000000-0005-0000-0000-00002A290000}"/>
    <cellStyle name="Calculation 4 3 3 4 2 17" xfId="33309" xr:uid="{00000000-0005-0000-0000-00002B290000}"/>
    <cellStyle name="Calculation 4 3 3 4 2 18" xfId="34308" xr:uid="{00000000-0005-0000-0000-00002C290000}"/>
    <cellStyle name="Calculation 4 3 3 4 2 19" xfId="35929" xr:uid="{00000000-0005-0000-0000-00002D290000}"/>
    <cellStyle name="Calculation 4 3 3 4 2 2" xfId="16332" xr:uid="{00000000-0005-0000-0000-00002E290000}"/>
    <cellStyle name="Calculation 4 3 3 4 2 20" xfId="36868" xr:uid="{00000000-0005-0000-0000-00002F290000}"/>
    <cellStyle name="Calculation 4 3 3 4 2 3" xfId="17310" xr:uid="{00000000-0005-0000-0000-000030290000}"/>
    <cellStyle name="Calculation 4 3 3 4 2 4" xfId="18338" xr:uid="{00000000-0005-0000-0000-000031290000}"/>
    <cellStyle name="Calculation 4 3 3 4 2 5" xfId="19370" xr:uid="{00000000-0005-0000-0000-000032290000}"/>
    <cellStyle name="Calculation 4 3 3 4 2 6" xfId="20392" xr:uid="{00000000-0005-0000-0000-000033290000}"/>
    <cellStyle name="Calculation 4 3 3 4 2 7" xfId="21401" xr:uid="{00000000-0005-0000-0000-000034290000}"/>
    <cellStyle name="Calculation 4 3 3 4 2 8" xfId="22375" xr:uid="{00000000-0005-0000-0000-000035290000}"/>
    <cellStyle name="Calculation 4 3 3 4 2 9" xfId="23380" xr:uid="{00000000-0005-0000-0000-000036290000}"/>
    <cellStyle name="Calculation 4 3 3 4 20" xfId="35928" xr:uid="{00000000-0005-0000-0000-000037290000}"/>
    <cellStyle name="Calculation 4 3 3 4 21" xfId="36867" xr:uid="{00000000-0005-0000-0000-000038290000}"/>
    <cellStyle name="Calculation 4 3 3 4 3" xfId="16331" xr:uid="{00000000-0005-0000-0000-000039290000}"/>
    <cellStyle name="Calculation 4 3 3 4 4" xfId="17309" xr:uid="{00000000-0005-0000-0000-00003A290000}"/>
    <cellStyle name="Calculation 4 3 3 4 5" xfId="18337" xr:uid="{00000000-0005-0000-0000-00003B290000}"/>
    <cellStyle name="Calculation 4 3 3 4 6" xfId="19369" xr:uid="{00000000-0005-0000-0000-00003C290000}"/>
    <cellStyle name="Calculation 4 3 3 4 7" xfId="20391" xr:uid="{00000000-0005-0000-0000-00003D290000}"/>
    <cellStyle name="Calculation 4 3 3 4 8" xfId="21400" xr:uid="{00000000-0005-0000-0000-00003E290000}"/>
    <cellStyle name="Calculation 4 3 3 4 9" xfId="22374" xr:uid="{00000000-0005-0000-0000-00003F290000}"/>
    <cellStyle name="Calculation 4 3 3 5" xfId="1087" xr:uid="{00000000-0005-0000-0000-000040290000}"/>
    <cellStyle name="Calculation 4 3 3 5 10" xfId="24353" xr:uid="{00000000-0005-0000-0000-000041290000}"/>
    <cellStyle name="Calculation 4 3 3 5 11" xfId="25352" xr:uid="{00000000-0005-0000-0000-000042290000}"/>
    <cellStyle name="Calculation 4 3 3 5 12" xfId="28297" xr:uid="{00000000-0005-0000-0000-000043290000}"/>
    <cellStyle name="Calculation 4 3 3 5 13" xfId="29266" xr:uid="{00000000-0005-0000-0000-000044290000}"/>
    <cellStyle name="Calculation 4 3 3 5 14" xfId="30305" xr:uid="{00000000-0005-0000-0000-000045290000}"/>
    <cellStyle name="Calculation 4 3 3 5 15" xfId="31298" xr:uid="{00000000-0005-0000-0000-000046290000}"/>
    <cellStyle name="Calculation 4 3 3 5 16" xfId="32307" xr:uid="{00000000-0005-0000-0000-000047290000}"/>
    <cellStyle name="Calculation 4 3 3 5 17" xfId="33310" xr:uid="{00000000-0005-0000-0000-000048290000}"/>
    <cellStyle name="Calculation 4 3 3 5 18" xfId="34309" xr:uid="{00000000-0005-0000-0000-000049290000}"/>
    <cellStyle name="Calculation 4 3 3 5 19" xfId="35930" xr:uid="{00000000-0005-0000-0000-00004A290000}"/>
    <cellStyle name="Calculation 4 3 3 5 2" xfId="16333" xr:uid="{00000000-0005-0000-0000-00004B290000}"/>
    <cellStyle name="Calculation 4 3 3 5 20" xfId="36869" xr:uid="{00000000-0005-0000-0000-00004C290000}"/>
    <cellStyle name="Calculation 4 3 3 5 3" xfId="17311" xr:uid="{00000000-0005-0000-0000-00004D290000}"/>
    <cellStyle name="Calculation 4 3 3 5 4" xfId="18339" xr:uid="{00000000-0005-0000-0000-00004E290000}"/>
    <cellStyle name="Calculation 4 3 3 5 5" xfId="19371" xr:uid="{00000000-0005-0000-0000-00004F290000}"/>
    <cellStyle name="Calculation 4 3 3 5 6" xfId="20393" xr:uid="{00000000-0005-0000-0000-000050290000}"/>
    <cellStyle name="Calculation 4 3 3 5 7" xfId="21402" xr:uid="{00000000-0005-0000-0000-000051290000}"/>
    <cellStyle name="Calculation 4 3 3 5 8" xfId="22376" xr:uid="{00000000-0005-0000-0000-000052290000}"/>
    <cellStyle name="Calculation 4 3 3 5 9" xfId="23381" xr:uid="{00000000-0005-0000-0000-000053290000}"/>
    <cellStyle name="Calculation 4 3 3 6" xfId="13775" xr:uid="{00000000-0005-0000-0000-000054290000}"/>
    <cellStyle name="Calculation 4 3 3 7" xfId="15600" xr:uid="{00000000-0005-0000-0000-000055290000}"/>
    <cellStyle name="Calculation 4 3 3 8" xfId="13911" xr:uid="{00000000-0005-0000-0000-000056290000}"/>
    <cellStyle name="Calculation 4 3 3 9" xfId="13712" xr:uid="{00000000-0005-0000-0000-000057290000}"/>
    <cellStyle name="Calculation 4 3 4" xfId="1088" xr:uid="{00000000-0005-0000-0000-000058290000}"/>
    <cellStyle name="Calculation 4 3 4 10" xfId="15336" xr:uid="{00000000-0005-0000-0000-000059290000}"/>
    <cellStyle name="Calculation 4 3 4 11" xfId="15571" xr:uid="{00000000-0005-0000-0000-00005A290000}"/>
    <cellStyle name="Calculation 4 3 4 12" xfId="26357" xr:uid="{00000000-0005-0000-0000-00005B290000}"/>
    <cellStyle name="Calculation 4 3 4 13" xfId="26045" xr:uid="{00000000-0005-0000-0000-00005C290000}"/>
    <cellStyle name="Calculation 4 3 4 14" xfId="27525" xr:uid="{00000000-0005-0000-0000-00005D290000}"/>
    <cellStyle name="Calculation 4 3 4 15" xfId="26765" xr:uid="{00000000-0005-0000-0000-00005E290000}"/>
    <cellStyle name="Calculation 4 3 4 16" xfId="26272" xr:uid="{00000000-0005-0000-0000-00005F290000}"/>
    <cellStyle name="Calculation 4 3 4 17" xfId="26878" xr:uid="{00000000-0005-0000-0000-000060290000}"/>
    <cellStyle name="Calculation 4 3 4 18" xfId="35049" xr:uid="{00000000-0005-0000-0000-000061290000}"/>
    <cellStyle name="Calculation 4 3 4 19" xfId="35303" xr:uid="{00000000-0005-0000-0000-000062290000}"/>
    <cellStyle name="Calculation 4 3 4 2" xfId="1089" xr:uid="{00000000-0005-0000-0000-000063290000}"/>
    <cellStyle name="Calculation 4 3 4 2 10" xfId="23382" xr:uid="{00000000-0005-0000-0000-000064290000}"/>
    <cellStyle name="Calculation 4 3 4 2 11" xfId="24354" xr:uid="{00000000-0005-0000-0000-000065290000}"/>
    <cellStyle name="Calculation 4 3 4 2 12" xfId="25353" xr:uid="{00000000-0005-0000-0000-000066290000}"/>
    <cellStyle name="Calculation 4 3 4 2 13" xfId="28298" xr:uid="{00000000-0005-0000-0000-000067290000}"/>
    <cellStyle name="Calculation 4 3 4 2 14" xfId="29267" xr:uid="{00000000-0005-0000-0000-000068290000}"/>
    <cellStyle name="Calculation 4 3 4 2 15" xfId="30306" xr:uid="{00000000-0005-0000-0000-000069290000}"/>
    <cellStyle name="Calculation 4 3 4 2 16" xfId="31299" xr:uid="{00000000-0005-0000-0000-00006A290000}"/>
    <cellStyle name="Calculation 4 3 4 2 17" xfId="32308" xr:uid="{00000000-0005-0000-0000-00006B290000}"/>
    <cellStyle name="Calculation 4 3 4 2 18" xfId="33311" xr:uid="{00000000-0005-0000-0000-00006C290000}"/>
    <cellStyle name="Calculation 4 3 4 2 19" xfId="34310" xr:uid="{00000000-0005-0000-0000-00006D290000}"/>
    <cellStyle name="Calculation 4 3 4 2 2" xfId="1090" xr:uid="{00000000-0005-0000-0000-00006E290000}"/>
    <cellStyle name="Calculation 4 3 4 2 2 10" xfId="24355" xr:uid="{00000000-0005-0000-0000-00006F290000}"/>
    <cellStyle name="Calculation 4 3 4 2 2 11" xfId="25354" xr:uid="{00000000-0005-0000-0000-000070290000}"/>
    <cellStyle name="Calculation 4 3 4 2 2 12" xfId="28299" xr:uid="{00000000-0005-0000-0000-000071290000}"/>
    <cellStyle name="Calculation 4 3 4 2 2 13" xfId="29268" xr:uid="{00000000-0005-0000-0000-000072290000}"/>
    <cellStyle name="Calculation 4 3 4 2 2 14" xfId="30307" xr:uid="{00000000-0005-0000-0000-000073290000}"/>
    <cellStyle name="Calculation 4 3 4 2 2 15" xfId="31300" xr:uid="{00000000-0005-0000-0000-000074290000}"/>
    <cellStyle name="Calculation 4 3 4 2 2 16" xfId="32309" xr:uid="{00000000-0005-0000-0000-000075290000}"/>
    <cellStyle name="Calculation 4 3 4 2 2 17" xfId="33312" xr:uid="{00000000-0005-0000-0000-000076290000}"/>
    <cellStyle name="Calculation 4 3 4 2 2 18" xfId="34311" xr:uid="{00000000-0005-0000-0000-000077290000}"/>
    <cellStyle name="Calculation 4 3 4 2 2 19" xfId="35932" xr:uid="{00000000-0005-0000-0000-000078290000}"/>
    <cellStyle name="Calculation 4 3 4 2 2 2" xfId="16335" xr:uid="{00000000-0005-0000-0000-000079290000}"/>
    <cellStyle name="Calculation 4 3 4 2 2 20" xfId="36871" xr:uid="{00000000-0005-0000-0000-00007A290000}"/>
    <cellStyle name="Calculation 4 3 4 2 2 3" xfId="17313" xr:uid="{00000000-0005-0000-0000-00007B290000}"/>
    <cellStyle name="Calculation 4 3 4 2 2 4" xfId="18341" xr:uid="{00000000-0005-0000-0000-00007C290000}"/>
    <cellStyle name="Calculation 4 3 4 2 2 5" xfId="19373" xr:uid="{00000000-0005-0000-0000-00007D290000}"/>
    <cellStyle name="Calculation 4 3 4 2 2 6" xfId="20395" xr:uid="{00000000-0005-0000-0000-00007E290000}"/>
    <cellStyle name="Calculation 4 3 4 2 2 7" xfId="21404" xr:uid="{00000000-0005-0000-0000-00007F290000}"/>
    <cellStyle name="Calculation 4 3 4 2 2 8" xfId="22378" xr:uid="{00000000-0005-0000-0000-000080290000}"/>
    <cellStyle name="Calculation 4 3 4 2 2 9" xfId="23383" xr:uid="{00000000-0005-0000-0000-000081290000}"/>
    <cellStyle name="Calculation 4 3 4 2 20" xfId="35931" xr:uid="{00000000-0005-0000-0000-000082290000}"/>
    <cellStyle name="Calculation 4 3 4 2 21" xfId="36870" xr:uid="{00000000-0005-0000-0000-000083290000}"/>
    <cellStyle name="Calculation 4 3 4 2 3" xfId="16334" xr:uid="{00000000-0005-0000-0000-000084290000}"/>
    <cellStyle name="Calculation 4 3 4 2 4" xfId="17312" xr:uid="{00000000-0005-0000-0000-000085290000}"/>
    <cellStyle name="Calculation 4 3 4 2 5" xfId="18340" xr:uid="{00000000-0005-0000-0000-000086290000}"/>
    <cellStyle name="Calculation 4 3 4 2 6" xfId="19372" xr:uid="{00000000-0005-0000-0000-000087290000}"/>
    <cellStyle name="Calculation 4 3 4 2 7" xfId="20394" xr:uid="{00000000-0005-0000-0000-000088290000}"/>
    <cellStyle name="Calculation 4 3 4 2 8" xfId="21403" xr:uid="{00000000-0005-0000-0000-000089290000}"/>
    <cellStyle name="Calculation 4 3 4 2 9" xfId="22377" xr:uid="{00000000-0005-0000-0000-00008A290000}"/>
    <cellStyle name="Calculation 4 3 4 3" xfId="1091" xr:uid="{00000000-0005-0000-0000-00008B290000}"/>
    <cellStyle name="Calculation 4 3 4 3 10" xfId="23384" xr:uid="{00000000-0005-0000-0000-00008C290000}"/>
    <cellStyle name="Calculation 4 3 4 3 11" xfId="24356" xr:uid="{00000000-0005-0000-0000-00008D290000}"/>
    <cellStyle name="Calculation 4 3 4 3 12" xfId="25355" xr:uid="{00000000-0005-0000-0000-00008E290000}"/>
    <cellStyle name="Calculation 4 3 4 3 13" xfId="28300" xr:uid="{00000000-0005-0000-0000-00008F290000}"/>
    <cellStyle name="Calculation 4 3 4 3 14" xfId="29269" xr:uid="{00000000-0005-0000-0000-000090290000}"/>
    <cellStyle name="Calculation 4 3 4 3 15" xfId="30308" xr:uid="{00000000-0005-0000-0000-000091290000}"/>
    <cellStyle name="Calculation 4 3 4 3 16" xfId="31301" xr:uid="{00000000-0005-0000-0000-000092290000}"/>
    <cellStyle name="Calculation 4 3 4 3 17" xfId="32310" xr:uid="{00000000-0005-0000-0000-000093290000}"/>
    <cellStyle name="Calculation 4 3 4 3 18" xfId="33313" xr:uid="{00000000-0005-0000-0000-000094290000}"/>
    <cellStyle name="Calculation 4 3 4 3 19" xfId="34312" xr:uid="{00000000-0005-0000-0000-000095290000}"/>
    <cellStyle name="Calculation 4 3 4 3 2" xfId="1092" xr:uid="{00000000-0005-0000-0000-000096290000}"/>
    <cellStyle name="Calculation 4 3 4 3 2 10" xfId="24357" xr:uid="{00000000-0005-0000-0000-000097290000}"/>
    <cellStyle name="Calculation 4 3 4 3 2 11" xfId="25356" xr:uid="{00000000-0005-0000-0000-000098290000}"/>
    <cellStyle name="Calculation 4 3 4 3 2 12" xfId="28301" xr:uid="{00000000-0005-0000-0000-000099290000}"/>
    <cellStyle name="Calculation 4 3 4 3 2 13" xfId="29270" xr:uid="{00000000-0005-0000-0000-00009A290000}"/>
    <cellStyle name="Calculation 4 3 4 3 2 14" xfId="30309" xr:uid="{00000000-0005-0000-0000-00009B290000}"/>
    <cellStyle name="Calculation 4 3 4 3 2 15" xfId="31302" xr:uid="{00000000-0005-0000-0000-00009C290000}"/>
    <cellStyle name="Calculation 4 3 4 3 2 16" xfId="32311" xr:uid="{00000000-0005-0000-0000-00009D290000}"/>
    <cellStyle name="Calculation 4 3 4 3 2 17" xfId="33314" xr:uid="{00000000-0005-0000-0000-00009E290000}"/>
    <cellStyle name="Calculation 4 3 4 3 2 18" xfId="34313" xr:uid="{00000000-0005-0000-0000-00009F290000}"/>
    <cellStyle name="Calculation 4 3 4 3 2 19" xfId="35934" xr:uid="{00000000-0005-0000-0000-0000A0290000}"/>
    <cellStyle name="Calculation 4 3 4 3 2 2" xfId="16337" xr:uid="{00000000-0005-0000-0000-0000A1290000}"/>
    <cellStyle name="Calculation 4 3 4 3 2 20" xfId="36873" xr:uid="{00000000-0005-0000-0000-0000A2290000}"/>
    <cellStyle name="Calculation 4 3 4 3 2 3" xfId="17315" xr:uid="{00000000-0005-0000-0000-0000A3290000}"/>
    <cellStyle name="Calculation 4 3 4 3 2 4" xfId="18343" xr:uid="{00000000-0005-0000-0000-0000A4290000}"/>
    <cellStyle name="Calculation 4 3 4 3 2 5" xfId="19375" xr:uid="{00000000-0005-0000-0000-0000A5290000}"/>
    <cellStyle name="Calculation 4 3 4 3 2 6" xfId="20397" xr:uid="{00000000-0005-0000-0000-0000A6290000}"/>
    <cellStyle name="Calculation 4 3 4 3 2 7" xfId="21406" xr:uid="{00000000-0005-0000-0000-0000A7290000}"/>
    <cellStyle name="Calculation 4 3 4 3 2 8" xfId="22380" xr:uid="{00000000-0005-0000-0000-0000A8290000}"/>
    <cellStyle name="Calculation 4 3 4 3 2 9" xfId="23385" xr:uid="{00000000-0005-0000-0000-0000A9290000}"/>
    <cellStyle name="Calculation 4 3 4 3 20" xfId="35933" xr:uid="{00000000-0005-0000-0000-0000AA290000}"/>
    <cellStyle name="Calculation 4 3 4 3 21" xfId="36872" xr:uid="{00000000-0005-0000-0000-0000AB290000}"/>
    <cellStyle name="Calculation 4 3 4 3 3" xfId="16336" xr:uid="{00000000-0005-0000-0000-0000AC290000}"/>
    <cellStyle name="Calculation 4 3 4 3 4" xfId="17314" xr:uid="{00000000-0005-0000-0000-0000AD290000}"/>
    <cellStyle name="Calculation 4 3 4 3 5" xfId="18342" xr:uid="{00000000-0005-0000-0000-0000AE290000}"/>
    <cellStyle name="Calculation 4 3 4 3 6" xfId="19374" xr:uid="{00000000-0005-0000-0000-0000AF290000}"/>
    <cellStyle name="Calculation 4 3 4 3 7" xfId="20396" xr:uid="{00000000-0005-0000-0000-0000B0290000}"/>
    <cellStyle name="Calculation 4 3 4 3 8" xfId="21405" xr:uid="{00000000-0005-0000-0000-0000B1290000}"/>
    <cellStyle name="Calculation 4 3 4 3 9" xfId="22379" xr:uid="{00000000-0005-0000-0000-0000B2290000}"/>
    <cellStyle name="Calculation 4 3 4 4" xfId="1093" xr:uid="{00000000-0005-0000-0000-0000B3290000}"/>
    <cellStyle name="Calculation 4 3 4 4 10" xfId="23386" xr:uid="{00000000-0005-0000-0000-0000B4290000}"/>
    <cellStyle name="Calculation 4 3 4 4 11" xfId="24358" xr:uid="{00000000-0005-0000-0000-0000B5290000}"/>
    <cellStyle name="Calculation 4 3 4 4 12" xfId="25357" xr:uid="{00000000-0005-0000-0000-0000B6290000}"/>
    <cellStyle name="Calculation 4 3 4 4 13" xfId="28302" xr:uid="{00000000-0005-0000-0000-0000B7290000}"/>
    <cellStyle name="Calculation 4 3 4 4 14" xfId="29271" xr:uid="{00000000-0005-0000-0000-0000B8290000}"/>
    <cellStyle name="Calculation 4 3 4 4 15" xfId="30310" xr:uid="{00000000-0005-0000-0000-0000B9290000}"/>
    <cellStyle name="Calculation 4 3 4 4 16" xfId="31303" xr:uid="{00000000-0005-0000-0000-0000BA290000}"/>
    <cellStyle name="Calculation 4 3 4 4 17" xfId="32312" xr:uid="{00000000-0005-0000-0000-0000BB290000}"/>
    <cellStyle name="Calculation 4 3 4 4 18" xfId="33315" xr:uid="{00000000-0005-0000-0000-0000BC290000}"/>
    <cellStyle name="Calculation 4 3 4 4 19" xfId="34314" xr:uid="{00000000-0005-0000-0000-0000BD290000}"/>
    <cellStyle name="Calculation 4 3 4 4 2" xfId="1094" xr:uid="{00000000-0005-0000-0000-0000BE290000}"/>
    <cellStyle name="Calculation 4 3 4 4 2 10" xfId="24359" xr:uid="{00000000-0005-0000-0000-0000BF290000}"/>
    <cellStyle name="Calculation 4 3 4 4 2 11" xfId="25358" xr:uid="{00000000-0005-0000-0000-0000C0290000}"/>
    <cellStyle name="Calculation 4 3 4 4 2 12" xfId="28303" xr:uid="{00000000-0005-0000-0000-0000C1290000}"/>
    <cellStyle name="Calculation 4 3 4 4 2 13" xfId="29272" xr:uid="{00000000-0005-0000-0000-0000C2290000}"/>
    <cellStyle name="Calculation 4 3 4 4 2 14" xfId="30311" xr:uid="{00000000-0005-0000-0000-0000C3290000}"/>
    <cellStyle name="Calculation 4 3 4 4 2 15" xfId="31304" xr:uid="{00000000-0005-0000-0000-0000C4290000}"/>
    <cellStyle name="Calculation 4 3 4 4 2 16" xfId="32313" xr:uid="{00000000-0005-0000-0000-0000C5290000}"/>
    <cellStyle name="Calculation 4 3 4 4 2 17" xfId="33316" xr:uid="{00000000-0005-0000-0000-0000C6290000}"/>
    <cellStyle name="Calculation 4 3 4 4 2 18" xfId="34315" xr:uid="{00000000-0005-0000-0000-0000C7290000}"/>
    <cellStyle name="Calculation 4 3 4 4 2 19" xfId="35936" xr:uid="{00000000-0005-0000-0000-0000C8290000}"/>
    <cellStyle name="Calculation 4 3 4 4 2 2" xfId="16339" xr:uid="{00000000-0005-0000-0000-0000C9290000}"/>
    <cellStyle name="Calculation 4 3 4 4 2 20" xfId="36875" xr:uid="{00000000-0005-0000-0000-0000CA290000}"/>
    <cellStyle name="Calculation 4 3 4 4 2 3" xfId="17317" xr:uid="{00000000-0005-0000-0000-0000CB290000}"/>
    <cellStyle name="Calculation 4 3 4 4 2 4" xfId="18345" xr:uid="{00000000-0005-0000-0000-0000CC290000}"/>
    <cellStyle name="Calculation 4 3 4 4 2 5" xfId="19377" xr:uid="{00000000-0005-0000-0000-0000CD290000}"/>
    <cellStyle name="Calculation 4 3 4 4 2 6" xfId="20399" xr:uid="{00000000-0005-0000-0000-0000CE290000}"/>
    <cellStyle name="Calculation 4 3 4 4 2 7" xfId="21408" xr:uid="{00000000-0005-0000-0000-0000CF290000}"/>
    <cellStyle name="Calculation 4 3 4 4 2 8" xfId="22382" xr:uid="{00000000-0005-0000-0000-0000D0290000}"/>
    <cellStyle name="Calculation 4 3 4 4 2 9" xfId="23387" xr:uid="{00000000-0005-0000-0000-0000D1290000}"/>
    <cellStyle name="Calculation 4 3 4 4 20" xfId="35935" xr:uid="{00000000-0005-0000-0000-0000D2290000}"/>
    <cellStyle name="Calculation 4 3 4 4 21" xfId="36874" xr:uid="{00000000-0005-0000-0000-0000D3290000}"/>
    <cellStyle name="Calculation 4 3 4 4 3" xfId="16338" xr:uid="{00000000-0005-0000-0000-0000D4290000}"/>
    <cellStyle name="Calculation 4 3 4 4 4" xfId="17316" xr:uid="{00000000-0005-0000-0000-0000D5290000}"/>
    <cellStyle name="Calculation 4 3 4 4 5" xfId="18344" xr:uid="{00000000-0005-0000-0000-0000D6290000}"/>
    <cellStyle name="Calculation 4 3 4 4 6" xfId="19376" xr:uid="{00000000-0005-0000-0000-0000D7290000}"/>
    <cellStyle name="Calculation 4 3 4 4 7" xfId="20398" xr:uid="{00000000-0005-0000-0000-0000D8290000}"/>
    <cellStyle name="Calculation 4 3 4 4 8" xfId="21407" xr:uid="{00000000-0005-0000-0000-0000D9290000}"/>
    <cellStyle name="Calculation 4 3 4 4 9" xfId="22381" xr:uid="{00000000-0005-0000-0000-0000DA290000}"/>
    <cellStyle name="Calculation 4 3 4 5" xfId="1095" xr:uid="{00000000-0005-0000-0000-0000DB290000}"/>
    <cellStyle name="Calculation 4 3 4 5 10" xfId="24360" xr:uid="{00000000-0005-0000-0000-0000DC290000}"/>
    <cellStyle name="Calculation 4 3 4 5 11" xfId="25359" xr:uid="{00000000-0005-0000-0000-0000DD290000}"/>
    <cellStyle name="Calculation 4 3 4 5 12" xfId="28304" xr:uid="{00000000-0005-0000-0000-0000DE290000}"/>
    <cellStyle name="Calculation 4 3 4 5 13" xfId="29273" xr:uid="{00000000-0005-0000-0000-0000DF290000}"/>
    <cellStyle name="Calculation 4 3 4 5 14" xfId="30312" xr:uid="{00000000-0005-0000-0000-0000E0290000}"/>
    <cellStyle name="Calculation 4 3 4 5 15" xfId="31305" xr:uid="{00000000-0005-0000-0000-0000E1290000}"/>
    <cellStyle name="Calculation 4 3 4 5 16" xfId="32314" xr:uid="{00000000-0005-0000-0000-0000E2290000}"/>
    <cellStyle name="Calculation 4 3 4 5 17" xfId="33317" xr:uid="{00000000-0005-0000-0000-0000E3290000}"/>
    <cellStyle name="Calculation 4 3 4 5 18" xfId="34316" xr:uid="{00000000-0005-0000-0000-0000E4290000}"/>
    <cellStyle name="Calculation 4 3 4 5 19" xfId="35937" xr:uid="{00000000-0005-0000-0000-0000E5290000}"/>
    <cellStyle name="Calculation 4 3 4 5 2" xfId="16340" xr:uid="{00000000-0005-0000-0000-0000E6290000}"/>
    <cellStyle name="Calculation 4 3 4 5 20" xfId="36876" xr:uid="{00000000-0005-0000-0000-0000E7290000}"/>
    <cellStyle name="Calculation 4 3 4 5 3" xfId="17318" xr:uid="{00000000-0005-0000-0000-0000E8290000}"/>
    <cellStyle name="Calculation 4 3 4 5 4" xfId="18346" xr:uid="{00000000-0005-0000-0000-0000E9290000}"/>
    <cellStyle name="Calculation 4 3 4 5 5" xfId="19378" xr:uid="{00000000-0005-0000-0000-0000EA290000}"/>
    <cellStyle name="Calculation 4 3 4 5 6" xfId="20400" xr:uid="{00000000-0005-0000-0000-0000EB290000}"/>
    <cellStyle name="Calculation 4 3 4 5 7" xfId="21409" xr:uid="{00000000-0005-0000-0000-0000EC290000}"/>
    <cellStyle name="Calculation 4 3 4 5 8" xfId="22383" xr:uid="{00000000-0005-0000-0000-0000ED290000}"/>
    <cellStyle name="Calculation 4 3 4 5 9" xfId="23388" xr:uid="{00000000-0005-0000-0000-0000EE290000}"/>
    <cellStyle name="Calculation 4 3 4 6" xfId="13749" xr:uid="{00000000-0005-0000-0000-0000EF290000}"/>
    <cellStyle name="Calculation 4 3 4 7" xfId="14735" xr:uid="{00000000-0005-0000-0000-0000F0290000}"/>
    <cellStyle name="Calculation 4 3 4 8" xfId="14282" xr:uid="{00000000-0005-0000-0000-0000F1290000}"/>
    <cellStyle name="Calculation 4 3 4 9" xfId="14756" xr:uid="{00000000-0005-0000-0000-0000F2290000}"/>
    <cellStyle name="Calculation 4 3 5" xfId="1096" xr:uid="{00000000-0005-0000-0000-0000F3290000}"/>
    <cellStyle name="Calculation 4 3 5 10" xfId="15462" xr:uid="{00000000-0005-0000-0000-0000F4290000}"/>
    <cellStyle name="Calculation 4 3 5 11" xfId="13634" xr:uid="{00000000-0005-0000-0000-0000F5290000}"/>
    <cellStyle name="Calculation 4 3 5 12" xfId="26466" xr:uid="{00000000-0005-0000-0000-0000F6290000}"/>
    <cellStyle name="Calculation 4 3 5 13" xfId="27681" xr:uid="{00000000-0005-0000-0000-0000F7290000}"/>
    <cellStyle name="Calculation 4 3 5 14" xfId="26177" xr:uid="{00000000-0005-0000-0000-0000F8290000}"/>
    <cellStyle name="Calculation 4 3 5 15" xfId="26790" xr:uid="{00000000-0005-0000-0000-0000F9290000}"/>
    <cellStyle name="Calculation 4 3 5 16" xfId="27314" xr:uid="{00000000-0005-0000-0000-0000FA290000}"/>
    <cellStyle name="Calculation 4 3 5 17" xfId="27632" xr:uid="{00000000-0005-0000-0000-0000FB290000}"/>
    <cellStyle name="Calculation 4 3 5 18" xfId="35149" xr:uid="{00000000-0005-0000-0000-0000FC290000}"/>
    <cellStyle name="Calculation 4 3 5 19" xfId="35404" xr:uid="{00000000-0005-0000-0000-0000FD290000}"/>
    <cellStyle name="Calculation 4 3 5 2" xfId="1097" xr:uid="{00000000-0005-0000-0000-0000FE290000}"/>
    <cellStyle name="Calculation 4 3 5 2 10" xfId="23389" xr:uid="{00000000-0005-0000-0000-0000FF290000}"/>
    <cellStyle name="Calculation 4 3 5 2 11" xfId="24361" xr:uid="{00000000-0005-0000-0000-0000002A0000}"/>
    <cellStyle name="Calculation 4 3 5 2 12" xfId="25360" xr:uid="{00000000-0005-0000-0000-0000012A0000}"/>
    <cellStyle name="Calculation 4 3 5 2 13" xfId="28305" xr:uid="{00000000-0005-0000-0000-0000022A0000}"/>
    <cellStyle name="Calculation 4 3 5 2 14" xfId="29274" xr:uid="{00000000-0005-0000-0000-0000032A0000}"/>
    <cellStyle name="Calculation 4 3 5 2 15" xfId="30313" xr:uid="{00000000-0005-0000-0000-0000042A0000}"/>
    <cellStyle name="Calculation 4 3 5 2 16" xfId="31306" xr:uid="{00000000-0005-0000-0000-0000052A0000}"/>
    <cellStyle name="Calculation 4 3 5 2 17" xfId="32315" xr:uid="{00000000-0005-0000-0000-0000062A0000}"/>
    <cellStyle name="Calculation 4 3 5 2 18" xfId="33318" xr:uid="{00000000-0005-0000-0000-0000072A0000}"/>
    <cellStyle name="Calculation 4 3 5 2 19" xfId="34317" xr:uid="{00000000-0005-0000-0000-0000082A0000}"/>
    <cellStyle name="Calculation 4 3 5 2 2" xfId="1098" xr:uid="{00000000-0005-0000-0000-0000092A0000}"/>
    <cellStyle name="Calculation 4 3 5 2 2 10" xfId="24362" xr:uid="{00000000-0005-0000-0000-00000A2A0000}"/>
    <cellStyle name="Calculation 4 3 5 2 2 11" xfId="25361" xr:uid="{00000000-0005-0000-0000-00000B2A0000}"/>
    <cellStyle name="Calculation 4 3 5 2 2 12" xfId="28306" xr:uid="{00000000-0005-0000-0000-00000C2A0000}"/>
    <cellStyle name="Calculation 4 3 5 2 2 13" xfId="29275" xr:uid="{00000000-0005-0000-0000-00000D2A0000}"/>
    <cellStyle name="Calculation 4 3 5 2 2 14" xfId="30314" xr:uid="{00000000-0005-0000-0000-00000E2A0000}"/>
    <cellStyle name="Calculation 4 3 5 2 2 15" xfId="31307" xr:uid="{00000000-0005-0000-0000-00000F2A0000}"/>
    <cellStyle name="Calculation 4 3 5 2 2 16" xfId="32316" xr:uid="{00000000-0005-0000-0000-0000102A0000}"/>
    <cellStyle name="Calculation 4 3 5 2 2 17" xfId="33319" xr:uid="{00000000-0005-0000-0000-0000112A0000}"/>
    <cellStyle name="Calculation 4 3 5 2 2 18" xfId="34318" xr:uid="{00000000-0005-0000-0000-0000122A0000}"/>
    <cellStyle name="Calculation 4 3 5 2 2 19" xfId="35939" xr:uid="{00000000-0005-0000-0000-0000132A0000}"/>
    <cellStyle name="Calculation 4 3 5 2 2 2" xfId="16342" xr:uid="{00000000-0005-0000-0000-0000142A0000}"/>
    <cellStyle name="Calculation 4 3 5 2 2 20" xfId="36878" xr:uid="{00000000-0005-0000-0000-0000152A0000}"/>
    <cellStyle name="Calculation 4 3 5 2 2 3" xfId="17320" xr:uid="{00000000-0005-0000-0000-0000162A0000}"/>
    <cellStyle name="Calculation 4 3 5 2 2 4" xfId="18348" xr:uid="{00000000-0005-0000-0000-0000172A0000}"/>
    <cellStyle name="Calculation 4 3 5 2 2 5" xfId="19380" xr:uid="{00000000-0005-0000-0000-0000182A0000}"/>
    <cellStyle name="Calculation 4 3 5 2 2 6" xfId="20402" xr:uid="{00000000-0005-0000-0000-0000192A0000}"/>
    <cellStyle name="Calculation 4 3 5 2 2 7" xfId="21411" xr:uid="{00000000-0005-0000-0000-00001A2A0000}"/>
    <cellStyle name="Calculation 4 3 5 2 2 8" xfId="22385" xr:uid="{00000000-0005-0000-0000-00001B2A0000}"/>
    <cellStyle name="Calculation 4 3 5 2 2 9" xfId="23390" xr:uid="{00000000-0005-0000-0000-00001C2A0000}"/>
    <cellStyle name="Calculation 4 3 5 2 20" xfId="35938" xr:uid="{00000000-0005-0000-0000-00001D2A0000}"/>
    <cellStyle name="Calculation 4 3 5 2 21" xfId="36877" xr:uid="{00000000-0005-0000-0000-00001E2A0000}"/>
    <cellStyle name="Calculation 4 3 5 2 3" xfId="16341" xr:uid="{00000000-0005-0000-0000-00001F2A0000}"/>
    <cellStyle name="Calculation 4 3 5 2 4" xfId="17319" xr:uid="{00000000-0005-0000-0000-0000202A0000}"/>
    <cellStyle name="Calculation 4 3 5 2 5" xfId="18347" xr:uid="{00000000-0005-0000-0000-0000212A0000}"/>
    <cellStyle name="Calculation 4 3 5 2 6" xfId="19379" xr:uid="{00000000-0005-0000-0000-0000222A0000}"/>
    <cellStyle name="Calculation 4 3 5 2 7" xfId="20401" xr:uid="{00000000-0005-0000-0000-0000232A0000}"/>
    <cellStyle name="Calculation 4 3 5 2 8" xfId="21410" xr:uid="{00000000-0005-0000-0000-0000242A0000}"/>
    <cellStyle name="Calculation 4 3 5 2 9" xfId="22384" xr:uid="{00000000-0005-0000-0000-0000252A0000}"/>
    <cellStyle name="Calculation 4 3 5 3" xfId="1099" xr:uid="{00000000-0005-0000-0000-0000262A0000}"/>
    <cellStyle name="Calculation 4 3 5 3 10" xfId="23391" xr:uid="{00000000-0005-0000-0000-0000272A0000}"/>
    <cellStyle name="Calculation 4 3 5 3 11" xfId="24363" xr:uid="{00000000-0005-0000-0000-0000282A0000}"/>
    <cellStyle name="Calculation 4 3 5 3 12" xfId="25362" xr:uid="{00000000-0005-0000-0000-0000292A0000}"/>
    <cellStyle name="Calculation 4 3 5 3 13" xfId="28307" xr:uid="{00000000-0005-0000-0000-00002A2A0000}"/>
    <cellStyle name="Calculation 4 3 5 3 14" xfId="29276" xr:uid="{00000000-0005-0000-0000-00002B2A0000}"/>
    <cellStyle name="Calculation 4 3 5 3 15" xfId="30315" xr:uid="{00000000-0005-0000-0000-00002C2A0000}"/>
    <cellStyle name="Calculation 4 3 5 3 16" xfId="31308" xr:uid="{00000000-0005-0000-0000-00002D2A0000}"/>
    <cellStyle name="Calculation 4 3 5 3 17" xfId="32317" xr:uid="{00000000-0005-0000-0000-00002E2A0000}"/>
    <cellStyle name="Calculation 4 3 5 3 18" xfId="33320" xr:uid="{00000000-0005-0000-0000-00002F2A0000}"/>
    <cellStyle name="Calculation 4 3 5 3 19" xfId="34319" xr:uid="{00000000-0005-0000-0000-0000302A0000}"/>
    <cellStyle name="Calculation 4 3 5 3 2" xfId="1100" xr:uid="{00000000-0005-0000-0000-0000312A0000}"/>
    <cellStyle name="Calculation 4 3 5 3 2 10" xfId="24364" xr:uid="{00000000-0005-0000-0000-0000322A0000}"/>
    <cellStyle name="Calculation 4 3 5 3 2 11" xfId="25363" xr:uid="{00000000-0005-0000-0000-0000332A0000}"/>
    <cellStyle name="Calculation 4 3 5 3 2 12" xfId="28308" xr:uid="{00000000-0005-0000-0000-0000342A0000}"/>
    <cellStyle name="Calculation 4 3 5 3 2 13" xfId="29277" xr:uid="{00000000-0005-0000-0000-0000352A0000}"/>
    <cellStyle name="Calculation 4 3 5 3 2 14" xfId="30316" xr:uid="{00000000-0005-0000-0000-0000362A0000}"/>
    <cellStyle name="Calculation 4 3 5 3 2 15" xfId="31309" xr:uid="{00000000-0005-0000-0000-0000372A0000}"/>
    <cellStyle name="Calculation 4 3 5 3 2 16" xfId="32318" xr:uid="{00000000-0005-0000-0000-0000382A0000}"/>
    <cellStyle name="Calculation 4 3 5 3 2 17" xfId="33321" xr:uid="{00000000-0005-0000-0000-0000392A0000}"/>
    <cellStyle name="Calculation 4 3 5 3 2 18" xfId="34320" xr:uid="{00000000-0005-0000-0000-00003A2A0000}"/>
    <cellStyle name="Calculation 4 3 5 3 2 19" xfId="35941" xr:uid="{00000000-0005-0000-0000-00003B2A0000}"/>
    <cellStyle name="Calculation 4 3 5 3 2 2" xfId="16344" xr:uid="{00000000-0005-0000-0000-00003C2A0000}"/>
    <cellStyle name="Calculation 4 3 5 3 2 20" xfId="36880" xr:uid="{00000000-0005-0000-0000-00003D2A0000}"/>
    <cellStyle name="Calculation 4 3 5 3 2 3" xfId="17322" xr:uid="{00000000-0005-0000-0000-00003E2A0000}"/>
    <cellStyle name="Calculation 4 3 5 3 2 4" xfId="18350" xr:uid="{00000000-0005-0000-0000-00003F2A0000}"/>
    <cellStyle name="Calculation 4 3 5 3 2 5" xfId="19382" xr:uid="{00000000-0005-0000-0000-0000402A0000}"/>
    <cellStyle name="Calculation 4 3 5 3 2 6" xfId="20404" xr:uid="{00000000-0005-0000-0000-0000412A0000}"/>
    <cellStyle name="Calculation 4 3 5 3 2 7" xfId="21413" xr:uid="{00000000-0005-0000-0000-0000422A0000}"/>
    <cellStyle name="Calculation 4 3 5 3 2 8" xfId="22387" xr:uid="{00000000-0005-0000-0000-0000432A0000}"/>
    <cellStyle name="Calculation 4 3 5 3 2 9" xfId="23392" xr:uid="{00000000-0005-0000-0000-0000442A0000}"/>
    <cellStyle name="Calculation 4 3 5 3 20" xfId="35940" xr:uid="{00000000-0005-0000-0000-0000452A0000}"/>
    <cellStyle name="Calculation 4 3 5 3 21" xfId="36879" xr:uid="{00000000-0005-0000-0000-0000462A0000}"/>
    <cellStyle name="Calculation 4 3 5 3 3" xfId="16343" xr:uid="{00000000-0005-0000-0000-0000472A0000}"/>
    <cellStyle name="Calculation 4 3 5 3 4" xfId="17321" xr:uid="{00000000-0005-0000-0000-0000482A0000}"/>
    <cellStyle name="Calculation 4 3 5 3 5" xfId="18349" xr:uid="{00000000-0005-0000-0000-0000492A0000}"/>
    <cellStyle name="Calculation 4 3 5 3 6" xfId="19381" xr:uid="{00000000-0005-0000-0000-00004A2A0000}"/>
    <cellStyle name="Calculation 4 3 5 3 7" xfId="20403" xr:uid="{00000000-0005-0000-0000-00004B2A0000}"/>
    <cellStyle name="Calculation 4 3 5 3 8" xfId="21412" xr:uid="{00000000-0005-0000-0000-00004C2A0000}"/>
    <cellStyle name="Calculation 4 3 5 3 9" xfId="22386" xr:uid="{00000000-0005-0000-0000-00004D2A0000}"/>
    <cellStyle name="Calculation 4 3 5 4" xfId="1101" xr:uid="{00000000-0005-0000-0000-00004E2A0000}"/>
    <cellStyle name="Calculation 4 3 5 4 10" xfId="23393" xr:uid="{00000000-0005-0000-0000-00004F2A0000}"/>
    <cellStyle name="Calculation 4 3 5 4 11" xfId="24365" xr:uid="{00000000-0005-0000-0000-0000502A0000}"/>
    <cellStyle name="Calculation 4 3 5 4 12" xfId="25364" xr:uid="{00000000-0005-0000-0000-0000512A0000}"/>
    <cellStyle name="Calculation 4 3 5 4 13" xfId="28309" xr:uid="{00000000-0005-0000-0000-0000522A0000}"/>
    <cellStyle name="Calculation 4 3 5 4 14" xfId="29278" xr:uid="{00000000-0005-0000-0000-0000532A0000}"/>
    <cellStyle name="Calculation 4 3 5 4 15" xfId="30317" xr:uid="{00000000-0005-0000-0000-0000542A0000}"/>
    <cellStyle name="Calculation 4 3 5 4 16" xfId="31310" xr:uid="{00000000-0005-0000-0000-0000552A0000}"/>
    <cellStyle name="Calculation 4 3 5 4 17" xfId="32319" xr:uid="{00000000-0005-0000-0000-0000562A0000}"/>
    <cellStyle name="Calculation 4 3 5 4 18" xfId="33322" xr:uid="{00000000-0005-0000-0000-0000572A0000}"/>
    <cellStyle name="Calculation 4 3 5 4 19" xfId="34321" xr:uid="{00000000-0005-0000-0000-0000582A0000}"/>
    <cellStyle name="Calculation 4 3 5 4 2" xfId="1102" xr:uid="{00000000-0005-0000-0000-0000592A0000}"/>
    <cellStyle name="Calculation 4 3 5 4 2 10" xfId="24366" xr:uid="{00000000-0005-0000-0000-00005A2A0000}"/>
    <cellStyle name="Calculation 4 3 5 4 2 11" xfId="25365" xr:uid="{00000000-0005-0000-0000-00005B2A0000}"/>
    <cellStyle name="Calculation 4 3 5 4 2 12" xfId="28310" xr:uid="{00000000-0005-0000-0000-00005C2A0000}"/>
    <cellStyle name="Calculation 4 3 5 4 2 13" xfId="29279" xr:uid="{00000000-0005-0000-0000-00005D2A0000}"/>
    <cellStyle name="Calculation 4 3 5 4 2 14" xfId="30318" xr:uid="{00000000-0005-0000-0000-00005E2A0000}"/>
    <cellStyle name="Calculation 4 3 5 4 2 15" xfId="31311" xr:uid="{00000000-0005-0000-0000-00005F2A0000}"/>
    <cellStyle name="Calculation 4 3 5 4 2 16" xfId="32320" xr:uid="{00000000-0005-0000-0000-0000602A0000}"/>
    <cellStyle name="Calculation 4 3 5 4 2 17" xfId="33323" xr:uid="{00000000-0005-0000-0000-0000612A0000}"/>
    <cellStyle name="Calculation 4 3 5 4 2 18" xfId="34322" xr:uid="{00000000-0005-0000-0000-0000622A0000}"/>
    <cellStyle name="Calculation 4 3 5 4 2 19" xfId="35943" xr:uid="{00000000-0005-0000-0000-0000632A0000}"/>
    <cellStyle name="Calculation 4 3 5 4 2 2" xfId="16346" xr:uid="{00000000-0005-0000-0000-0000642A0000}"/>
    <cellStyle name="Calculation 4 3 5 4 2 20" xfId="36882" xr:uid="{00000000-0005-0000-0000-0000652A0000}"/>
    <cellStyle name="Calculation 4 3 5 4 2 3" xfId="17324" xr:uid="{00000000-0005-0000-0000-0000662A0000}"/>
    <cellStyle name="Calculation 4 3 5 4 2 4" xfId="18352" xr:uid="{00000000-0005-0000-0000-0000672A0000}"/>
    <cellStyle name="Calculation 4 3 5 4 2 5" xfId="19384" xr:uid="{00000000-0005-0000-0000-0000682A0000}"/>
    <cellStyle name="Calculation 4 3 5 4 2 6" xfId="20406" xr:uid="{00000000-0005-0000-0000-0000692A0000}"/>
    <cellStyle name="Calculation 4 3 5 4 2 7" xfId="21415" xr:uid="{00000000-0005-0000-0000-00006A2A0000}"/>
    <cellStyle name="Calculation 4 3 5 4 2 8" xfId="22389" xr:uid="{00000000-0005-0000-0000-00006B2A0000}"/>
    <cellStyle name="Calculation 4 3 5 4 2 9" xfId="23394" xr:uid="{00000000-0005-0000-0000-00006C2A0000}"/>
    <cellStyle name="Calculation 4 3 5 4 20" xfId="35942" xr:uid="{00000000-0005-0000-0000-00006D2A0000}"/>
    <cellStyle name="Calculation 4 3 5 4 21" xfId="36881" xr:uid="{00000000-0005-0000-0000-00006E2A0000}"/>
    <cellStyle name="Calculation 4 3 5 4 3" xfId="16345" xr:uid="{00000000-0005-0000-0000-00006F2A0000}"/>
    <cellStyle name="Calculation 4 3 5 4 4" xfId="17323" xr:uid="{00000000-0005-0000-0000-0000702A0000}"/>
    <cellStyle name="Calculation 4 3 5 4 5" xfId="18351" xr:uid="{00000000-0005-0000-0000-0000712A0000}"/>
    <cellStyle name="Calculation 4 3 5 4 6" xfId="19383" xr:uid="{00000000-0005-0000-0000-0000722A0000}"/>
    <cellStyle name="Calculation 4 3 5 4 7" xfId="20405" xr:uid="{00000000-0005-0000-0000-0000732A0000}"/>
    <cellStyle name="Calculation 4 3 5 4 8" xfId="21414" xr:uid="{00000000-0005-0000-0000-0000742A0000}"/>
    <cellStyle name="Calculation 4 3 5 4 9" xfId="22388" xr:uid="{00000000-0005-0000-0000-0000752A0000}"/>
    <cellStyle name="Calculation 4 3 5 5" xfId="1103" xr:uid="{00000000-0005-0000-0000-0000762A0000}"/>
    <cellStyle name="Calculation 4 3 5 5 10" xfId="24367" xr:uid="{00000000-0005-0000-0000-0000772A0000}"/>
    <cellStyle name="Calculation 4 3 5 5 11" xfId="25366" xr:uid="{00000000-0005-0000-0000-0000782A0000}"/>
    <cellStyle name="Calculation 4 3 5 5 12" xfId="28311" xr:uid="{00000000-0005-0000-0000-0000792A0000}"/>
    <cellStyle name="Calculation 4 3 5 5 13" xfId="29280" xr:uid="{00000000-0005-0000-0000-00007A2A0000}"/>
    <cellStyle name="Calculation 4 3 5 5 14" xfId="30319" xr:uid="{00000000-0005-0000-0000-00007B2A0000}"/>
    <cellStyle name="Calculation 4 3 5 5 15" xfId="31312" xr:uid="{00000000-0005-0000-0000-00007C2A0000}"/>
    <cellStyle name="Calculation 4 3 5 5 16" xfId="32321" xr:uid="{00000000-0005-0000-0000-00007D2A0000}"/>
    <cellStyle name="Calculation 4 3 5 5 17" xfId="33324" xr:uid="{00000000-0005-0000-0000-00007E2A0000}"/>
    <cellStyle name="Calculation 4 3 5 5 18" xfId="34323" xr:uid="{00000000-0005-0000-0000-00007F2A0000}"/>
    <cellStyle name="Calculation 4 3 5 5 19" xfId="35944" xr:uid="{00000000-0005-0000-0000-0000802A0000}"/>
    <cellStyle name="Calculation 4 3 5 5 2" xfId="16347" xr:uid="{00000000-0005-0000-0000-0000812A0000}"/>
    <cellStyle name="Calculation 4 3 5 5 20" xfId="36883" xr:uid="{00000000-0005-0000-0000-0000822A0000}"/>
    <cellStyle name="Calculation 4 3 5 5 3" xfId="17325" xr:uid="{00000000-0005-0000-0000-0000832A0000}"/>
    <cellStyle name="Calculation 4 3 5 5 4" xfId="18353" xr:uid="{00000000-0005-0000-0000-0000842A0000}"/>
    <cellStyle name="Calculation 4 3 5 5 5" xfId="19385" xr:uid="{00000000-0005-0000-0000-0000852A0000}"/>
    <cellStyle name="Calculation 4 3 5 5 6" xfId="20407" xr:uid="{00000000-0005-0000-0000-0000862A0000}"/>
    <cellStyle name="Calculation 4 3 5 5 7" xfId="21416" xr:uid="{00000000-0005-0000-0000-0000872A0000}"/>
    <cellStyle name="Calculation 4 3 5 5 8" xfId="22390" xr:uid="{00000000-0005-0000-0000-0000882A0000}"/>
    <cellStyle name="Calculation 4 3 5 5 9" xfId="23395" xr:uid="{00000000-0005-0000-0000-0000892A0000}"/>
    <cellStyle name="Calculation 4 3 5 6" xfId="15420" xr:uid="{00000000-0005-0000-0000-00008A2A0000}"/>
    <cellStyle name="Calculation 4 3 5 7" xfId="14394" xr:uid="{00000000-0005-0000-0000-00008B2A0000}"/>
    <cellStyle name="Calculation 4 3 5 8" xfId="14219" xr:uid="{00000000-0005-0000-0000-00008C2A0000}"/>
    <cellStyle name="Calculation 4 3 5 9" xfId="14340" xr:uid="{00000000-0005-0000-0000-00008D2A0000}"/>
    <cellStyle name="Calculation 4 3 6" xfId="1104" xr:uid="{00000000-0005-0000-0000-00008E2A0000}"/>
    <cellStyle name="Calculation 4 3 6 10" xfId="23396" xr:uid="{00000000-0005-0000-0000-00008F2A0000}"/>
    <cellStyle name="Calculation 4 3 6 11" xfId="24368" xr:uid="{00000000-0005-0000-0000-0000902A0000}"/>
    <cellStyle name="Calculation 4 3 6 12" xfId="25367" xr:uid="{00000000-0005-0000-0000-0000912A0000}"/>
    <cellStyle name="Calculation 4 3 6 13" xfId="28312" xr:uid="{00000000-0005-0000-0000-0000922A0000}"/>
    <cellStyle name="Calculation 4 3 6 14" xfId="29281" xr:uid="{00000000-0005-0000-0000-0000932A0000}"/>
    <cellStyle name="Calculation 4 3 6 15" xfId="30320" xr:uid="{00000000-0005-0000-0000-0000942A0000}"/>
    <cellStyle name="Calculation 4 3 6 16" xfId="31313" xr:uid="{00000000-0005-0000-0000-0000952A0000}"/>
    <cellStyle name="Calculation 4 3 6 17" xfId="32322" xr:uid="{00000000-0005-0000-0000-0000962A0000}"/>
    <cellStyle name="Calculation 4 3 6 18" xfId="33325" xr:uid="{00000000-0005-0000-0000-0000972A0000}"/>
    <cellStyle name="Calculation 4 3 6 19" xfId="34324" xr:uid="{00000000-0005-0000-0000-0000982A0000}"/>
    <cellStyle name="Calculation 4 3 6 2" xfId="1105" xr:uid="{00000000-0005-0000-0000-0000992A0000}"/>
    <cellStyle name="Calculation 4 3 6 2 10" xfId="24369" xr:uid="{00000000-0005-0000-0000-00009A2A0000}"/>
    <cellStyle name="Calculation 4 3 6 2 11" xfId="25368" xr:uid="{00000000-0005-0000-0000-00009B2A0000}"/>
    <cellStyle name="Calculation 4 3 6 2 12" xfId="28313" xr:uid="{00000000-0005-0000-0000-00009C2A0000}"/>
    <cellStyle name="Calculation 4 3 6 2 13" xfId="29282" xr:uid="{00000000-0005-0000-0000-00009D2A0000}"/>
    <cellStyle name="Calculation 4 3 6 2 14" xfId="30321" xr:uid="{00000000-0005-0000-0000-00009E2A0000}"/>
    <cellStyle name="Calculation 4 3 6 2 15" xfId="31314" xr:uid="{00000000-0005-0000-0000-00009F2A0000}"/>
    <cellStyle name="Calculation 4 3 6 2 16" xfId="32323" xr:uid="{00000000-0005-0000-0000-0000A02A0000}"/>
    <cellStyle name="Calculation 4 3 6 2 17" xfId="33326" xr:uid="{00000000-0005-0000-0000-0000A12A0000}"/>
    <cellStyle name="Calculation 4 3 6 2 18" xfId="34325" xr:uid="{00000000-0005-0000-0000-0000A22A0000}"/>
    <cellStyle name="Calculation 4 3 6 2 19" xfId="35946" xr:uid="{00000000-0005-0000-0000-0000A32A0000}"/>
    <cellStyle name="Calculation 4 3 6 2 2" xfId="16349" xr:uid="{00000000-0005-0000-0000-0000A42A0000}"/>
    <cellStyle name="Calculation 4 3 6 2 20" xfId="36885" xr:uid="{00000000-0005-0000-0000-0000A52A0000}"/>
    <cellStyle name="Calculation 4 3 6 2 3" xfId="17327" xr:uid="{00000000-0005-0000-0000-0000A62A0000}"/>
    <cellStyle name="Calculation 4 3 6 2 4" xfId="18355" xr:uid="{00000000-0005-0000-0000-0000A72A0000}"/>
    <cellStyle name="Calculation 4 3 6 2 5" xfId="19387" xr:uid="{00000000-0005-0000-0000-0000A82A0000}"/>
    <cellStyle name="Calculation 4 3 6 2 6" xfId="20409" xr:uid="{00000000-0005-0000-0000-0000A92A0000}"/>
    <cellStyle name="Calculation 4 3 6 2 7" xfId="21418" xr:uid="{00000000-0005-0000-0000-0000AA2A0000}"/>
    <cellStyle name="Calculation 4 3 6 2 8" xfId="22392" xr:uid="{00000000-0005-0000-0000-0000AB2A0000}"/>
    <cellStyle name="Calculation 4 3 6 2 9" xfId="23397" xr:uid="{00000000-0005-0000-0000-0000AC2A0000}"/>
    <cellStyle name="Calculation 4 3 6 20" xfId="35945" xr:uid="{00000000-0005-0000-0000-0000AD2A0000}"/>
    <cellStyle name="Calculation 4 3 6 21" xfId="36884" xr:uid="{00000000-0005-0000-0000-0000AE2A0000}"/>
    <cellStyle name="Calculation 4 3 6 3" xfId="16348" xr:uid="{00000000-0005-0000-0000-0000AF2A0000}"/>
    <cellStyle name="Calculation 4 3 6 4" xfId="17326" xr:uid="{00000000-0005-0000-0000-0000B02A0000}"/>
    <cellStyle name="Calculation 4 3 6 5" xfId="18354" xr:uid="{00000000-0005-0000-0000-0000B12A0000}"/>
    <cellStyle name="Calculation 4 3 6 6" xfId="19386" xr:uid="{00000000-0005-0000-0000-0000B22A0000}"/>
    <cellStyle name="Calculation 4 3 6 7" xfId="20408" xr:uid="{00000000-0005-0000-0000-0000B32A0000}"/>
    <cellStyle name="Calculation 4 3 6 8" xfId="21417" xr:uid="{00000000-0005-0000-0000-0000B42A0000}"/>
    <cellStyle name="Calculation 4 3 6 9" xfId="22391" xr:uid="{00000000-0005-0000-0000-0000B52A0000}"/>
    <cellStyle name="Calculation 4 3 7" xfId="1106" xr:uid="{00000000-0005-0000-0000-0000B62A0000}"/>
    <cellStyle name="Calculation 4 3 7 10" xfId="23398" xr:uid="{00000000-0005-0000-0000-0000B72A0000}"/>
    <cellStyle name="Calculation 4 3 7 11" xfId="24370" xr:uid="{00000000-0005-0000-0000-0000B82A0000}"/>
    <cellStyle name="Calculation 4 3 7 12" xfId="25369" xr:uid="{00000000-0005-0000-0000-0000B92A0000}"/>
    <cellStyle name="Calculation 4 3 7 13" xfId="28314" xr:uid="{00000000-0005-0000-0000-0000BA2A0000}"/>
    <cellStyle name="Calculation 4 3 7 14" xfId="29283" xr:uid="{00000000-0005-0000-0000-0000BB2A0000}"/>
    <cellStyle name="Calculation 4 3 7 15" xfId="30322" xr:uid="{00000000-0005-0000-0000-0000BC2A0000}"/>
    <cellStyle name="Calculation 4 3 7 16" xfId="31315" xr:uid="{00000000-0005-0000-0000-0000BD2A0000}"/>
    <cellStyle name="Calculation 4 3 7 17" xfId="32324" xr:uid="{00000000-0005-0000-0000-0000BE2A0000}"/>
    <cellStyle name="Calculation 4 3 7 18" xfId="33327" xr:uid="{00000000-0005-0000-0000-0000BF2A0000}"/>
    <cellStyle name="Calculation 4 3 7 19" xfId="34326" xr:uid="{00000000-0005-0000-0000-0000C02A0000}"/>
    <cellStyle name="Calculation 4 3 7 2" xfId="1107" xr:uid="{00000000-0005-0000-0000-0000C12A0000}"/>
    <cellStyle name="Calculation 4 3 7 2 10" xfId="24371" xr:uid="{00000000-0005-0000-0000-0000C22A0000}"/>
    <cellStyle name="Calculation 4 3 7 2 11" xfId="25370" xr:uid="{00000000-0005-0000-0000-0000C32A0000}"/>
    <cellStyle name="Calculation 4 3 7 2 12" xfId="28315" xr:uid="{00000000-0005-0000-0000-0000C42A0000}"/>
    <cellStyle name="Calculation 4 3 7 2 13" xfId="29284" xr:uid="{00000000-0005-0000-0000-0000C52A0000}"/>
    <cellStyle name="Calculation 4 3 7 2 14" xfId="30323" xr:uid="{00000000-0005-0000-0000-0000C62A0000}"/>
    <cellStyle name="Calculation 4 3 7 2 15" xfId="31316" xr:uid="{00000000-0005-0000-0000-0000C72A0000}"/>
    <cellStyle name="Calculation 4 3 7 2 16" xfId="32325" xr:uid="{00000000-0005-0000-0000-0000C82A0000}"/>
    <cellStyle name="Calculation 4 3 7 2 17" xfId="33328" xr:uid="{00000000-0005-0000-0000-0000C92A0000}"/>
    <cellStyle name="Calculation 4 3 7 2 18" xfId="34327" xr:uid="{00000000-0005-0000-0000-0000CA2A0000}"/>
    <cellStyle name="Calculation 4 3 7 2 19" xfId="35948" xr:uid="{00000000-0005-0000-0000-0000CB2A0000}"/>
    <cellStyle name="Calculation 4 3 7 2 2" xfId="16351" xr:uid="{00000000-0005-0000-0000-0000CC2A0000}"/>
    <cellStyle name="Calculation 4 3 7 2 20" xfId="36887" xr:uid="{00000000-0005-0000-0000-0000CD2A0000}"/>
    <cellStyle name="Calculation 4 3 7 2 3" xfId="17329" xr:uid="{00000000-0005-0000-0000-0000CE2A0000}"/>
    <cellStyle name="Calculation 4 3 7 2 4" xfId="18357" xr:uid="{00000000-0005-0000-0000-0000CF2A0000}"/>
    <cellStyle name="Calculation 4 3 7 2 5" xfId="19389" xr:uid="{00000000-0005-0000-0000-0000D02A0000}"/>
    <cellStyle name="Calculation 4 3 7 2 6" xfId="20411" xr:uid="{00000000-0005-0000-0000-0000D12A0000}"/>
    <cellStyle name="Calculation 4 3 7 2 7" xfId="21420" xr:uid="{00000000-0005-0000-0000-0000D22A0000}"/>
    <cellStyle name="Calculation 4 3 7 2 8" xfId="22394" xr:uid="{00000000-0005-0000-0000-0000D32A0000}"/>
    <cellStyle name="Calculation 4 3 7 2 9" xfId="23399" xr:uid="{00000000-0005-0000-0000-0000D42A0000}"/>
    <cellStyle name="Calculation 4 3 7 20" xfId="35947" xr:uid="{00000000-0005-0000-0000-0000D52A0000}"/>
    <cellStyle name="Calculation 4 3 7 21" xfId="36886" xr:uid="{00000000-0005-0000-0000-0000D62A0000}"/>
    <cellStyle name="Calculation 4 3 7 3" xfId="16350" xr:uid="{00000000-0005-0000-0000-0000D72A0000}"/>
    <cellStyle name="Calculation 4 3 7 4" xfId="17328" xr:uid="{00000000-0005-0000-0000-0000D82A0000}"/>
    <cellStyle name="Calculation 4 3 7 5" xfId="18356" xr:uid="{00000000-0005-0000-0000-0000D92A0000}"/>
    <cellStyle name="Calculation 4 3 7 6" xfId="19388" xr:uid="{00000000-0005-0000-0000-0000DA2A0000}"/>
    <cellStyle name="Calculation 4 3 7 7" xfId="20410" xr:uid="{00000000-0005-0000-0000-0000DB2A0000}"/>
    <cellStyle name="Calculation 4 3 7 8" xfId="21419" xr:uid="{00000000-0005-0000-0000-0000DC2A0000}"/>
    <cellStyle name="Calculation 4 3 7 9" xfId="22393" xr:uid="{00000000-0005-0000-0000-0000DD2A0000}"/>
    <cellStyle name="Calculation 4 3 8" xfId="1108" xr:uid="{00000000-0005-0000-0000-0000DE2A0000}"/>
    <cellStyle name="Calculation 4 3 8 10" xfId="23400" xr:uid="{00000000-0005-0000-0000-0000DF2A0000}"/>
    <cellStyle name="Calculation 4 3 8 11" xfId="24372" xr:uid="{00000000-0005-0000-0000-0000E02A0000}"/>
    <cellStyle name="Calculation 4 3 8 12" xfId="25371" xr:uid="{00000000-0005-0000-0000-0000E12A0000}"/>
    <cellStyle name="Calculation 4 3 8 13" xfId="28316" xr:uid="{00000000-0005-0000-0000-0000E22A0000}"/>
    <cellStyle name="Calculation 4 3 8 14" xfId="29285" xr:uid="{00000000-0005-0000-0000-0000E32A0000}"/>
    <cellStyle name="Calculation 4 3 8 15" xfId="30324" xr:uid="{00000000-0005-0000-0000-0000E42A0000}"/>
    <cellStyle name="Calculation 4 3 8 16" xfId="31317" xr:uid="{00000000-0005-0000-0000-0000E52A0000}"/>
    <cellStyle name="Calculation 4 3 8 17" xfId="32326" xr:uid="{00000000-0005-0000-0000-0000E62A0000}"/>
    <cellStyle name="Calculation 4 3 8 18" xfId="33329" xr:uid="{00000000-0005-0000-0000-0000E72A0000}"/>
    <cellStyle name="Calculation 4 3 8 19" xfId="34328" xr:uid="{00000000-0005-0000-0000-0000E82A0000}"/>
    <cellStyle name="Calculation 4 3 8 2" xfId="1109" xr:uid="{00000000-0005-0000-0000-0000E92A0000}"/>
    <cellStyle name="Calculation 4 3 8 2 10" xfId="24373" xr:uid="{00000000-0005-0000-0000-0000EA2A0000}"/>
    <cellStyle name="Calculation 4 3 8 2 11" xfId="25372" xr:uid="{00000000-0005-0000-0000-0000EB2A0000}"/>
    <cellStyle name="Calculation 4 3 8 2 12" xfId="28317" xr:uid="{00000000-0005-0000-0000-0000EC2A0000}"/>
    <cellStyle name="Calculation 4 3 8 2 13" xfId="29286" xr:uid="{00000000-0005-0000-0000-0000ED2A0000}"/>
    <cellStyle name="Calculation 4 3 8 2 14" xfId="30325" xr:uid="{00000000-0005-0000-0000-0000EE2A0000}"/>
    <cellStyle name="Calculation 4 3 8 2 15" xfId="31318" xr:uid="{00000000-0005-0000-0000-0000EF2A0000}"/>
    <cellStyle name="Calculation 4 3 8 2 16" xfId="32327" xr:uid="{00000000-0005-0000-0000-0000F02A0000}"/>
    <cellStyle name="Calculation 4 3 8 2 17" xfId="33330" xr:uid="{00000000-0005-0000-0000-0000F12A0000}"/>
    <cellStyle name="Calculation 4 3 8 2 18" xfId="34329" xr:uid="{00000000-0005-0000-0000-0000F22A0000}"/>
    <cellStyle name="Calculation 4 3 8 2 19" xfId="35950" xr:uid="{00000000-0005-0000-0000-0000F32A0000}"/>
    <cellStyle name="Calculation 4 3 8 2 2" xfId="16353" xr:uid="{00000000-0005-0000-0000-0000F42A0000}"/>
    <cellStyle name="Calculation 4 3 8 2 20" xfId="36889" xr:uid="{00000000-0005-0000-0000-0000F52A0000}"/>
    <cellStyle name="Calculation 4 3 8 2 3" xfId="17331" xr:uid="{00000000-0005-0000-0000-0000F62A0000}"/>
    <cellStyle name="Calculation 4 3 8 2 4" xfId="18359" xr:uid="{00000000-0005-0000-0000-0000F72A0000}"/>
    <cellStyle name="Calculation 4 3 8 2 5" xfId="19391" xr:uid="{00000000-0005-0000-0000-0000F82A0000}"/>
    <cellStyle name="Calculation 4 3 8 2 6" xfId="20413" xr:uid="{00000000-0005-0000-0000-0000F92A0000}"/>
    <cellStyle name="Calculation 4 3 8 2 7" xfId="21422" xr:uid="{00000000-0005-0000-0000-0000FA2A0000}"/>
    <cellStyle name="Calculation 4 3 8 2 8" xfId="22396" xr:uid="{00000000-0005-0000-0000-0000FB2A0000}"/>
    <cellStyle name="Calculation 4 3 8 2 9" xfId="23401" xr:uid="{00000000-0005-0000-0000-0000FC2A0000}"/>
    <cellStyle name="Calculation 4 3 8 20" xfId="35949" xr:uid="{00000000-0005-0000-0000-0000FD2A0000}"/>
    <cellStyle name="Calculation 4 3 8 21" xfId="36888" xr:uid="{00000000-0005-0000-0000-0000FE2A0000}"/>
    <cellStyle name="Calculation 4 3 8 3" xfId="16352" xr:uid="{00000000-0005-0000-0000-0000FF2A0000}"/>
    <cellStyle name="Calculation 4 3 8 4" xfId="17330" xr:uid="{00000000-0005-0000-0000-0000002B0000}"/>
    <cellStyle name="Calculation 4 3 8 5" xfId="18358" xr:uid="{00000000-0005-0000-0000-0000012B0000}"/>
    <cellStyle name="Calculation 4 3 8 6" xfId="19390" xr:uid="{00000000-0005-0000-0000-0000022B0000}"/>
    <cellStyle name="Calculation 4 3 8 7" xfId="20412" xr:uid="{00000000-0005-0000-0000-0000032B0000}"/>
    <cellStyle name="Calculation 4 3 8 8" xfId="21421" xr:uid="{00000000-0005-0000-0000-0000042B0000}"/>
    <cellStyle name="Calculation 4 3 8 9" xfId="22395" xr:uid="{00000000-0005-0000-0000-0000052B0000}"/>
    <cellStyle name="Calculation 4 3 9" xfId="1110" xr:uid="{00000000-0005-0000-0000-0000062B0000}"/>
    <cellStyle name="Calculation 4 3 9 10" xfId="24374" xr:uid="{00000000-0005-0000-0000-0000072B0000}"/>
    <cellStyle name="Calculation 4 3 9 11" xfId="25373" xr:uid="{00000000-0005-0000-0000-0000082B0000}"/>
    <cellStyle name="Calculation 4 3 9 12" xfId="28318" xr:uid="{00000000-0005-0000-0000-0000092B0000}"/>
    <cellStyle name="Calculation 4 3 9 13" xfId="29287" xr:uid="{00000000-0005-0000-0000-00000A2B0000}"/>
    <cellStyle name="Calculation 4 3 9 14" xfId="30326" xr:uid="{00000000-0005-0000-0000-00000B2B0000}"/>
    <cellStyle name="Calculation 4 3 9 15" xfId="31319" xr:uid="{00000000-0005-0000-0000-00000C2B0000}"/>
    <cellStyle name="Calculation 4 3 9 16" xfId="32328" xr:uid="{00000000-0005-0000-0000-00000D2B0000}"/>
    <cellStyle name="Calculation 4 3 9 17" xfId="33331" xr:uid="{00000000-0005-0000-0000-00000E2B0000}"/>
    <cellStyle name="Calculation 4 3 9 18" xfId="34330" xr:uid="{00000000-0005-0000-0000-00000F2B0000}"/>
    <cellStyle name="Calculation 4 3 9 19" xfId="35951" xr:uid="{00000000-0005-0000-0000-0000102B0000}"/>
    <cellStyle name="Calculation 4 3 9 2" xfId="16354" xr:uid="{00000000-0005-0000-0000-0000112B0000}"/>
    <cellStyle name="Calculation 4 3 9 20" xfId="36890" xr:uid="{00000000-0005-0000-0000-0000122B0000}"/>
    <cellStyle name="Calculation 4 3 9 3" xfId="17332" xr:uid="{00000000-0005-0000-0000-0000132B0000}"/>
    <cellStyle name="Calculation 4 3 9 4" xfId="18360" xr:uid="{00000000-0005-0000-0000-0000142B0000}"/>
    <cellStyle name="Calculation 4 3 9 5" xfId="19392" xr:uid="{00000000-0005-0000-0000-0000152B0000}"/>
    <cellStyle name="Calculation 4 3 9 6" xfId="20414" xr:uid="{00000000-0005-0000-0000-0000162B0000}"/>
    <cellStyle name="Calculation 4 3 9 7" xfId="21423" xr:uid="{00000000-0005-0000-0000-0000172B0000}"/>
    <cellStyle name="Calculation 4 3 9 8" xfId="22397" xr:uid="{00000000-0005-0000-0000-0000182B0000}"/>
    <cellStyle name="Calculation 4 3 9 9" xfId="23402" xr:uid="{00000000-0005-0000-0000-0000192B0000}"/>
    <cellStyle name="Calculation 4 4" xfId="1111" xr:uid="{00000000-0005-0000-0000-00001A2B0000}"/>
    <cellStyle name="Calculation 4 4 10" xfId="14402" xr:uid="{00000000-0005-0000-0000-00001B2B0000}"/>
    <cellStyle name="Calculation 4 4 11" xfId="14229" xr:uid="{00000000-0005-0000-0000-00001C2B0000}"/>
    <cellStyle name="Calculation 4 4 12" xfId="14774" xr:uid="{00000000-0005-0000-0000-00001D2B0000}"/>
    <cellStyle name="Calculation 4 4 13" xfId="13416" xr:uid="{00000000-0005-0000-0000-00001E2B0000}"/>
    <cellStyle name="Calculation 4 4 14" xfId="14715" xr:uid="{00000000-0005-0000-0000-00001F2B0000}"/>
    <cellStyle name="Calculation 4 4 15" xfId="18929" xr:uid="{00000000-0005-0000-0000-0000202B0000}"/>
    <cellStyle name="Calculation 4 4 16" xfId="26515" xr:uid="{00000000-0005-0000-0000-0000212B0000}"/>
    <cellStyle name="Calculation 4 4 17" xfId="27053" xr:uid="{00000000-0005-0000-0000-0000222B0000}"/>
    <cellStyle name="Calculation 4 4 18" xfId="26584" xr:uid="{00000000-0005-0000-0000-0000232B0000}"/>
    <cellStyle name="Calculation 4 4 19" xfId="26231" xr:uid="{00000000-0005-0000-0000-0000242B0000}"/>
    <cellStyle name="Calculation 4 4 2" xfId="1112" xr:uid="{00000000-0005-0000-0000-0000252B0000}"/>
    <cellStyle name="Calculation 4 4 2 10" xfId="23403" xr:uid="{00000000-0005-0000-0000-0000262B0000}"/>
    <cellStyle name="Calculation 4 4 2 11" xfId="24375" xr:uid="{00000000-0005-0000-0000-0000272B0000}"/>
    <cellStyle name="Calculation 4 4 2 12" xfId="25374" xr:uid="{00000000-0005-0000-0000-0000282B0000}"/>
    <cellStyle name="Calculation 4 4 2 13" xfId="28319" xr:uid="{00000000-0005-0000-0000-0000292B0000}"/>
    <cellStyle name="Calculation 4 4 2 14" xfId="29288" xr:uid="{00000000-0005-0000-0000-00002A2B0000}"/>
    <cellStyle name="Calculation 4 4 2 15" xfId="30327" xr:uid="{00000000-0005-0000-0000-00002B2B0000}"/>
    <cellStyle name="Calculation 4 4 2 16" xfId="31320" xr:uid="{00000000-0005-0000-0000-00002C2B0000}"/>
    <cellStyle name="Calculation 4 4 2 17" xfId="32329" xr:uid="{00000000-0005-0000-0000-00002D2B0000}"/>
    <cellStyle name="Calculation 4 4 2 18" xfId="33332" xr:uid="{00000000-0005-0000-0000-00002E2B0000}"/>
    <cellStyle name="Calculation 4 4 2 19" xfId="34331" xr:uid="{00000000-0005-0000-0000-00002F2B0000}"/>
    <cellStyle name="Calculation 4 4 2 2" xfId="1113" xr:uid="{00000000-0005-0000-0000-0000302B0000}"/>
    <cellStyle name="Calculation 4 4 2 2 10" xfId="24376" xr:uid="{00000000-0005-0000-0000-0000312B0000}"/>
    <cellStyle name="Calculation 4 4 2 2 11" xfId="25375" xr:uid="{00000000-0005-0000-0000-0000322B0000}"/>
    <cellStyle name="Calculation 4 4 2 2 12" xfId="28320" xr:uid="{00000000-0005-0000-0000-0000332B0000}"/>
    <cellStyle name="Calculation 4 4 2 2 13" xfId="29289" xr:uid="{00000000-0005-0000-0000-0000342B0000}"/>
    <cellStyle name="Calculation 4 4 2 2 14" xfId="30328" xr:uid="{00000000-0005-0000-0000-0000352B0000}"/>
    <cellStyle name="Calculation 4 4 2 2 15" xfId="31321" xr:uid="{00000000-0005-0000-0000-0000362B0000}"/>
    <cellStyle name="Calculation 4 4 2 2 16" xfId="32330" xr:uid="{00000000-0005-0000-0000-0000372B0000}"/>
    <cellStyle name="Calculation 4 4 2 2 17" xfId="33333" xr:uid="{00000000-0005-0000-0000-0000382B0000}"/>
    <cellStyle name="Calculation 4 4 2 2 18" xfId="34332" xr:uid="{00000000-0005-0000-0000-0000392B0000}"/>
    <cellStyle name="Calculation 4 4 2 2 19" xfId="35953" xr:uid="{00000000-0005-0000-0000-00003A2B0000}"/>
    <cellStyle name="Calculation 4 4 2 2 2" xfId="16356" xr:uid="{00000000-0005-0000-0000-00003B2B0000}"/>
    <cellStyle name="Calculation 4 4 2 2 20" xfId="36892" xr:uid="{00000000-0005-0000-0000-00003C2B0000}"/>
    <cellStyle name="Calculation 4 4 2 2 3" xfId="17334" xr:uid="{00000000-0005-0000-0000-00003D2B0000}"/>
    <cellStyle name="Calculation 4 4 2 2 4" xfId="18362" xr:uid="{00000000-0005-0000-0000-00003E2B0000}"/>
    <cellStyle name="Calculation 4 4 2 2 5" xfId="19394" xr:uid="{00000000-0005-0000-0000-00003F2B0000}"/>
    <cellStyle name="Calculation 4 4 2 2 6" xfId="20416" xr:uid="{00000000-0005-0000-0000-0000402B0000}"/>
    <cellStyle name="Calculation 4 4 2 2 7" xfId="21425" xr:uid="{00000000-0005-0000-0000-0000412B0000}"/>
    <cellStyle name="Calculation 4 4 2 2 8" xfId="22399" xr:uid="{00000000-0005-0000-0000-0000422B0000}"/>
    <cellStyle name="Calculation 4 4 2 2 9" xfId="23404" xr:uid="{00000000-0005-0000-0000-0000432B0000}"/>
    <cellStyle name="Calculation 4 4 2 20" xfId="35952" xr:uid="{00000000-0005-0000-0000-0000442B0000}"/>
    <cellStyle name="Calculation 4 4 2 21" xfId="36891" xr:uid="{00000000-0005-0000-0000-0000452B0000}"/>
    <cellStyle name="Calculation 4 4 2 3" xfId="16355" xr:uid="{00000000-0005-0000-0000-0000462B0000}"/>
    <cellStyle name="Calculation 4 4 2 4" xfId="17333" xr:uid="{00000000-0005-0000-0000-0000472B0000}"/>
    <cellStyle name="Calculation 4 4 2 5" xfId="18361" xr:uid="{00000000-0005-0000-0000-0000482B0000}"/>
    <cellStyle name="Calculation 4 4 2 6" xfId="19393" xr:uid="{00000000-0005-0000-0000-0000492B0000}"/>
    <cellStyle name="Calculation 4 4 2 7" xfId="20415" xr:uid="{00000000-0005-0000-0000-00004A2B0000}"/>
    <cellStyle name="Calculation 4 4 2 8" xfId="21424" xr:uid="{00000000-0005-0000-0000-00004B2B0000}"/>
    <cellStyle name="Calculation 4 4 2 9" xfId="22398" xr:uid="{00000000-0005-0000-0000-00004C2B0000}"/>
    <cellStyle name="Calculation 4 4 20" xfId="27827" xr:uid="{00000000-0005-0000-0000-00004D2B0000}"/>
    <cellStyle name="Calculation 4 4 21" xfId="26962" xr:uid="{00000000-0005-0000-0000-00004E2B0000}"/>
    <cellStyle name="Calculation 4 4 22" xfId="27398" xr:uid="{00000000-0005-0000-0000-00004F2B0000}"/>
    <cellStyle name="Calculation 4 4 23" xfId="35186" xr:uid="{00000000-0005-0000-0000-0000502B0000}"/>
    <cellStyle name="Calculation 4 4 24" xfId="35391" xr:uid="{00000000-0005-0000-0000-0000512B0000}"/>
    <cellStyle name="Calculation 4 4 3" xfId="1114" xr:uid="{00000000-0005-0000-0000-0000522B0000}"/>
    <cellStyle name="Calculation 4 4 3 10" xfId="23405" xr:uid="{00000000-0005-0000-0000-0000532B0000}"/>
    <cellStyle name="Calculation 4 4 3 11" xfId="24377" xr:uid="{00000000-0005-0000-0000-0000542B0000}"/>
    <cellStyle name="Calculation 4 4 3 12" xfId="25376" xr:uid="{00000000-0005-0000-0000-0000552B0000}"/>
    <cellStyle name="Calculation 4 4 3 13" xfId="28321" xr:uid="{00000000-0005-0000-0000-0000562B0000}"/>
    <cellStyle name="Calculation 4 4 3 14" xfId="29290" xr:uid="{00000000-0005-0000-0000-0000572B0000}"/>
    <cellStyle name="Calculation 4 4 3 15" xfId="30329" xr:uid="{00000000-0005-0000-0000-0000582B0000}"/>
    <cellStyle name="Calculation 4 4 3 16" xfId="31322" xr:uid="{00000000-0005-0000-0000-0000592B0000}"/>
    <cellStyle name="Calculation 4 4 3 17" xfId="32331" xr:uid="{00000000-0005-0000-0000-00005A2B0000}"/>
    <cellStyle name="Calculation 4 4 3 18" xfId="33334" xr:uid="{00000000-0005-0000-0000-00005B2B0000}"/>
    <cellStyle name="Calculation 4 4 3 19" xfId="34333" xr:uid="{00000000-0005-0000-0000-00005C2B0000}"/>
    <cellStyle name="Calculation 4 4 3 2" xfId="1115" xr:uid="{00000000-0005-0000-0000-00005D2B0000}"/>
    <cellStyle name="Calculation 4 4 3 2 10" xfId="24378" xr:uid="{00000000-0005-0000-0000-00005E2B0000}"/>
    <cellStyle name="Calculation 4 4 3 2 11" xfId="25377" xr:uid="{00000000-0005-0000-0000-00005F2B0000}"/>
    <cellStyle name="Calculation 4 4 3 2 12" xfId="28322" xr:uid="{00000000-0005-0000-0000-0000602B0000}"/>
    <cellStyle name="Calculation 4 4 3 2 13" xfId="29291" xr:uid="{00000000-0005-0000-0000-0000612B0000}"/>
    <cellStyle name="Calculation 4 4 3 2 14" xfId="30330" xr:uid="{00000000-0005-0000-0000-0000622B0000}"/>
    <cellStyle name="Calculation 4 4 3 2 15" xfId="31323" xr:uid="{00000000-0005-0000-0000-0000632B0000}"/>
    <cellStyle name="Calculation 4 4 3 2 16" xfId="32332" xr:uid="{00000000-0005-0000-0000-0000642B0000}"/>
    <cellStyle name="Calculation 4 4 3 2 17" xfId="33335" xr:uid="{00000000-0005-0000-0000-0000652B0000}"/>
    <cellStyle name="Calculation 4 4 3 2 18" xfId="34334" xr:uid="{00000000-0005-0000-0000-0000662B0000}"/>
    <cellStyle name="Calculation 4 4 3 2 19" xfId="35955" xr:uid="{00000000-0005-0000-0000-0000672B0000}"/>
    <cellStyle name="Calculation 4 4 3 2 2" xfId="16358" xr:uid="{00000000-0005-0000-0000-0000682B0000}"/>
    <cellStyle name="Calculation 4 4 3 2 20" xfId="36894" xr:uid="{00000000-0005-0000-0000-0000692B0000}"/>
    <cellStyle name="Calculation 4 4 3 2 3" xfId="17336" xr:uid="{00000000-0005-0000-0000-00006A2B0000}"/>
    <cellStyle name="Calculation 4 4 3 2 4" xfId="18364" xr:uid="{00000000-0005-0000-0000-00006B2B0000}"/>
    <cellStyle name="Calculation 4 4 3 2 5" xfId="19396" xr:uid="{00000000-0005-0000-0000-00006C2B0000}"/>
    <cellStyle name="Calculation 4 4 3 2 6" xfId="20418" xr:uid="{00000000-0005-0000-0000-00006D2B0000}"/>
    <cellStyle name="Calculation 4 4 3 2 7" xfId="21427" xr:uid="{00000000-0005-0000-0000-00006E2B0000}"/>
    <cellStyle name="Calculation 4 4 3 2 8" xfId="22401" xr:uid="{00000000-0005-0000-0000-00006F2B0000}"/>
    <cellStyle name="Calculation 4 4 3 2 9" xfId="23406" xr:uid="{00000000-0005-0000-0000-0000702B0000}"/>
    <cellStyle name="Calculation 4 4 3 20" xfId="35954" xr:uid="{00000000-0005-0000-0000-0000712B0000}"/>
    <cellStyle name="Calculation 4 4 3 21" xfId="36893" xr:uid="{00000000-0005-0000-0000-0000722B0000}"/>
    <cellStyle name="Calculation 4 4 3 3" xfId="16357" xr:uid="{00000000-0005-0000-0000-0000732B0000}"/>
    <cellStyle name="Calculation 4 4 3 4" xfId="17335" xr:uid="{00000000-0005-0000-0000-0000742B0000}"/>
    <cellStyle name="Calculation 4 4 3 5" xfId="18363" xr:uid="{00000000-0005-0000-0000-0000752B0000}"/>
    <cellStyle name="Calculation 4 4 3 6" xfId="19395" xr:uid="{00000000-0005-0000-0000-0000762B0000}"/>
    <cellStyle name="Calculation 4 4 3 7" xfId="20417" xr:uid="{00000000-0005-0000-0000-0000772B0000}"/>
    <cellStyle name="Calculation 4 4 3 8" xfId="21426" xr:uid="{00000000-0005-0000-0000-0000782B0000}"/>
    <cellStyle name="Calculation 4 4 3 9" xfId="22400" xr:uid="{00000000-0005-0000-0000-0000792B0000}"/>
    <cellStyle name="Calculation 4 4 4" xfId="1116" xr:uid="{00000000-0005-0000-0000-00007A2B0000}"/>
    <cellStyle name="Calculation 4 4 4 10" xfId="23407" xr:uid="{00000000-0005-0000-0000-00007B2B0000}"/>
    <cellStyle name="Calculation 4 4 4 11" xfId="24379" xr:uid="{00000000-0005-0000-0000-00007C2B0000}"/>
    <cellStyle name="Calculation 4 4 4 12" xfId="25378" xr:uid="{00000000-0005-0000-0000-00007D2B0000}"/>
    <cellStyle name="Calculation 4 4 4 13" xfId="28323" xr:uid="{00000000-0005-0000-0000-00007E2B0000}"/>
    <cellStyle name="Calculation 4 4 4 14" xfId="29292" xr:uid="{00000000-0005-0000-0000-00007F2B0000}"/>
    <cellStyle name="Calculation 4 4 4 15" xfId="30331" xr:uid="{00000000-0005-0000-0000-0000802B0000}"/>
    <cellStyle name="Calculation 4 4 4 16" xfId="31324" xr:uid="{00000000-0005-0000-0000-0000812B0000}"/>
    <cellStyle name="Calculation 4 4 4 17" xfId="32333" xr:uid="{00000000-0005-0000-0000-0000822B0000}"/>
    <cellStyle name="Calculation 4 4 4 18" xfId="33336" xr:uid="{00000000-0005-0000-0000-0000832B0000}"/>
    <cellStyle name="Calculation 4 4 4 19" xfId="34335" xr:uid="{00000000-0005-0000-0000-0000842B0000}"/>
    <cellStyle name="Calculation 4 4 4 2" xfId="1117" xr:uid="{00000000-0005-0000-0000-0000852B0000}"/>
    <cellStyle name="Calculation 4 4 4 2 10" xfId="24380" xr:uid="{00000000-0005-0000-0000-0000862B0000}"/>
    <cellStyle name="Calculation 4 4 4 2 11" xfId="25379" xr:uid="{00000000-0005-0000-0000-0000872B0000}"/>
    <cellStyle name="Calculation 4 4 4 2 12" xfId="28324" xr:uid="{00000000-0005-0000-0000-0000882B0000}"/>
    <cellStyle name="Calculation 4 4 4 2 13" xfId="29293" xr:uid="{00000000-0005-0000-0000-0000892B0000}"/>
    <cellStyle name="Calculation 4 4 4 2 14" xfId="30332" xr:uid="{00000000-0005-0000-0000-00008A2B0000}"/>
    <cellStyle name="Calculation 4 4 4 2 15" xfId="31325" xr:uid="{00000000-0005-0000-0000-00008B2B0000}"/>
    <cellStyle name="Calculation 4 4 4 2 16" xfId="32334" xr:uid="{00000000-0005-0000-0000-00008C2B0000}"/>
    <cellStyle name="Calculation 4 4 4 2 17" xfId="33337" xr:uid="{00000000-0005-0000-0000-00008D2B0000}"/>
    <cellStyle name="Calculation 4 4 4 2 18" xfId="34336" xr:uid="{00000000-0005-0000-0000-00008E2B0000}"/>
    <cellStyle name="Calculation 4 4 4 2 19" xfId="35957" xr:uid="{00000000-0005-0000-0000-00008F2B0000}"/>
    <cellStyle name="Calculation 4 4 4 2 2" xfId="16360" xr:uid="{00000000-0005-0000-0000-0000902B0000}"/>
    <cellStyle name="Calculation 4 4 4 2 20" xfId="36896" xr:uid="{00000000-0005-0000-0000-0000912B0000}"/>
    <cellStyle name="Calculation 4 4 4 2 3" xfId="17338" xr:uid="{00000000-0005-0000-0000-0000922B0000}"/>
    <cellStyle name="Calculation 4 4 4 2 4" xfId="18366" xr:uid="{00000000-0005-0000-0000-0000932B0000}"/>
    <cellStyle name="Calculation 4 4 4 2 5" xfId="19398" xr:uid="{00000000-0005-0000-0000-0000942B0000}"/>
    <cellStyle name="Calculation 4 4 4 2 6" xfId="20420" xr:uid="{00000000-0005-0000-0000-0000952B0000}"/>
    <cellStyle name="Calculation 4 4 4 2 7" xfId="21429" xr:uid="{00000000-0005-0000-0000-0000962B0000}"/>
    <cellStyle name="Calculation 4 4 4 2 8" xfId="22403" xr:uid="{00000000-0005-0000-0000-0000972B0000}"/>
    <cellStyle name="Calculation 4 4 4 2 9" xfId="23408" xr:uid="{00000000-0005-0000-0000-0000982B0000}"/>
    <cellStyle name="Calculation 4 4 4 20" xfId="35956" xr:uid="{00000000-0005-0000-0000-0000992B0000}"/>
    <cellStyle name="Calculation 4 4 4 21" xfId="36895" xr:uid="{00000000-0005-0000-0000-00009A2B0000}"/>
    <cellStyle name="Calculation 4 4 4 3" xfId="16359" xr:uid="{00000000-0005-0000-0000-00009B2B0000}"/>
    <cellStyle name="Calculation 4 4 4 4" xfId="17337" xr:uid="{00000000-0005-0000-0000-00009C2B0000}"/>
    <cellStyle name="Calculation 4 4 4 5" xfId="18365" xr:uid="{00000000-0005-0000-0000-00009D2B0000}"/>
    <cellStyle name="Calculation 4 4 4 6" xfId="19397" xr:uid="{00000000-0005-0000-0000-00009E2B0000}"/>
    <cellStyle name="Calculation 4 4 4 7" xfId="20419" xr:uid="{00000000-0005-0000-0000-00009F2B0000}"/>
    <cellStyle name="Calculation 4 4 4 8" xfId="21428" xr:uid="{00000000-0005-0000-0000-0000A02B0000}"/>
    <cellStyle name="Calculation 4 4 4 9" xfId="22402" xr:uid="{00000000-0005-0000-0000-0000A12B0000}"/>
    <cellStyle name="Calculation 4 4 5" xfId="1118" xr:uid="{00000000-0005-0000-0000-0000A22B0000}"/>
    <cellStyle name="Calculation 4 4 5 10" xfId="24381" xr:uid="{00000000-0005-0000-0000-0000A32B0000}"/>
    <cellStyle name="Calculation 4 4 5 11" xfId="25380" xr:uid="{00000000-0005-0000-0000-0000A42B0000}"/>
    <cellStyle name="Calculation 4 4 5 12" xfId="28325" xr:uid="{00000000-0005-0000-0000-0000A52B0000}"/>
    <cellStyle name="Calculation 4 4 5 13" xfId="29294" xr:uid="{00000000-0005-0000-0000-0000A62B0000}"/>
    <cellStyle name="Calculation 4 4 5 14" xfId="30333" xr:uid="{00000000-0005-0000-0000-0000A72B0000}"/>
    <cellStyle name="Calculation 4 4 5 15" xfId="31326" xr:uid="{00000000-0005-0000-0000-0000A82B0000}"/>
    <cellStyle name="Calculation 4 4 5 16" xfId="32335" xr:uid="{00000000-0005-0000-0000-0000A92B0000}"/>
    <cellStyle name="Calculation 4 4 5 17" xfId="33338" xr:uid="{00000000-0005-0000-0000-0000AA2B0000}"/>
    <cellStyle name="Calculation 4 4 5 18" xfId="34337" xr:uid="{00000000-0005-0000-0000-0000AB2B0000}"/>
    <cellStyle name="Calculation 4 4 5 19" xfId="35958" xr:uid="{00000000-0005-0000-0000-0000AC2B0000}"/>
    <cellStyle name="Calculation 4 4 5 2" xfId="16361" xr:uid="{00000000-0005-0000-0000-0000AD2B0000}"/>
    <cellStyle name="Calculation 4 4 5 20" xfId="36897" xr:uid="{00000000-0005-0000-0000-0000AE2B0000}"/>
    <cellStyle name="Calculation 4 4 5 3" xfId="17339" xr:uid="{00000000-0005-0000-0000-0000AF2B0000}"/>
    <cellStyle name="Calculation 4 4 5 4" xfId="18367" xr:uid="{00000000-0005-0000-0000-0000B02B0000}"/>
    <cellStyle name="Calculation 4 4 5 5" xfId="19399" xr:uid="{00000000-0005-0000-0000-0000B12B0000}"/>
    <cellStyle name="Calculation 4 4 5 6" xfId="20421" xr:uid="{00000000-0005-0000-0000-0000B22B0000}"/>
    <cellStyle name="Calculation 4 4 5 7" xfId="21430" xr:uid="{00000000-0005-0000-0000-0000B32B0000}"/>
    <cellStyle name="Calculation 4 4 5 8" xfId="22404" xr:uid="{00000000-0005-0000-0000-0000B42B0000}"/>
    <cellStyle name="Calculation 4 4 5 9" xfId="23409" xr:uid="{00000000-0005-0000-0000-0000B52B0000}"/>
    <cellStyle name="Calculation 4 4 6" xfId="13954" xr:uid="{00000000-0005-0000-0000-0000B62B0000}"/>
    <cellStyle name="Calculation 4 4 7" xfId="15651" xr:uid="{00000000-0005-0000-0000-0000B72B0000}"/>
    <cellStyle name="Calculation 4 4 8" xfId="15428" xr:uid="{00000000-0005-0000-0000-0000B82B0000}"/>
    <cellStyle name="Calculation 4 4 9" xfId="15007" xr:uid="{00000000-0005-0000-0000-0000B92B0000}"/>
    <cellStyle name="Calculation 4 5" xfId="1119" xr:uid="{00000000-0005-0000-0000-0000BA2B0000}"/>
    <cellStyle name="Calculation 4 5 10" xfId="23410" xr:uid="{00000000-0005-0000-0000-0000BB2B0000}"/>
    <cellStyle name="Calculation 4 5 11" xfId="24382" xr:uid="{00000000-0005-0000-0000-0000BC2B0000}"/>
    <cellStyle name="Calculation 4 5 12" xfId="25381" xr:uid="{00000000-0005-0000-0000-0000BD2B0000}"/>
    <cellStyle name="Calculation 4 5 13" xfId="28326" xr:uid="{00000000-0005-0000-0000-0000BE2B0000}"/>
    <cellStyle name="Calculation 4 5 14" xfId="29295" xr:uid="{00000000-0005-0000-0000-0000BF2B0000}"/>
    <cellStyle name="Calculation 4 5 15" xfId="30334" xr:uid="{00000000-0005-0000-0000-0000C02B0000}"/>
    <cellStyle name="Calculation 4 5 16" xfId="31327" xr:uid="{00000000-0005-0000-0000-0000C12B0000}"/>
    <cellStyle name="Calculation 4 5 17" xfId="32336" xr:uid="{00000000-0005-0000-0000-0000C22B0000}"/>
    <cellStyle name="Calculation 4 5 18" xfId="33339" xr:uid="{00000000-0005-0000-0000-0000C32B0000}"/>
    <cellStyle name="Calculation 4 5 19" xfId="34338" xr:uid="{00000000-0005-0000-0000-0000C42B0000}"/>
    <cellStyle name="Calculation 4 5 2" xfId="1120" xr:uid="{00000000-0005-0000-0000-0000C52B0000}"/>
    <cellStyle name="Calculation 4 5 2 10" xfId="24383" xr:uid="{00000000-0005-0000-0000-0000C62B0000}"/>
    <cellStyle name="Calculation 4 5 2 11" xfId="25382" xr:uid="{00000000-0005-0000-0000-0000C72B0000}"/>
    <cellStyle name="Calculation 4 5 2 12" xfId="28327" xr:uid="{00000000-0005-0000-0000-0000C82B0000}"/>
    <cellStyle name="Calculation 4 5 2 13" xfId="29296" xr:uid="{00000000-0005-0000-0000-0000C92B0000}"/>
    <cellStyle name="Calculation 4 5 2 14" xfId="30335" xr:uid="{00000000-0005-0000-0000-0000CA2B0000}"/>
    <cellStyle name="Calculation 4 5 2 15" xfId="31328" xr:uid="{00000000-0005-0000-0000-0000CB2B0000}"/>
    <cellStyle name="Calculation 4 5 2 16" xfId="32337" xr:uid="{00000000-0005-0000-0000-0000CC2B0000}"/>
    <cellStyle name="Calculation 4 5 2 17" xfId="33340" xr:uid="{00000000-0005-0000-0000-0000CD2B0000}"/>
    <cellStyle name="Calculation 4 5 2 18" xfId="34339" xr:uid="{00000000-0005-0000-0000-0000CE2B0000}"/>
    <cellStyle name="Calculation 4 5 2 19" xfId="35960" xr:uid="{00000000-0005-0000-0000-0000CF2B0000}"/>
    <cellStyle name="Calculation 4 5 2 2" xfId="16363" xr:uid="{00000000-0005-0000-0000-0000D02B0000}"/>
    <cellStyle name="Calculation 4 5 2 20" xfId="36899" xr:uid="{00000000-0005-0000-0000-0000D12B0000}"/>
    <cellStyle name="Calculation 4 5 2 3" xfId="17341" xr:uid="{00000000-0005-0000-0000-0000D22B0000}"/>
    <cellStyle name="Calculation 4 5 2 4" xfId="18369" xr:uid="{00000000-0005-0000-0000-0000D32B0000}"/>
    <cellStyle name="Calculation 4 5 2 5" xfId="19401" xr:uid="{00000000-0005-0000-0000-0000D42B0000}"/>
    <cellStyle name="Calculation 4 5 2 6" xfId="20423" xr:uid="{00000000-0005-0000-0000-0000D52B0000}"/>
    <cellStyle name="Calculation 4 5 2 7" xfId="21432" xr:uid="{00000000-0005-0000-0000-0000D62B0000}"/>
    <cellStyle name="Calculation 4 5 2 8" xfId="22406" xr:uid="{00000000-0005-0000-0000-0000D72B0000}"/>
    <cellStyle name="Calculation 4 5 2 9" xfId="23411" xr:uid="{00000000-0005-0000-0000-0000D82B0000}"/>
    <cellStyle name="Calculation 4 5 20" xfId="35959" xr:uid="{00000000-0005-0000-0000-0000D92B0000}"/>
    <cellStyle name="Calculation 4 5 21" xfId="36898" xr:uid="{00000000-0005-0000-0000-0000DA2B0000}"/>
    <cellStyle name="Calculation 4 5 3" xfId="16362" xr:uid="{00000000-0005-0000-0000-0000DB2B0000}"/>
    <cellStyle name="Calculation 4 5 4" xfId="17340" xr:uid="{00000000-0005-0000-0000-0000DC2B0000}"/>
    <cellStyle name="Calculation 4 5 5" xfId="18368" xr:uid="{00000000-0005-0000-0000-0000DD2B0000}"/>
    <cellStyle name="Calculation 4 5 6" xfId="19400" xr:uid="{00000000-0005-0000-0000-0000DE2B0000}"/>
    <cellStyle name="Calculation 4 5 7" xfId="20422" xr:uid="{00000000-0005-0000-0000-0000DF2B0000}"/>
    <cellStyle name="Calculation 4 5 8" xfId="21431" xr:uid="{00000000-0005-0000-0000-0000E02B0000}"/>
    <cellStyle name="Calculation 4 5 9" xfId="22405" xr:uid="{00000000-0005-0000-0000-0000E12B0000}"/>
    <cellStyle name="Calculation 4 6" xfId="1121" xr:uid="{00000000-0005-0000-0000-0000E22B0000}"/>
    <cellStyle name="Calculation 4 6 10" xfId="23412" xr:uid="{00000000-0005-0000-0000-0000E32B0000}"/>
    <cellStyle name="Calculation 4 6 11" xfId="24384" xr:uid="{00000000-0005-0000-0000-0000E42B0000}"/>
    <cellStyle name="Calculation 4 6 12" xfId="25383" xr:uid="{00000000-0005-0000-0000-0000E52B0000}"/>
    <cellStyle name="Calculation 4 6 13" xfId="28328" xr:uid="{00000000-0005-0000-0000-0000E62B0000}"/>
    <cellStyle name="Calculation 4 6 14" xfId="29297" xr:uid="{00000000-0005-0000-0000-0000E72B0000}"/>
    <cellStyle name="Calculation 4 6 15" xfId="30336" xr:uid="{00000000-0005-0000-0000-0000E82B0000}"/>
    <cellStyle name="Calculation 4 6 16" xfId="31329" xr:uid="{00000000-0005-0000-0000-0000E92B0000}"/>
    <cellStyle name="Calculation 4 6 17" xfId="32338" xr:uid="{00000000-0005-0000-0000-0000EA2B0000}"/>
    <cellStyle name="Calculation 4 6 18" xfId="33341" xr:uid="{00000000-0005-0000-0000-0000EB2B0000}"/>
    <cellStyle name="Calculation 4 6 19" xfId="34340" xr:uid="{00000000-0005-0000-0000-0000EC2B0000}"/>
    <cellStyle name="Calculation 4 6 2" xfId="1122" xr:uid="{00000000-0005-0000-0000-0000ED2B0000}"/>
    <cellStyle name="Calculation 4 6 2 10" xfId="24385" xr:uid="{00000000-0005-0000-0000-0000EE2B0000}"/>
    <cellStyle name="Calculation 4 6 2 11" xfId="25384" xr:uid="{00000000-0005-0000-0000-0000EF2B0000}"/>
    <cellStyle name="Calculation 4 6 2 12" xfId="28329" xr:uid="{00000000-0005-0000-0000-0000F02B0000}"/>
    <cellStyle name="Calculation 4 6 2 13" xfId="29298" xr:uid="{00000000-0005-0000-0000-0000F12B0000}"/>
    <cellStyle name="Calculation 4 6 2 14" xfId="30337" xr:uid="{00000000-0005-0000-0000-0000F22B0000}"/>
    <cellStyle name="Calculation 4 6 2 15" xfId="31330" xr:uid="{00000000-0005-0000-0000-0000F32B0000}"/>
    <cellStyle name="Calculation 4 6 2 16" xfId="32339" xr:uid="{00000000-0005-0000-0000-0000F42B0000}"/>
    <cellStyle name="Calculation 4 6 2 17" xfId="33342" xr:uid="{00000000-0005-0000-0000-0000F52B0000}"/>
    <cellStyle name="Calculation 4 6 2 18" xfId="34341" xr:uid="{00000000-0005-0000-0000-0000F62B0000}"/>
    <cellStyle name="Calculation 4 6 2 19" xfId="35962" xr:uid="{00000000-0005-0000-0000-0000F72B0000}"/>
    <cellStyle name="Calculation 4 6 2 2" xfId="16365" xr:uid="{00000000-0005-0000-0000-0000F82B0000}"/>
    <cellStyle name="Calculation 4 6 2 20" xfId="36901" xr:uid="{00000000-0005-0000-0000-0000F92B0000}"/>
    <cellStyle name="Calculation 4 6 2 3" xfId="17343" xr:uid="{00000000-0005-0000-0000-0000FA2B0000}"/>
    <cellStyle name="Calculation 4 6 2 4" xfId="18371" xr:uid="{00000000-0005-0000-0000-0000FB2B0000}"/>
    <cellStyle name="Calculation 4 6 2 5" xfId="19403" xr:uid="{00000000-0005-0000-0000-0000FC2B0000}"/>
    <cellStyle name="Calculation 4 6 2 6" xfId="20425" xr:uid="{00000000-0005-0000-0000-0000FD2B0000}"/>
    <cellStyle name="Calculation 4 6 2 7" xfId="21434" xr:uid="{00000000-0005-0000-0000-0000FE2B0000}"/>
    <cellStyle name="Calculation 4 6 2 8" xfId="22408" xr:uid="{00000000-0005-0000-0000-0000FF2B0000}"/>
    <cellStyle name="Calculation 4 6 2 9" xfId="23413" xr:uid="{00000000-0005-0000-0000-0000002C0000}"/>
    <cellStyle name="Calculation 4 6 20" xfId="35961" xr:uid="{00000000-0005-0000-0000-0000012C0000}"/>
    <cellStyle name="Calculation 4 6 21" xfId="36900" xr:uid="{00000000-0005-0000-0000-0000022C0000}"/>
    <cellStyle name="Calculation 4 6 3" xfId="16364" xr:uid="{00000000-0005-0000-0000-0000032C0000}"/>
    <cellStyle name="Calculation 4 6 4" xfId="17342" xr:uid="{00000000-0005-0000-0000-0000042C0000}"/>
    <cellStyle name="Calculation 4 6 5" xfId="18370" xr:uid="{00000000-0005-0000-0000-0000052C0000}"/>
    <cellStyle name="Calculation 4 6 6" xfId="19402" xr:uid="{00000000-0005-0000-0000-0000062C0000}"/>
    <cellStyle name="Calculation 4 6 7" xfId="20424" xr:uid="{00000000-0005-0000-0000-0000072C0000}"/>
    <cellStyle name="Calculation 4 6 8" xfId="21433" xr:uid="{00000000-0005-0000-0000-0000082C0000}"/>
    <cellStyle name="Calculation 4 6 9" xfId="22407" xr:uid="{00000000-0005-0000-0000-0000092C0000}"/>
    <cellStyle name="Calculation 4 7" xfId="1123" xr:uid="{00000000-0005-0000-0000-00000A2C0000}"/>
    <cellStyle name="Calculation 4 7 10" xfId="23414" xr:uid="{00000000-0005-0000-0000-00000B2C0000}"/>
    <cellStyle name="Calculation 4 7 11" xfId="24386" xr:uid="{00000000-0005-0000-0000-00000C2C0000}"/>
    <cellStyle name="Calculation 4 7 12" xfId="25385" xr:uid="{00000000-0005-0000-0000-00000D2C0000}"/>
    <cellStyle name="Calculation 4 7 13" xfId="28330" xr:uid="{00000000-0005-0000-0000-00000E2C0000}"/>
    <cellStyle name="Calculation 4 7 14" xfId="29299" xr:uid="{00000000-0005-0000-0000-00000F2C0000}"/>
    <cellStyle name="Calculation 4 7 15" xfId="30338" xr:uid="{00000000-0005-0000-0000-0000102C0000}"/>
    <cellStyle name="Calculation 4 7 16" xfId="31331" xr:uid="{00000000-0005-0000-0000-0000112C0000}"/>
    <cellStyle name="Calculation 4 7 17" xfId="32340" xr:uid="{00000000-0005-0000-0000-0000122C0000}"/>
    <cellStyle name="Calculation 4 7 18" xfId="33343" xr:uid="{00000000-0005-0000-0000-0000132C0000}"/>
    <cellStyle name="Calculation 4 7 19" xfId="34342" xr:uid="{00000000-0005-0000-0000-0000142C0000}"/>
    <cellStyle name="Calculation 4 7 2" xfId="1124" xr:uid="{00000000-0005-0000-0000-0000152C0000}"/>
    <cellStyle name="Calculation 4 7 2 10" xfId="24387" xr:uid="{00000000-0005-0000-0000-0000162C0000}"/>
    <cellStyle name="Calculation 4 7 2 11" xfId="25386" xr:uid="{00000000-0005-0000-0000-0000172C0000}"/>
    <cellStyle name="Calculation 4 7 2 12" xfId="28331" xr:uid="{00000000-0005-0000-0000-0000182C0000}"/>
    <cellStyle name="Calculation 4 7 2 13" xfId="29300" xr:uid="{00000000-0005-0000-0000-0000192C0000}"/>
    <cellStyle name="Calculation 4 7 2 14" xfId="30339" xr:uid="{00000000-0005-0000-0000-00001A2C0000}"/>
    <cellStyle name="Calculation 4 7 2 15" xfId="31332" xr:uid="{00000000-0005-0000-0000-00001B2C0000}"/>
    <cellStyle name="Calculation 4 7 2 16" xfId="32341" xr:uid="{00000000-0005-0000-0000-00001C2C0000}"/>
    <cellStyle name="Calculation 4 7 2 17" xfId="33344" xr:uid="{00000000-0005-0000-0000-00001D2C0000}"/>
    <cellStyle name="Calculation 4 7 2 18" xfId="34343" xr:uid="{00000000-0005-0000-0000-00001E2C0000}"/>
    <cellStyle name="Calculation 4 7 2 19" xfId="35964" xr:uid="{00000000-0005-0000-0000-00001F2C0000}"/>
    <cellStyle name="Calculation 4 7 2 2" xfId="16367" xr:uid="{00000000-0005-0000-0000-0000202C0000}"/>
    <cellStyle name="Calculation 4 7 2 20" xfId="36903" xr:uid="{00000000-0005-0000-0000-0000212C0000}"/>
    <cellStyle name="Calculation 4 7 2 3" xfId="17345" xr:uid="{00000000-0005-0000-0000-0000222C0000}"/>
    <cellStyle name="Calculation 4 7 2 4" xfId="18373" xr:uid="{00000000-0005-0000-0000-0000232C0000}"/>
    <cellStyle name="Calculation 4 7 2 5" xfId="19405" xr:uid="{00000000-0005-0000-0000-0000242C0000}"/>
    <cellStyle name="Calculation 4 7 2 6" xfId="20427" xr:uid="{00000000-0005-0000-0000-0000252C0000}"/>
    <cellStyle name="Calculation 4 7 2 7" xfId="21436" xr:uid="{00000000-0005-0000-0000-0000262C0000}"/>
    <cellStyle name="Calculation 4 7 2 8" xfId="22410" xr:uid="{00000000-0005-0000-0000-0000272C0000}"/>
    <cellStyle name="Calculation 4 7 2 9" xfId="23415" xr:uid="{00000000-0005-0000-0000-0000282C0000}"/>
    <cellStyle name="Calculation 4 7 20" xfId="35963" xr:uid="{00000000-0005-0000-0000-0000292C0000}"/>
    <cellStyle name="Calculation 4 7 21" xfId="36902" xr:uid="{00000000-0005-0000-0000-00002A2C0000}"/>
    <cellStyle name="Calculation 4 7 3" xfId="16366" xr:uid="{00000000-0005-0000-0000-00002B2C0000}"/>
    <cellStyle name="Calculation 4 7 4" xfId="17344" xr:uid="{00000000-0005-0000-0000-00002C2C0000}"/>
    <cellStyle name="Calculation 4 7 5" xfId="18372" xr:uid="{00000000-0005-0000-0000-00002D2C0000}"/>
    <cellStyle name="Calculation 4 7 6" xfId="19404" xr:uid="{00000000-0005-0000-0000-00002E2C0000}"/>
    <cellStyle name="Calculation 4 7 7" xfId="20426" xr:uid="{00000000-0005-0000-0000-00002F2C0000}"/>
    <cellStyle name="Calculation 4 7 8" xfId="21435" xr:uid="{00000000-0005-0000-0000-0000302C0000}"/>
    <cellStyle name="Calculation 4 7 9" xfId="22409" xr:uid="{00000000-0005-0000-0000-0000312C0000}"/>
    <cellStyle name="Calculation 4 8" xfId="1125" xr:uid="{00000000-0005-0000-0000-0000322C0000}"/>
    <cellStyle name="Calculation 4 8 10" xfId="24388" xr:uid="{00000000-0005-0000-0000-0000332C0000}"/>
    <cellStyle name="Calculation 4 8 11" xfId="25387" xr:uid="{00000000-0005-0000-0000-0000342C0000}"/>
    <cellStyle name="Calculation 4 8 12" xfId="28332" xr:uid="{00000000-0005-0000-0000-0000352C0000}"/>
    <cellStyle name="Calculation 4 8 13" xfId="29301" xr:uid="{00000000-0005-0000-0000-0000362C0000}"/>
    <cellStyle name="Calculation 4 8 14" xfId="30340" xr:uid="{00000000-0005-0000-0000-0000372C0000}"/>
    <cellStyle name="Calculation 4 8 15" xfId="31333" xr:uid="{00000000-0005-0000-0000-0000382C0000}"/>
    <cellStyle name="Calculation 4 8 16" xfId="32342" xr:uid="{00000000-0005-0000-0000-0000392C0000}"/>
    <cellStyle name="Calculation 4 8 17" xfId="33345" xr:uid="{00000000-0005-0000-0000-00003A2C0000}"/>
    <cellStyle name="Calculation 4 8 18" xfId="34344" xr:uid="{00000000-0005-0000-0000-00003B2C0000}"/>
    <cellStyle name="Calculation 4 8 19" xfId="35965" xr:uid="{00000000-0005-0000-0000-00003C2C0000}"/>
    <cellStyle name="Calculation 4 8 2" xfId="16368" xr:uid="{00000000-0005-0000-0000-00003D2C0000}"/>
    <cellStyle name="Calculation 4 8 20" xfId="36904" xr:uid="{00000000-0005-0000-0000-00003E2C0000}"/>
    <cellStyle name="Calculation 4 8 3" xfId="17346" xr:uid="{00000000-0005-0000-0000-00003F2C0000}"/>
    <cellStyle name="Calculation 4 8 4" xfId="18374" xr:uid="{00000000-0005-0000-0000-0000402C0000}"/>
    <cellStyle name="Calculation 4 8 5" xfId="19406" xr:uid="{00000000-0005-0000-0000-0000412C0000}"/>
    <cellStyle name="Calculation 4 8 6" xfId="20428" xr:uid="{00000000-0005-0000-0000-0000422C0000}"/>
    <cellStyle name="Calculation 4 8 7" xfId="21437" xr:uid="{00000000-0005-0000-0000-0000432C0000}"/>
    <cellStyle name="Calculation 4 8 8" xfId="22411" xr:uid="{00000000-0005-0000-0000-0000442C0000}"/>
    <cellStyle name="Calculation 4 8 9" xfId="23416" xr:uid="{00000000-0005-0000-0000-0000452C0000}"/>
    <cellStyle name="Calculation 4 9" xfId="13409" xr:uid="{00000000-0005-0000-0000-0000462C0000}"/>
    <cellStyle name="Check Cell" xfId="13364" builtinId="23" customBuiltin="1"/>
    <cellStyle name="Check Cell 2" xfId="100" xr:uid="{00000000-0005-0000-0000-0000482C0000}"/>
    <cellStyle name="Check Cell 2 2" xfId="1126" xr:uid="{00000000-0005-0000-0000-0000492C0000}"/>
    <cellStyle name="Check Cell 2 2 2" xfId="1127" xr:uid="{00000000-0005-0000-0000-00004A2C0000}"/>
    <cellStyle name="Check Cell 2 3" xfId="1128" xr:uid="{00000000-0005-0000-0000-00004B2C0000}"/>
    <cellStyle name="Check Cell 2 4" xfId="1129" xr:uid="{00000000-0005-0000-0000-00004C2C0000}"/>
    <cellStyle name="Check Cell 3" xfId="99" xr:uid="{00000000-0005-0000-0000-00004D2C0000}"/>
    <cellStyle name="Check Cell 4" xfId="1130" xr:uid="{00000000-0005-0000-0000-00004E2C0000}"/>
    <cellStyle name="Color" xfId="1131" xr:uid="{00000000-0005-0000-0000-00004F2C0000}"/>
    <cellStyle name="combo" xfId="101" xr:uid="{00000000-0005-0000-0000-0000502C0000}"/>
    <cellStyle name="Comma" xfId="1" builtinId="3"/>
    <cellStyle name="Comma 10" xfId="103" xr:uid="{00000000-0005-0000-0000-0000522C0000}"/>
    <cellStyle name="Comma 10 2" xfId="1132" xr:uid="{00000000-0005-0000-0000-0000532C0000}"/>
    <cellStyle name="Comma 11" xfId="104" xr:uid="{00000000-0005-0000-0000-0000542C0000}"/>
    <cellStyle name="Comma 11 2" xfId="1133" xr:uid="{00000000-0005-0000-0000-0000552C0000}"/>
    <cellStyle name="Comma 11 2 2" xfId="1134" xr:uid="{00000000-0005-0000-0000-0000562C0000}"/>
    <cellStyle name="Comma 11 2 2 2" xfId="1135" xr:uid="{00000000-0005-0000-0000-0000572C0000}"/>
    <cellStyle name="Comma 11 2 2 2 2" xfId="1136" xr:uid="{00000000-0005-0000-0000-0000582C0000}"/>
    <cellStyle name="Comma 11 2 2 2 2 2" xfId="1137" xr:uid="{00000000-0005-0000-0000-0000592C0000}"/>
    <cellStyle name="Comma 11 2 2 2 2 2 2" xfId="1138" xr:uid="{00000000-0005-0000-0000-00005A2C0000}"/>
    <cellStyle name="Comma 11 2 2 2 2 2 3" xfId="1139" xr:uid="{00000000-0005-0000-0000-00005B2C0000}"/>
    <cellStyle name="Comma 11 2 2 2 2 3" xfId="1140" xr:uid="{00000000-0005-0000-0000-00005C2C0000}"/>
    <cellStyle name="Comma 11 2 2 2 2 3 2" xfId="1141" xr:uid="{00000000-0005-0000-0000-00005D2C0000}"/>
    <cellStyle name="Comma 11 2 2 2 2 3 3" xfId="1142" xr:uid="{00000000-0005-0000-0000-00005E2C0000}"/>
    <cellStyle name="Comma 11 2 2 2 2 4" xfId="1143" xr:uid="{00000000-0005-0000-0000-00005F2C0000}"/>
    <cellStyle name="Comma 11 2 2 2 2 5" xfId="1144" xr:uid="{00000000-0005-0000-0000-0000602C0000}"/>
    <cellStyle name="Comma 11 2 2 2 3" xfId="1145" xr:uid="{00000000-0005-0000-0000-0000612C0000}"/>
    <cellStyle name="Comma 11 2 2 2 3 2" xfId="1146" xr:uid="{00000000-0005-0000-0000-0000622C0000}"/>
    <cellStyle name="Comma 11 2 2 2 3 3" xfId="1147" xr:uid="{00000000-0005-0000-0000-0000632C0000}"/>
    <cellStyle name="Comma 11 2 2 2 4" xfId="1148" xr:uid="{00000000-0005-0000-0000-0000642C0000}"/>
    <cellStyle name="Comma 11 2 2 2 4 2" xfId="1149" xr:uid="{00000000-0005-0000-0000-0000652C0000}"/>
    <cellStyle name="Comma 11 2 2 2 4 3" xfId="1150" xr:uid="{00000000-0005-0000-0000-0000662C0000}"/>
    <cellStyle name="Comma 11 2 2 2 5" xfId="1151" xr:uid="{00000000-0005-0000-0000-0000672C0000}"/>
    <cellStyle name="Comma 11 2 2 2 6" xfId="1152" xr:uid="{00000000-0005-0000-0000-0000682C0000}"/>
    <cellStyle name="Comma 11 2 2 3" xfId="1153" xr:uid="{00000000-0005-0000-0000-0000692C0000}"/>
    <cellStyle name="Comma 11 2 2 3 2" xfId="1154" xr:uid="{00000000-0005-0000-0000-00006A2C0000}"/>
    <cellStyle name="Comma 11 2 2 3 2 2" xfId="1155" xr:uid="{00000000-0005-0000-0000-00006B2C0000}"/>
    <cellStyle name="Comma 11 2 2 3 2 3" xfId="1156" xr:uid="{00000000-0005-0000-0000-00006C2C0000}"/>
    <cellStyle name="Comma 11 2 2 3 3" xfId="1157" xr:uid="{00000000-0005-0000-0000-00006D2C0000}"/>
    <cellStyle name="Comma 11 2 2 3 3 2" xfId="1158" xr:uid="{00000000-0005-0000-0000-00006E2C0000}"/>
    <cellStyle name="Comma 11 2 2 3 3 3" xfId="1159" xr:uid="{00000000-0005-0000-0000-00006F2C0000}"/>
    <cellStyle name="Comma 11 2 2 3 4" xfId="1160" xr:uid="{00000000-0005-0000-0000-0000702C0000}"/>
    <cellStyle name="Comma 11 2 2 3 5" xfId="1161" xr:uid="{00000000-0005-0000-0000-0000712C0000}"/>
    <cellStyle name="Comma 11 2 2 4" xfId="1162" xr:uid="{00000000-0005-0000-0000-0000722C0000}"/>
    <cellStyle name="Comma 11 2 2 4 2" xfId="1163" xr:uid="{00000000-0005-0000-0000-0000732C0000}"/>
    <cellStyle name="Comma 11 2 2 4 3" xfId="1164" xr:uid="{00000000-0005-0000-0000-0000742C0000}"/>
    <cellStyle name="Comma 11 2 2 5" xfId="1165" xr:uid="{00000000-0005-0000-0000-0000752C0000}"/>
    <cellStyle name="Comma 11 2 2 5 2" xfId="1166" xr:uid="{00000000-0005-0000-0000-0000762C0000}"/>
    <cellStyle name="Comma 11 2 2 5 3" xfId="1167" xr:uid="{00000000-0005-0000-0000-0000772C0000}"/>
    <cellStyle name="Comma 11 2 2 6" xfId="1168" xr:uid="{00000000-0005-0000-0000-0000782C0000}"/>
    <cellStyle name="Comma 11 2 2 7" xfId="1169" xr:uid="{00000000-0005-0000-0000-0000792C0000}"/>
    <cellStyle name="Comma 11 2 3" xfId="1170" xr:uid="{00000000-0005-0000-0000-00007A2C0000}"/>
    <cellStyle name="Comma 11 2 3 2" xfId="1171" xr:uid="{00000000-0005-0000-0000-00007B2C0000}"/>
    <cellStyle name="Comma 11 2 3 2 2" xfId="1172" xr:uid="{00000000-0005-0000-0000-00007C2C0000}"/>
    <cellStyle name="Comma 11 2 3 2 2 2" xfId="1173" xr:uid="{00000000-0005-0000-0000-00007D2C0000}"/>
    <cellStyle name="Comma 11 2 3 2 2 3" xfId="1174" xr:uid="{00000000-0005-0000-0000-00007E2C0000}"/>
    <cellStyle name="Comma 11 2 3 2 3" xfId="1175" xr:uid="{00000000-0005-0000-0000-00007F2C0000}"/>
    <cellStyle name="Comma 11 2 3 2 3 2" xfId="1176" xr:uid="{00000000-0005-0000-0000-0000802C0000}"/>
    <cellStyle name="Comma 11 2 3 2 3 3" xfId="1177" xr:uid="{00000000-0005-0000-0000-0000812C0000}"/>
    <cellStyle name="Comma 11 2 3 2 4" xfId="1178" xr:uid="{00000000-0005-0000-0000-0000822C0000}"/>
    <cellStyle name="Comma 11 2 3 2 5" xfId="1179" xr:uid="{00000000-0005-0000-0000-0000832C0000}"/>
    <cellStyle name="Comma 11 2 3 3" xfId="1180" xr:uid="{00000000-0005-0000-0000-0000842C0000}"/>
    <cellStyle name="Comma 11 2 3 3 2" xfId="1181" xr:uid="{00000000-0005-0000-0000-0000852C0000}"/>
    <cellStyle name="Comma 11 2 3 3 3" xfId="1182" xr:uid="{00000000-0005-0000-0000-0000862C0000}"/>
    <cellStyle name="Comma 11 2 3 4" xfId="1183" xr:uid="{00000000-0005-0000-0000-0000872C0000}"/>
    <cellStyle name="Comma 11 2 3 4 2" xfId="1184" xr:uid="{00000000-0005-0000-0000-0000882C0000}"/>
    <cellStyle name="Comma 11 2 3 4 3" xfId="1185" xr:uid="{00000000-0005-0000-0000-0000892C0000}"/>
    <cellStyle name="Comma 11 2 3 5" xfId="1186" xr:uid="{00000000-0005-0000-0000-00008A2C0000}"/>
    <cellStyle name="Comma 11 2 3 6" xfId="1187" xr:uid="{00000000-0005-0000-0000-00008B2C0000}"/>
    <cellStyle name="Comma 11 2 4" xfId="1188" xr:uid="{00000000-0005-0000-0000-00008C2C0000}"/>
    <cellStyle name="Comma 11 2 4 2" xfId="1189" xr:uid="{00000000-0005-0000-0000-00008D2C0000}"/>
    <cellStyle name="Comma 11 2 4 2 2" xfId="1190" xr:uid="{00000000-0005-0000-0000-00008E2C0000}"/>
    <cellStyle name="Comma 11 2 4 2 3" xfId="1191" xr:uid="{00000000-0005-0000-0000-00008F2C0000}"/>
    <cellStyle name="Comma 11 2 4 3" xfId="1192" xr:uid="{00000000-0005-0000-0000-0000902C0000}"/>
    <cellStyle name="Comma 11 2 4 3 2" xfId="1193" xr:uid="{00000000-0005-0000-0000-0000912C0000}"/>
    <cellStyle name="Comma 11 2 4 3 3" xfId="1194" xr:uid="{00000000-0005-0000-0000-0000922C0000}"/>
    <cellStyle name="Comma 11 2 4 4" xfId="1195" xr:uid="{00000000-0005-0000-0000-0000932C0000}"/>
    <cellStyle name="Comma 11 2 4 5" xfId="1196" xr:uid="{00000000-0005-0000-0000-0000942C0000}"/>
    <cellStyle name="Comma 11 2 5" xfId="1197" xr:uid="{00000000-0005-0000-0000-0000952C0000}"/>
    <cellStyle name="Comma 11 2 5 2" xfId="1198" xr:uid="{00000000-0005-0000-0000-0000962C0000}"/>
    <cellStyle name="Comma 11 2 5 3" xfId="1199" xr:uid="{00000000-0005-0000-0000-0000972C0000}"/>
    <cellStyle name="Comma 11 2 6" xfId="1200" xr:uid="{00000000-0005-0000-0000-0000982C0000}"/>
    <cellStyle name="Comma 11 2 6 2" xfId="1201" xr:uid="{00000000-0005-0000-0000-0000992C0000}"/>
    <cellStyle name="Comma 11 2 6 3" xfId="1202" xr:uid="{00000000-0005-0000-0000-00009A2C0000}"/>
    <cellStyle name="Comma 11 2 7" xfId="1203" xr:uid="{00000000-0005-0000-0000-00009B2C0000}"/>
    <cellStyle name="Comma 11 2 8" xfId="1204" xr:uid="{00000000-0005-0000-0000-00009C2C0000}"/>
    <cellStyle name="Comma 11 3" xfId="1205" xr:uid="{00000000-0005-0000-0000-00009D2C0000}"/>
    <cellStyle name="Comma 11 3 2" xfId="1206" xr:uid="{00000000-0005-0000-0000-00009E2C0000}"/>
    <cellStyle name="Comma 11 3 2 2" xfId="1207" xr:uid="{00000000-0005-0000-0000-00009F2C0000}"/>
    <cellStyle name="Comma 11 3 2 2 2" xfId="1208" xr:uid="{00000000-0005-0000-0000-0000A02C0000}"/>
    <cellStyle name="Comma 11 3 2 2 2 2" xfId="1209" xr:uid="{00000000-0005-0000-0000-0000A12C0000}"/>
    <cellStyle name="Comma 11 3 2 2 2 3" xfId="1210" xr:uid="{00000000-0005-0000-0000-0000A22C0000}"/>
    <cellStyle name="Comma 11 3 2 2 3" xfId="1211" xr:uid="{00000000-0005-0000-0000-0000A32C0000}"/>
    <cellStyle name="Comma 11 3 2 2 3 2" xfId="1212" xr:uid="{00000000-0005-0000-0000-0000A42C0000}"/>
    <cellStyle name="Comma 11 3 2 2 3 3" xfId="1213" xr:uid="{00000000-0005-0000-0000-0000A52C0000}"/>
    <cellStyle name="Comma 11 3 2 2 4" xfId="1214" xr:uid="{00000000-0005-0000-0000-0000A62C0000}"/>
    <cellStyle name="Comma 11 3 2 2 5" xfId="1215" xr:uid="{00000000-0005-0000-0000-0000A72C0000}"/>
    <cellStyle name="Comma 11 3 2 3" xfId="1216" xr:uid="{00000000-0005-0000-0000-0000A82C0000}"/>
    <cellStyle name="Comma 11 3 2 3 2" xfId="1217" xr:uid="{00000000-0005-0000-0000-0000A92C0000}"/>
    <cellStyle name="Comma 11 3 2 3 3" xfId="1218" xr:uid="{00000000-0005-0000-0000-0000AA2C0000}"/>
    <cellStyle name="Comma 11 3 2 4" xfId="1219" xr:uid="{00000000-0005-0000-0000-0000AB2C0000}"/>
    <cellStyle name="Comma 11 3 2 4 2" xfId="1220" xr:uid="{00000000-0005-0000-0000-0000AC2C0000}"/>
    <cellStyle name="Comma 11 3 2 4 3" xfId="1221" xr:uid="{00000000-0005-0000-0000-0000AD2C0000}"/>
    <cellStyle name="Comma 11 3 2 5" xfId="1222" xr:uid="{00000000-0005-0000-0000-0000AE2C0000}"/>
    <cellStyle name="Comma 11 3 2 6" xfId="1223" xr:uid="{00000000-0005-0000-0000-0000AF2C0000}"/>
    <cellStyle name="Comma 11 3 3" xfId="1224" xr:uid="{00000000-0005-0000-0000-0000B02C0000}"/>
    <cellStyle name="Comma 11 3 3 2" xfId="1225" xr:uid="{00000000-0005-0000-0000-0000B12C0000}"/>
    <cellStyle name="Comma 11 3 3 2 2" xfId="1226" xr:uid="{00000000-0005-0000-0000-0000B22C0000}"/>
    <cellStyle name="Comma 11 3 3 2 3" xfId="1227" xr:uid="{00000000-0005-0000-0000-0000B32C0000}"/>
    <cellStyle name="Comma 11 3 3 3" xfId="1228" xr:uid="{00000000-0005-0000-0000-0000B42C0000}"/>
    <cellStyle name="Comma 11 3 3 3 2" xfId="1229" xr:uid="{00000000-0005-0000-0000-0000B52C0000}"/>
    <cellStyle name="Comma 11 3 3 3 3" xfId="1230" xr:uid="{00000000-0005-0000-0000-0000B62C0000}"/>
    <cellStyle name="Comma 11 3 3 4" xfId="1231" xr:uid="{00000000-0005-0000-0000-0000B72C0000}"/>
    <cellStyle name="Comma 11 3 3 5" xfId="1232" xr:uid="{00000000-0005-0000-0000-0000B82C0000}"/>
    <cellStyle name="Comma 11 3 4" xfId="1233" xr:uid="{00000000-0005-0000-0000-0000B92C0000}"/>
    <cellStyle name="Comma 11 3 4 2" xfId="1234" xr:uid="{00000000-0005-0000-0000-0000BA2C0000}"/>
    <cellStyle name="Comma 11 3 4 3" xfId="1235" xr:uid="{00000000-0005-0000-0000-0000BB2C0000}"/>
    <cellStyle name="Comma 11 3 5" xfId="1236" xr:uid="{00000000-0005-0000-0000-0000BC2C0000}"/>
    <cellStyle name="Comma 11 3 5 2" xfId="1237" xr:uid="{00000000-0005-0000-0000-0000BD2C0000}"/>
    <cellStyle name="Comma 11 3 5 3" xfId="1238" xr:uid="{00000000-0005-0000-0000-0000BE2C0000}"/>
    <cellStyle name="Comma 11 3 6" xfId="1239" xr:uid="{00000000-0005-0000-0000-0000BF2C0000}"/>
    <cellStyle name="Comma 11 3 7" xfId="1240" xr:uid="{00000000-0005-0000-0000-0000C02C0000}"/>
    <cellStyle name="Comma 11 4" xfId="1241" xr:uid="{00000000-0005-0000-0000-0000C12C0000}"/>
    <cellStyle name="Comma 11 4 2" xfId="1242" xr:uid="{00000000-0005-0000-0000-0000C22C0000}"/>
    <cellStyle name="Comma 11 4 2 2" xfId="1243" xr:uid="{00000000-0005-0000-0000-0000C32C0000}"/>
    <cellStyle name="Comma 11 4 2 2 2" xfId="1244" xr:uid="{00000000-0005-0000-0000-0000C42C0000}"/>
    <cellStyle name="Comma 11 4 2 2 3" xfId="1245" xr:uid="{00000000-0005-0000-0000-0000C52C0000}"/>
    <cellStyle name="Comma 11 4 2 3" xfId="1246" xr:uid="{00000000-0005-0000-0000-0000C62C0000}"/>
    <cellStyle name="Comma 11 4 2 3 2" xfId="1247" xr:uid="{00000000-0005-0000-0000-0000C72C0000}"/>
    <cellStyle name="Comma 11 4 2 3 3" xfId="1248" xr:uid="{00000000-0005-0000-0000-0000C82C0000}"/>
    <cellStyle name="Comma 11 4 2 4" xfId="1249" xr:uid="{00000000-0005-0000-0000-0000C92C0000}"/>
    <cellStyle name="Comma 11 4 2 5" xfId="1250" xr:uid="{00000000-0005-0000-0000-0000CA2C0000}"/>
    <cellStyle name="Comma 11 4 3" xfId="1251" xr:uid="{00000000-0005-0000-0000-0000CB2C0000}"/>
    <cellStyle name="Comma 11 4 3 2" xfId="1252" xr:uid="{00000000-0005-0000-0000-0000CC2C0000}"/>
    <cellStyle name="Comma 11 4 3 3" xfId="1253" xr:uid="{00000000-0005-0000-0000-0000CD2C0000}"/>
    <cellStyle name="Comma 11 4 4" xfId="1254" xr:uid="{00000000-0005-0000-0000-0000CE2C0000}"/>
    <cellStyle name="Comma 11 4 4 2" xfId="1255" xr:uid="{00000000-0005-0000-0000-0000CF2C0000}"/>
    <cellStyle name="Comma 11 4 4 3" xfId="1256" xr:uid="{00000000-0005-0000-0000-0000D02C0000}"/>
    <cellStyle name="Comma 11 4 5" xfId="1257" xr:uid="{00000000-0005-0000-0000-0000D12C0000}"/>
    <cellStyle name="Comma 11 4 6" xfId="1258" xr:uid="{00000000-0005-0000-0000-0000D22C0000}"/>
    <cellStyle name="Comma 11 5" xfId="1259" xr:uid="{00000000-0005-0000-0000-0000D32C0000}"/>
    <cellStyle name="Comma 11 5 2" xfId="1260" xr:uid="{00000000-0005-0000-0000-0000D42C0000}"/>
    <cellStyle name="Comma 11 5 2 2" xfId="1261" xr:uid="{00000000-0005-0000-0000-0000D52C0000}"/>
    <cellStyle name="Comma 11 5 2 3" xfId="1262" xr:uid="{00000000-0005-0000-0000-0000D62C0000}"/>
    <cellStyle name="Comma 11 5 3" xfId="1263" xr:uid="{00000000-0005-0000-0000-0000D72C0000}"/>
    <cellStyle name="Comma 11 5 3 2" xfId="1264" xr:uid="{00000000-0005-0000-0000-0000D82C0000}"/>
    <cellStyle name="Comma 11 5 3 3" xfId="1265" xr:uid="{00000000-0005-0000-0000-0000D92C0000}"/>
    <cellStyle name="Comma 11 5 4" xfId="1266" xr:uid="{00000000-0005-0000-0000-0000DA2C0000}"/>
    <cellStyle name="Comma 11 5 5" xfId="1267" xr:uid="{00000000-0005-0000-0000-0000DB2C0000}"/>
    <cellStyle name="Comma 11 6" xfId="1268" xr:uid="{00000000-0005-0000-0000-0000DC2C0000}"/>
    <cellStyle name="Comma 11 6 2" xfId="1269" xr:uid="{00000000-0005-0000-0000-0000DD2C0000}"/>
    <cellStyle name="Comma 11 6 3" xfId="1270" xr:uid="{00000000-0005-0000-0000-0000DE2C0000}"/>
    <cellStyle name="Comma 11 7" xfId="1271" xr:uid="{00000000-0005-0000-0000-0000DF2C0000}"/>
    <cellStyle name="Comma 11 7 2" xfId="1272" xr:uid="{00000000-0005-0000-0000-0000E02C0000}"/>
    <cellStyle name="Comma 11 7 3" xfId="1273" xr:uid="{00000000-0005-0000-0000-0000E12C0000}"/>
    <cellStyle name="Comma 11 8" xfId="1274" xr:uid="{00000000-0005-0000-0000-0000E22C0000}"/>
    <cellStyle name="Comma 11 9" xfId="1275" xr:uid="{00000000-0005-0000-0000-0000E32C0000}"/>
    <cellStyle name="Comma 12" xfId="102" xr:uid="{00000000-0005-0000-0000-0000E42C0000}"/>
    <cellStyle name="Comma 12 2" xfId="274" xr:uid="{00000000-0005-0000-0000-0000E52C0000}"/>
    <cellStyle name="Comma 12 2 2" xfId="1276" xr:uid="{00000000-0005-0000-0000-0000E62C0000}"/>
    <cellStyle name="Comma 12 2 2 2" xfId="1277" xr:uid="{00000000-0005-0000-0000-0000E72C0000}"/>
    <cellStyle name="Comma 12 2 2 2 2" xfId="1278" xr:uid="{00000000-0005-0000-0000-0000E82C0000}"/>
    <cellStyle name="Comma 12 2 2 2 2 2" xfId="1279" xr:uid="{00000000-0005-0000-0000-0000E92C0000}"/>
    <cellStyle name="Comma 12 2 2 2 2 3" xfId="1280" xr:uid="{00000000-0005-0000-0000-0000EA2C0000}"/>
    <cellStyle name="Comma 12 2 2 2 3" xfId="1281" xr:uid="{00000000-0005-0000-0000-0000EB2C0000}"/>
    <cellStyle name="Comma 12 2 2 2 3 2" xfId="1282" xr:uid="{00000000-0005-0000-0000-0000EC2C0000}"/>
    <cellStyle name="Comma 12 2 2 2 3 3" xfId="1283" xr:uid="{00000000-0005-0000-0000-0000ED2C0000}"/>
    <cellStyle name="Comma 12 2 2 2 4" xfId="1284" xr:uid="{00000000-0005-0000-0000-0000EE2C0000}"/>
    <cellStyle name="Comma 12 2 2 2 5" xfId="1285" xr:uid="{00000000-0005-0000-0000-0000EF2C0000}"/>
    <cellStyle name="Comma 12 2 2 3" xfId="1286" xr:uid="{00000000-0005-0000-0000-0000F02C0000}"/>
    <cellStyle name="Comma 12 2 2 3 2" xfId="1287" xr:uid="{00000000-0005-0000-0000-0000F12C0000}"/>
    <cellStyle name="Comma 12 2 2 3 3" xfId="1288" xr:uid="{00000000-0005-0000-0000-0000F22C0000}"/>
    <cellStyle name="Comma 12 2 2 4" xfId="1289" xr:uid="{00000000-0005-0000-0000-0000F32C0000}"/>
    <cellStyle name="Comma 12 2 2 4 2" xfId="1290" xr:uid="{00000000-0005-0000-0000-0000F42C0000}"/>
    <cellStyle name="Comma 12 2 2 4 3" xfId="1291" xr:uid="{00000000-0005-0000-0000-0000F52C0000}"/>
    <cellStyle name="Comma 12 2 2 5" xfId="1292" xr:uid="{00000000-0005-0000-0000-0000F62C0000}"/>
    <cellStyle name="Comma 12 2 2 6" xfId="1293" xr:uid="{00000000-0005-0000-0000-0000F72C0000}"/>
    <cellStyle name="Comma 12 2 3" xfId="1294" xr:uid="{00000000-0005-0000-0000-0000F82C0000}"/>
    <cellStyle name="Comma 12 2 3 2" xfId="1295" xr:uid="{00000000-0005-0000-0000-0000F92C0000}"/>
    <cellStyle name="Comma 12 2 3 2 2" xfId="1296" xr:uid="{00000000-0005-0000-0000-0000FA2C0000}"/>
    <cellStyle name="Comma 12 2 3 2 3" xfId="1297" xr:uid="{00000000-0005-0000-0000-0000FB2C0000}"/>
    <cellStyle name="Comma 12 2 3 3" xfId="1298" xr:uid="{00000000-0005-0000-0000-0000FC2C0000}"/>
    <cellStyle name="Comma 12 2 3 3 2" xfId="1299" xr:uid="{00000000-0005-0000-0000-0000FD2C0000}"/>
    <cellStyle name="Comma 12 2 3 3 3" xfId="1300" xr:uid="{00000000-0005-0000-0000-0000FE2C0000}"/>
    <cellStyle name="Comma 12 2 3 4" xfId="1301" xr:uid="{00000000-0005-0000-0000-0000FF2C0000}"/>
    <cellStyle name="Comma 12 2 3 5" xfId="1302" xr:uid="{00000000-0005-0000-0000-0000002D0000}"/>
    <cellStyle name="Comma 12 2 4" xfId="1303" xr:uid="{00000000-0005-0000-0000-0000012D0000}"/>
    <cellStyle name="Comma 12 2 4 2" xfId="1304" xr:uid="{00000000-0005-0000-0000-0000022D0000}"/>
    <cellStyle name="Comma 12 2 4 3" xfId="1305" xr:uid="{00000000-0005-0000-0000-0000032D0000}"/>
    <cellStyle name="Comma 12 2 5" xfId="1306" xr:uid="{00000000-0005-0000-0000-0000042D0000}"/>
    <cellStyle name="Comma 12 2 5 2" xfId="1307" xr:uid="{00000000-0005-0000-0000-0000052D0000}"/>
    <cellStyle name="Comma 12 2 5 3" xfId="1308" xr:uid="{00000000-0005-0000-0000-0000062D0000}"/>
    <cellStyle name="Comma 12 2 6" xfId="1309" xr:uid="{00000000-0005-0000-0000-0000072D0000}"/>
    <cellStyle name="Comma 12 2 7" xfId="1310" xr:uid="{00000000-0005-0000-0000-0000082D0000}"/>
    <cellStyle name="Comma 12 3" xfId="279" xr:uid="{00000000-0005-0000-0000-0000092D0000}"/>
    <cellStyle name="Comma 12 4" xfId="1311" xr:uid="{00000000-0005-0000-0000-00000A2D0000}"/>
    <cellStyle name="Comma 12 5" xfId="1312" xr:uid="{00000000-0005-0000-0000-00000B2D0000}"/>
    <cellStyle name="Comma 12 6" xfId="1313" xr:uid="{00000000-0005-0000-0000-00000C2D0000}"/>
    <cellStyle name="Comma 13" xfId="280" xr:uid="{00000000-0005-0000-0000-00000D2D0000}"/>
    <cellStyle name="Comma 13 2" xfId="1314" xr:uid="{00000000-0005-0000-0000-00000E2D0000}"/>
    <cellStyle name="Comma 13 2 2" xfId="1315" xr:uid="{00000000-0005-0000-0000-00000F2D0000}"/>
    <cellStyle name="Comma 13 2 2 2" xfId="1316" xr:uid="{00000000-0005-0000-0000-0000102D0000}"/>
    <cellStyle name="Comma 13 2 2 2 2" xfId="1317" xr:uid="{00000000-0005-0000-0000-0000112D0000}"/>
    <cellStyle name="Comma 13 2 2 2 2 2" xfId="1318" xr:uid="{00000000-0005-0000-0000-0000122D0000}"/>
    <cellStyle name="Comma 13 2 2 2 2 3" xfId="1319" xr:uid="{00000000-0005-0000-0000-0000132D0000}"/>
    <cellStyle name="Comma 13 2 2 2 3" xfId="1320" xr:uid="{00000000-0005-0000-0000-0000142D0000}"/>
    <cellStyle name="Comma 13 2 2 2 3 2" xfId="1321" xr:uid="{00000000-0005-0000-0000-0000152D0000}"/>
    <cellStyle name="Comma 13 2 2 2 3 3" xfId="1322" xr:uid="{00000000-0005-0000-0000-0000162D0000}"/>
    <cellStyle name="Comma 13 2 2 2 4" xfId="1323" xr:uid="{00000000-0005-0000-0000-0000172D0000}"/>
    <cellStyle name="Comma 13 2 2 2 5" xfId="1324" xr:uid="{00000000-0005-0000-0000-0000182D0000}"/>
    <cellStyle name="Comma 13 2 2 3" xfId="1325" xr:uid="{00000000-0005-0000-0000-0000192D0000}"/>
    <cellStyle name="Comma 13 2 2 3 2" xfId="1326" xr:uid="{00000000-0005-0000-0000-00001A2D0000}"/>
    <cellStyle name="Comma 13 2 2 3 3" xfId="1327" xr:uid="{00000000-0005-0000-0000-00001B2D0000}"/>
    <cellStyle name="Comma 13 2 2 4" xfId="1328" xr:uid="{00000000-0005-0000-0000-00001C2D0000}"/>
    <cellStyle name="Comma 13 2 2 4 2" xfId="1329" xr:uid="{00000000-0005-0000-0000-00001D2D0000}"/>
    <cellStyle name="Comma 13 2 2 4 3" xfId="1330" xr:uid="{00000000-0005-0000-0000-00001E2D0000}"/>
    <cellStyle name="Comma 13 2 2 5" xfId="1331" xr:uid="{00000000-0005-0000-0000-00001F2D0000}"/>
    <cellStyle name="Comma 13 2 2 6" xfId="1332" xr:uid="{00000000-0005-0000-0000-0000202D0000}"/>
    <cellStyle name="Comma 13 2 3" xfId="1333" xr:uid="{00000000-0005-0000-0000-0000212D0000}"/>
    <cellStyle name="Comma 13 2 3 2" xfId="1334" xr:uid="{00000000-0005-0000-0000-0000222D0000}"/>
    <cellStyle name="Comma 13 2 3 2 2" xfId="1335" xr:uid="{00000000-0005-0000-0000-0000232D0000}"/>
    <cellStyle name="Comma 13 2 3 2 3" xfId="1336" xr:uid="{00000000-0005-0000-0000-0000242D0000}"/>
    <cellStyle name="Comma 13 2 3 3" xfId="1337" xr:uid="{00000000-0005-0000-0000-0000252D0000}"/>
    <cellStyle name="Comma 13 2 3 3 2" xfId="1338" xr:uid="{00000000-0005-0000-0000-0000262D0000}"/>
    <cellStyle name="Comma 13 2 3 3 3" xfId="1339" xr:uid="{00000000-0005-0000-0000-0000272D0000}"/>
    <cellStyle name="Comma 13 2 3 4" xfId="1340" xr:uid="{00000000-0005-0000-0000-0000282D0000}"/>
    <cellStyle name="Comma 13 2 3 5" xfId="1341" xr:uid="{00000000-0005-0000-0000-0000292D0000}"/>
    <cellStyle name="Comma 13 2 4" xfId="1342" xr:uid="{00000000-0005-0000-0000-00002A2D0000}"/>
    <cellStyle name="Comma 13 2 4 2" xfId="1343" xr:uid="{00000000-0005-0000-0000-00002B2D0000}"/>
    <cellStyle name="Comma 13 2 4 3" xfId="1344" xr:uid="{00000000-0005-0000-0000-00002C2D0000}"/>
    <cellStyle name="Comma 13 2 5" xfId="1345" xr:uid="{00000000-0005-0000-0000-00002D2D0000}"/>
    <cellStyle name="Comma 13 2 5 2" xfId="1346" xr:uid="{00000000-0005-0000-0000-00002E2D0000}"/>
    <cellStyle name="Comma 13 2 5 3" xfId="1347" xr:uid="{00000000-0005-0000-0000-00002F2D0000}"/>
    <cellStyle name="Comma 13 2 6" xfId="1348" xr:uid="{00000000-0005-0000-0000-0000302D0000}"/>
    <cellStyle name="Comma 13 2 7" xfId="1349" xr:uid="{00000000-0005-0000-0000-0000312D0000}"/>
    <cellStyle name="Comma 13 3" xfId="1350" xr:uid="{00000000-0005-0000-0000-0000322D0000}"/>
    <cellStyle name="Comma 13 3 2" xfId="1351" xr:uid="{00000000-0005-0000-0000-0000332D0000}"/>
    <cellStyle name="Comma 13 3 2 2" xfId="1352" xr:uid="{00000000-0005-0000-0000-0000342D0000}"/>
    <cellStyle name="Comma 13 3 2 2 2" xfId="1353" xr:uid="{00000000-0005-0000-0000-0000352D0000}"/>
    <cellStyle name="Comma 13 3 2 2 3" xfId="1354" xr:uid="{00000000-0005-0000-0000-0000362D0000}"/>
    <cellStyle name="Comma 13 3 2 3" xfId="1355" xr:uid="{00000000-0005-0000-0000-0000372D0000}"/>
    <cellStyle name="Comma 13 3 2 3 2" xfId="1356" xr:uid="{00000000-0005-0000-0000-0000382D0000}"/>
    <cellStyle name="Comma 13 3 2 3 3" xfId="1357" xr:uid="{00000000-0005-0000-0000-0000392D0000}"/>
    <cellStyle name="Comma 13 3 2 4" xfId="1358" xr:uid="{00000000-0005-0000-0000-00003A2D0000}"/>
    <cellStyle name="Comma 13 3 2 5" xfId="1359" xr:uid="{00000000-0005-0000-0000-00003B2D0000}"/>
    <cellStyle name="Comma 13 3 3" xfId="1360" xr:uid="{00000000-0005-0000-0000-00003C2D0000}"/>
    <cellStyle name="Comma 13 3 3 2" xfId="1361" xr:uid="{00000000-0005-0000-0000-00003D2D0000}"/>
    <cellStyle name="Comma 13 3 3 3" xfId="1362" xr:uid="{00000000-0005-0000-0000-00003E2D0000}"/>
    <cellStyle name="Comma 13 3 4" xfId="1363" xr:uid="{00000000-0005-0000-0000-00003F2D0000}"/>
    <cellStyle name="Comma 13 3 4 2" xfId="1364" xr:uid="{00000000-0005-0000-0000-0000402D0000}"/>
    <cellStyle name="Comma 13 3 4 3" xfId="1365" xr:uid="{00000000-0005-0000-0000-0000412D0000}"/>
    <cellStyle name="Comma 13 3 5" xfId="1366" xr:uid="{00000000-0005-0000-0000-0000422D0000}"/>
    <cellStyle name="Comma 13 3 6" xfId="1367" xr:uid="{00000000-0005-0000-0000-0000432D0000}"/>
    <cellStyle name="Comma 13 4" xfId="1368" xr:uid="{00000000-0005-0000-0000-0000442D0000}"/>
    <cellStyle name="Comma 13 4 2" xfId="1369" xr:uid="{00000000-0005-0000-0000-0000452D0000}"/>
    <cellStyle name="Comma 13 4 2 2" xfId="1370" xr:uid="{00000000-0005-0000-0000-0000462D0000}"/>
    <cellStyle name="Comma 13 4 2 3" xfId="1371" xr:uid="{00000000-0005-0000-0000-0000472D0000}"/>
    <cellStyle name="Comma 13 4 3" xfId="1372" xr:uid="{00000000-0005-0000-0000-0000482D0000}"/>
    <cellStyle name="Comma 13 4 3 2" xfId="1373" xr:uid="{00000000-0005-0000-0000-0000492D0000}"/>
    <cellStyle name="Comma 13 4 3 3" xfId="1374" xr:uid="{00000000-0005-0000-0000-00004A2D0000}"/>
    <cellStyle name="Comma 13 4 4" xfId="1375" xr:uid="{00000000-0005-0000-0000-00004B2D0000}"/>
    <cellStyle name="Comma 13 4 5" xfId="1376" xr:uid="{00000000-0005-0000-0000-00004C2D0000}"/>
    <cellStyle name="Comma 13 5" xfId="1377" xr:uid="{00000000-0005-0000-0000-00004D2D0000}"/>
    <cellStyle name="Comma 13 5 2" xfId="1378" xr:uid="{00000000-0005-0000-0000-00004E2D0000}"/>
    <cellStyle name="Comma 13 5 3" xfId="1379" xr:uid="{00000000-0005-0000-0000-00004F2D0000}"/>
    <cellStyle name="Comma 13 6" xfId="1380" xr:uid="{00000000-0005-0000-0000-0000502D0000}"/>
    <cellStyle name="Comma 13 6 2" xfId="1381" xr:uid="{00000000-0005-0000-0000-0000512D0000}"/>
    <cellStyle name="Comma 13 6 3" xfId="1382" xr:uid="{00000000-0005-0000-0000-0000522D0000}"/>
    <cellStyle name="Comma 13 7" xfId="1383" xr:uid="{00000000-0005-0000-0000-0000532D0000}"/>
    <cellStyle name="Comma 13 8" xfId="1384" xr:uid="{00000000-0005-0000-0000-0000542D0000}"/>
    <cellStyle name="Comma 14" xfId="281" xr:uid="{00000000-0005-0000-0000-0000552D0000}"/>
    <cellStyle name="Comma 14 2" xfId="1385" xr:uid="{00000000-0005-0000-0000-0000562D0000}"/>
    <cellStyle name="Comma 15" xfId="282" xr:uid="{00000000-0005-0000-0000-0000572D0000}"/>
    <cellStyle name="Comma 15 2" xfId="1386" xr:uid="{00000000-0005-0000-0000-0000582D0000}"/>
    <cellStyle name="Comma 15 2 2" xfId="1387" xr:uid="{00000000-0005-0000-0000-0000592D0000}"/>
    <cellStyle name="Comma 15 3" xfId="1388" xr:uid="{00000000-0005-0000-0000-00005A2D0000}"/>
    <cellStyle name="Comma 15 4" xfId="1389" xr:uid="{00000000-0005-0000-0000-00005B2D0000}"/>
    <cellStyle name="Comma 16" xfId="283" xr:uid="{00000000-0005-0000-0000-00005C2D0000}"/>
    <cellStyle name="Comma 16 2" xfId="1390" xr:uid="{00000000-0005-0000-0000-00005D2D0000}"/>
    <cellStyle name="Comma 16 2 2" xfId="1391" xr:uid="{00000000-0005-0000-0000-00005E2D0000}"/>
    <cellStyle name="Comma 16 2 2 2" xfId="1392" xr:uid="{00000000-0005-0000-0000-00005F2D0000}"/>
    <cellStyle name="Comma 16 2 2 3" xfId="1393" xr:uid="{00000000-0005-0000-0000-0000602D0000}"/>
    <cellStyle name="Comma 16 2 3" xfId="1394" xr:uid="{00000000-0005-0000-0000-0000612D0000}"/>
    <cellStyle name="Comma 16 2 3 2" xfId="1395" xr:uid="{00000000-0005-0000-0000-0000622D0000}"/>
    <cellStyle name="Comma 16 2 3 3" xfId="1396" xr:uid="{00000000-0005-0000-0000-0000632D0000}"/>
    <cellStyle name="Comma 16 2 4" xfId="1397" xr:uid="{00000000-0005-0000-0000-0000642D0000}"/>
    <cellStyle name="Comma 16 2 5" xfId="1398" xr:uid="{00000000-0005-0000-0000-0000652D0000}"/>
    <cellStyle name="Comma 16 3" xfId="1399" xr:uid="{00000000-0005-0000-0000-0000662D0000}"/>
    <cellStyle name="Comma 16 3 2" xfId="1400" xr:uid="{00000000-0005-0000-0000-0000672D0000}"/>
    <cellStyle name="Comma 16 3 3" xfId="1401" xr:uid="{00000000-0005-0000-0000-0000682D0000}"/>
    <cellStyle name="Comma 16 4" xfId="1402" xr:uid="{00000000-0005-0000-0000-0000692D0000}"/>
    <cellStyle name="Comma 16 4 2" xfId="1403" xr:uid="{00000000-0005-0000-0000-00006A2D0000}"/>
    <cellStyle name="Comma 16 4 3" xfId="1404" xr:uid="{00000000-0005-0000-0000-00006B2D0000}"/>
    <cellStyle name="Comma 16 5" xfId="1405" xr:uid="{00000000-0005-0000-0000-00006C2D0000}"/>
    <cellStyle name="Comma 16 6" xfId="1406" xr:uid="{00000000-0005-0000-0000-00006D2D0000}"/>
    <cellStyle name="Comma 17" xfId="315" xr:uid="{00000000-0005-0000-0000-00006E2D0000}"/>
    <cellStyle name="Comma 17 2" xfId="1407" xr:uid="{00000000-0005-0000-0000-00006F2D0000}"/>
    <cellStyle name="Comma 17 2 2" xfId="1408" xr:uid="{00000000-0005-0000-0000-0000702D0000}"/>
    <cellStyle name="Comma 17 3" xfId="1409" xr:uid="{00000000-0005-0000-0000-0000712D0000}"/>
    <cellStyle name="Comma 17 4" xfId="1410" xr:uid="{00000000-0005-0000-0000-0000722D0000}"/>
    <cellStyle name="Comma 17 5" xfId="1411" xr:uid="{00000000-0005-0000-0000-0000732D0000}"/>
    <cellStyle name="Comma 18" xfId="316" xr:uid="{00000000-0005-0000-0000-0000742D0000}"/>
    <cellStyle name="Comma 18 2" xfId="367" xr:uid="{00000000-0005-0000-0000-0000752D0000}"/>
    <cellStyle name="Comma 18 2 2" xfId="1412" xr:uid="{00000000-0005-0000-0000-0000762D0000}"/>
    <cellStyle name="Comma 18 3" xfId="1413" xr:uid="{00000000-0005-0000-0000-0000772D0000}"/>
    <cellStyle name="Comma 18 4" xfId="1414" xr:uid="{00000000-0005-0000-0000-0000782D0000}"/>
    <cellStyle name="Comma 18 5" xfId="1415" xr:uid="{00000000-0005-0000-0000-0000792D0000}"/>
    <cellStyle name="Comma 19" xfId="317" xr:uid="{00000000-0005-0000-0000-00007A2D0000}"/>
    <cellStyle name="Comma 19 2" xfId="1416" xr:uid="{00000000-0005-0000-0000-00007B2D0000}"/>
    <cellStyle name="Comma 19 3" xfId="1417" xr:uid="{00000000-0005-0000-0000-00007C2D0000}"/>
    <cellStyle name="Comma 19 4" xfId="1418" xr:uid="{00000000-0005-0000-0000-00007D2D0000}"/>
    <cellStyle name="Comma 19 5" xfId="1419" xr:uid="{00000000-0005-0000-0000-00007E2D0000}"/>
    <cellStyle name="Comma 2" xfId="5" xr:uid="{00000000-0005-0000-0000-00007F2D0000}"/>
    <cellStyle name="Comma 2 2" xfId="6" xr:uid="{00000000-0005-0000-0000-0000802D0000}"/>
    <cellStyle name="Comma 2 2 2" xfId="318" xr:uid="{00000000-0005-0000-0000-0000812D0000}"/>
    <cellStyle name="Comma 2 2 2 2" xfId="1420" xr:uid="{00000000-0005-0000-0000-0000822D0000}"/>
    <cellStyle name="Comma 2 2 2 2 2" xfId="1421" xr:uid="{00000000-0005-0000-0000-0000832D0000}"/>
    <cellStyle name="Comma 2 2 2 2 3" xfId="1422" xr:uid="{00000000-0005-0000-0000-0000842D0000}"/>
    <cellStyle name="Comma 2 2 3" xfId="1423" xr:uid="{00000000-0005-0000-0000-0000852D0000}"/>
    <cellStyle name="Comma 2 2 3 2" xfId="1424" xr:uid="{00000000-0005-0000-0000-0000862D0000}"/>
    <cellStyle name="Comma 2 2 3 3" xfId="1425" xr:uid="{00000000-0005-0000-0000-0000872D0000}"/>
    <cellStyle name="Comma 2 2 4" xfId="1426" xr:uid="{00000000-0005-0000-0000-0000882D0000}"/>
    <cellStyle name="Comma 2 3" xfId="105" xr:uid="{00000000-0005-0000-0000-0000892D0000}"/>
    <cellStyle name="Comma 2 3 2" xfId="1427" xr:uid="{00000000-0005-0000-0000-00008A2D0000}"/>
    <cellStyle name="Comma 2 4" xfId="319" xr:uid="{00000000-0005-0000-0000-00008B2D0000}"/>
    <cellStyle name="Comma 2 4 2" xfId="1428" xr:uid="{00000000-0005-0000-0000-00008C2D0000}"/>
    <cellStyle name="Comma 2 4 2 2" xfId="1429" xr:uid="{00000000-0005-0000-0000-00008D2D0000}"/>
    <cellStyle name="Comma 2 4 2 2 2" xfId="34925" xr:uid="{00000000-0005-0000-0000-00008E2D0000}"/>
    <cellStyle name="Comma 2 4 3" xfId="1430" xr:uid="{00000000-0005-0000-0000-00008F2D0000}"/>
    <cellStyle name="Comma 2 4 4" xfId="1431" xr:uid="{00000000-0005-0000-0000-0000902D0000}"/>
    <cellStyle name="Comma 2 4 5" xfId="1432" xr:uid="{00000000-0005-0000-0000-0000912D0000}"/>
    <cellStyle name="Comma 2 4 6" xfId="1433" xr:uid="{00000000-0005-0000-0000-0000922D0000}"/>
    <cellStyle name="Comma 2 5" xfId="1434" xr:uid="{00000000-0005-0000-0000-0000932D0000}"/>
    <cellStyle name="Comma 2 5 2" xfId="1435" xr:uid="{00000000-0005-0000-0000-0000942D0000}"/>
    <cellStyle name="Comma 2 5 3" xfId="1436" xr:uid="{00000000-0005-0000-0000-0000952D0000}"/>
    <cellStyle name="Comma 2 6" xfId="7" xr:uid="{00000000-0005-0000-0000-0000962D0000}"/>
    <cellStyle name="Comma 2 6 2" xfId="8" xr:uid="{00000000-0005-0000-0000-0000972D0000}"/>
    <cellStyle name="Comma 2 6 2 2" xfId="1437" xr:uid="{00000000-0005-0000-0000-0000982D0000}"/>
    <cellStyle name="Comma 2 6 3" xfId="1438" xr:uid="{00000000-0005-0000-0000-0000992D0000}"/>
    <cellStyle name="Comma 2 6 3 2" xfId="1439" xr:uid="{00000000-0005-0000-0000-00009A2D0000}"/>
    <cellStyle name="Comma 2 6 4" xfId="1440" xr:uid="{00000000-0005-0000-0000-00009B2D0000}"/>
    <cellStyle name="Comma 2 7" xfId="1441" xr:uid="{00000000-0005-0000-0000-00009C2D0000}"/>
    <cellStyle name="Comma 2 7 2" xfId="1442" xr:uid="{00000000-0005-0000-0000-00009D2D0000}"/>
    <cellStyle name="Comma 2 7 3" xfId="1443" xr:uid="{00000000-0005-0000-0000-00009E2D0000}"/>
    <cellStyle name="Comma 2 7 4" xfId="1444" xr:uid="{00000000-0005-0000-0000-00009F2D0000}"/>
    <cellStyle name="Comma 2 8" xfId="1445" xr:uid="{00000000-0005-0000-0000-0000A02D0000}"/>
    <cellStyle name="Comma 2 8 2" xfId="34860" xr:uid="{00000000-0005-0000-0000-0000A12D0000}"/>
    <cellStyle name="Comma 2 9" xfId="1446" xr:uid="{00000000-0005-0000-0000-0000A22D0000}"/>
    <cellStyle name="Comma 20" xfId="370" xr:uid="{00000000-0005-0000-0000-0000A32D0000}"/>
    <cellStyle name="Comma 20 2" xfId="1448" xr:uid="{00000000-0005-0000-0000-0000A42D0000}"/>
    <cellStyle name="Comma 20 2 2" xfId="34861" xr:uid="{00000000-0005-0000-0000-0000A52D0000}"/>
    <cellStyle name="Comma 20 3" xfId="1449" xr:uid="{00000000-0005-0000-0000-0000A62D0000}"/>
    <cellStyle name="Comma 20 4" xfId="1447" xr:uid="{00000000-0005-0000-0000-0000A72D0000}"/>
    <cellStyle name="Comma 21" xfId="1450" xr:uid="{00000000-0005-0000-0000-0000A82D0000}"/>
    <cellStyle name="Comma 21 2" xfId="1451" xr:uid="{00000000-0005-0000-0000-0000A92D0000}"/>
    <cellStyle name="Comma 21 3" xfId="1452" xr:uid="{00000000-0005-0000-0000-0000AA2D0000}"/>
    <cellStyle name="Comma 22" xfId="1453" xr:uid="{00000000-0005-0000-0000-0000AB2D0000}"/>
    <cellStyle name="Comma 22 2" xfId="1454" xr:uid="{00000000-0005-0000-0000-0000AC2D0000}"/>
    <cellStyle name="Comma 23" xfId="1455" xr:uid="{00000000-0005-0000-0000-0000AD2D0000}"/>
    <cellStyle name="Comma 24" xfId="1456" xr:uid="{00000000-0005-0000-0000-0000AE2D0000}"/>
    <cellStyle name="Comma 25" xfId="1457" xr:uid="{00000000-0005-0000-0000-0000AF2D0000}"/>
    <cellStyle name="Comma 25 2" xfId="1458" xr:uid="{00000000-0005-0000-0000-0000B02D0000}"/>
    <cellStyle name="Comma 25 2 2" xfId="1459" xr:uid="{00000000-0005-0000-0000-0000B12D0000}"/>
    <cellStyle name="Comma 26" xfId="1460" xr:uid="{00000000-0005-0000-0000-0000B22D0000}"/>
    <cellStyle name="Comma 27" xfId="1461" xr:uid="{00000000-0005-0000-0000-0000B32D0000}"/>
    <cellStyle name="Comma 28" xfId="1462" xr:uid="{00000000-0005-0000-0000-0000B42D0000}"/>
    <cellStyle name="Comma 29" xfId="1463" xr:uid="{00000000-0005-0000-0000-0000B52D0000}"/>
    <cellStyle name="Comma 29 2" xfId="1464" xr:uid="{00000000-0005-0000-0000-0000B62D0000}"/>
    <cellStyle name="Comma 3" xfId="9" xr:uid="{00000000-0005-0000-0000-0000B72D0000}"/>
    <cellStyle name="Comma 3 2" xfId="106" xr:uid="{00000000-0005-0000-0000-0000B82D0000}"/>
    <cellStyle name="Comma 3 2 2" xfId="107" xr:uid="{00000000-0005-0000-0000-0000B92D0000}"/>
    <cellStyle name="Comma 3 3" xfId="284" xr:uid="{00000000-0005-0000-0000-0000BA2D0000}"/>
    <cellStyle name="Comma 3 4" xfId="320" xr:uid="{00000000-0005-0000-0000-0000BB2D0000}"/>
    <cellStyle name="Comma 30" xfId="1465" xr:uid="{00000000-0005-0000-0000-0000BC2D0000}"/>
    <cellStyle name="Comma 31" xfId="1466" xr:uid="{00000000-0005-0000-0000-0000BD2D0000}"/>
    <cellStyle name="Comma 4" xfId="108" xr:uid="{00000000-0005-0000-0000-0000BE2D0000}"/>
    <cellStyle name="Comma 4 10" xfId="1467" xr:uid="{00000000-0005-0000-0000-0000BF2D0000}"/>
    <cellStyle name="Comma 4 11" xfId="1468" xr:uid="{00000000-0005-0000-0000-0000C02D0000}"/>
    <cellStyle name="Comma 4 12" xfId="1469" xr:uid="{00000000-0005-0000-0000-0000C12D0000}"/>
    <cellStyle name="Comma 4 2" xfId="109" xr:uid="{00000000-0005-0000-0000-0000C22D0000}"/>
    <cellStyle name="Comma 4 2 10" xfId="1470" xr:uid="{00000000-0005-0000-0000-0000C32D0000}"/>
    <cellStyle name="Comma 4 2 2" xfId="285" xr:uid="{00000000-0005-0000-0000-0000C42D0000}"/>
    <cellStyle name="Comma 4 2 2 2" xfId="1471" xr:uid="{00000000-0005-0000-0000-0000C52D0000}"/>
    <cellStyle name="Comma 4 2 2 2 2" xfId="1472" xr:uid="{00000000-0005-0000-0000-0000C62D0000}"/>
    <cellStyle name="Comma 4 2 2 2 2 2" xfId="1473" xr:uid="{00000000-0005-0000-0000-0000C72D0000}"/>
    <cellStyle name="Comma 4 2 2 2 2 2 2" xfId="1474" xr:uid="{00000000-0005-0000-0000-0000C82D0000}"/>
    <cellStyle name="Comma 4 2 2 2 2 2 2 2" xfId="1475" xr:uid="{00000000-0005-0000-0000-0000C92D0000}"/>
    <cellStyle name="Comma 4 2 2 2 2 2 2 3" xfId="1476" xr:uid="{00000000-0005-0000-0000-0000CA2D0000}"/>
    <cellStyle name="Comma 4 2 2 2 2 2 3" xfId="1477" xr:uid="{00000000-0005-0000-0000-0000CB2D0000}"/>
    <cellStyle name="Comma 4 2 2 2 2 2 3 2" xfId="1478" xr:uid="{00000000-0005-0000-0000-0000CC2D0000}"/>
    <cellStyle name="Comma 4 2 2 2 2 2 3 3" xfId="1479" xr:uid="{00000000-0005-0000-0000-0000CD2D0000}"/>
    <cellStyle name="Comma 4 2 2 2 2 2 4" xfId="1480" xr:uid="{00000000-0005-0000-0000-0000CE2D0000}"/>
    <cellStyle name="Comma 4 2 2 2 2 2 5" xfId="1481" xr:uid="{00000000-0005-0000-0000-0000CF2D0000}"/>
    <cellStyle name="Comma 4 2 2 2 2 3" xfId="1482" xr:uid="{00000000-0005-0000-0000-0000D02D0000}"/>
    <cellStyle name="Comma 4 2 2 2 2 3 2" xfId="1483" xr:uid="{00000000-0005-0000-0000-0000D12D0000}"/>
    <cellStyle name="Comma 4 2 2 2 2 3 3" xfId="1484" xr:uid="{00000000-0005-0000-0000-0000D22D0000}"/>
    <cellStyle name="Comma 4 2 2 2 2 4" xfId="1485" xr:uid="{00000000-0005-0000-0000-0000D32D0000}"/>
    <cellStyle name="Comma 4 2 2 2 2 4 2" xfId="1486" xr:uid="{00000000-0005-0000-0000-0000D42D0000}"/>
    <cellStyle name="Comma 4 2 2 2 2 4 3" xfId="1487" xr:uid="{00000000-0005-0000-0000-0000D52D0000}"/>
    <cellStyle name="Comma 4 2 2 2 2 5" xfId="1488" xr:uid="{00000000-0005-0000-0000-0000D62D0000}"/>
    <cellStyle name="Comma 4 2 2 2 2 6" xfId="1489" xr:uid="{00000000-0005-0000-0000-0000D72D0000}"/>
    <cellStyle name="Comma 4 2 2 2 3" xfId="1490" xr:uid="{00000000-0005-0000-0000-0000D82D0000}"/>
    <cellStyle name="Comma 4 2 2 2 3 2" xfId="1491" xr:uid="{00000000-0005-0000-0000-0000D92D0000}"/>
    <cellStyle name="Comma 4 2 2 2 3 2 2" xfId="1492" xr:uid="{00000000-0005-0000-0000-0000DA2D0000}"/>
    <cellStyle name="Comma 4 2 2 2 3 2 3" xfId="1493" xr:uid="{00000000-0005-0000-0000-0000DB2D0000}"/>
    <cellStyle name="Comma 4 2 2 2 3 3" xfId="1494" xr:uid="{00000000-0005-0000-0000-0000DC2D0000}"/>
    <cellStyle name="Comma 4 2 2 2 3 3 2" xfId="1495" xr:uid="{00000000-0005-0000-0000-0000DD2D0000}"/>
    <cellStyle name="Comma 4 2 2 2 3 3 3" xfId="1496" xr:uid="{00000000-0005-0000-0000-0000DE2D0000}"/>
    <cellStyle name="Comma 4 2 2 2 3 4" xfId="1497" xr:uid="{00000000-0005-0000-0000-0000DF2D0000}"/>
    <cellStyle name="Comma 4 2 2 2 3 5" xfId="1498" xr:uid="{00000000-0005-0000-0000-0000E02D0000}"/>
    <cellStyle name="Comma 4 2 2 2 4" xfId="1499" xr:uid="{00000000-0005-0000-0000-0000E12D0000}"/>
    <cellStyle name="Comma 4 2 2 2 4 2" xfId="1500" xr:uid="{00000000-0005-0000-0000-0000E22D0000}"/>
    <cellStyle name="Comma 4 2 2 2 4 3" xfId="1501" xr:uid="{00000000-0005-0000-0000-0000E32D0000}"/>
    <cellStyle name="Comma 4 2 2 2 5" xfId="1502" xr:uid="{00000000-0005-0000-0000-0000E42D0000}"/>
    <cellStyle name="Comma 4 2 2 2 5 2" xfId="1503" xr:uid="{00000000-0005-0000-0000-0000E52D0000}"/>
    <cellStyle name="Comma 4 2 2 2 5 3" xfId="1504" xr:uid="{00000000-0005-0000-0000-0000E62D0000}"/>
    <cellStyle name="Comma 4 2 2 2 6" xfId="1505" xr:uid="{00000000-0005-0000-0000-0000E72D0000}"/>
    <cellStyle name="Comma 4 2 2 2 7" xfId="1506" xr:uid="{00000000-0005-0000-0000-0000E82D0000}"/>
    <cellStyle name="Comma 4 2 2 3" xfId="1507" xr:uid="{00000000-0005-0000-0000-0000E92D0000}"/>
    <cellStyle name="Comma 4 2 2 3 2" xfId="1508" xr:uid="{00000000-0005-0000-0000-0000EA2D0000}"/>
    <cellStyle name="Comma 4 2 2 3 2 2" xfId="1509" xr:uid="{00000000-0005-0000-0000-0000EB2D0000}"/>
    <cellStyle name="Comma 4 2 2 3 2 2 2" xfId="1510" xr:uid="{00000000-0005-0000-0000-0000EC2D0000}"/>
    <cellStyle name="Comma 4 2 2 3 2 2 2 2" xfId="1511" xr:uid="{00000000-0005-0000-0000-0000ED2D0000}"/>
    <cellStyle name="Comma 4 2 2 3 2 2 2 3" xfId="1512" xr:uid="{00000000-0005-0000-0000-0000EE2D0000}"/>
    <cellStyle name="Comma 4 2 2 3 2 2 3" xfId="1513" xr:uid="{00000000-0005-0000-0000-0000EF2D0000}"/>
    <cellStyle name="Comma 4 2 2 3 2 2 3 2" xfId="1514" xr:uid="{00000000-0005-0000-0000-0000F02D0000}"/>
    <cellStyle name="Comma 4 2 2 3 2 2 3 3" xfId="1515" xr:uid="{00000000-0005-0000-0000-0000F12D0000}"/>
    <cellStyle name="Comma 4 2 2 3 2 2 4" xfId="1516" xr:uid="{00000000-0005-0000-0000-0000F22D0000}"/>
    <cellStyle name="Comma 4 2 2 3 2 2 5" xfId="1517" xr:uid="{00000000-0005-0000-0000-0000F32D0000}"/>
    <cellStyle name="Comma 4 2 2 3 2 3" xfId="1518" xr:uid="{00000000-0005-0000-0000-0000F42D0000}"/>
    <cellStyle name="Comma 4 2 2 3 2 3 2" xfId="1519" xr:uid="{00000000-0005-0000-0000-0000F52D0000}"/>
    <cellStyle name="Comma 4 2 2 3 2 3 3" xfId="1520" xr:uid="{00000000-0005-0000-0000-0000F62D0000}"/>
    <cellStyle name="Comma 4 2 2 3 2 4" xfId="1521" xr:uid="{00000000-0005-0000-0000-0000F72D0000}"/>
    <cellStyle name="Comma 4 2 2 3 2 4 2" xfId="1522" xr:uid="{00000000-0005-0000-0000-0000F82D0000}"/>
    <cellStyle name="Comma 4 2 2 3 2 4 3" xfId="1523" xr:uid="{00000000-0005-0000-0000-0000F92D0000}"/>
    <cellStyle name="Comma 4 2 2 3 2 5" xfId="1524" xr:uid="{00000000-0005-0000-0000-0000FA2D0000}"/>
    <cellStyle name="Comma 4 2 2 3 2 6" xfId="1525" xr:uid="{00000000-0005-0000-0000-0000FB2D0000}"/>
    <cellStyle name="Comma 4 2 2 3 3" xfId="1526" xr:uid="{00000000-0005-0000-0000-0000FC2D0000}"/>
    <cellStyle name="Comma 4 2 2 3 3 2" xfId="1527" xr:uid="{00000000-0005-0000-0000-0000FD2D0000}"/>
    <cellStyle name="Comma 4 2 2 3 3 2 2" xfId="1528" xr:uid="{00000000-0005-0000-0000-0000FE2D0000}"/>
    <cellStyle name="Comma 4 2 2 3 3 2 3" xfId="1529" xr:uid="{00000000-0005-0000-0000-0000FF2D0000}"/>
    <cellStyle name="Comma 4 2 2 3 3 3" xfId="1530" xr:uid="{00000000-0005-0000-0000-0000002E0000}"/>
    <cellStyle name="Comma 4 2 2 3 3 3 2" xfId="1531" xr:uid="{00000000-0005-0000-0000-0000012E0000}"/>
    <cellStyle name="Comma 4 2 2 3 3 3 3" xfId="1532" xr:uid="{00000000-0005-0000-0000-0000022E0000}"/>
    <cellStyle name="Comma 4 2 2 3 3 4" xfId="1533" xr:uid="{00000000-0005-0000-0000-0000032E0000}"/>
    <cellStyle name="Comma 4 2 2 3 3 5" xfId="1534" xr:uid="{00000000-0005-0000-0000-0000042E0000}"/>
    <cellStyle name="Comma 4 2 2 3 4" xfId="1535" xr:uid="{00000000-0005-0000-0000-0000052E0000}"/>
    <cellStyle name="Comma 4 2 2 3 4 2" xfId="1536" xr:uid="{00000000-0005-0000-0000-0000062E0000}"/>
    <cellStyle name="Comma 4 2 2 3 4 3" xfId="1537" xr:uid="{00000000-0005-0000-0000-0000072E0000}"/>
    <cellStyle name="Comma 4 2 2 3 5" xfId="1538" xr:uid="{00000000-0005-0000-0000-0000082E0000}"/>
    <cellStyle name="Comma 4 2 2 3 5 2" xfId="1539" xr:uid="{00000000-0005-0000-0000-0000092E0000}"/>
    <cellStyle name="Comma 4 2 2 3 5 3" xfId="1540" xr:uid="{00000000-0005-0000-0000-00000A2E0000}"/>
    <cellStyle name="Comma 4 2 2 3 6" xfId="1541" xr:uid="{00000000-0005-0000-0000-00000B2E0000}"/>
    <cellStyle name="Comma 4 2 2 3 7" xfId="1542" xr:uid="{00000000-0005-0000-0000-00000C2E0000}"/>
    <cellStyle name="Comma 4 2 2 4" xfId="1543" xr:uid="{00000000-0005-0000-0000-00000D2E0000}"/>
    <cellStyle name="Comma 4 2 2 4 2" xfId="1544" xr:uid="{00000000-0005-0000-0000-00000E2E0000}"/>
    <cellStyle name="Comma 4 2 2 4 2 2" xfId="1545" xr:uid="{00000000-0005-0000-0000-00000F2E0000}"/>
    <cellStyle name="Comma 4 2 2 4 2 2 2" xfId="1546" xr:uid="{00000000-0005-0000-0000-0000102E0000}"/>
    <cellStyle name="Comma 4 2 2 4 2 2 3" xfId="1547" xr:uid="{00000000-0005-0000-0000-0000112E0000}"/>
    <cellStyle name="Comma 4 2 2 4 2 3" xfId="1548" xr:uid="{00000000-0005-0000-0000-0000122E0000}"/>
    <cellStyle name="Comma 4 2 2 4 2 3 2" xfId="1549" xr:uid="{00000000-0005-0000-0000-0000132E0000}"/>
    <cellStyle name="Comma 4 2 2 4 2 3 3" xfId="1550" xr:uid="{00000000-0005-0000-0000-0000142E0000}"/>
    <cellStyle name="Comma 4 2 2 4 2 4" xfId="1551" xr:uid="{00000000-0005-0000-0000-0000152E0000}"/>
    <cellStyle name="Comma 4 2 2 4 2 5" xfId="1552" xr:uid="{00000000-0005-0000-0000-0000162E0000}"/>
    <cellStyle name="Comma 4 2 2 4 3" xfId="1553" xr:uid="{00000000-0005-0000-0000-0000172E0000}"/>
    <cellStyle name="Comma 4 2 2 4 3 2" xfId="1554" xr:uid="{00000000-0005-0000-0000-0000182E0000}"/>
    <cellStyle name="Comma 4 2 2 4 3 3" xfId="1555" xr:uid="{00000000-0005-0000-0000-0000192E0000}"/>
    <cellStyle name="Comma 4 2 2 4 4" xfId="1556" xr:uid="{00000000-0005-0000-0000-00001A2E0000}"/>
    <cellStyle name="Comma 4 2 2 4 4 2" xfId="1557" xr:uid="{00000000-0005-0000-0000-00001B2E0000}"/>
    <cellStyle name="Comma 4 2 2 4 4 3" xfId="1558" xr:uid="{00000000-0005-0000-0000-00001C2E0000}"/>
    <cellStyle name="Comma 4 2 2 4 5" xfId="1559" xr:uid="{00000000-0005-0000-0000-00001D2E0000}"/>
    <cellStyle name="Comma 4 2 2 4 6" xfId="1560" xr:uid="{00000000-0005-0000-0000-00001E2E0000}"/>
    <cellStyle name="Comma 4 2 2 5" xfId="1561" xr:uid="{00000000-0005-0000-0000-00001F2E0000}"/>
    <cellStyle name="Comma 4 2 2 5 2" xfId="1562" xr:uid="{00000000-0005-0000-0000-0000202E0000}"/>
    <cellStyle name="Comma 4 2 2 5 2 2" xfId="1563" xr:uid="{00000000-0005-0000-0000-0000212E0000}"/>
    <cellStyle name="Comma 4 2 2 5 2 3" xfId="1564" xr:uid="{00000000-0005-0000-0000-0000222E0000}"/>
    <cellStyle name="Comma 4 2 2 5 3" xfId="1565" xr:uid="{00000000-0005-0000-0000-0000232E0000}"/>
    <cellStyle name="Comma 4 2 2 5 3 2" xfId="1566" xr:uid="{00000000-0005-0000-0000-0000242E0000}"/>
    <cellStyle name="Comma 4 2 2 5 3 3" xfId="1567" xr:uid="{00000000-0005-0000-0000-0000252E0000}"/>
    <cellStyle name="Comma 4 2 2 5 4" xfId="1568" xr:uid="{00000000-0005-0000-0000-0000262E0000}"/>
    <cellStyle name="Comma 4 2 2 5 5" xfId="1569" xr:uid="{00000000-0005-0000-0000-0000272E0000}"/>
    <cellStyle name="Comma 4 2 2 6" xfId="1570" xr:uid="{00000000-0005-0000-0000-0000282E0000}"/>
    <cellStyle name="Comma 4 2 2 6 2" xfId="1571" xr:uid="{00000000-0005-0000-0000-0000292E0000}"/>
    <cellStyle name="Comma 4 2 2 6 3" xfId="1572" xr:uid="{00000000-0005-0000-0000-00002A2E0000}"/>
    <cellStyle name="Comma 4 2 2 7" xfId="1573" xr:uid="{00000000-0005-0000-0000-00002B2E0000}"/>
    <cellStyle name="Comma 4 2 2 7 2" xfId="1574" xr:uid="{00000000-0005-0000-0000-00002C2E0000}"/>
    <cellStyle name="Comma 4 2 2 7 3" xfId="1575" xr:uid="{00000000-0005-0000-0000-00002D2E0000}"/>
    <cellStyle name="Comma 4 2 2 8" xfId="1576" xr:uid="{00000000-0005-0000-0000-00002E2E0000}"/>
    <cellStyle name="Comma 4 2 2 9" xfId="1577" xr:uid="{00000000-0005-0000-0000-00002F2E0000}"/>
    <cellStyle name="Comma 4 2 3" xfId="1578" xr:uid="{00000000-0005-0000-0000-0000302E0000}"/>
    <cellStyle name="Comma 4 2 3 2" xfId="1579" xr:uid="{00000000-0005-0000-0000-0000312E0000}"/>
    <cellStyle name="Comma 4 2 3 2 2" xfId="1580" xr:uid="{00000000-0005-0000-0000-0000322E0000}"/>
    <cellStyle name="Comma 4 2 3 2 2 2" xfId="1581" xr:uid="{00000000-0005-0000-0000-0000332E0000}"/>
    <cellStyle name="Comma 4 2 3 2 2 2 2" xfId="1582" xr:uid="{00000000-0005-0000-0000-0000342E0000}"/>
    <cellStyle name="Comma 4 2 3 2 2 2 3" xfId="1583" xr:uid="{00000000-0005-0000-0000-0000352E0000}"/>
    <cellStyle name="Comma 4 2 3 2 2 3" xfId="1584" xr:uid="{00000000-0005-0000-0000-0000362E0000}"/>
    <cellStyle name="Comma 4 2 3 2 2 3 2" xfId="1585" xr:uid="{00000000-0005-0000-0000-0000372E0000}"/>
    <cellStyle name="Comma 4 2 3 2 2 3 3" xfId="1586" xr:uid="{00000000-0005-0000-0000-0000382E0000}"/>
    <cellStyle name="Comma 4 2 3 2 2 4" xfId="1587" xr:uid="{00000000-0005-0000-0000-0000392E0000}"/>
    <cellStyle name="Comma 4 2 3 2 2 5" xfId="1588" xr:uid="{00000000-0005-0000-0000-00003A2E0000}"/>
    <cellStyle name="Comma 4 2 3 2 3" xfId="1589" xr:uid="{00000000-0005-0000-0000-00003B2E0000}"/>
    <cellStyle name="Comma 4 2 3 2 3 2" xfId="1590" xr:uid="{00000000-0005-0000-0000-00003C2E0000}"/>
    <cellStyle name="Comma 4 2 3 2 3 3" xfId="1591" xr:uid="{00000000-0005-0000-0000-00003D2E0000}"/>
    <cellStyle name="Comma 4 2 3 2 4" xfId="1592" xr:uid="{00000000-0005-0000-0000-00003E2E0000}"/>
    <cellStyle name="Comma 4 2 3 2 4 2" xfId="1593" xr:uid="{00000000-0005-0000-0000-00003F2E0000}"/>
    <cellStyle name="Comma 4 2 3 2 4 3" xfId="1594" xr:uid="{00000000-0005-0000-0000-0000402E0000}"/>
    <cellStyle name="Comma 4 2 3 2 5" xfId="1595" xr:uid="{00000000-0005-0000-0000-0000412E0000}"/>
    <cellStyle name="Comma 4 2 3 2 6" xfId="1596" xr:uid="{00000000-0005-0000-0000-0000422E0000}"/>
    <cellStyle name="Comma 4 2 3 3" xfId="1597" xr:uid="{00000000-0005-0000-0000-0000432E0000}"/>
    <cellStyle name="Comma 4 2 3 3 2" xfId="1598" xr:uid="{00000000-0005-0000-0000-0000442E0000}"/>
    <cellStyle name="Comma 4 2 3 3 2 2" xfId="1599" xr:uid="{00000000-0005-0000-0000-0000452E0000}"/>
    <cellStyle name="Comma 4 2 3 3 2 3" xfId="1600" xr:uid="{00000000-0005-0000-0000-0000462E0000}"/>
    <cellStyle name="Comma 4 2 3 3 3" xfId="1601" xr:uid="{00000000-0005-0000-0000-0000472E0000}"/>
    <cellStyle name="Comma 4 2 3 3 3 2" xfId="1602" xr:uid="{00000000-0005-0000-0000-0000482E0000}"/>
    <cellStyle name="Comma 4 2 3 3 3 3" xfId="1603" xr:uid="{00000000-0005-0000-0000-0000492E0000}"/>
    <cellStyle name="Comma 4 2 3 3 4" xfId="1604" xr:uid="{00000000-0005-0000-0000-00004A2E0000}"/>
    <cellStyle name="Comma 4 2 3 3 5" xfId="1605" xr:uid="{00000000-0005-0000-0000-00004B2E0000}"/>
    <cellStyle name="Comma 4 2 3 4" xfId="1606" xr:uid="{00000000-0005-0000-0000-00004C2E0000}"/>
    <cellStyle name="Comma 4 2 3 4 2" xfId="1607" xr:uid="{00000000-0005-0000-0000-00004D2E0000}"/>
    <cellStyle name="Comma 4 2 3 4 3" xfId="1608" xr:uid="{00000000-0005-0000-0000-00004E2E0000}"/>
    <cellStyle name="Comma 4 2 3 5" xfId="1609" xr:uid="{00000000-0005-0000-0000-00004F2E0000}"/>
    <cellStyle name="Comma 4 2 3 5 2" xfId="1610" xr:uid="{00000000-0005-0000-0000-0000502E0000}"/>
    <cellStyle name="Comma 4 2 3 5 3" xfId="1611" xr:uid="{00000000-0005-0000-0000-0000512E0000}"/>
    <cellStyle name="Comma 4 2 3 6" xfId="1612" xr:uid="{00000000-0005-0000-0000-0000522E0000}"/>
    <cellStyle name="Comma 4 2 3 7" xfId="1613" xr:uid="{00000000-0005-0000-0000-0000532E0000}"/>
    <cellStyle name="Comma 4 2 4" xfId="1614" xr:uid="{00000000-0005-0000-0000-0000542E0000}"/>
    <cellStyle name="Comma 4 2 4 2" xfId="1615" xr:uid="{00000000-0005-0000-0000-0000552E0000}"/>
    <cellStyle name="Comma 4 2 4 2 2" xfId="1616" xr:uid="{00000000-0005-0000-0000-0000562E0000}"/>
    <cellStyle name="Comma 4 2 4 2 2 2" xfId="1617" xr:uid="{00000000-0005-0000-0000-0000572E0000}"/>
    <cellStyle name="Comma 4 2 4 2 2 2 2" xfId="1618" xr:uid="{00000000-0005-0000-0000-0000582E0000}"/>
    <cellStyle name="Comma 4 2 4 2 2 2 3" xfId="1619" xr:uid="{00000000-0005-0000-0000-0000592E0000}"/>
    <cellStyle name="Comma 4 2 4 2 2 3" xfId="1620" xr:uid="{00000000-0005-0000-0000-00005A2E0000}"/>
    <cellStyle name="Comma 4 2 4 2 2 3 2" xfId="1621" xr:uid="{00000000-0005-0000-0000-00005B2E0000}"/>
    <cellStyle name="Comma 4 2 4 2 2 3 3" xfId="1622" xr:uid="{00000000-0005-0000-0000-00005C2E0000}"/>
    <cellStyle name="Comma 4 2 4 2 2 4" xfId="1623" xr:uid="{00000000-0005-0000-0000-00005D2E0000}"/>
    <cellStyle name="Comma 4 2 4 2 2 5" xfId="1624" xr:uid="{00000000-0005-0000-0000-00005E2E0000}"/>
    <cellStyle name="Comma 4 2 4 2 3" xfId="1625" xr:uid="{00000000-0005-0000-0000-00005F2E0000}"/>
    <cellStyle name="Comma 4 2 4 2 3 2" xfId="1626" xr:uid="{00000000-0005-0000-0000-0000602E0000}"/>
    <cellStyle name="Comma 4 2 4 2 3 3" xfId="1627" xr:uid="{00000000-0005-0000-0000-0000612E0000}"/>
    <cellStyle name="Comma 4 2 4 2 4" xfId="1628" xr:uid="{00000000-0005-0000-0000-0000622E0000}"/>
    <cellStyle name="Comma 4 2 4 2 4 2" xfId="1629" xr:uid="{00000000-0005-0000-0000-0000632E0000}"/>
    <cellStyle name="Comma 4 2 4 2 4 3" xfId="1630" xr:uid="{00000000-0005-0000-0000-0000642E0000}"/>
    <cellStyle name="Comma 4 2 4 2 5" xfId="1631" xr:uid="{00000000-0005-0000-0000-0000652E0000}"/>
    <cellStyle name="Comma 4 2 4 2 6" xfId="1632" xr:uid="{00000000-0005-0000-0000-0000662E0000}"/>
    <cellStyle name="Comma 4 2 4 3" xfId="1633" xr:uid="{00000000-0005-0000-0000-0000672E0000}"/>
    <cellStyle name="Comma 4 2 4 3 2" xfId="1634" xr:uid="{00000000-0005-0000-0000-0000682E0000}"/>
    <cellStyle name="Comma 4 2 4 3 2 2" xfId="1635" xr:uid="{00000000-0005-0000-0000-0000692E0000}"/>
    <cellStyle name="Comma 4 2 4 3 2 3" xfId="1636" xr:uid="{00000000-0005-0000-0000-00006A2E0000}"/>
    <cellStyle name="Comma 4 2 4 3 3" xfId="1637" xr:uid="{00000000-0005-0000-0000-00006B2E0000}"/>
    <cellStyle name="Comma 4 2 4 3 3 2" xfId="1638" xr:uid="{00000000-0005-0000-0000-00006C2E0000}"/>
    <cellStyle name="Comma 4 2 4 3 3 3" xfId="1639" xr:uid="{00000000-0005-0000-0000-00006D2E0000}"/>
    <cellStyle name="Comma 4 2 4 3 4" xfId="1640" xr:uid="{00000000-0005-0000-0000-00006E2E0000}"/>
    <cellStyle name="Comma 4 2 4 3 5" xfId="1641" xr:uid="{00000000-0005-0000-0000-00006F2E0000}"/>
    <cellStyle name="Comma 4 2 4 4" xfId="1642" xr:uid="{00000000-0005-0000-0000-0000702E0000}"/>
    <cellStyle name="Comma 4 2 4 4 2" xfId="1643" xr:uid="{00000000-0005-0000-0000-0000712E0000}"/>
    <cellStyle name="Comma 4 2 4 4 3" xfId="1644" xr:uid="{00000000-0005-0000-0000-0000722E0000}"/>
    <cellStyle name="Comma 4 2 4 5" xfId="1645" xr:uid="{00000000-0005-0000-0000-0000732E0000}"/>
    <cellStyle name="Comma 4 2 4 5 2" xfId="1646" xr:uid="{00000000-0005-0000-0000-0000742E0000}"/>
    <cellStyle name="Comma 4 2 4 5 3" xfId="1647" xr:uid="{00000000-0005-0000-0000-0000752E0000}"/>
    <cellStyle name="Comma 4 2 4 6" xfId="1648" xr:uid="{00000000-0005-0000-0000-0000762E0000}"/>
    <cellStyle name="Comma 4 2 4 7" xfId="1649" xr:uid="{00000000-0005-0000-0000-0000772E0000}"/>
    <cellStyle name="Comma 4 2 5" xfId="1650" xr:uid="{00000000-0005-0000-0000-0000782E0000}"/>
    <cellStyle name="Comma 4 2 5 2" xfId="1651" xr:uid="{00000000-0005-0000-0000-0000792E0000}"/>
    <cellStyle name="Comma 4 2 5 2 2" xfId="1652" xr:uid="{00000000-0005-0000-0000-00007A2E0000}"/>
    <cellStyle name="Comma 4 2 5 2 2 2" xfId="1653" xr:uid="{00000000-0005-0000-0000-00007B2E0000}"/>
    <cellStyle name="Comma 4 2 5 2 2 3" xfId="1654" xr:uid="{00000000-0005-0000-0000-00007C2E0000}"/>
    <cellStyle name="Comma 4 2 5 2 3" xfId="1655" xr:uid="{00000000-0005-0000-0000-00007D2E0000}"/>
    <cellStyle name="Comma 4 2 5 2 3 2" xfId="1656" xr:uid="{00000000-0005-0000-0000-00007E2E0000}"/>
    <cellStyle name="Comma 4 2 5 2 3 3" xfId="1657" xr:uid="{00000000-0005-0000-0000-00007F2E0000}"/>
    <cellStyle name="Comma 4 2 5 2 4" xfId="1658" xr:uid="{00000000-0005-0000-0000-0000802E0000}"/>
    <cellStyle name="Comma 4 2 5 2 5" xfId="1659" xr:uid="{00000000-0005-0000-0000-0000812E0000}"/>
    <cellStyle name="Comma 4 2 5 3" xfId="1660" xr:uid="{00000000-0005-0000-0000-0000822E0000}"/>
    <cellStyle name="Comma 4 2 5 3 2" xfId="1661" xr:uid="{00000000-0005-0000-0000-0000832E0000}"/>
    <cellStyle name="Comma 4 2 5 3 3" xfId="1662" xr:uid="{00000000-0005-0000-0000-0000842E0000}"/>
    <cellStyle name="Comma 4 2 5 4" xfId="1663" xr:uid="{00000000-0005-0000-0000-0000852E0000}"/>
    <cellStyle name="Comma 4 2 5 4 2" xfId="1664" xr:uid="{00000000-0005-0000-0000-0000862E0000}"/>
    <cellStyle name="Comma 4 2 5 4 3" xfId="1665" xr:uid="{00000000-0005-0000-0000-0000872E0000}"/>
    <cellStyle name="Comma 4 2 5 5" xfId="1666" xr:uid="{00000000-0005-0000-0000-0000882E0000}"/>
    <cellStyle name="Comma 4 2 5 6" xfId="1667" xr:uid="{00000000-0005-0000-0000-0000892E0000}"/>
    <cellStyle name="Comma 4 2 6" xfId="1668" xr:uid="{00000000-0005-0000-0000-00008A2E0000}"/>
    <cellStyle name="Comma 4 2 6 2" xfId="1669" xr:uid="{00000000-0005-0000-0000-00008B2E0000}"/>
    <cellStyle name="Comma 4 2 6 2 2" xfId="1670" xr:uid="{00000000-0005-0000-0000-00008C2E0000}"/>
    <cellStyle name="Comma 4 2 6 2 3" xfId="1671" xr:uid="{00000000-0005-0000-0000-00008D2E0000}"/>
    <cellStyle name="Comma 4 2 6 3" xfId="1672" xr:uid="{00000000-0005-0000-0000-00008E2E0000}"/>
    <cellStyle name="Comma 4 2 6 3 2" xfId="1673" xr:uid="{00000000-0005-0000-0000-00008F2E0000}"/>
    <cellStyle name="Comma 4 2 6 3 3" xfId="1674" xr:uid="{00000000-0005-0000-0000-0000902E0000}"/>
    <cellStyle name="Comma 4 2 6 4" xfId="1675" xr:uid="{00000000-0005-0000-0000-0000912E0000}"/>
    <cellStyle name="Comma 4 2 6 5" xfId="1676" xr:uid="{00000000-0005-0000-0000-0000922E0000}"/>
    <cellStyle name="Comma 4 2 7" xfId="1677" xr:uid="{00000000-0005-0000-0000-0000932E0000}"/>
    <cellStyle name="Comma 4 2 7 2" xfId="1678" xr:uid="{00000000-0005-0000-0000-0000942E0000}"/>
    <cellStyle name="Comma 4 2 7 3" xfId="1679" xr:uid="{00000000-0005-0000-0000-0000952E0000}"/>
    <cellStyle name="Comma 4 2 8" xfId="1680" xr:uid="{00000000-0005-0000-0000-0000962E0000}"/>
    <cellStyle name="Comma 4 2 8 2" xfId="1681" xr:uid="{00000000-0005-0000-0000-0000972E0000}"/>
    <cellStyle name="Comma 4 2 8 3" xfId="1682" xr:uid="{00000000-0005-0000-0000-0000982E0000}"/>
    <cellStyle name="Comma 4 2 9" xfId="1683" xr:uid="{00000000-0005-0000-0000-0000992E0000}"/>
    <cellStyle name="Comma 4 3" xfId="110" xr:uid="{00000000-0005-0000-0000-00009A2E0000}"/>
    <cellStyle name="Comma 4 3 10" xfId="1684" xr:uid="{00000000-0005-0000-0000-00009B2E0000}"/>
    <cellStyle name="Comma 4 3 2" xfId="286" xr:uid="{00000000-0005-0000-0000-00009C2E0000}"/>
    <cellStyle name="Comma 4 3 2 2" xfId="1685" xr:uid="{00000000-0005-0000-0000-00009D2E0000}"/>
    <cellStyle name="Comma 4 3 2 2 2" xfId="1686" xr:uid="{00000000-0005-0000-0000-00009E2E0000}"/>
    <cellStyle name="Comma 4 3 2 2 2 2" xfId="1687" xr:uid="{00000000-0005-0000-0000-00009F2E0000}"/>
    <cellStyle name="Comma 4 3 2 2 2 2 2" xfId="1688" xr:uid="{00000000-0005-0000-0000-0000A02E0000}"/>
    <cellStyle name="Comma 4 3 2 2 2 2 3" xfId="1689" xr:uid="{00000000-0005-0000-0000-0000A12E0000}"/>
    <cellStyle name="Comma 4 3 2 2 2 3" xfId="1690" xr:uid="{00000000-0005-0000-0000-0000A22E0000}"/>
    <cellStyle name="Comma 4 3 2 2 2 3 2" xfId="1691" xr:uid="{00000000-0005-0000-0000-0000A32E0000}"/>
    <cellStyle name="Comma 4 3 2 2 2 3 3" xfId="1692" xr:uid="{00000000-0005-0000-0000-0000A42E0000}"/>
    <cellStyle name="Comma 4 3 2 2 2 4" xfId="1693" xr:uid="{00000000-0005-0000-0000-0000A52E0000}"/>
    <cellStyle name="Comma 4 3 2 2 2 5" xfId="1694" xr:uid="{00000000-0005-0000-0000-0000A62E0000}"/>
    <cellStyle name="Comma 4 3 2 2 3" xfId="1695" xr:uid="{00000000-0005-0000-0000-0000A72E0000}"/>
    <cellStyle name="Comma 4 3 2 2 3 2" xfId="1696" xr:uid="{00000000-0005-0000-0000-0000A82E0000}"/>
    <cellStyle name="Comma 4 3 2 2 3 3" xfId="1697" xr:uid="{00000000-0005-0000-0000-0000A92E0000}"/>
    <cellStyle name="Comma 4 3 2 2 4" xfId="1698" xr:uid="{00000000-0005-0000-0000-0000AA2E0000}"/>
    <cellStyle name="Comma 4 3 2 2 4 2" xfId="1699" xr:uid="{00000000-0005-0000-0000-0000AB2E0000}"/>
    <cellStyle name="Comma 4 3 2 2 4 3" xfId="1700" xr:uid="{00000000-0005-0000-0000-0000AC2E0000}"/>
    <cellStyle name="Comma 4 3 2 2 5" xfId="1701" xr:uid="{00000000-0005-0000-0000-0000AD2E0000}"/>
    <cellStyle name="Comma 4 3 2 2 6" xfId="1702" xr:uid="{00000000-0005-0000-0000-0000AE2E0000}"/>
    <cellStyle name="Comma 4 3 2 3" xfId="1703" xr:uid="{00000000-0005-0000-0000-0000AF2E0000}"/>
    <cellStyle name="Comma 4 3 2 3 2" xfId="1704" xr:uid="{00000000-0005-0000-0000-0000B02E0000}"/>
    <cellStyle name="Comma 4 3 2 3 2 2" xfId="1705" xr:uid="{00000000-0005-0000-0000-0000B12E0000}"/>
    <cellStyle name="Comma 4 3 2 3 2 3" xfId="1706" xr:uid="{00000000-0005-0000-0000-0000B22E0000}"/>
    <cellStyle name="Comma 4 3 2 3 3" xfId="1707" xr:uid="{00000000-0005-0000-0000-0000B32E0000}"/>
    <cellStyle name="Comma 4 3 2 3 3 2" xfId="1708" xr:uid="{00000000-0005-0000-0000-0000B42E0000}"/>
    <cellStyle name="Comma 4 3 2 3 3 3" xfId="1709" xr:uid="{00000000-0005-0000-0000-0000B52E0000}"/>
    <cellStyle name="Comma 4 3 2 3 4" xfId="1710" xr:uid="{00000000-0005-0000-0000-0000B62E0000}"/>
    <cellStyle name="Comma 4 3 2 3 5" xfId="1711" xr:uid="{00000000-0005-0000-0000-0000B72E0000}"/>
    <cellStyle name="Comma 4 3 2 4" xfId="1712" xr:uid="{00000000-0005-0000-0000-0000B82E0000}"/>
    <cellStyle name="Comma 4 3 2 4 2" xfId="1713" xr:uid="{00000000-0005-0000-0000-0000B92E0000}"/>
    <cellStyle name="Comma 4 3 2 4 3" xfId="1714" xr:uid="{00000000-0005-0000-0000-0000BA2E0000}"/>
    <cellStyle name="Comma 4 3 2 5" xfId="1715" xr:uid="{00000000-0005-0000-0000-0000BB2E0000}"/>
    <cellStyle name="Comma 4 3 2 5 2" xfId="1716" xr:uid="{00000000-0005-0000-0000-0000BC2E0000}"/>
    <cellStyle name="Comma 4 3 2 5 3" xfId="1717" xr:uid="{00000000-0005-0000-0000-0000BD2E0000}"/>
    <cellStyle name="Comma 4 3 2 6" xfId="1718" xr:uid="{00000000-0005-0000-0000-0000BE2E0000}"/>
    <cellStyle name="Comma 4 3 2 7" xfId="1719" xr:uid="{00000000-0005-0000-0000-0000BF2E0000}"/>
    <cellStyle name="Comma 4 3 3" xfId="1720" xr:uid="{00000000-0005-0000-0000-0000C02E0000}"/>
    <cellStyle name="Comma 4 3 3 2" xfId="1721" xr:uid="{00000000-0005-0000-0000-0000C12E0000}"/>
    <cellStyle name="Comma 4 3 3 2 2" xfId="1722" xr:uid="{00000000-0005-0000-0000-0000C22E0000}"/>
    <cellStyle name="Comma 4 3 3 2 2 2" xfId="1723" xr:uid="{00000000-0005-0000-0000-0000C32E0000}"/>
    <cellStyle name="Comma 4 3 3 2 2 2 2" xfId="1724" xr:uid="{00000000-0005-0000-0000-0000C42E0000}"/>
    <cellStyle name="Comma 4 3 3 2 2 2 3" xfId="1725" xr:uid="{00000000-0005-0000-0000-0000C52E0000}"/>
    <cellStyle name="Comma 4 3 3 2 2 3" xfId="1726" xr:uid="{00000000-0005-0000-0000-0000C62E0000}"/>
    <cellStyle name="Comma 4 3 3 2 2 3 2" xfId="1727" xr:uid="{00000000-0005-0000-0000-0000C72E0000}"/>
    <cellStyle name="Comma 4 3 3 2 2 3 3" xfId="1728" xr:uid="{00000000-0005-0000-0000-0000C82E0000}"/>
    <cellStyle name="Comma 4 3 3 2 2 4" xfId="1729" xr:uid="{00000000-0005-0000-0000-0000C92E0000}"/>
    <cellStyle name="Comma 4 3 3 2 2 5" xfId="1730" xr:uid="{00000000-0005-0000-0000-0000CA2E0000}"/>
    <cellStyle name="Comma 4 3 3 2 3" xfId="1731" xr:uid="{00000000-0005-0000-0000-0000CB2E0000}"/>
    <cellStyle name="Comma 4 3 3 2 3 2" xfId="1732" xr:uid="{00000000-0005-0000-0000-0000CC2E0000}"/>
    <cellStyle name="Comma 4 3 3 2 3 3" xfId="1733" xr:uid="{00000000-0005-0000-0000-0000CD2E0000}"/>
    <cellStyle name="Comma 4 3 3 2 4" xfId="1734" xr:uid="{00000000-0005-0000-0000-0000CE2E0000}"/>
    <cellStyle name="Comma 4 3 3 2 4 2" xfId="1735" xr:uid="{00000000-0005-0000-0000-0000CF2E0000}"/>
    <cellStyle name="Comma 4 3 3 2 4 3" xfId="1736" xr:uid="{00000000-0005-0000-0000-0000D02E0000}"/>
    <cellStyle name="Comma 4 3 3 2 5" xfId="1737" xr:uid="{00000000-0005-0000-0000-0000D12E0000}"/>
    <cellStyle name="Comma 4 3 3 2 6" xfId="1738" xr:uid="{00000000-0005-0000-0000-0000D22E0000}"/>
    <cellStyle name="Comma 4 3 3 3" xfId="1739" xr:uid="{00000000-0005-0000-0000-0000D32E0000}"/>
    <cellStyle name="Comma 4 3 3 3 2" xfId="1740" xr:uid="{00000000-0005-0000-0000-0000D42E0000}"/>
    <cellStyle name="Comma 4 3 3 3 2 2" xfId="1741" xr:uid="{00000000-0005-0000-0000-0000D52E0000}"/>
    <cellStyle name="Comma 4 3 3 3 2 3" xfId="1742" xr:uid="{00000000-0005-0000-0000-0000D62E0000}"/>
    <cellStyle name="Comma 4 3 3 3 3" xfId="1743" xr:uid="{00000000-0005-0000-0000-0000D72E0000}"/>
    <cellStyle name="Comma 4 3 3 3 3 2" xfId="1744" xr:uid="{00000000-0005-0000-0000-0000D82E0000}"/>
    <cellStyle name="Comma 4 3 3 3 3 3" xfId="1745" xr:uid="{00000000-0005-0000-0000-0000D92E0000}"/>
    <cellStyle name="Comma 4 3 3 3 4" xfId="1746" xr:uid="{00000000-0005-0000-0000-0000DA2E0000}"/>
    <cellStyle name="Comma 4 3 3 3 5" xfId="1747" xr:uid="{00000000-0005-0000-0000-0000DB2E0000}"/>
    <cellStyle name="Comma 4 3 3 4" xfId="1748" xr:uid="{00000000-0005-0000-0000-0000DC2E0000}"/>
    <cellStyle name="Comma 4 3 3 4 2" xfId="1749" xr:uid="{00000000-0005-0000-0000-0000DD2E0000}"/>
    <cellStyle name="Comma 4 3 3 4 3" xfId="1750" xr:uid="{00000000-0005-0000-0000-0000DE2E0000}"/>
    <cellStyle name="Comma 4 3 3 5" xfId="1751" xr:uid="{00000000-0005-0000-0000-0000DF2E0000}"/>
    <cellStyle name="Comma 4 3 3 5 2" xfId="1752" xr:uid="{00000000-0005-0000-0000-0000E02E0000}"/>
    <cellStyle name="Comma 4 3 3 5 3" xfId="1753" xr:uid="{00000000-0005-0000-0000-0000E12E0000}"/>
    <cellStyle name="Comma 4 3 3 6" xfId="1754" xr:uid="{00000000-0005-0000-0000-0000E22E0000}"/>
    <cellStyle name="Comma 4 3 3 7" xfId="1755" xr:uid="{00000000-0005-0000-0000-0000E32E0000}"/>
    <cellStyle name="Comma 4 3 4" xfId="1756" xr:uid="{00000000-0005-0000-0000-0000E42E0000}"/>
    <cellStyle name="Comma 4 3 4 2" xfId="1757" xr:uid="{00000000-0005-0000-0000-0000E52E0000}"/>
    <cellStyle name="Comma 4 3 4 2 2" xfId="1758" xr:uid="{00000000-0005-0000-0000-0000E62E0000}"/>
    <cellStyle name="Comma 4 3 4 2 2 2" xfId="1759" xr:uid="{00000000-0005-0000-0000-0000E72E0000}"/>
    <cellStyle name="Comma 4 3 4 2 2 3" xfId="1760" xr:uid="{00000000-0005-0000-0000-0000E82E0000}"/>
    <cellStyle name="Comma 4 3 4 2 3" xfId="1761" xr:uid="{00000000-0005-0000-0000-0000E92E0000}"/>
    <cellStyle name="Comma 4 3 4 2 3 2" xfId="1762" xr:uid="{00000000-0005-0000-0000-0000EA2E0000}"/>
    <cellStyle name="Comma 4 3 4 2 3 3" xfId="1763" xr:uid="{00000000-0005-0000-0000-0000EB2E0000}"/>
    <cellStyle name="Comma 4 3 4 2 4" xfId="1764" xr:uid="{00000000-0005-0000-0000-0000EC2E0000}"/>
    <cellStyle name="Comma 4 3 4 2 5" xfId="1765" xr:uid="{00000000-0005-0000-0000-0000ED2E0000}"/>
    <cellStyle name="Comma 4 3 4 3" xfId="1766" xr:uid="{00000000-0005-0000-0000-0000EE2E0000}"/>
    <cellStyle name="Comma 4 3 4 3 2" xfId="1767" xr:uid="{00000000-0005-0000-0000-0000EF2E0000}"/>
    <cellStyle name="Comma 4 3 4 3 3" xfId="1768" xr:uid="{00000000-0005-0000-0000-0000F02E0000}"/>
    <cellStyle name="Comma 4 3 4 4" xfId="1769" xr:uid="{00000000-0005-0000-0000-0000F12E0000}"/>
    <cellStyle name="Comma 4 3 4 4 2" xfId="1770" xr:uid="{00000000-0005-0000-0000-0000F22E0000}"/>
    <cellStyle name="Comma 4 3 4 4 3" xfId="1771" xr:uid="{00000000-0005-0000-0000-0000F32E0000}"/>
    <cellStyle name="Comma 4 3 4 5" xfId="1772" xr:uid="{00000000-0005-0000-0000-0000F42E0000}"/>
    <cellStyle name="Comma 4 3 4 6" xfId="1773" xr:uid="{00000000-0005-0000-0000-0000F52E0000}"/>
    <cellStyle name="Comma 4 3 5" xfId="1774" xr:uid="{00000000-0005-0000-0000-0000F62E0000}"/>
    <cellStyle name="Comma 4 3 5 2" xfId="1775" xr:uid="{00000000-0005-0000-0000-0000F72E0000}"/>
    <cellStyle name="Comma 4 3 5 2 2" xfId="1776" xr:uid="{00000000-0005-0000-0000-0000F82E0000}"/>
    <cellStyle name="Comma 4 3 5 2 3" xfId="1777" xr:uid="{00000000-0005-0000-0000-0000F92E0000}"/>
    <cellStyle name="Comma 4 3 5 3" xfId="1778" xr:uid="{00000000-0005-0000-0000-0000FA2E0000}"/>
    <cellStyle name="Comma 4 3 5 3 2" xfId="1779" xr:uid="{00000000-0005-0000-0000-0000FB2E0000}"/>
    <cellStyle name="Comma 4 3 5 3 3" xfId="1780" xr:uid="{00000000-0005-0000-0000-0000FC2E0000}"/>
    <cellStyle name="Comma 4 3 5 4" xfId="1781" xr:uid="{00000000-0005-0000-0000-0000FD2E0000}"/>
    <cellStyle name="Comma 4 3 5 5" xfId="1782" xr:uid="{00000000-0005-0000-0000-0000FE2E0000}"/>
    <cellStyle name="Comma 4 3 6" xfId="1783" xr:uid="{00000000-0005-0000-0000-0000FF2E0000}"/>
    <cellStyle name="Comma 4 3 6 2" xfId="1784" xr:uid="{00000000-0005-0000-0000-0000002F0000}"/>
    <cellStyle name="Comma 4 3 6 3" xfId="1785" xr:uid="{00000000-0005-0000-0000-0000012F0000}"/>
    <cellStyle name="Comma 4 3 7" xfId="1786" xr:uid="{00000000-0005-0000-0000-0000022F0000}"/>
    <cellStyle name="Comma 4 3 7 2" xfId="1787" xr:uid="{00000000-0005-0000-0000-0000032F0000}"/>
    <cellStyle name="Comma 4 3 7 3" xfId="1788" xr:uid="{00000000-0005-0000-0000-0000042F0000}"/>
    <cellStyle name="Comma 4 3 8" xfId="1789" xr:uid="{00000000-0005-0000-0000-0000052F0000}"/>
    <cellStyle name="Comma 4 3 9" xfId="1790" xr:uid="{00000000-0005-0000-0000-0000062F0000}"/>
    <cellStyle name="Comma 4 4" xfId="287" xr:uid="{00000000-0005-0000-0000-0000072F0000}"/>
    <cellStyle name="Comma 4 4 10" xfId="1791" xr:uid="{00000000-0005-0000-0000-0000082F0000}"/>
    <cellStyle name="Comma 4 4 2" xfId="1792" xr:uid="{00000000-0005-0000-0000-0000092F0000}"/>
    <cellStyle name="Comma 4 4 2 2" xfId="1793" xr:uid="{00000000-0005-0000-0000-00000A2F0000}"/>
    <cellStyle name="Comma 4 4 2 2 2" xfId="1794" xr:uid="{00000000-0005-0000-0000-00000B2F0000}"/>
    <cellStyle name="Comma 4 4 2 2 2 2" xfId="1795" xr:uid="{00000000-0005-0000-0000-00000C2F0000}"/>
    <cellStyle name="Comma 4 4 2 2 2 2 2" xfId="1796" xr:uid="{00000000-0005-0000-0000-00000D2F0000}"/>
    <cellStyle name="Comma 4 4 2 2 2 2 3" xfId="1797" xr:uid="{00000000-0005-0000-0000-00000E2F0000}"/>
    <cellStyle name="Comma 4 4 2 2 2 3" xfId="1798" xr:uid="{00000000-0005-0000-0000-00000F2F0000}"/>
    <cellStyle name="Comma 4 4 2 2 2 3 2" xfId="1799" xr:uid="{00000000-0005-0000-0000-0000102F0000}"/>
    <cellStyle name="Comma 4 4 2 2 2 3 3" xfId="1800" xr:uid="{00000000-0005-0000-0000-0000112F0000}"/>
    <cellStyle name="Comma 4 4 2 2 2 4" xfId="1801" xr:uid="{00000000-0005-0000-0000-0000122F0000}"/>
    <cellStyle name="Comma 4 4 2 2 2 5" xfId="1802" xr:uid="{00000000-0005-0000-0000-0000132F0000}"/>
    <cellStyle name="Comma 4 4 2 2 3" xfId="1803" xr:uid="{00000000-0005-0000-0000-0000142F0000}"/>
    <cellStyle name="Comma 4 4 2 2 3 2" xfId="1804" xr:uid="{00000000-0005-0000-0000-0000152F0000}"/>
    <cellStyle name="Comma 4 4 2 2 3 3" xfId="1805" xr:uid="{00000000-0005-0000-0000-0000162F0000}"/>
    <cellStyle name="Comma 4 4 2 2 4" xfId="1806" xr:uid="{00000000-0005-0000-0000-0000172F0000}"/>
    <cellStyle name="Comma 4 4 2 2 4 2" xfId="1807" xr:uid="{00000000-0005-0000-0000-0000182F0000}"/>
    <cellStyle name="Comma 4 4 2 2 4 3" xfId="1808" xr:uid="{00000000-0005-0000-0000-0000192F0000}"/>
    <cellStyle name="Comma 4 4 2 2 5" xfId="1809" xr:uid="{00000000-0005-0000-0000-00001A2F0000}"/>
    <cellStyle name="Comma 4 4 2 2 6" xfId="1810" xr:uid="{00000000-0005-0000-0000-00001B2F0000}"/>
    <cellStyle name="Comma 4 4 2 3" xfId="1811" xr:uid="{00000000-0005-0000-0000-00001C2F0000}"/>
    <cellStyle name="Comma 4 4 2 3 2" xfId="1812" xr:uid="{00000000-0005-0000-0000-00001D2F0000}"/>
    <cellStyle name="Comma 4 4 2 3 2 2" xfId="1813" xr:uid="{00000000-0005-0000-0000-00001E2F0000}"/>
    <cellStyle name="Comma 4 4 2 3 2 3" xfId="1814" xr:uid="{00000000-0005-0000-0000-00001F2F0000}"/>
    <cellStyle name="Comma 4 4 2 3 3" xfId="1815" xr:uid="{00000000-0005-0000-0000-0000202F0000}"/>
    <cellStyle name="Comma 4 4 2 3 3 2" xfId="1816" xr:uid="{00000000-0005-0000-0000-0000212F0000}"/>
    <cellStyle name="Comma 4 4 2 3 3 3" xfId="1817" xr:uid="{00000000-0005-0000-0000-0000222F0000}"/>
    <cellStyle name="Comma 4 4 2 3 4" xfId="1818" xr:uid="{00000000-0005-0000-0000-0000232F0000}"/>
    <cellStyle name="Comma 4 4 2 3 5" xfId="1819" xr:uid="{00000000-0005-0000-0000-0000242F0000}"/>
    <cellStyle name="Comma 4 4 2 4" xfId="1820" xr:uid="{00000000-0005-0000-0000-0000252F0000}"/>
    <cellStyle name="Comma 4 4 2 4 2" xfId="1821" xr:uid="{00000000-0005-0000-0000-0000262F0000}"/>
    <cellStyle name="Comma 4 4 2 4 3" xfId="1822" xr:uid="{00000000-0005-0000-0000-0000272F0000}"/>
    <cellStyle name="Comma 4 4 2 5" xfId="1823" xr:uid="{00000000-0005-0000-0000-0000282F0000}"/>
    <cellStyle name="Comma 4 4 2 5 2" xfId="1824" xr:uid="{00000000-0005-0000-0000-0000292F0000}"/>
    <cellStyle name="Comma 4 4 2 5 3" xfId="1825" xr:uid="{00000000-0005-0000-0000-00002A2F0000}"/>
    <cellStyle name="Comma 4 4 2 6" xfId="1826" xr:uid="{00000000-0005-0000-0000-00002B2F0000}"/>
    <cellStyle name="Comma 4 4 2 7" xfId="1827" xr:uid="{00000000-0005-0000-0000-00002C2F0000}"/>
    <cellStyle name="Comma 4 4 3" xfId="1828" xr:uid="{00000000-0005-0000-0000-00002D2F0000}"/>
    <cellStyle name="Comma 4 4 3 2" xfId="1829" xr:uid="{00000000-0005-0000-0000-00002E2F0000}"/>
    <cellStyle name="Comma 4 4 3 2 2" xfId="1830" xr:uid="{00000000-0005-0000-0000-00002F2F0000}"/>
    <cellStyle name="Comma 4 4 3 2 2 2" xfId="1831" xr:uid="{00000000-0005-0000-0000-0000302F0000}"/>
    <cellStyle name="Comma 4 4 3 2 2 3" xfId="1832" xr:uid="{00000000-0005-0000-0000-0000312F0000}"/>
    <cellStyle name="Comma 4 4 3 2 3" xfId="1833" xr:uid="{00000000-0005-0000-0000-0000322F0000}"/>
    <cellStyle name="Comma 4 4 3 2 3 2" xfId="1834" xr:uid="{00000000-0005-0000-0000-0000332F0000}"/>
    <cellStyle name="Comma 4 4 3 2 3 3" xfId="1835" xr:uid="{00000000-0005-0000-0000-0000342F0000}"/>
    <cellStyle name="Comma 4 4 3 2 4" xfId="1836" xr:uid="{00000000-0005-0000-0000-0000352F0000}"/>
    <cellStyle name="Comma 4 4 3 2 5" xfId="1837" xr:uid="{00000000-0005-0000-0000-0000362F0000}"/>
    <cellStyle name="Comma 4 4 3 3" xfId="1838" xr:uid="{00000000-0005-0000-0000-0000372F0000}"/>
    <cellStyle name="Comma 4 4 3 3 2" xfId="1839" xr:uid="{00000000-0005-0000-0000-0000382F0000}"/>
    <cellStyle name="Comma 4 4 3 3 3" xfId="1840" xr:uid="{00000000-0005-0000-0000-0000392F0000}"/>
    <cellStyle name="Comma 4 4 3 4" xfId="1841" xr:uid="{00000000-0005-0000-0000-00003A2F0000}"/>
    <cellStyle name="Comma 4 4 3 4 2" xfId="1842" xr:uid="{00000000-0005-0000-0000-00003B2F0000}"/>
    <cellStyle name="Comma 4 4 3 4 3" xfId="1843" xr:uid="{00000000-0005-0000-0000-00003C2F0000}"/>
    <cellStyle name="Comma 4 4 3 5" xfId="1844" xr:uid="{00000000-0005-0000-0000-00003D2F0000}"/>
    <cellStyle name="Comma 4 4 3 6" xfId="1845" xr:uid="{00000000-0005-0000-0000-00003E2F0000}"/>
    <cellStyle name="Comma 4 4 4" xfId="1846" xr:uid="{00000000-0005-0000-0000-00003F2F0000}"/>
    <cellStyle name="Comma 4 4 4 2" xfId="1847" xr:uid="{00000000-0005-0000-0000-0000402F0000}"/>
    <cellStyle name="Comma 4 4 4 2 2" xfId="1848" xr:uid="{00000000-0005-0000-0000-0000412F0000}"/>
    <cellStyle name="Comma 4 4 4 2 3" xfId="1849" xr:uid="{00000000-0005-0000-0000-0000422F0000}"/>
    <cellStyle name="Comma 4 4 4 3" xfId="1850" xr:uid="{00000000-0005-0000-0000-0000432F0000}"/>
    <cellStyle name="Comma 4 4 4 3 2" xfId="1851" xr:uid="{00000000-0005-0000-0000-0000442F0000}"/>
    <cellStyle name="Comma 4 4 4 3 3" xfId="1852" xr:uid="{00000000-0005-0000-0000-0000452F0000}"/>
    <cellStyle name="Comma 4 4 4 4" xfId="1853" xr:uid="{00000000-0005-0000-0000-0000462F0000}"/>
    <cellStyle name="Comma 4 4 4 5" xfId="1854" xr:uid="{00000000-0005-0000-0000-0000472F0000}"/>
    <cellStyle name="Comma 4 4 5" xfId="1855" xr:uid="{00000000-0005-0000-0000-0000482F0000}"/>
    <cellStyle name="Comma 4 4 5 2" xfId="1856" xr:uid="{00000000-0005-0000-0000-0000492F0000}"/>
    <cellStyle name="Comma 4 4 5 3" xfId="1857" xr:uid="{00000000-0005-0000-0000-00004A2F0000}"/>
    <cellStyle name="Comma 4 4 6" xfId="1858" xr:uid="{00000000-0005-0000-0000-00004B2F0000}"/>
    <cellStyle name="Comma 4 4 6 2" xfId="1859" xr:uid="{00000000-0005-0000-0000-00004C2F0000}"/>
    <cellStyle name="Comma 4 4 6 3" xfId="1860" xr:uid="{00000000-0005-0000-0000-00004D2F0000}"/>
    <cellStyle name="Comma 4 4 7" xfId="1861" xr:uid="{00000000-0005-0000-0000-00004E2F0000}"/>
    <cellStyle name="Comma 4 4 8" xfId="1862" xr:uid="{00000000-0005-0000-0000-00004F2F0000}"/>
    <cellStyle name="Comma 4 4 9" xfId="1863" xr:uid="{00000000-0005-0000-0000-0000502F0000}"/>
    <cellStyle name="Comma 4 5" xfId="111" xr:uid="{00000000-0005-0000-0000-0000512F0000}"/>
    <cellStyle name="Comma 4 5 2" xfId="1864" xr:uid="{00000000-0005-0000-0000-0000522F0000}"/>
    <cellStyle name="Comma 4 5 2 2" xfId="1865" xr:uid="{00000000-0005-0000-0000-0000532F0000}"/>
    <cellStyle name="Comma 4 5 2 2 2" xfId="1866" xr:uid="{00000000-0005-0000-0000-0000542F0000}"/>
    <cellStyle name="Comma 4 5 2 2 2 2" xfId="1867" xr:uid="{00000000-0005-0000-0000-0000552F0000}"/>
    <cellStyle name="Comma 4 5 2 2 2 3" xfId="1868" xr:uid="{00000000-0005-0000-0000-0000562F0000}"/>
    <cellStyle name="Comma 4 5 2 2 3" xfId="1869" xr:uid="{00000000-0005-0000-0000-0000572F0000}"/>
    <cellStyle name="Comma 4 5 2 2 3 2" xfId="1870" xr:uid="{00000000-0005-0000-0000-0000582F0000}"/>
    <cellStyle name="Comma 4 5 2 2 3 3" xfId="1871" xr:uid="{00000000-0005-0000-0000-0000592F0000}"/>
    <cellStyle name="Comma 4 5 2 2 4" xfId="1872" xr:uid="{00000000-0005-0000-0000-00005A2F0000}"/>
    <cellStyle name="Comma 4 5 2 2 5" xfId="1873" xr:uid="{00000000-0005-0000-0000-00005B2F0000}"/>
    <cellStyle name="Comma 4 5 2 3" xfId="1874" xr:uid="{00000000-0005-0000-0000-00005C2F0000}"/>
    <cellStyle name="Comma 4 5 2 3 2" xfId="1875" xr:uid="{00000000-0005-0000-0000-00005D2F0000}"/>
    <cellStyle name="Comma 4 5 2 3 3" xfId="1876" xr:uid="{00000000-0005-0000-0000-00005E2F0000}"/>
    <cellStyle name="Comma 4 5 2 4" xfId="1877" xr:uid="{00000000-0005-0000-0000-00005F2F0000}"/>
    <cellStyle name="Comma 4 5 2 4 2" xfId="1878" xr:uid="{00000000-0005-0000-0000-0000602F0000}"/>
    <cellStyle name="Comma 4 5 2 4 3" xfId="1879" xr:uid="{00000000-0005-0000-0000-0000612F0000}"/>
    <cellStyle name="Comma 4 5 2 5" xfId="1880" xr:uid="{00000000-0005-0000-0000-0000622F0000}"/>
    <cellStyle name="Comma 4 5 2 6" xfId="1881" xr:uid="{00000000-0005-0000-0000-0000632F0000}"/>
    <cellStyle name="Comma 4 5 3" xfId="1882" xr:uid="{00000000-0005-0000-0000-0000642F0000}"/>
    <cellStyle name="Comma 4 5 3 2" xfId="1883" xr:uid="{00000000-0005-0000-0000-0000652F0000}"/>
    <cellStyle name="Comma 4 5 3 2 2" xfId="1884" xr:uid="{00000000-0005-0000-0000-0000662F0000}"/>
    <cellStyle name="Comma 4 5 3 2 3" xfId="1885" xr:uid="{00000000-0005-0000-0000-0000672F0000}"/>
    <cellStyle name="Comma 4 5 3 3" xfId="1886" xr:uid="{00000000-0005-0000-0000-0000682F0000}"/>
    <cellStyle name="Comma 4 5 3 3 2" xfId="1887" xr:uid="{00000000-0005-0000-0000-0000692F0000}"/>
    <cellStyle name="Comma 4 5 3 3 3" xfId="1888" xr:uid="{00000000-0005-0000-0000-00006A2F0000}"/>
    <cellStyle name="Comma 4 5 3 4" xfId="1889" xr:uid="{00000000-0005-0000-0000-00006B2F0000}"/>
    <cellStyle name="Comma 4 5 3 5" xfId="1890" xr:uid="{00000000-0005-0000-0000-00006C2F0000}"/>
    <cellStyle name="Comma 4 5 4" xfId="1891" xr:uid="{00000000-0005-0000-0000-00006D2F0000}"/>
    <cellStyle name="Comma 4 5 4 2" xfId="1892" xr:uid="{00000000-0005-0000-0000-00006E2F0000}"/>
    <cellStyle name="Comma 4 5 4 3" xfId="1893" xr:uid="{00000000-0005-0000-0000-00006F2F0000}"/>
    <cellStyle name="Comma 4 5 5" xfId="1894" xr:uid="{00000000-0005-0000-0000-0000702F0000}"/>
    <cellStyle name="Comma 4 5 5 2" xfId="1895" xr:uid="{00000000-0005-0000-0000-0000712F0000}"/>
    <cellStyle name="Comma 4 5 5 3" xfId="1896" xr:uid="{00000000-0005-0000-0000-0000722F0000}"/>
    <cellStyle name="Comma 4 5 6" xfId="1897" xr:uid="{00000000-0005-0000-0000-0000732F0000}"/>
    <cellStyle name="Comma 4 5 7" xfId="1898" xr:uid="{00000000-0005-0000-0000-0000742F0000}"/>
    <cellStyle name="Comma 4 6" xfId="277" xr:uid="{00000000-0005-0000-0000-0000752F0000}"/>
    <cellStyle name="Comma 4 6 2" xfId="1899" xr:uid="{00000000-0005-0000-0000-0000762F0000}"/>
    <cellStyle name="Comma 4 6 2 2" xfId="1900" xr:uid="{00000000-0005-0000-0000-0000772F0000}"/>
    <cellStyle name="Comma 4 6 2 2 2" xfId="1901" xr:uid="{00000000-0005-0000-0000-0000782F0000}"/>
    <cellStyle name="Comma 4 6 2 2 3" xfId="1902" xr:uid="{00000000-0005-0000-0000-0000792F0000}"/>
    <cellStyle name="Comma 4 6 2 3" xfId="1903" xr:uid="{00000000-0005-0000-0000-00007A2F0000}"/>
    <cellStyle name="Comma 4 6 2 3 2" xfId="1904" xr:uid="{00000000-0005-0000-0000-00007B2F0000}"/>
    <cellStyle name="Comma 4 6 2 3 3" xfId="1905" xr:uid="{00000000-0005-0000-0000-00007C2F0000}"/>
    <cellStyle name="Comma 4 6 2 4" xfId="1906" xr:uid="{00000000-0005-0000-0000-00007D2F0000}"/>
    <cellStyle name="Comma 4 6 2 5" xfId="1907" xr:uid="{00000000-0005-0000-0000-00007E2F0000}"/>
    <cellStyle name="Comma 4 6 3" xfId="1908" xr:uid="{00000000-0005-0000-0000-00007F2F0000}"/>
    <cellStyle name="Comma 4 6 3 2" xfId="1909" xr:uid="{00000000-0005-0000-0000-0000802F0000}"/>
    <cellStyle name="Comma 4 6 3 3" xfId="1910" xr:uid="{00000000-0005-0000-0000-0000812F0000}"/>
    <cellStyle name="Comma 4 6 4" xfId="1911" xr:uid="{00000000-0005-0000-0000-0000822F0000}"/>
    <cellStyle name="Comma 4 6 4 2" xfId="1912" xr:uid="{00000000-0005-0000-0000-0000832F0000}"/>
    <cellStyle name="Comma 4 6 4 3" xfId="1913" xr:uid="{00000000-0005-0000-0000-0000842F0000}"/>
    <cellStyle name="Comma 4 6 5" xfId="1914" xr:uid="{00000000-0005-0000-0000-0000852F0000}"/>
    <cellStyle name="Comma 4 6 6" xfId="1915" xr:uid="{00000000-0005-0000-0000-0000862F0000}"/>
    <cellStyle name="Comma 4 7" xfId="1916" xr:uid="{00000000-0005-0000-0000-0000872F0000}"/>
    <cellStyle name="Comma 4 7 2" xfId="1917" xr:uid="{00000000-0005-0000-0000-0000882F0000}"/>
    <cellStyle name="Comma 4 7 2 2" xfId="1918" xr:uid="{00000000-0005-0000-0000-0000892F0000}"/>
    <cellStyle name="Comma 4 7 2 3" xfId="1919" xr:uid="{00000000-0005-0000-0000-00008A2F0000}"/>
    <cellStyle name="Comma 4 7 3" xfId="1920" xr:uid="{00000000-0005-0000-0000-00008B2F0000}"/>
    <cellStyle name="Comma 4 7 3 2" xfId="1921" xr:uid="{00000000-0005-0000-0000-00008C2F0000}"/>
    <cellStyle name="Comma 4 7 3 3" xfId="1922" xr:uid="{00000000-0005-0000-0000-00008D2F0000}"/>
    <cellStyle name="Comma 4 7 4" xfId="1923" xr:uid="{00000000-0005-0000-0000-00008E2F0000}"/>
    <cellStyle name="Comma 4 7 5" xfId="1924" xr:uid="{00000000-0005-0000-0000-00008F2F0000}"/>
    <cellStyle name="Comma 4 8" xfId="1925" xr:uid="{00000000-0005-0000-0000-0000902F0000}"/>
    <cellStyle name="Comma 4 8 2" xfId="1926" xr:uid="{00000000-0005-0000-0000-0000912F0000}"/>
    <cellStyle name="Comma 4 8 3" xfId="1927" xr:uid="{00000000-0005-0000-0000-0000922F0000}"/>
    <cellStyle name="Comma 4 9" xfId="1928" xr:uid="{00000000-0005-0000-0000-0000932F0000}"/>
    <cellStyle name="Comma 4 9 2" xfId="1929" xr:uid="{00000000-0005-0000-0000-0000942F0000}"/>
    <cellStyle name="Comma 4 9 3" xfId="1930" xr:uid="{00000000-0005-0000-0000-0000952F0000}"/>
    <cellStyle name="Comma 5" xfId="112" xr:uid="{00000000-0005-0000-0000-0000962F0000}"/>
    <cellStyle name="Comma 5 10" xfId="1931" xr:uid="{00000000-0005-0000-0000-0000972F0000}"/>
    <cellStyle name="Comma 5 11" xfId="1932" xr:uid="{00000000-0005-0000-0000-0000982F0000}"/>
    <cellStyle name="Comma 5 2" xfId="1933" xr:uid="{00000000-0005-0000-0000-0000992F0000}"/>
    <cellStyle name="Comma 5 2 2" xfId="1934" xr:uid="{00000000-0005-0000-0000-00009A2F0000}"/>
    <cellStyle name="Comma 5 2 2 2" xfId="1935" xr:uid="{00000000-0005-0000-0000-00009B2F0000}"/>
    <cellStyle name="Comma 5 2 2 2 2" xfId="1936" xr:uid="{00000000-0005-0000-0000-00009C2F0000}"/>
    <cellStyle name="Comma 5 2 2 2 2 2" xfId="1937" xr:uid="{00000000-0005-0000-0000-00009D2F0000}"/>
    <cellStyle name="Comma 5 2 2 2 2 2 2" xfId="1938" xr:uid="{00000000-0005-0000-0000-00009E2F0000}"/>
    <cellStyle name="Comma 5 2 2 2 2 2 2 2" xfId="1939" xr:uid="{00000000-0005-0000-0000-00009F2F0000}"/>
    <cellStyle name="Comma 5 2 2 2 2 2 2 3" xfId="1940" xr:uid="{00000000-0005-0000-0000-0000A02F0000}"/>
    <cellStyle name="Comma 5 2 2 2 2 2 3" xfId="1941" xr:uid="{00000000-0005-0000-0000-0000A12F0000}"/>
    <cellStyle name="Comma 5 2 2 2 2 2 3 2" xfId="1942" xr:uid="{00000000-0005-0000-0000-0000A22F0000}"/>
    <cellStyle name="Comma 5 2 2 2 2 2 3 3" xfId="1943" xr:uid="{00000000-0005-0000-0000-0000A32F0000}"/>
    <cellStyle name="Comma 5 2 2 2 2 2 4" xfId="1944" xr:uid="{00000000-0005-0000-0000-0000A42F0000}"/>
    <cellStyle name="Comma 5 2 2 2 2 2 5" xfId="1945" xr:uid="{00000000-0005-0000-0000-0000A52F0000}"/>
    <cellStyle name="Comma 5 2 2 2 2 3" xfId="1946" xr:uid="{00000000-0005-0000-0000-0000A62F0000}"/>
    <cellStyle name="Comma 5 2 2 2 2 3 2" xfId="1947" xr:uid="{00000000-0005-0000-0000-0000A72F0000}"/>
    <cellStyle name="Comma 5 2 2 2 2 3 3" xfId="1948" xr:uid="{00000000-0005-0000-0000-0000A82F0000}"/>
    <cellStyle name="Comma 5 2 2 2 2 4" xfId="1949" xr:uid="{00000000-0005-0000-0000-0000A92F0000}"/>
    <cellStyle name="Comma 5 2 2 2 2 4 2" xfId="1950" xr:uid="{00000000-0005-0000-0000-0000AA2F0000}"/>
    <cellStyle name="Comma 5 2 2 2 2 4 3" xfId="1951" xr:uid="{00000000-0005-0000-0000-0000AB2F0000}"/>
    <cellStyle name="Comma 5 2 2 2 2 5" xfId="1952" xr:uid="{00000000-0005-0000-0000-0000AC2F0000}"/>
    <cellStyle name="Comma 5 2 2 2 2 6" xfId="1953" xr:uid="{00000000-0005-0000-0000-0000AD2F0000}"/>
    <cellStyle name="Comma 5 2 2 2 3" xfId="1954" xr:uid="{00000000-0005-0000-0000-0000AE2F0000}"/>
    <cellStyle name="Comma 5 2 2 2 3 2" xfId="1955" xr:uid="{00000000-0005-0000-0000-0000AF2F0000}"/>
    <cellStyle name="Comma 5 2 2 2 3 2 2" xfId="1956" xr:uid="{00000000-0005-0000-0000-0000B02F0000}"/>
    <cellStyle name="Comma 5 2 2 2 3 2 3" xfId="1957" xr:uid="{00000000-0005-0000-0000-0000B12F0000}"/>
    <cellStyle name="Comma 5 2 2 2 3 3" xfId="1958" xr:uid="{00000000-0005-0000-0000-0000B22F0000}"/>
    <cellStyle name="Comma 5 2 2 2 3 3 2" xfId="1959" xr:uid="{00000000-0005-0000-0000-0000B32F0000}"/>
    <cellStyle name="Comma 5 2 2 2 3 3 3" xfId="1960" xr:uid="{00000000-0005-0000-0000-0000B42F0000}"/>
    <cellStyle name="Comma 5 2 2 2 3 4" xfId="1961" xr:uid="{00000000-0005-0000-0000-0000B52F0000}"/>
    <cellStyle name="Comma 5 2 2 2 3 5" xfId="1962" xr:uid="{00000000-0005-0000-0000-0000B62F0000}"/>
    <cellStyle name="Comma 5 2 2 2 4" xfId="1963" xr:uid="{00000000-0005-0000-0000-0000B72F0000}"/>
    <cellStyle name="Comma 5 2 2 2 4 2" xfId="1964" xr:uid="{00000000-0005-0000-0000-0000B82F0000}"/>
    <cellStyle name="Comma 5 2 2 2 4 3" xfId="1965" xr:uid="{00000000-0005-0000-0000-0000B92F0000}"/>
    <cellStyle name="Comma 5 2 2 2 5" xfId="1966" xr:uid="{00000000-0005-0000-0000-0000BA2F0000}"/>
    <cellStyle name="Comma 5 2 2 2 5 2" xfId="1967" xr:uid="{00000000-0005-0000-0000-0000BB2F0000}"/>
    <cellStyle name="Comma 5 2 2 2 5 3" xfId="1968" xr:uid="{00000000-0005-0000-0000-0000BC2F0000}"/>
    <cellStyle name="Comma 5 2 2 2 6" xfId="1969" xr:uid="{00000000-0005-0000-0000-0000BD2F0000}"/>
    <cellStyle name="Comma 5 2 2 2 7" xfId="1970" xr:uid="{00000000-0005-0000-0000-0000BE2F0000}"/>
    <cellStyle name="Comma 5 2 2 3" xfId="1971" xr:uid="{00000000-0005-0000-0000-0000BF2F0000}"/>
    <cellStyle name="Comma 5 2 2 3 2" xfId="1972" xr:uid="{00000000-0005-0000-0000-0000C02F0000}"/>
    <cellStyle name="Comma 5 2 2 3 2 2" xfId="1973" xr:uid="{00000000-0005-0000-0000-0000C12F0000}"/>
    <cellStyle name="Comma 5 2 2 3 2 2 2" xfId="1974" xr:uid="{00000000-0005-0000-0000-0000C22F0000}"/>
    <cellStyle name="Comma 5 2 2 3 2 2 3" xfId="1975" xr:uid="{00000000-0005-0000-0000-0000C32F0000}"/>
    <cellStyle name="Comma 5 2 2 3 2 3" xfId="1976" xr:uid="{00000000-0005-0000-0000-0000C42F0000}"/>
    <cellStyle name="Comma 5 2 2 3 2 3 2" xfId="1977" xr:uid="{00000000-0005-0000-0000-0000C52F0000}"/>
    <cellStyle name="Comma 5 2 2 3 2 3 3" xfId="1978" xr:uid="{00000000-0005-0000-0000-0000C62F0000}"/>
    <cellStyle name="Comma 5 2 2 3 2 4" xfId="1979" xr:uid="{00000000-0005-0000-0000-0000C72F0000}"/>
    <cellStyle name="Comma 5 2 2 3 2 5" xfId="1980" xr:uid="{00000000-0005-0000-0000-0000C82F0000}"/>
    <cellStyle name="Comma 5 2 2 3 3" xfId="1981" xr:uid="{00000000-0005-0000-0000-0000C92F0000}"/>
    <cellStyle name="Comma 5 2 2 3 3 2" xfId="1982" xr:uid="{00000000-0005-0000-0000-0000CA2F0000}"/>
    <cellStyle name="Comma 5 2 2 3 3 3" xfId="1983" xr:uid="{00000000-0005-0000-0000-0000CB2F0000}"/>
    <cellStyle name="Comma 5 2 2 3 4" xfId="1984" xr:uid="{00000000-0005-0000-0000-0000CC2F0000}"/>
    <cellStyle name="Comma 5 2 2 3 4 2" xfId="1985" xr:uid="{00000000-0005-0000-0000-0000CD2F0000}"/>
    <cellStyle name="Comma 5 2 2 3 4 3" xfId="1986" xr:uid="{00000000-0005-0000-0000-0000CE2F0000}"/>
    <cellStyle name="Comma 5 2 2 3 5" xfId="1987" xr:uid="{00000000-0005-0000-0000-0000CF2F0000}"/>
    <cellStyle name="Comma 5 2 2 3 6" xfId="1988" xr:uid="{00000000-0005-0000-0000-0000D02F0000}"/>
    <cellStyle name="Comma 5 2 2 4" xfId="1989" xr:uid="{00000000-0005-0000-0000-0000D12F0000}"/>
    <cellStyle name="Comma 5 2 2 4 2" xfId="1990" xr:uid="{00000000-0005-0000-0000-0000D22F0000}"/>
    <cellStyle name="Comma 5 2 2 4 2 2" xfId="1991" xr:uid="{00000000-0005-0000-0000-0000D32F0000}"/>
    <cellStyle name="Comma 5 2 2 4 2 3" xfId="1992" xr:uid="{00000000-0005-0000-0000-0000D42F0000}"/>
    <cellStyle name="Comma 5 2 2 4 3" xfId="1993" xr:uid="{00000000-0005-0000-0000-0000D52F0000}"/>
    <cellStyle name="Comma 5 2 2 4 3 2" xfId="1994" xr:uid="{00000000-0005-0000-0000-0000D62F0000}"/>
    <cellStyle name="Comma 5 2 2 4 3 3" xfId="1995" xr:uid="{00000000-0005-0000-0000-0000D72F0000}"/>
    <cellStyle name="Comma 5 2 2 4 4" xfId="1996" xr:uid="{00000000-0005-0000-0000-0000D82F0000}"/>
    <cellStyle name="Comma 5 2 2 4 5" xfId="1997" xr:uid="{00000000-0005-0000-0000-0000D92F0000}"/>
    <cellStyle name="Comma 5 2 2 5" xfId="1998" xr:uid="{00000000-0005-0000-0000-0000DA2F0000}"/>
    <cellStyle name="Comma 5 2 2 5 2" xfId="1999" xr:uid="{00000000-0005-0000-0000-0000DB2F0000}"/>
    <cellStyle name="Comma 5 2 2 5 3" xfId="2000" xr:uid="{00000000-0005-0000-0000-0000DC2F0000}"/>
    <cellStyle name="Comma 5 2 2 6" xfId="2001" xr:uid="{00000000-0005-0000-0000-0000DD2F0000}"/>
    <cellStyle name="Comma 5 2 2 6 2" xfId="2002" xr:uid="{00000000-0005-0000-0000-0000DE2F0000}"/>
    <cellStyle name="Comma 5 2 2 6 3" xfId="2003" xr:uid="{00000000-0005-0000-0000-0000DF2F0000}"/>
    <cellStyle name="Comma 5 2 2 7" xfId="2004" xr:uid="{00000000-0005-0000-0000-0000E02F0000}"/>
    <cellStyle name="Comma 5 2 2 8" xfId="2005" xr:uid="{00000000-0005-0000-0000-0000E12F0000}"/>
    <cellStyle name="Comma 5 2 3" xfId="2006" xr:uid="{00000000-0005-0000-0000-0000E22F0000}"/>
    <cellStyle name="Comma 5 2 3 2" xfId="2007" xr:uid="{00000000-0005-0000-0000-0000E32F0000}"/>
    <cellStyle name="Comma 5 2 3 2 2" xfId="2008" xr:uid="{00000000-0005-0000-0000-0000E42F0000}"/>
    <cellStyle name="Comma 5 2 3 2 2 2" xfId="2009" xr:uid="{00000000-0005-0000-0000-0000E52F0000}"/>
    <cellStyle name="Comma 5 2 3 2 2 2 2" xfId="2010" xr:uid="{00000000-0005-0000-0000-0000E62F0000}"/>
    <cellStyle name="Comma 5 2 3 2 2 2 3" xfId="2011" xr:uid="{00000000-0005-0000-0000-0000E72F0000}"/>
    <cellStyle name="Comma 5 2 3 2 2 3" xfId="2012" xr:uid="{00000000-0005-0000-0000-0000E82F0000}"/>
    <cellStyle name="Comma 5 2 3 2 2 3 2" xfId="2013" xr:uid="{00000000-0005-0000-0000-0000E92F0000}"/>
    <cellStyle name="Comma 5 2 3 2 2 3 3" xfId="2014" xr:uid="{00000000-0005-0000-0000-0000EA2F0000}"/>
    <cellStyle name="Comma 5 2 3 2 2 4" xfId="2015" xr:uid="{00000000-0005-0000-0000-0000EB2F0000}"/>
    <cellStyle name="Comma 5 2 3 2 2 5" xfId="2016" xr:uid="{00000000-0005-0000-0000-0000EC2F0000}"/>
    <cellStyle name="Comma 5 2 3 2 3" xfId="2017" xr:uid="{00000000-0005-0000-0000-0000ED2F0000}"/>
    <cellStyle name="Comma 5 2 3 2 3 2" xfId="2018" xr:uid="{00000000-0005-0000-0000-0000EE2F0000}"/>
    <cellStyle name="Comma 5 2 3 2 3 3" xfId="2019" xr:uid="{00000000-0005-0000-0000-0000EF2F0000}"/>
    <cellStyle name="Comma 5 2 3 2 4" xfId="2020" xr:uid="{00000000-0005-0000-0000-0000F02F0000}"/>
    <cellStyle name="Comma 5 2 3 2 4 2" xfId="2021" xr:uid="{00000000-0005-0000-0000-0000F12F0000}"/>
    <cellStyle name="Comma 5 2 3 2 4 3" xfId="2022" xr:uid="{00000000-0005-0000-0000-0000F22F0000}"/>
    <cellStyle name="Comma 5 2 3 2 5" xfId="2023" xr:uid="{00000000-0005-0000-0000-0000F32F0000}"/>
    <cellStyle name="Comma 5 2 3 2 6" xfId="2024" xr:uid="{00000000-0005-0000-0000-0000F42F0000}"/>
    <cellStyle name="Comma 5 2 3 3" xfId="2025" xr:uid="{00000000-0005-0000-0000-0000F52F0000}"/>
    <cellStyle name="Comma 5 2 3 3 2" xfId="2026" xr:uid="{00000000-0005-0000-0000-0000F62F0000}"/>
    <cellStyle name="Comma 5 2 3 3 2 2" xfId="2027" xr:uid="{00000000-0005-0000-0000-0000F72F0000}"/>
    <cellStyle name="Comma 5 2 3 3 2 3" xfId="2028" xr:uid="{00000000-0005-0000-0000-0000F82F0000}"/>
    <cellStyle name="Comma 5 2 3 3 3" xfId="2029" xr:uid="{00000000-0005-0000-0000-0000F92F0000}"/>
    <cellStyle name="Comma 5 2 3 3 3 2" xfId="2030" xr:uid="{00000000-0005-0000-0000-0000FA2F0000}"/>
    <cellStyle name="Comma 5 2 3 3 3 3" xfId="2031" xr:uid="{00000000-0005-0000-0000-0000FB2F0000}"/>
    <cellStyle name="Comma 5 2 3 3 4" xfId="2032" xr:uid="{00000000-0005-0000-0000-0000FC2F0000}"/>
    <cellStyle name="Comma 5 2 3 3 5" xfId="2033" xr:uid="{00000000-0005-0000-0000-0000FD2F0000}"/>
    <cellStyle name="Comma 5 2 3 4" xfId="2034" xr:uid="{00000000-0005-0000-0000-0000FE2F0000}"/>
    <cellStyle name="Comma 5 2 3 4 2" xfId="2035" xr:uid="{00000000-0005-0000-0000-0000FF2F0000}"/>
    <cellStyle name="Comma 5 2 3 4 3" xfId="2036" xr:uid="{00000000-0005-0000-0000-000000300000}"/>
    <cellStyle name="Comma 5 2 3 5" xfId="2037" xr:uid="{00000000-0005-0000-0000-000001300000}"/>
    <cellStyle name="Comma 5 2 3 5 2" xfId="2038" xr:uid="{00000000-0005-0000-0000-000002300000}"/>
    <cellStyle name="Comma 5 2 3 5 3" xfId="2039" xr:uid="{00000000-0005-0000-0000-000003300000}"/>
    <cellStyle name="Comma 5 2 3 6" xfId="2040" xr:uid="{00000000-0005-0000-0000-000004300000}"/>
    <cellStyle name="Comma 5 2 3 7" xfId="2041" xr:uid="{00000000-0005-0000-0000-000005300000}"/>
    <cellStyle name="Comma 5 2 4" xfId="2042" xr:uid="{00000000-0005-0000-0000-000006300000}"/>
    <cellStyle name="Comma 5 2 4 2" xfId="2043" xr:uid="{00000000-0005-0000-0000-000007300000}"/>
    <cellStyle name="Comma 5 2 4 2 2" xfId="2044" xr:uid="{00000000-0005-0000-0000-000008300000}"/>
    <cellStyle name="Comma 5 2 4 2 2 2" xfId="2045" xr:uid="{00000000-0005-0000-0000-000009300000}"/>
    <cellStyle name="Comma 5 2 4 2 2 3" xfId="2046" xr:uid="{00000000-0005-0000-0000-00000A300000}"/>
    <cellStyle name="Comma 5 2 4 2 3" xfId="2047" xr:uid="{00000000-0005-0000-0000-00000B300000}"/>
    <cellStyle name="Comma 5 2 4 2 3 2" xfId="2048" xr:uid="{00000000-0005-0000-0000-00000C300000}"/>
    <cellStyle name="Comma 5 2 4 2 3 3" xfId="2049" xr:uid="{00000000-0005-0000-0000-00000D300000}"/>
    <cellStyle name="Comma 5 2 4 2 4" xfId="2050" xr:uid="{00000000-0005-0000-0000-00000E300000}"/>
    <cellStyle name="Comma 5 2 4 2 5" xfId="2051" xr:uid="{00000000-0005-0000-0000-00000F300000}"/>
    <cellStyle name="Comma 5 2 4 3" xfId="2052" xr:uid="{00000000-0005-0000-0000-000010300000}"/>
    <cellStyle name="Comma 5 2 4 3 2" xfId="2053" xr:uid="{00000000-0005-0000-0000-000011300000}"/>
    <cellStyle name="Comma 5 2 4 3 3" xfId="2054" xr:uid="{00000000-0005-0000-0000-000012300000}"/>
    <cellStyle name="Comma 5 2 4 4" xfId="2055" xr:uid="{00000000-0005-0000-0000-000013300000}"/>
    <cellStyle name="Comma 5 2 4 4 2" xfId="2056" xr:uid="{00000000-0005-0000-0000-000014300000}"/>
    <cellStyle name="Comma 5 2 4 4 3" xfId="2057" xr:uid="{00000000-0005-0000-0000-000015300000}"/>
    <cellStyle name="Comma 5 2 4 5" xfId="2058" xr:uid="{00000000-0005-0000-0000-000016300000}"/>
    <cellStyle name="Comma 5 2 4 6" xfId="2059" xr:uid="{00000000-0005-0000-0000-000017300000}"/>
    <cellStyle name="Comma 5 2 5" xfId="2060" xr:uid="{00000000-0005-0000-0000-000018300000}"/>
    <cellStyle name="Comma 5 2 5 2" xfId="2061" xr:uid="{00000000-0005-0000-0000-000019300000}"/>
    <cellStyle name="Comma 5 2 5 2 2" xfId="2062" xr:uid="{00000000-0005-0000-0000-00001A300000}"/>
    <cellStyle name="Comma 5 2 5 2 3" xfId="2063" xr:uid="{00000000-0005-0000-0000-00001B300000}"/>
    <cellStyle name="Comma 5 2 5 3" xfId="2064" xr:uid="{00000000-0005-0000-0000-00001C300000}"/>
    <cellStyle name="Comma 5 2 5 3 2" xfId="2065" xr:uid="{00000000-0005-0000-0000-00001D300000}"/>
    <cellStyle name="Comma 5 2 5 3 3" xfId="2066" xr:uid="{00000000-0005-0000-0000-00001E300000}"/>
    <cellStyle name="Comma 5 2 5 4" xfId="2067" xr:uid="{00000000-0005-0000-0000-00001F300000}"/>
    <cellStyle name="Comma 5 2 5 5" xfId="2068" xr:uid="{00000000-0005-0000-0000-000020300000}"/>
    <cellStyle name="Comma 5 2 6" xfId="2069" xr:uid="{00000000-0005-0000-0000-000021300000}"/>
    <cellStyle name="Comma 5 2 6 2" xfId="2070" xr:uid="{00000000-0005-0000-0000-000022300000}"/>
    <cellStyle name="Comma 5 2 6 3" xfId="2071" xr:uid="{00000000-0005-0000-0000-000023300000}"/>
    <cellStyle name="Comma 5 2 7" xfId="2072" xr:uid="{00000000-0005-0000-0000-000024300000}"/>
    <cellStyle name="Comma 5 2 7 2" xfId="2073" xr:uid="{00000000-0005-0000-0000-000025300000}"/>
    <cellStyle name="Comma 5 2 7 3" xfId="2074" xr:uid="{00000000-0005-0000-0000-000026300000}"/>
    <cellStyle name="Comma 5 2 8" xfId="2075" xr:uid="{00000000-0005-0000-0000-000027300000}"/>
    <cellStyle name="Comma 5 2 9" xfId="2076" xr:uid="{00000000-0005-0000-0000-000028300000}"/>
    <cellStyle name="Comma 5 3" xfId="2077" xr:uid="{00000000-0005-0000-0000-000029300000}"/>
    <cellStyle name="Comma 5 3 2" xfId="2078" xr:uid="{00000000-0005-0000-0000-00002A300000}"/>
    <cellStyle name="Comma 5 3 2 2" xfId="2079" xr:uid="{00000000-0005-0000-0000-00002B300000}"/>
    <cellStyle name="Comma 5 3 2 2 2" xfId="2080" xr:uid="{00000000-0005-0000-0000-00002C300000}"/>
    <cellStyle name="Comma 5 3 2 2 2 2" xfId="2081" xr:uid="{00000000-0005-0000-0000-00002D300000}"/>
    <cellStyle name="Comma 5 3 2 2 2 2 2" xfId="2082" xr:uid="{00000000-0005-0000-0000-00002E300000}"/>
    <cellStyle name="Comma 5 3 2 2 2 2 3" xfId="2083" xr:uid="{00000000-0005-0000-0000-00002F300000}"/>
    <cellStyle name="Comma 5 3 2 2 2 3" xfId="2084" xr:uid="{00000000-0005-0000-0000-000030300000}"/>
    <cellStyle name="Comma 5 3 2 2 2 3 2" xfId="2085" xr:uid="{00000000-0005-0000-0000-000031300000}"/>
    <cellStyle name="Comma 5 3 2 2 2 3 3" xfId="2086" xr:uid="{00000000-0005-0000-0000-000032300000}"/>
    <cellStyle name="Comma 5 3 2 2 2 4" xfId="2087" xr:uid="{00000000-0005-0000-0000-000033300000}"/>
    <cellStyle name="Comma 5 3 2 2 2 5" xfId="2088" xr:uid="{00000000-0005-0000-0000-000034300000}"/>
    <cellStyle name="Comma 5 3 2 2 3" xfId="2089" xr:uid="{00000000-0005-0000-0000-000035300000}"/>
    <cellStyle name="Comma 5 3 2 2 3 2" xfId="2090" xr:uid="{00000000-0005-0000-0000-000036300000}"/>
    <cellStyle name="Comma 5 3 2 2 3 3" xfId="2091" xr:uid="{00000000-0005-0000-0000-000037300000}"/>
    <cellStyle name="Comma 5 3 2 2 4" xfId="2092" xr:uid="{00000000-0005-0000-0000-000038300000}"/>
    <cellStyle name="Comma 5 3 2 2 4 2" xfId="2093" xr:uid="{00000000-0005-0000-0000-000039300000}"/>
    <cellStyle name="Comma 5 3 2 2 4 3" xfId="2094" xr:uid="{00000000-0005-0000-0000-00003A300000}"/>
    <cellStyle name="Comma 5 3 2 2 5" xfId="2095" xr:uid="{00000000-0005-0000-0000-00003B300000}"/>
    <cellStyle name="Comma 5 3 2 2 6" xfId="2096" xr:uid="{00000000-0005-0000-0000-00003C300000}"/>
    <cellStyle name="Comma 5 3 2 3" xfId="2097" xr:uid="{00000000-0005-0000-0000-00003D300000}"/>
    <cellStyle name="Comma 5 3 2 3 2" xfId="2098" xr:uid="{00000000-0005-0000-0000-00003E300000}"/>
    <cellStyle name="Comma 5 3 2 3 2 2" xfId="2099" xr:uid="{00000000-0005-0000-0000-00003F300000}"/>
    <cellStyle name="Comma 5 3 2 3 2 3" xfId="2100" xr:uid="{00000000-0005-0000-0000-000040300000}"/>
    <cellStyle name="Comma 5 3 2 3 3" xfId="2101" xr:uid="{00000000-0005-0000-0000-000041300000}"/>
    <cellStyle name="Comma 5 3 2 3 3 2" xfId="2102" xr:uid="{00000000-0005-0000-0000-000042300000}"/>
    <cellStyle name="Comma 5 3 2 3 3 3" xfId="2103" xr:uid="{00000000-0005-0000-0000-000043300000}"/>
    <cellStyle name="Comma 5 3 2 3 4" xfId="2104" xr:uid="{00000000-0005-0000-0000-000044300000}"/>
    <cellStyle name="Comma 5 3 2 3 5" xfId="2105" xr:uid="{00000000-0005-0000-0000-000045300000}"/>
    <cellStyle name="Comma 5 3 2 4" xfId="2106" xr:uid="{00000000-0005-0000-0000-000046300000}"/>
    <cellStyle name="Comma 5 3 2 4 2" xfId="2107" xr:uid="{00000000-0005-0000-0000-000047300000}"/>
    <cellStyle name="Comma 5 3 2 4 3" xfId="2108" xr:uid="{00000000-0005-0000-0000-000048300000}"/>
    <cellStyle name="Comma 5 3 2 5" xfId="2109" xr:uid="{00000000-0005-0000-0000-000049300000}"/>
    <cellStyle name="Comma 5 3 2 5 2" xfId="2110" xr:uid="{00000000-0005-0000-0000-00004A300000}"/>
    <cellStyle name="Comma 5 3 2 5 3" xfId="2111" xr:uid="{00000000-0005-0000-0000-00004B300000}"/>
    <cellStyle name="Comma 5 3 2 6" xfId="2112" xr:uid="{00000000-0005-0000-0000-00004C300000}"/>
    <cellStyle name="Comma 5 3 2 7" xfId="2113" xr:uid="{00000000-0005-0000-0000-00004D300000}"/>
    <cellStyle name="Comma 5 3 3" xfId="2114" xr:uid="{00000000-0005-0000-0000-00004E300000}"/>
    <cellStyle name="Comma 5 3 3 2" xfId="2115" xr:uid="{00000000-0005-0000-0000-00004F300000}"/>
    <cellStyle name="Comma 5 3 3 2 2" xfId="2116" xr:uid="{00000000-0005-0000-0000-000050300000}"/>
    <cellStyle name="Comma 5 3 3 2 2 2" xfId="2117" xr:uid="{00000000-0005-0000-0000-000051300000}"/>
    <cellStyle name="Comma 5 3 3 2 2 3" xfId="2118" xr:uid="{00000000-0005-0000-0000-000052300000}"/>
    <cellStyle name="Comma 5 3 3 2 3" xfId="2119" xr:uid="{00000000-0005-0000-0000-000053300000}"/>
    <cellStyle name="Comma 5 3 3 2 3 2" xfId="2120" xr:uid="{00000000-0005-0000-0000-000054300000}"/>
    <cellStyle name="Comma 5 3 3 2 3 3" xfId="2121" xr:uid="{00000000-0005-0000-0000-000055300000}"/>
    <cellStyle name="Comma 5 3 3 2 4" xfId="2122" xr:uid="{00000000-0005-0000-0000-000056300000}"/>
    <cellStyle name="Comma 5 3 3 2 5" xfId="2123" xr:uid="{00000000-0005-0000-0000-000057300000}"/>
    <cellStyle name="Comma 5 3 3 3" xfId="2124" xr:uid="{00000000-0005-0000-0000-000058300000}"/>
    <cellStyle name="Comma 5 3 3 3 2" xfId="2125" xr:uid="{00000000-0005-0000-0000-000059300000}"/>
    <cellStyle name="Comma 5 3 3 3 3" xfId="2126" xr:uid="{00000000-0005-0000-0000-00005A300000}"/>
    <cellStyle name="Comma 5 3 3 4" xfId="2127" xr:uid="{00000000-0005-0000-0000-00005B300000}"/>
    <cellStyle name="Comma 5 3 3 4 2" xfId="2128" xr:uid="{00000000-0005-0000-0000-00005C300000}"/>
    <cellStyle name="Comma 5 3 3 4 3" xfId="2129" xr:uid="{00000000-0005-0000-0000-00005D300000}"/>
    <cellStyle name="Comma 5 3 3 5" xfId="2130" xr:uid="{00000000-0005-0000-0000-00005E300000}"/>
    <cellStyle name="Comma 5 3 3 6" xfId="2131" xr:uid="{00000000-0005-0000-0000-00005F300000}"/>
    <cellStyle name="Comma 5 3 4" xfId="2132" xr:uid="{00000000-0005-0000-0000-000060300000}"/>
    <cellStyle name="Comma 5 3 4 2" xfId="2133" xr:uid="{00000000-0005-0000-0000-000061300000}"/>
    <cellStyle name="Comma 5 3 4 2 2" xfId="2134" xr:uid="{00000000-0005-0000-0000-000062300000}"/>
    <cellStyle name="Comma 5 3 4 2 3" xfId="2135" xr:uid="{00000000-0005-0000-0000-000063300000}"/>
    <cellStyle name="Comma 5 3 4 3" xfId="2136" xr:uid="{00000000-0005-0000-0000-000064300000}"/>
    <cellStyle name="Comma 5 3 4 3 2" xfId="2137" xr:uid="{00000000-0005-0000-0000-000065300000}"/>
    <cellStyle name="Comma 5 3 4 3 3" xfId="2138" xr:uid="{00000000-0005-0000-0000-000066300000}"/>
    <cellStyle name="Comma 5 3 4 4" xfId="2139" xr:uid="{00000000-0005-0000-0000-000067300000}"/>
    <cellStyle name="Comma 5 3 4 5" xfId="2140" xr:uid="{00000000-0005-0000-0000-000068300000}"/>
    <cellStyle name="Comma 5 3 5" xfId="2141" xr:uid="{00000000-0005-0000-0000-000069300000}"/>
    <cellStyle name="Comma 5 3 5 2" xfId="2142" xr:uid="{00000000-0005-0000-0000-00006A300000}"/>
    <cellStyle name="Comma 5 3 5 3" xfId="2143" xr:uid="{00000000-0005-0000-0000-00006B300000}"/>
    <cellStyle name="Comma 5 3 6" xfId="2144" xr:uid="{00000000-0005-0000-0000-00006C300000}"/>
    <cellStyle name="Comma 5 3 6 2" xfId="2145" xr:uid="{00000000-0005-0000-0000-00006D300000}"/>
    <cellStyle name="Comma 5 3 6 3" xfId="2146" xr:uid="{00000000-0005-0000-0000-00006E300000}"/>
    <cellStyle name="Comma 5 3 7" xfId="2147" xr:uid="{00000000-0005-0000-0000-00006F300000}"/>
    <cellStyle name="Comma 5 3 8" xfId="2148" xr:uid="{00000000-0005-0000-0000-000070300000}"/>
    <cellStyle name="Comma 5 4" xfId="2149" xr:uid="{00000000-0005-0000-0000-000071300000}"/>
    <cellStyle name="Comma 5 4 2" xfId="2150" xr:uid="{00000000-0005-0000-0000-000072300000}"/>
    <cellStyle name="Comma 5 4 2 2" xfId="2151" xr:uid="{00000000-0005-0000-0000-000073300000}"/>
    <cellStyle name="Comma 5 4 2 2 2" xfId="2152" xr:uid="{00000000-0005-0000-0000-000074300000}"/>
    <cellStyle name="Comma 5 4 2 2 2 2" xfId="2153" xr:uid="{00000000-0005-0000-0000-000075300000}"/>
    <cellStyle name="Comma 5 4 2 2 2 2 2" xfId="2154" xr:uid="{00000000-0005-0000-0000-000076300000}"/>
    <cellStyle name="Comma 5 4 2 2 2 2 3" xfId="2155" xr:uid="{00000000-0005-0000-0000-000077300000}"/>
    <cellStyle name="Comma 5 4 2 2 2 3" xfId="2156" xr:uid="{00000000-0005-0000-0000-000078300000}"/>
    <cellStyle name="Comma 5 4 2 2 2 3 2" xfId="2157" xr:uid="{00000000-0005-0000-0000-000079300000}"/>
    <cellStyle name="Comma 5 4 2 2 2 3 3" xfId="2158" xr:uid="{00000000-0005-0000-0000-00007A300000}"/>
    <cellStyle name="Comma 5 4 2 2 2 4" xfId="2159" xr:uid="{00000000-0005-0000-0000-00007B300000}"/>
    <cellStyle name="Comma 5 4 2 2 2 5" xfId="2160" xr:uid="{00000000-0005-0000-0000-00007C300000}"/>
    <cellStyle name="Comma 5 4 2 2 3" xfId="2161" xr:uid="{00000000-0005-0000-0000-00007D300000}"/>
    <cellStyle name="Comma 5 4 2 2 3 2" xfId="2162" xr:uid="{00000000-0005-0000-0000-00007E300000}"/>
    <cellStyle name="Comma 5 4 2 2 3 3" xfId="2163" xr:uid="{00000000-0005-0000-0000-00007F300000}"/>
    <cellStyle name="Comma 5 4 2 2 4" xfId="2164" xr:uid="{00000000-0005-0000-0000-000080300000}"/>
    <cellStyle name="Comma 5 4 2 2 4 2" xfId="2165" xr:uid="{00000000-0005-0000-0000-000081300000}"/>
    <cellStyle name="Comma 5 4 2 2 4 3" xfId="2166" xr:uid="{00000000-0005-0000-0000-000082300000}"/>
    <cellStyle name="Comma 5 4 2 2 5" xfId="2167" xr:uid="{00000000-0005-0000-0000-000083300000}"/>
    <cellStyle name="Comma 5 4 2 2 6" xfId="2168" xr:uid="{00000000-0005-0000-0000-000084300000}"/>
    <cellStyle name="Comma 5 4 2 3" xfId="2169" xr:uid="{00000000-0005-0000-0000-000085300000}"/>
    <cellStyle name="Comma 5 4 2 3 2" xfId="2170" xr:uid="{00000000-0005-0000-0000-000086300000}"/>
    <cellStyle name="Comma 5 4 2 3 2 2" xfId="2171" xr:uid="{00000000-0005-0000-0000-000087300000}"/>
    <cellStyle name="Comma 5 4 2 3 2 3" xfId="2172" xr:uid="{00000000-0005-0000-0000-000088300000}"/>
    <cellStyle name="Comma 5 4 2 3 3" xfId="2173" xr:uid="{00000000-0005-0000-0000-000089300000}"/>
    <cellStyle name="Comma 5 4 2 3 3 2" xfId="2174" xr:uid="{00000000-0005-0000-0000-00008A300000}"/>
    <cellStyle name="Comma 5 4 2 3 3 3" xfId="2175" xr:uid="{00000000-0005-0000-0000-00008B300000}"/>
    <cellStyle name="Comma 5 4 2 3 4" xfId="2176" xr:uid="{00000000-0005-0000-0000-00008C300000}"/>
    <cellStyle name="Comma 5 4 2 3 5" xfId="2177" xr:uid="{00000000-0005-0000-0000-00008D300000}"/>
    <cellStyle name="Comma 5 4 2 4" xfId="2178" xr:uid="{00000000-0005-0000-0000-00008E300000}"/>
    <cellStyle name="Comma 5 4 2 4 2" xfId="2179" xr:uid="{00000000-0005-0000-0000-00008F300000}"/>
    <cellStyle name="Comma 5 4 2 4 3" xfId="2180" xr:uid="{00000000-0005-0000-0000-000090300000}"/>
    <cellStyle name="Comma 5 4 2 5" xfId="2181" xr:uid="{00000000-0005-0000-0000-000091300000}"/>
    <cellStyle name="Comma 5 4 2 5 2" xfId="2182" xr:uid="{00000000-0005-0000-0000-000092300000}"/>
    <cellStyle name="Comma 5 4 2 5 3" xfId="2183" xr:uid="{00000000-0005-0000-0000-000093300000}"/>
    <cellStyle name="Comma 5 4 2 6" xfId="2184" xr:uid="{00000000-0005-0000-0000-000094300000}"/>
    <cellStyle name="Comma 5 4 2 7" xfId="2185" xr:uid="{00000000-0005-0000-0000-000095300000}"/>
    <cellStyle name="Comma 5 4 3" xfId="2186" xr:uid="{00000000-0005-0000-0000-000096300000}"/>
    <cellStyle name="Comma 5 4 3 2" xfId="2187" xr:uid="{00000000-0005-0000-0000-000097300000}"/>
    <cellStyle name="Comma 5 4 3 2 2" xfId="2188" xr:uid="{00000000-0005-0000-0000-000098300000}"/>
    <cellStyle name="Comma 5 4 3 2 2 2" xfId="2189" xr:uid="{00000000-0005-0000-0000-000099300000}"/>
    <cellStyle name="Comma 5 4 3 2 2 3" xfId="2190" xr:uid="{00000000-0005-0000-0000-00009A300000}"/>
    <cellStyle name="Comma 5 4 3 2 3" xfId="2191" xr:uid="{00000000-0005-0000-0000-00009B300000}"/>
    <cellStyle name="Comma 5 4 3 2 3 2" xfId="2192" xr:uid="{00000000-0005-0000-0000-00009C300000}"/>
    <cellStyle name="Comma 5 4 3 2 3 3" xfId="2193" xr:uid="{00000000-0005-0000-0000-00009D300000}"/>
    <cellStyle name="Comma 5 4 3 2 4" xfId="2194" xr:uid="{00000000-0005-0000-0000-00009E300000}"/>
    <cellStyle name="Comma 5 4 3 2 5" xfId="2195" xr:uid="{00000000-0005-0000-0000-00009F300000}"/>
    <cellStyle name="Comma 5 4 3 3" xfId="2196" xr:uid="{00000000-0005-0000-0000-0000A0300000}"/>
    <cellStyle name="Comma 5 4 3 3 2" xfId="2197" xr:uid="{00000000-0005-0000-0000-0000A1300000}"/>
    <cellStyle name="Comma 5 4 3 3 3" xfId="2198" xr:uid="{00000000-0005-0000-0000-0000A2300000}"/>
    <cellStyle name="Comma 5 4 3 4" xfId="2199" xr:uid="{00000000-0005-0000-0000-0000A3300000}"/>
    <cellStyle name="Comma 5 4 3 4 2" xfId="2200" xr:uid="{00000000-0005-0000-0000-0000A4300000}"/>
    <cellStyle name="Comma 5 4 3 4 3" xfId="2201" xr:uid="{00000000-0005-0000-0000-0000A5300000}"/>
    <cellStyle name="Comma 5 4 3 5" xfId="2202" xr:uid="{00000000-0005-0000-0000-0000A6300000}"/>
    <cellStyle name="Comma 5 4 3 6" xfId="2203" xr:uid="{00000000-0005-0000-0000-0000A7300000}"/>
    <cellStyle name="Comma 5 4 4" xfId="2204" xr:uid="{00000000-0005-0000-0000-0000A8300000}"/>
    <cellStyle name="Comma 5 4 4 2" xfId="2205" xr:uid="{00000000-0005-0000-0000-0000A9300000}"/>
    <cellStyle name="Comma 5 4 4 2 2" xfId="2206" xr:uid="{00000000-0005-0000-0000-0000AA300000}"/>
    <cellStyle name="Comma 5 4 4 2 3" xfId="2207" xr:uid="{00000000-0005-0000-0000-0000AB300000}"/>
    <cellStyle name="Comma 5 4 4 3" xfId="2208" xr:uid="{00000000-0005-0000-0000-0000AC300000}"/>
    <cellStyle name="Comma 5 4 4 3 2" xfId="2209" xr:uid="{00000000-0005-0000-0000-0000AD300000}"/>
    <cellStyle name="Comma 5 4 4 3 3" xfId="2210" xr:uid="{00000000-0005-0000-0000-0000AE300000}"/>
    <cellStyle name="Comma 5 4 4 4" xfId="2211" xr:uid="{00000000-0005-0000-0000-0000AF300000}"/>
    <cellStyle name="Comma 5 4 4 5" xfId="2212" xr:uid="{00000000-0005-0000-0000-0000B0300000}"/>
    <cellStyle name="Comma 5 4 5" xfId="2213" xr:uid="{00000000-0005-0000-0000-0000B1300000}"/>
    <cellStyle name="Comma 5 4 5 2" xfId="2214" xr:uid="{00000000-0005-0000-0000-0000B2300000}"/>
    <cellStyle name="Comma 5 4 5 3" xfId="2215" xr:uid="{00000000-0005-0000-0000-0000B3300000}"/>
    <cellStyle name="Comma 5 4 6" xfId="2216" xr:uid="{00000000-0005-0000-0000-0000B4300000}"/>
    <cellStyle name="Comma 5 4 6 2" xfId="2217" xr:uid="{00000000-0005-0000-0000-0000B5300000}"/>
    <cellStyle name="Comma 5 4 6 3" xfId="2218" xr:uid="{00000000-0005-0000-0000-0000B6300000}"/>
    <cellStyle name="Comma 5 4 7" xfId="2219" xr:uid="{00000000-0005-0000-0000-0000B7300000}"/>
    <cellStyle name="Comma 5 4 8" xfId="2220" xr:uid="{00000000-0005-0000-0000-0000B8300000}"/>
    <cellStyle name="Comma 5 5" xfId="2221" xr:uid="{00000000-0005-0000-0000-0000B9300000}"/>
    <cellStyle name="Comma 5 5 2" xfId="2222" xr:uid="{00000000-0005-0000-0000-0000BA300000}"/>
    <cellStyle name="Comma 5 5 2 2" xfId="2223" xr:uid="{00000000-0005-0000-0000-0000BB300000}"/>
    <cellStyle name="Comma 5 5 2 2 2" xfId="2224" xr:uid="{00000000-0005-0000-0000-0000BC300000}"/>
    <cellStyle name="Comma 5 5 2 2 2 2" xfId="2225" xr:uid="{00000000-0005-0000-0000-0000BD300000}"/>
    <cellStyle name="Comma 5 5 2 2 2 3" xfId="2226" xr:uid="{00000000-0005-0000-0000-0000BE300000}"/>
    <cellStyle name="Comma 5 5 2 2 3" xfId="2227" xr:uid="{00000000-0005-0000-0000-0000BF300000}"/>
    <cellStyle name="Comma 5 5 2 2 3 2" xfId="2228" xr:uid="{00000000-0005-0000-0000-0000C0300000}"/>
    <cellStyle name="Comma 5 5 2 2 3 3" xfId="2229" xr:uid="{00000000-0005-0000-0000-0000C1300000}"/>
    <cellStyle name="Comma 5 5 2 2 4" xfId="2230" xr:uid="{00000000-0005-0000-0000-0000C2300000}"/>
    <cellStyle name="Comma 5 5 2 2 5" xfId="2231" xr:uid="{00000000-0005-0000-0000-0000C3300000}"/>
    <cellStyle name="Comma 5 5 2 3" xfId="2232" xr:uid="{00000000-0005-0000-0000-0000C4300000}"/>
    <cellStyle name="Comma 5 5 2 3 2" xfId="2233" xr:uid="{00000000-0005-0000-0000-0000C5300000}"/>
    <cellStyle name="Comma 5 5 2 3 3" xfId="2234" xr:uid="{00000000-0005-0000-0000-0000C6300000}"/>
    <cellStyle name="Comma 5 5 2 4" xfId="2235" xr:uid="{00000000-0005-0000-0000-0000C7300000}"/>
    <cellStyle name="Comma 5 5 2 4 2" xfId="2236" xr:uid="{00000000-0005-0000-0000-0000C8300000}"/>
    <cellStyle name="Comma 5 5 2 4 3" xfId="2237" xr:uid="{00000000-0005-0000-0000-0000C9300000}"/>
    <cellStyle name="Comma 5 5 2 5" xfId="2238" xr:uid="{00000000-0005-0000-0000-0000CA300000}"/>
    <cellStyle name="Comma 5 5 2 6" xfId="2239" xr:uid="{00000000-0005-0000-0000-0000CB300000}"/>
    <cellStyle name="Comma 5 5 3" xfId="2240" xr:uid="{00000000-0005-0000-0000-0000CC300000}"/>
    <cellStyle name="Comma 5 5 3 2" xfId="2241" xr:uid="{00000000-0005-0000-0000-0000CD300000}"/>
    <cellStyle name="Comma 5 5 3 2 2" xfId="2242" xr:uid="{00000000-0005-0000-0000-0000CE300000}"/>
    <cellStyle name="Comma 5 5 3 2 3" xfId="2243" xr:uid="{00000000-0005-0000-0000-0000CF300000}"/>
    <cellStyle name="Comma 5 5 3 3" xfId="2244" xr:uid="{00000000-0005-0000-0000-0000D0300000}"/>
    <cellStyle name="Comma 5 5 3 3 2" xfId="2245" xr:uid="{00000000-0005-0000-0000-0000D1300000}"/>
    <cellStyle name="Comma 5 5 3 3 3" xfId="2246" xr:uid="{00000000-0005-0000-0000-0000D2300000}"/>
    <cellStyle name="Comma 5 5 3 4" xfId="2247" xr:uid="{00000000-0005-0000-0000-0000D3300000}"/>
    <cellStyle name="Comma 5 5 3 5" xfId="2248" xr:uid="{00000000-0005-0000-0000-0000D4300000}"/>
    <cellStyle name="Comma 5 5 4" xfId="2249" xr:uid="{00000000-0005-0000-0000-0000D5300000}"/>
    <cellStyle name="Comma 5 5 4 2" xfId="2250" xr:uid="{00000000-0005-0000-0000-0000D6300000}"/>
    <cellStyle name="Comma 5 5 4 3" xfId="2251" xr:uid="{00000000-0005-0000-0000-0000D7300000}"/>
    <cellStyle name="Comma 5 5 5" xfId="2252" xr:uid="{00000000-0005-0000-0000-0000D8300000}"/>
    <cellStyle name="Comma 5 5 5 2" xfId="2253" xr:uid="{00000000-0005-0000-0000-0000D9300000}"/>
    <cellStyle name="Comma 5 5 5 3" xfId="2254" xr:uid="{00000000-0005-0000-0000-0000DA300000}"/>
    <cellStyle name="Comma 5 5 6" xfId="2255" xr:uid="{00000000-0005-0000-0000-0000DB300000}"/>
    <cellStyle name="Comma 5 5 7" xfId="2256" xr:uid="{00000000-0005-0000-0000-0000DC300000}"/>
    <cellStyle name="Comma 5 6" xfId="2257" xr:uid="{00000000-0005-0000-0000-0000DD300000}"/>
    <cellStyle name="Comma 5 6 2" xfId="2258" xr:uid="{00000000-0005-0000-0000-0000DE300000}"/>
    <cellStyle name="Comma 5 6 2 2" xfId="2259" xr:uid="{00000000-0005-0000-0000-0000DF300000}"/>
    <cellStyle name="Comma 5 6 2 2 2" xfId="2260" xr:uid="{00000000-0005-0000-0000-0000E0300000}"/>
    <cellStyle name="Comma 5 6 2 2 3" xfId="2261" xr:uid="{00000000-0005-0000-0000-0000E1300000}"/>
    <cellStyle name="Comma 5 6 2 3" xfId="2262" xr:uid="{00000000-0005-0000-0000-0000E2300000}"/>
    <cellStyle name="Comma 5 6 2 3 2" xfId="2263" xr:uid="{00000000-0005-0000-0000-0000E3300000}"/>
    <cellStyle name="Comma 5 6 2 3 3" xfId="2264" xr:uid="{00000000-0005-0000-0000-0000E4300000}"/>
    <cellStyle name="Comma 5 6 2 4" xfId="2265" xr:uid="{00000000-0005-0000-0000-0000E5300000}"/>
    <cellStyle name="Comma 5 6 2 5" xfId="2266" xr:uid="{00000000-0005-0000-0000-0000E6300000}"/>
    <cellStyle name="Comma 5 6 3" xfId="2267" xr:uid="{00000000-0005-0000-0000-0000E7300000}"/>
    <cellStyle name="Comma 5 6 3 2" xfId="2268" xr:uid="{00000000-0005-0000-0000-0000E8300000}"/>
    <cellStyle name="Comma 5 6 3 3" xfId="2269" xr:uid="{00000000-0005-0000-0000-0000E9300000}"/>
    <cellStyle name="Comma 5 6 4" xfId="2270" xr:uid="{00000000-0005-0000-0000-0000EA300000}"/>
    <cellStyle name="Comma 5 6 4 2" xfId="2271" xr:uid="{00000000-0005-0000-0000-0000EB300000}"/>
    <cellStyle name="Comma 5 6 4 3" xfId="2272" xr:uid="{00000000-0005-0000-0000-0000EC300000}"/>
    <cellStyle name="Comma 5 6 5" xfId="2273" xr:uid="{00000000-0005-0000-0000-0000ED300000}"/>
    <cellStyle name="Comma 5 6 6" xfId="2274" xr:uid="{00000000-0005-0000-0000-0000EE300000}"/>
    <cellStyle name="Comma 5 7" xfId="2275" xr:uid="{00000000-0005-0000-0000-0000EF300000}"/>
    <cellStyle name="Comma 5 7 2" xfId="2276" xr:uid="{00000000-0005-0000-0000-0000F0300000}"/>
    <cellStyle name="Comma 5 7 2 2" xfId="2277" xr:uid="{00000000-0005-0000-0000-0000F1300000}"/>
    <cellStyle name="Comma 5 7 2 3" xfId="2278" xr:uid="{00000000-0005-0000-0000-0000F2300000}"/>
    <cellStyle name="Comma 5 7 3" xfId="2279" xr:uid="{00000000-0005-0000-0000-0000F3300000}"/>
    <cellStyle name="Comma 5 7 3 2" xfId="2280" xr:uid="{00000000-0005-0000-0000-0000F4300000}"/>
    <cellStyle name="Comma 5 7 3 3" xfId="2281" xr:uid="{00000000-0005-0000-0000-0000F5300000}"/>
    <cellStyle name="Comma 5 7 4" xfId="2282" xr:uid="{00000000-0005-0000-0000-0000F6300000}"/>
    <cellStyle name="Comma 5 7 5" xfId="2283" xr:uid="{00000000-0005-0000-0000-0000F7300000}"/>
    <cellStyle name="Comma 5 8" xfId="2284" xr:uid="{00000000-0005-0000-0000-0000F8300000}"/>
    <cellStyle name="Comma 5 8 2" xfId="2285" xr:uid="{00000000-0005-0000-0000-0000F9300000}"/>
    <cellStyle name="Comma 5 8 3" xfId="2286" xr:uid="{00000000-0005-0000-0000-0000FA300000}"/>
    <cellStyle name="Comma 5 9" xfId="2287" xr:uid="{00000000-0005-0000-0000-0000FB300000}"/>
    <cellStyle name="Comma 5 9 2" xfId="2288" xr:uid="{00000000-0005-0000-0000-0000FC300000}"/>
    <cellStyle name="Comma 5 9 3" xfId="2289" xr:uid="{00000000-0005-0000-0000-0000FD300000}"/>
    <cellStyle name="Comma 6" xfId="113" xr:uid="{00000000-0005-0000-0000-0000FE300000}"/>
    <cellStyle name="Comma 6 10" xfId="2290" xr:uid="{00000000-0005-0000-0000-0000FF300000}"/>
    <cellStyle name="Comma 6 11" xfId="2291" xr:uid="{00000000-0005-0000-0000-000000310000}"/>
    <cellStyle name="Comma 6 2" xfId="321" xr:uid="{00000000-0005-0000-0000-000001310000}"/>
    <cellStyle name="Comma 6 2 2" xfId="2292" xr:uid="{00000000-0005-0000-0000-000002310000}"/>
    <cellStyle name="Comma 6 2 2 2" xfId="2293" xr:uid="{00000000-0005-0000-0000-000003310000}"/>
    <cellStyle name="Comma 6 2 2 2 2" xfId="2294" xr:uid="{00000000-0005-0000-0000-000004310000}"/>
    <cellStyle name="Comma 6 2 2 2 2 2" xfId="2295" xr:uid="{00000000-0005-0000-0000-000005310000}"/>
    <cellStyle name="Comma 6 2 2 2 2 2 2" xfId="2296" xr:uid="{00000000-0005-0000-0000-000006310000}"/>
    <cellStyle name="Comma 6 2 2 2 2 2 2 2" xfId="2297" xr:uid="{00000000-0005-0000-0000-000007310000}"/>
    <cellStyle name="Comma 6 2 2 2 2 2 2 3" xfId="2298" xr:uid="{00000000-0005-0000-0000-000008310000}"/>
    <cellStyle name="Comma 6 2 2 2 2 2 3" xfId="2299" xr:uid="{00000000-0005-0000-0000-000009310000}"/>
    <cellStyle name="Comma 6 2 2 2 2 2 3 2" xfId="2300" xr:uid="{00000000-0005-0000-0000-00000A310000}"/>
    <cellStyle name="Comma 6 2 2 2 2 2 3 3" xfId="2301" xr:uid="{00000000-0005-0000-0000-00000B310000}"/>
    <cellStyle name="Comma 6 2 2 2 2 2 4" xfId="2302" xr:uid="{00000000-0005-0000-0000-00000C310000}"/>
    <cellStyle name="Comma 6 2 2 2 2 2 5" xfId="2303" xr:uid="{00000000-0005-0000-0000-00000D310000}"/>
    <cellStyle name="Comma 6 2 2 2 2 3" xfId="2304" xr:uid="{00000000-0005-0000-0000-00000E310000}"/>
    <cellStyle name="Comma 6 2 2 2 2 3 2" xfId="2305" xr:uid="{00000000-0005-0000-0000-00000F310000}"/>
    <cellStyle name="Comma 6 2 2 2 2 3 3" xfId="2306" xr:uid="{00000000-0005-0000-0000-000010310000}"/>
    <cellStyle name="Comma 6 2 2 2 2 4" xfId="2307" xr:uid="{00000000-0005-0000-0000-000011310000}"/>
    <cellStyle name="Comma 6 2 2 2 2 4 2" xfId="2308" xr:uid="{00000000-0005-0000-0000-000012310000}"/>
    <cellStyle name="Comma 6 2 2 2 2 4 3" xfId="2309" xr:uid="{00000000-0005-0000-0000-000013310000}"/>
    <cellStyle name="Comma 6 2 2 2 2 5" xfId="2310" xr:uid="{00000000-0005-0000-0000-000014310000}"/>
    <cellStyle name="Comma 6 2 2 2 2 6" xfId="2311" xr:uid="{00000000-0005-0000-0000-000015310000}"/>
    <cellStyle name="Comma 6 2 2 2 3" xfId="2312" xr:uid="{00000000-0005-0000-0000-000016310000}"/>
    <cellStyle name="Comma 6 2 2 2 3 2" xfId="2313" xr:uid="{00000000-0005-0000-0000-000017310000}"/>
    <cellStyle name="Comma 6 2 2 2 3 2 2" xfId="2314" xr:uid="{00000000-0005-0000-0000-000018310000}"/>
    <cellStyle name="Comma 6 2 2 2 3 2 3" xfId="2315" xr:uid="{00000000-0005-0000-0000-000019310000}"/>
    <cellStyle name="Comma 6 2 2 2 3 3" xfId="2316" xr:uid="{00000000-0005-0000-0000-00001A310000}"/>
    <cellStyle name="Comma 6 2 2 2 3 3 2" xfId="2317" xr:uid="{00000000-0005-0000-0000-00001B310000}"/>
    <cellStyle name="Comma 6 2 2 2 3 3 3" xfId="2318" xr:uid="{00000000-0005-0000-0000-00001C310000}"/>
    <cellStyle name="Comma 6 2 2 2 3 4" xfId="2319" xr:uid="{00000000-0005-0000-0000-00001D310000}"/>
    <cellStyle name="Comma 6 2 2 2 3 5" xfId="2320" xr:uid="{00000000-0005-0000-0000-00001E310000}"/>
    <cellStyle name="Comma 6 2 2 2 4" xfId="2321" xr:uid="{00000000-0005-0000-0000-00001F310000}"/>
    <cellStyle name="Comma 6 2 2 2 4 2" xfId="2322" xr:uid="{00000000-0005-0000-0000-000020310000}"/>
    <cellStyle name="Comma 6 2 2 2 4 3" xfId="2323" xr:uid="{00000000-0005-0000-0000-000021310000}"/>
    <cellStyle name="Comma 6 2 2 2 5" xfId="2324" xr:uid="{00000000-0005-0000-0000-000022310000}"/>
    <cellStyle name="Comma 6 2 2 2 5 2" xfId="2325" xr:uid="{00000000-0005-0000-0000-000023310000}"/>
    <cellStyle name="Comma 6 2 2 2 5 3" xfId="2326" xr:uid="{00000000-0005-0000-0000-000024310000}"/>
    <cellStyle name="Comma 6 2 2 2 6" xfId="2327" xr:uid="{00000000-0005-0000-0000-000025310000}"/>
    <cellStyle name="Comma 6 2 2 2 7" xfId="2328" xr:uid="{00000000-0005-0000-0000-000026310000}"/>
    <cellStyle name="Comma 6 2 2 3" xfId="2329" xr:uid="{00000000-0005-0000-0000-000027310000}"/>
    <cellStyle name="Comma 6 2 2 3 2" xfId="2330" xr:uid="{00000000-0005-0000-0000-000028310000}"/>
    <cellStyle name="Comma 6 2 2 3 2 2" xfId="2331" xr:uid="{00000000-0005-0000-0000-000029310000}"/>
    <cellStyle name="Comma 6 2 2 3 2 2 2" xfId="2332" xr:uid="{00000000-0005-0000-0000-00002A310000}"/>
    <cellStyle name="Comma 6 2 2 3 2 2 3" xfId="2333" xr:uid="{00000000-0005-0000-0000-00002B310000}"/>
    <cellStyle name="Comma 6 2 2 3 2 3" xfId="2334" xr:uid="{00000000-0005-0000-0000-00002C310000}"/>
    <cellStyle name="Comma 6 2 2 3 2 3 2" xfId="2335" xr:uid="{00000000-0005-0000-0000-00002D310000}"/>
    <cellStyle name="Comma 6 2 2 3 2 3 3" xfId="2336" xr:uid="{00000000-0005-0000-0000-00002E310000}"/>
    <cellStyle name="Comma 6 2 2 3 2 4" xfId="2337" xr:uid="{00000000-0005-0000-0000-00002F310000}"/>
    <cellStyle name="Comma 6 2 2 3 2 5" xfId="2338" xr:uid="{00000000-0005-0000-0000-000030310000}"/>
    <cellStyle name="Comma 6 2 2 3 3" xfId="2339" xr:uid="{00000000-0005-0000-0000-000031310000}"/>
    <cellStyle name="Comma 6 2 2 3 3 2" xfId="2340" xr:uid="{00000000-0005-0000-0000-000032310000}"/>
    <cellStyle name="Comma 6 2 2 3 3 3" xfId="2341" xr:uid="{00000000-0005-0000-0000-000033310000}"/>
    <cellStyle name="Comma 6 2 2 3 4" xfId="2342" xr:uid="{00000000-0005-0000-0000-000034310000}"/>
    <cellStyle name="Comma 6 2 2 3 4 2" xfId="2343" xr:uid="{00000000-0005-0000-0000-000035310000}"/>
    <cellStyle name="Comma 6 2 2 3 4 3" xfId="2344" xr:uid="{00000000-0005-0000-0000-000036310000}"/>
    <cellStyle name="Comma 6 2 2 3 5" xfId="2345" xr:uid="{00000000-0005-0000-0000-000037310000}"/>
    <cellStyle name="Comma 6 2 2 3 6" xfId="2346" xr:uid="{00000000-0005-0000-0000-000038310000}"/>
    <cellStyle name="Comma 6 2 2 4" xfId="2347" xr:uid="{00000000-0005-0000-0000-000039310000}"/>
    <cellStyle name="Comma 6 2 2 4 2" xfId="2348" xr:uid="{00000000-0005-0000-0000-00003A310000}"/>
    <cellStyle name="Comma 6 2 2 4 2 2" xfId="2349" xr:uid="{00000000-0005-0000-0000-00003B310000}"/>
    <cellStyle name="Comma 6 2 2 4 2 3" xfId="2350" xr:uid="{00000000-0005-0000-0000-00003C310000}"/>
    <cellStyle name="Comma 6 2 2 4 3" xfId="2351" xr:uid="{00000000-0005-0000-0000-00003D310000}"/>
    <cellStyle name="Comma 6 2 2 4 3 2" xfId="2352" xr:uid="{00000000-0005-0000-0000-00003E310000}"/>
    <cellStyle name="Comma 6 2 2 4 3 3" xfId="2353" xr:uid="{00000000-0005-0000-0000-00003F310000}"/>
    <cellStyle name="Comma 6 2 2 4 4" xfId="2354" xr:uid="{00000000-0005-0000-0000-000040310000}"/>
    <cellStyle name="Comma 6 2 2 4 5" xfId="2355" xr:uid="{00000000-0005-0000-0000-000041310000}"/>
    <cellStyle name="Comma 6 2 2 5" xfId="2356" xr:uid="{00000000-0005-0000-0000-000042310000}"/>
    <cellStyle name="Comma 6 2 2 5 2" xfId="2357" xr:uid="{00000000-0005-0000-0000-000043310000}"/>
    <cellStyle name="Comma 6 2 2 5 3" xfId="2358" xr:uid="{00000000-0005-0000-0000-000044310000}"/>
    <cellStyle name="Comma 6 2 2 6" xfId="2359" xr:uid="{00000000-0005-0000-0000-000045310000}"/>
    <cellStyle name="Comma 6 2 2 6 2" xfId="2360" xr:uid="{00000000-0005-0000-0000-000046310000}"/>
    <cellStyle name="Comma 6 2 2 6 3" xfId="2361" xr:uid="{00000000-0005-0000-0000-000047310000}"/>
    <cellStyle name="Comma 6 2 2 7" xfId="2362" xr:uid="{00000000-0005-0000-0000-000048310000}"/>
    <cellStyle name="Comma 6 2 2 8" xfId="2363" xr:uid="{00000000-0005-0000-0000-000049310000}"/>
    <cellStyle name="Comma 6 2 3" xfId="2364" xr:uid="{00000000-0005-0000-0000-00004A310000}"/>
    <cellStyle name="Comma 6 2 3 2" xfId="2365" xr:uid="{00000000-0005-0000-0000-00004B310000}"/>
    <cellStyle name="Comma 6 2 3 2 2" xfId="2366" xr:uid="{00000000-0005-0000-0000-00004C310000}"/>
    <cellStyle name="Comma 6 2 3 2 2 2" xfId="2367" xr:uid="{00000000-0005-0000-0000-00004D310000}"/>
    <cellStyle name="Comma 6 2 3 2 2 2 2" xfId="2368" xr:uid="{00000000-0005-0000-0000-00004E310000}"/>
    <cellStyle name="Comma 6 2 3 2 2 2 3" xfId="2369" xr:uid="{00000000-0005-0000-0000-00004F310000}"/>
    <cellStyle name="Comma 6 2 3 2 2 3" xfId="2370" xr:uid="{00000000-0005-0000-0000-000050310000}"/>
    <cellStyle name="Comma 6 2 3 2 2 3 2" xfId="2371" xr:uid="{00000000-0005-0000-0000-000051310000}"/>
    <cellStyle name="Comma 6 2 3 2 2 3 3" xfId="2372" xr:uid="{00000000-0005-0000-0000-000052310000}"/>
    <cellStyle name="Comma 6 2 3 2 2 4" xfId="2373" xr:uid="{00000000-0005-0000-0000-000053310000}"/>
    <cellStyle name="Comma 6 2 3 2 2 5" xfId="2374" xr:uid="{00000000-0005-0000-0000-000054310000}"/>
    <cellStyle name="Comma 6 2 3 2 3" xfId="2375" xr:uid="{00000000-0005-0000-0000-000055310000}"/>
    <cellStyle name="Comma 6 2 3 2 3 2" xfId="2376" xr:uid="{00000000-0005-0000-0000-000056310000}"/>
    <cellStyle name="Comma 6 2 3 2 3 3" xfId="2377" xr:uid="{00000000-0005-0000-0000-000057310000}"/>
    <cellStyle name="Comma 6 2 3 2 4" xfId="2378" xr:uid="{00000000-0005-0000-0000-000058310000}"/>
    <cellStyle name="Comma 6 2 3 2 4 2" xfId="2379" xr:uid="{00000000-0005-0000-0000-000059310000}"/>
    <cellStyle name="Comma 6 2 3 2 4 3" xfId="2380" xr:uid="{00000000-0005-0000-0000-00005A310000}"/>
    <cellStyle name="Comma 6 2 3 2 5" xfId="2381" xr:uid="{00000000-0005-0000-0000-00005B310000}"/>
    <cellStyle name="Comma 6 2 3 2 6" xfId="2382" xr:uid="{00000000-0005-0000-0000-00005C310000}"/>
    <cellStyle name="Comma 6 2 3 3" xfId="2383" xr:uid="{00000000-0005-0000-0000-00005D310000}"/>
    <cellStyle name="Comma 6 2 3 3 2" xfId="2384" xr:uid="{00000000-0005-0000-0000-00005E310000}"/>
    <cellStyle name="Comma 6 2 3 3 2 2" xfId="2385" xr:uid="{00000000-0005-0000-0000-00005F310000}"/>
    <cellStyle name="Comma 6 2 3 3 2 3" xfId="2386" xr:uid="{00000000-0005-0000-0000-000060310000}"/>
    <cellStyle name="Comma 6 2 3 3 3" xfId="2387" xr:uid="{00000000-0005-0000-0000-000061310000}"/>
    <cellStyle name="Comma 6 2 3 3 3 2" xfId="2388" xr:uid="{00000000-0005-0000-0000-000062310000}"/>
    <cellStyle name="Comma 6 2 3 3 3 3" xfId="2389" xr:uid="{00000000-0005-0000-0000-000063310000}"/>
    <cellStyle name="Comma 6 2 3 3 4" xfId="2390" xr:uid="{00000000-0005-0000-0000-000064310000}"/>
    <cellStyle name="Comma 6 2 3 3 5" xfId="2391" xr:uid="{00000000-0005-0000-0000-000065310000}"/>
    <cellStyle name="Comma 6 2 3 4" xfId="2392" xr:uid="{00000000-0005-0000-0000-000066310000}"/>
    <cellStyle name="Comma 6 2 3 4 2" xfId="2393" xr:uid="{00000000-0005-0000-0000-000067310000}"/>
    <cellStyle name="Comma 6 2 3 4 3" xfId="2394" xr:uid="{00000000-0005-0000-0000-000068310000}"/>
    <cellStyle name="Comma 6 2 3 5" xfId="2395" xr:uid="{00000000-0005-0000-0000-000069310000}"/>
    <cellStyle name="Comma 6 2 3 5 2" xfId="2396" xr:uid="{00000000-0005-0000-0000-00006A310000}"/>
    <cellStyle name="Comma 6 2 3 5 3" xfId="2397" xr:uid="{00000000-0005-0000-0000-00006B310000}"/>
    <cellStyle name="Comma 6 2 3 6" xfId="2398" xr:uid="{00000000-0005-0000-0000-00006C310000}"/>
    <cellStyle name="Comma 6 2 3 7" xfId="2399" xr:uid="{00000000-0005-0000-0000-00006D310000}"/>
    <cellStyle name="Comma 6 2 4" xfId="2400" xr:uid="{00000000-0005-0000-0000-00006E310000}"/>
    <cellStyle name="Comma 6 2 4 2" xfId="2401" xr:uid="{00000000-0005-0000-0000-00006F310000}"/>
    <cellStyle name="Comma 6 2 4 2 2" xfId="2402" xr:uid="{00000000-0005-0000-0000-000070310000}"/>
    <cellStyle name="Comma 6 2 4 2 2 2" xfId="2403" xr:uid="{00000000-0005-0000-0000-000071310000}"/>
    <cellStyle name="Comma 6 2 4 2 2 3" xfId="2404" xr:uid="{00000000-0005-0000-0000-000072310000}"/>
    <cellStyle name="Comma 6 2 4 2 3" xfId="2405" xr:uid="{00000000-0005-0000-0000-000073310000}"/>
    <cellStyle name="Comma 6 2 4 2 3 2" xfId="2406" xr:uid="{00000000-0005-0000-0000-000074310000}"/>
    <cellStyle name="Comma 6 2 4 2 3 3" xfId="2407" xr:uid="{00000000-0005-0000-0000-000075310000}"/>
    <cellStyle name="Comma 6 2 4 2 4" xfId="2408" xr:uid="{00000000-0005-0000-0000-000076310000}"/>
    <cellStyle name="Comma 6 2 4 2 5" xfId="2409" xr:uid="{00000000-0005-0000-0000-000077310000}"/>
    <cellStyle name="Comma 6 2 4 3" xfId="2410" xr:uid="{00000000-0005-0000-0000-000078310000}"/>
    <cellStyle name="Comma 6 2 4 3 2" xfId="2411" xr:uid="{00000000-0005-0000-0000-000079310000}"/>
    <cellStyle name="Comma 6 2 4 3 3" xfId="2412" xr:uid="{00000000-0005-0000-0000-00007A310000}"/>
    <cellStyle name="Comma 6 2 4 4" xfId="2413" xr:uid="{00000000-0005-0000-0000-00007B310000}"/>
    <cellStyle name="Comma 6 2 4 4 2" xfId="2414" xr:uid="{00000000-0005-0000-0000-00007C310000}"/>
    <cellStyle name="Comma 6 2 4 4 3" xfId="2415" xr:uid="{00000000-0005-0000-0000-00007D310000}"/>
    <cellStyle name="Comma 6 2 4 5" xfId="2416" xr:uid="{00000000-0005-0000-0000-00007E310000}"/>
    <cellStyle name="Comma 6 2 4 6" xfId="2417" xr:uid="{00000000-0005-0000-0000-00007F310000}"/>
    <cellStyle name="Comma 6 2 5" xfId="2418" xr:uid="{00000000-0005-0000-0000-000080310000}"/>
    <cellStyle name="Comma 6 2 5 2" xfId="2419" xr:uid="{00000000-0005-0000-0000-000081310000}"/>
    <cellStyle name="Comma 6 2 5 2 2" xfId="2420" xr:uid="{00000000-0005-0000-0000-000082310000}"/>
    <cellStyle name="Comma 6 2 5 2 3" xfId="2421" xr:uid="{00000000-0005-0000-0000-000083310000}"/>
    <cellStyle name="Comma 6 2 5 3" xfId="2422" xr:uid="{00000000-0005-0000-0000-000084310000}"/>
    <cellStyle name="Comma 6 2 5 3 2" xfId="2423" xr:uid="{00000000-0005-0000-0000-000085310000}"/>
    <cellStyle name="Comma 6 2 5 3 3" xfId="2424" xr:uid="{00000000-0005-0000-0000-000086310000}"/>
    <cellStyle name="Comma 6 2 5 4" xfId="2425" xr:uid="{00000000-0005-0000-0000-000087310000}"/>
    <cellStyle name="Comma 6 2 5 5" xfId="2426" xr:uid="{00000000-0005-0000-0000-000088310000}"/>
    <cellStyle name="Comma 6 2 6" xfId="2427" xr:uid="{00000000-0005-0000-0000-000089310000}"/>
    <cellStyle name="Comma 6 2 6 2" xfId="2428" xr:uid="{00000000-0005-0000-0000-00008A310000}"/>
    <cellStyle name="Comma 6 2 6 3" xfId="2429" xr:uid="{00000000-0005-0000-0000-00008B310000}"/>
    <cellStyle name="Comma 6 2 7" xfId="2430" xr:uid="{00000000-0005-0000-0000-00008C310000}"/>
    <cellStyle name="Comma 6 2 7 2" xfId="2431" xr:uid="{00000000-0005-0000-0000-00008D310000}"/>
    <cellStyle name="Comma 6 2 7 3" xfId="2432" xr:uid="{00000000-0005-0000-0000-00008E310000}"/>
    <cellStyle name="Comma 6 2 8" xfId="2433" xr:uid="{00000000-0005-0000-0000-00008F310000}"/>
    <cellStyle name="Comma 6 2 9" xfId="2434" xr:uid="{00000000-0005-0000-0000-000090310000}"/>
    <cellStyle name="Comma 6 3" xfId="2435" xr:uid="{00000000-0005-0000-0000-000091310000}"/>
    <cellStyle name="Comma 6 3 2" xfId="2436" xr:uid="{00000000-0005-0000-0000-000092310000}"/>
    <cellStyle name="Comma 6 3 2 2" xfId="2437" xr:uid="{00000000-0005-0000-0000-000093310000}"/>
    <cellStyle name="Comma 6 3 2 2 2" xfId="2438" xr:uid="{00000000-0005-0000-0000-000094310000}"/>
    <cellStyle name="Comma 6 3 2 2 2 2" xfId="2439" xr:uid="{00000000-0005-0000-0000-000095310000}"/>
    <cellStyle name="Comma 6 3 2 2 2 2 2" xfId="2440" xr:uid="{00000000-0005-0000-0000-000096310000}"/>
    <cellStyle name="Comma 6 3 2 2 2 2 3" xfId="2441" xr:uid="{00000000-0005-0000-0000-000097310000}"/>
    <cellStyle name="Comma 6 3 2 2 2 3" xfId="2442" xr:uid="{00000000-0005-0000-0000-000098310000}"/>
    <cellStyle name="Comma 6 3 2 2 2 3 2" xfId="2443" xr:uid="{00000000-0005-0000-0000-000099310000}"/>
    <cellStyle name="Comma 6 3 2 2 2 3 3" xfId="2444" xr:uid="{00000000-0005-0000-0000-00009A310000}"/>
    <cellStyle name="Comma 6 3 2 2 2 4" xfId="2445" xr:uid="{00000000-0005-0000-0000-00009B310000}"/>
    <cellStyle name="Comma 6 3 2 2 2 5" xfId="2446" xr:uid="{00000000-0005-0000-0000-00009C310000}"/>
    <cellStyle name="Comma 6 3 2 2 3" xfId="2447" xr:uid="{00000000-0005-0000-0000-00009D310000}"/>
    <cellStyle name="Comma 6 3 2 2 3 2" xfId="2448" xr:uid="{00000000-0005-0000-0000-00009E310000}"/>
    <cellStyle name="Comma 6 3 2 2 3 3" xfId="2449" xr:uid="{00000000-0005-0000-0000-00009F310000}"/>
    <cellStyle name="Comma 6 3 2 2 4" xfId="2450" xr:uid="{00000000-0005-0000-0000-0000A0310000}"/>
    <cellStyle name="Comma 6 3 2 2 4 2" xfId="2451" xr:uid="{00000000-0005-0000-0000-0000A1310000}"/>
    <cellStyle name="Comma 6 3 2 2 4 3" xfId="2452" xr:uid="{00000000-0005-0000-0000-0000A2310000}"/>
    <cellStyle name="Comma 6 3 2 2 5" xfId="2453" xr:uid="{00000000-0005-0000-0000-0000A3310000}"/>
    <cellStyle name="Comma 6 3 2 2 6" xfId="2454" xr:uid="{00000000-0005-0000-0000-0000A4310000}"/>
    <cellStyle name="Comma 6 3 2 3" xfId="2455" xr:uid="{00000000-0005-0000-0000-0000A5310000}"/>
    <cellStyle name="Comma 6 3 2 3 2" xfId="2456" xr:uid="{00000000-0005-0000-0000-0000A6310000}"/>
    <cellStyle name="Comma 6 3 2 3 2 2" xfId="2457" xr:uid="{00000000-0005-0000-0000-0000A7310000}"/>
    <cellStyle name="Comma 6 3 2 3 2 3" xfId="2458" xr:uid="{00000000-0005-0000-0000-0000A8310000}"/>
    <cellStyle name="Comma 6 3 2 3 3" xfId="2459" xr:uid="{00000000-0005-0000-0000-0000A9310000}"/>
    <cellStyle name="Comma 6 3 2 3 3 2" xfId="2460" xr:uid="{00000000-0005-0000-0000-0000AA310000}"/>
    <cellStyle name="Comma 6 3 2 3 3 3" xfId="2461" xr:uid="{00000000-0005-0000-0000-0000AB310000}"/>
    <cellStyle name="Comma 6 3 2 3 4" xfId="2462" xr:uid="{00000000-0005-0000-0000-0000AC310000}"/>
    <cellStyle name="Comma 6 3 2 3 5" xfId="2463" xr:uid="{00000000-0005-0000-0000-0000AD310000}"/>
    <cellStyle name="Comma 6 3 2 3 6" xfId="34862" xr:uid="{00000000-0005-0000-0000-0000AE310000}"/>
    <cellStyle name="Comma 6 3 2 4" xfId="2464" xr:uid="{00000000-0005-0000-0000-0000AF310000}"/>
    <cellStyle name="Comma 6 3 2 4 2" xfId="2465" xr:uid="{00000000-0005-0000-0000-0000B0310000}"/>
    <cellStyle name="Comma 6 3 2 4 3" xfId="2466" xr:uid="{00000000-0005-0000-0000-0000B1310000}"/>
    <cellStyle name="Comma 6 3 2 5" xfId="2467" xr:uid="{00000000-0005-0000-0000-0000B2310000}"/>
    <cellStyle name="Comma 6 3 2 5 2" xfId="2468" xr:uid="{00000000-0005-0000-0000-0000B3310000}"/>
    <cellStyle name="Comma 6 3 2 5 3" xfId="2469" xr:uid="{00000000-0005-0000-0000-0000B4310000}"/>
    <cellStyle name="Comma 6 3 2 6" xfId="2470" xr:uid="{00000000-0005-0000-0000-0000B5310000}"/>
    <cellStyle name="Comma 6 3 2 7" xfId="2471" xr:uid="{00000000-0005-0000-0000-0000B6310000}"/>
    <cellStyle name="Comma 6 3 3" xfId="2472" xr:uid="{00000000-0005-0000-0000-0000B7310000}"/>
    <cellStyle name="Comma 6 3 3 2" xfId="2473" xr:uid="{00000000-0005-0000-0000-0000B8310000}"/>
    <cellStyle name="Comma 6 3 3 2 2" xfId="2474" xr:uid="{00000000-0005-0000-0000-0000B9310000}"/>
    <cellStyle name="Comma 6 3 3 2 2 2" xfId="2475" xr:uid="{00000000-0005-0000-0000-0000BA310000}"/>
    <cellStyle name="Comma 6 3 3 2 2 3" xfId="2476" xr:uid="{00000000-0005-0000-0000-0000BB310000}"/>
    <cellStyle name="Comma 6 3 3 2 3" xfId="2477" xr:uid="{00000000-0005-0000-0000-0000BC310000}"/>
    <cellStyle name="Comma 6 3 3 2 3 2" xfId="2478" xr:uid="{00000000-0005-0000-0000-0000BD310000}"/>
    <cellStyle name="Comma 6 3 3 2 3 3" xfId="2479" xr:uid="{00000000-0005-0000-0000-0000BE310000}"/>
    <cellStyle name="Comma 6 3 3 2 4" xfId="2480" xr:uid="{00000000-0005-0000-0000-0000BF310000}"/>
    <cellStyle name="Comma 6 3 3 2 5" xfId="2481" xr:uid="{00000000-0005-0000-0000-0000C0310000}"/>
    <cellStyle name="Comma 6 3 3 3" xfId="2482" xr:uid="{00000000-0005-0000-0000-0000C1310000}"/>
    <cellStyle name="Comma 6 3 3 3 2" xfId="2483" xr:uid="{00000000-0005-0000-0000-0000C2310000}"/>
    <cellStyle name="Comma 6 3 3 3 3" xfId="2484" xr:uid="{00000000-0005-0000-0000-0000C3310000}"/>
    <cellStyle name="Comma 6 3 3 4" xfId="2485" xr:uid="{00000000-0005-0000-0000-0000C4310000}"/>
    <cellStyle name="Comma 6 3 3 4 2" xfId="2486" xr:uid="{00000000-0005-0000-0000-0000C5310000}"/>
    <cellStyle name="Comma 6 3 3 4 3" xfId="2487" xr:uid="{00000000-0005-0000-0000-0000C6310000}"/>
    <cellStyle name="Comma 6 3 3 5" xfId="2488" xr:uid="{00000000-0005-0000-0000-0000C7310000}"/>
    <cellStyle name="Comma 6 3 3 6" xfId="2489" xr:uid="{00000000-0005-0000-0000-0000C8310000}"/>
    <cellStyle name="Comma 6 3 4" xfId="2490" xr:uid="{00000000-0005-0000-0000-0000C9310000}"/>
    <cellStyle name="Comma 6 3 4 2" xfId="2491" xr:uid="{00000000-0005-0000-0000-0000CA310000}"/>
    <cellStyle name="Comma 6 3 4 2 2" xfId="2492" xr:uid="{00000000-0005-0000-0000-0000CB310000}"/>
    <cellStyle name="Comma 6 3 4 2 3" xfId="2493" xr:uid="{00000000-0005-0000-0000-0000CC310000}"/>
    <cellStyle name="Comma 6 3 4 3" xfId="2494" xr:uid="{00000000-0005-0000-0000-0000CD310000}"/>
    <cellStyle name="Comma 6 3 4 3 2" xfId="2495" xr:uid="{00000000-0005-0000-0000-0000CE310000}"/>
    <cellStyle name="Comma 6 3 4 3 3" xfId="2496" xr:uid="{00000000-0005-0000-0000-0000CF310000}"/>
    <cellStyle name="Comma 6 3 4 4" xfId="2497" xr:uid="{00000000-0005-0000-0000-0000D0310000}"/>
    <cellStyle name="Comma 6 3 4 5" xfId="2498" xr:uid="{00000000-0005-0000-0000-0000D1310000}"/>
    <cellStyle name="Comma 6 3 5" xfId="2499" xr:uid="{00000000-0005-0000-0000-0000D2310000}"/>
    <cellStyle name="Comma 6 3 5 2" xfId="2500" xr:uid="{00000000-0005-0000-0000-0000D3310000}"/>
    <cellStyle name="Comma 6 3 5 3" xfId="2501" xr:uid="{00000000-0005-0000-0000-0000D4310000}"/>
    <cellStyle name="Comma 6 3 6" xfId="2502" xr:uid="{00000000-0005-0000-0000-0000D5310000}"/>
    <cellStyle name="Comma 6 3 6 2" xfId="2503" xr:uid="{00000000-0005-0000-0000-0000D6310000}"/>
    <cellStyle name="Comma 6 3 6 3" xfId="2504" xr:uid="{00000000-0005-0000-0000-0000D7310000}"/>
    <cellStyle name="Comma 6 3 7" xfId="2505" xr:uid="{00000000-0005-0000-0000-0000D8310000}"/>
    <cellStyle name="Comma 6 3 8" xfId="2506" xr:uid="{00000000-0005-0000-0000-0000D9310000}"/>
    <cellStyle name="Comma 6 4" xfId="2507" xr:uid="{00000000-0005-0000-0000-0000DA310000}"/>
    <cellStyle name="Comma 6 4 2" xfId="2508" xr:uid="{00000000-0005-0000-0000-0000DB310000}"/>
    <cellStyle name="Comma 6 4 2 2" xfId="2509" xr:uid="{00000000-0005-0000-0000-0000DC310000}"/>
    <cellStyle name="Comma 6 4 2 2 2" xfId="2510" xr:uid="{00000000-0005-0000-0000-0000DD310000}"/>
    <cellStyle name="Comma 6 4 2 2 2 2" xfId="2511" xr:uid="{00000000-0005-0000-0000-0000DE310000}"/>
    <cellStyle name="Comma 6 4 2 2 2 2 2" xfId="2512" xr:uid="{00000000-0005-0000-0000-0000DF310000}"/>
    <cellStyle name="Comma 6 4 2 2 2 2 3" xfId="2513" xr:uid="{00000000-0005-0000-0000-0000E0310000}"/>
    <cellStyle name="Comma 6 4 2 2 2 3" xfId="2514" xr:uid="{00000000-0005-0000-0000-0000E1310000}"/>
    <cellStyle name="Comma 6 4 2 2 2 3 2" xfId="2515" xr:uid="{00000000-0005-0000-0000-0000E2310000}"/>
    <cellStyle name="Comma 6 4 2 2 2 3 3" xfId="2516" xr:uid="{00000000-0005-0000-0000-0000E3310000}"/>
    <cellStyle name="Comma 6 4 2 2 2 4" xfId="2517" xr:uid="{00000000-0005-0000-0000-0000E4310000}"/>
    <cellStyle name="Comma 6 4 2 2 2 5" xfId="2518" xr:uid="{00000000-0005-0000-0000-0000E5310000}"/>
    <cellStyle name="Comma 6 4 2 2 3" xfId="2519" xr:uid="{00000000-0005-0000-0000-0000E6310000}"/>
    <cellStyle name="Comma 6 4 2 2 3 2" xfId="2520" xr:uid="{00000000-0005-0000-0000-0000E7310000}"/>
    <cellStyle name="Comma 6 4 2 2 3 3" xfId="2521" xr:uid="{00000000-0005-0000-0000-0000E8310000}"/>
    <cellStyle name="Comma 6 4 2 2 4" xfId="2522" xr:uid="{00000000-0005-0000-0000-0000E9310000}"/>
    <cellStyle name="Comma 6 4 2 2 4 2" xfId="2523" xr:uid="{00000000-0005-0000-0000-0000EA310000}"/>
    <cellStyle name="Comma 6 4 2 2 4 3" xfId="2524" xr:uid="{00000000-0005-0000-0000-0000EB310000}"/>
    <cellStyle name="Comma 6 4 2 2 5" xfId="2525" xr:uid="{00000000-0005-0000-0000-0000EC310000}"/>
    <cellStyle name="Comma 6 4 2 2 6" xfId="2526" xr:uid="{00000000-0005-0000-0000-0000ED310000}"/>
    <cellStyle name="Comma 6 4 2 3" xfId="2527" xr:uid="{00000000-0005-0000-0000-0000EE310000}"/>
    <cellStyle name="Comma 6 4 2 3 2" xfId="2528" xr:uid="{00000000-0005-0000-0000-0000EF310000}"/>
    <cellStyle name="Comma 6 4 2 3 2 2" xfId="2529" xr:uid="{00000000-0005-0000-0000-0000F0310000}"/>
    <cellStyle name="Comma 6 4 2 3 2 3" xfId="2530" xr:uid="{00000000-0005-0000-0000-0000F1310000}"/>
    <cellStyle name="Comma 6 4 2 3 3" xfId="2531" xr:uid="{00000000-0005-0000-0000-0000F2310000}"/>
    <cellStyle name="Comma 6 4 2 3 3 2" xfId="2532" xr:uid="{00000000-0005-0000-0000-0000F3310000}"/>
    <cellStyle name="Comma 6 4 2 3 3 3" xfId="2533" xr:uid="{00000000-0005-0000-0000-0000F4310000}"/>
    <cellStyle name="Comma 6 4 2 3 4" xfId="2534" xr:uid="{00000000-0005-0000-0000-0000F5310000}"/>
    <cellStyle name="Comma 6 4 2 3 5" xfId="2535" xr:uid="{00000000-0005-0000-0000-0000F6310000}"/>
    <cellStyle name="Comma 6 4 2 4" xfId="2536" xr:uid="{00000000-0005-0000-0000-0000F7310000}"/>
    <cellStyle name="Comma 6 4 2 4 2" xfId="2537" xr:uid="{00000000-0005-0000-0000-0000F8310000}"/>
    <cellStyle name="Comma 6 4 2 4 3" xfId="2538" xr:uid="{00000000-0005-0000-0000-0000F9310000}"/>
    <cellStyle name="Comma 6 4 2 5" xfId="2539" xr:uid="{00000000-0005-0000-0000-0000FA310000}"/>
    <cellStyle name="Comma 6 4 2 5 2" xfId="2540" xr:uid="{00000000-0005-0000-0000-0000FB310000}"/>
    <cellStyle name="Comma 6 4 2 5 3" xfId="2541" xr:uid="{00000000-0005-0000-0000-0000FC310000}"/>
    <cellStyle name="Comma 6 4 2 6" xfId="2542" xr:uid="{00000000-0005-0000-0000-0000FD310000}"/>
    <cellStyle name="Comma 6 4 2 7" xfId="2543" xr:uid="{00000000-0005-0000-0000-0000FE310000}"/>
    <cellStyle name="Comma 6 4 3" xfId="2544" xr:uid="{00000000-0005-0000-0000-0000FF310000}"/>
    <cellStyle name="Comma 6 4 3 2" xfId="2545" xr:uid="{00000000-0005-0000-0000-000000320000}"/>
    <cellStyle name="Comma 6 4 3 2 2" xfId="2546" xr:uid="{00000000-0005-0000-0000-000001320000}"/>
    <cellStyle name="Comma 6 4 3 2 2 2" xfId="2547" xr:uid="{00000000-0005-0000-0000-000002320000}"/>
    <cellStyle name="Comma 6 4 3 2 2 3" xfId="2548" xr:uid="{00000000-0005-0000-0000-000003320000}"/>
    <cellStyle name="Comma 6 4 3 2 3" xfId="2549" xr:uid="{00000000-0005-0000-0000-000004320000}"/>
    <cellStyle name="Comma 6 4 3 2 3 2" xfId="2550" xr:uid="{00000000-0005-0000-0000-000005320000}"/>
    <cellStyle name="Comma 6 4 3 2 3 3" xfId="2551" xr:uid="{00000000-0005-0000-0000-000006320000}"/>
    <cellStyle name="Comma 6 4 3 2 4" xfId="2552" xr:uid="{00000000-0005-0000-0000-000007320000}"/>
    <cellStyle name="Comma 6 4 3 2 5" xfId="2553" xr:uid="{00000000-0005-0000-0000-000008320000}"/>
    <cellStyle name="Comma 6 4 3 3" xfId="2554" xr:uid="{00000000-0005-0000-0000-000009320000}"/>
    <cellStyle name="Comma 6 4 3 3 2" xfId="2555" xr:uid="{00000000-0005-0000-0000-00000A320000}"/>
    <cellStyle name="Comma 6 4 3 3 3" xfId="2556" xr:uid="{00000000-0005-0000-0000-00000B320000}"/>
    <cellStyle name="Comma 6 4 3 4" xfId="2557" xr:uid="{00000000-0005-0000-0000-00000C320000}"/>
    <cellStyle name="Comma 6 4 3 4 2" xfId="2558" xr:uid="{00000000-0005-0000-0000-00000D320000}"/>
    <cellStyle name="Comma 6 4 3 4 3" xfId="2559" xr:uid="{00000000-0005-0000-0000-00000E320000}"/>
    <cellStyle name="Comma 6 4 3 5" xfId="2560" xr:uid="{00000000-0005-0000-0000-00000F320000}"/>
    <cellStyle name="Comma 6 4 3 6" xfId="2561" xr:uid="{00000000-0005-0000-0000-000010320000}"/>
    <cellStyle name="Comma 6 4 4" xfId="2562" xr:uid="{00000000-0005-0000-0000-000011320000}"/>
    <cellStyle name="Comma 6 4 4 2" xfId="2563" xr:uid="{00000000-0005-0000-0000-000012320000}"/>
    <cellStyle name="Comma 6 4 4 2 2" xfId="2564" xr:uid="{00000000-0005-0000-0000-000013320000}"/>
    <cellStyle name="Comma 6 4 4 2 3" xfId="2565" xr:uid="{00000000-0005-0000-0000-000014320000}"/>
    <cellStyle name="Comma 6 4 4 3" xfId="2566" xr:uid="{00000000-0005-0000-0000-000015320000}"/>
    <cellStyle name="Comma 6 4 4 3 2" xfId="2567" xr:uid="{00000000-0005-0000-0000-000016320000}"/>
    <cellStyle name="Comma 6 4 4 3 3" xfId="2568" xr:uid="{00000000-0005-0000-0000-000017320000}"/>
    <cellStyle name="Comma 6 4 4 4" xfId="2569" xr:uid="{00000000-0005-0000-0000-000018320000}"/>
    <cellStyle name="Comma 6 4 4 5" xfId="2570" xr:uid="{00000000-0005-0000-0000-000019320000}"/>
    <cellStyle name="Comma 6 4 5" xfId="2571" xr:uid="{00000000-0005-0000-0000-00001A320000}"/>
    <cellStyle name="Comma 6 4 5 2" xfId="2572" xr:uid="{00000000-0005-0000-0000-00001B320000}"/>
    <cellStyle name="Comma 6 4 5 3" xfId="2573" xr:uid="{00000000-0005-0000-0000-00001C320000}"/>
    <cellStyle name="Comma 6 4 6" xfId="2574" xr:uid="{00000000-0005-0000-0000-00001D320000}"/>
    <cellStyle name="Comma 6 4 6 2" xfId="2575" xr:uid="{00000000-0005-0000-0000-00001E320000}"/>
    <cellStyle name="Comma 6 4 6 3" xfId="2576" xr:uid="{00000000-0005-0000-0000-00001F320000}"/>
    <cellStyle name="Comma 6 4 7" xfId="2577" xr:uid="{00000000-0005-0000-0000-000020320000}"/>
    <cellStyle name="Comma 6 4 8" xfId="2578" xr:uid="{00000000-0005-0000-0000-000021320000}"/>
    <cellStyle name="Comma 6 5" xfId="2579" xr:uid="{00000000-0005-0000-0000-000022320000}"/>
    <cellStyle name="Comma 6 5 2" xfId="2580" xr:uid="{00000000-0005-0000-0000-000023320000}"/>
    <cellStyle name="Comma 6 5 2 2" xfId="2581" xr:uid="{00000000-0005-0000-0000-000024320000}"/>
    <cellStyle name="Comma 6 5 2 2 2" xfId="2582" xr:uid="{00000000-0005-0000-0000-000025320000}"/>
    <cellStyle name="Comma 6 5 2 2 2 2" xfId="2583" xr:uid="{00000000-0005-0000-0000-000026320000}"/>
    <cellStyle name="Comma 6 5 2 2 2 3" xfId="2584" xr:uid="{00000000-0005-0000-0000-000027320000}"/>
    <cellStyle name="Comma 6 5 2 2 3" xfId="2585" xr:uid="{00000000-0005-0000-0000-000028320000}"/>
    <cellStyle name="Comma 6 5 2 2 3 2" xfId="2586" xr:uid="{00000000-0005-0000-0000-000029320000}"/>
    <cellStyle name="Comma 6 5 2 2 3 3" xfId="2587" xr:uid="{00000000-0005-0000-0000-00002A320000}"/>
    <cellStyle name="Comma 6 5 2 2 4" xfId="2588" xr:uid="{00000000-0005-0000-0000-00002B320000}"/>
    <cellStyle name="Comma 6 5 2 2 5" xfId="2589" xr:uid="{00000000-0005-0000-0000-00002C320000}"/>
    <cellStyle name="Comma 6 5 2 3" xfId="2590" xr:uid="{00000000-0005-0000-0000-00002D320000}"/>
    <cellStyle name="Comma 6 5 2 3 2" xfId="2591" xr:uid="{00000000-0005-0000-0000-00002E320000}"/>
    <cellStyle name="Comma 6 5 2 3 3" xfId="2592" xr:uid="{00000000-0005-0000-0000-00002F320000}"/>
    <cellStyle name="Comma 6 5 2 4" xfId="2593" xr:uid="{00000000-0005-0000-0000-000030320000}"/>
    <cellStyle name="Comma 6 5 2 4 2" xfId="2594" xr:uid="{00000000-0005-0000-0000-000031320000}"/>
    <cellStyle name="Comma 6 5 2 4 3" xfId="2595" xr:uid="{00000000-0005-0000-0000-000032320000}"/>
    <cellStyle name="Comma 6 5 2 5" xfId="2596" xr:uid="{00000000-0005-0000-0000-000033320000}"/>
    <cellStyle name="Comma 6 5 2 6" xfId="2597" xr:uid="{00000000-0005-0000-0000-000034320000}"/>
    <cellStyle name="Comma 6 5 3" xfId="2598" xr:uid="{00000000-0005-0000-0000-000035320000}"/>
    <cellStyle name="Comma 6 5 3 2" xfId="2599" xr:uid="{00000000-0005-0000-0000-000036320000}"/>
    <cellStyle name="Comma 6 5 3 2 2" xfId="2600" xr:uid="{00000000-0005-0000-0000-000037320000}"/>
    <cellStyle name="Comma 6 5 3 2 3" xfId="2601" xr:uid="{00000000-0005-0000-0000-000038320000}"/>
    <cellStyle name="Comma 6 5 3 3" xfId="2602" xr:uid="{00000000-0005-0000-0000-000039320000}"/>
    <cellStyle name="Comma 6 5 3 3 2" xfId="2603" xr:uid="{00000000-0005-0000-0000-00003A320000}"/>
    <cellStyle name="Comma 6 5 3 3 3" xfId="2604" xr:uid="{00000000-0005-0000-0000-00003B320000}"/>
    <cellStyle name="Comma 6 5 3 4" xfId="2605" xr:uid="{00000000-0005-0000-0000-00003C320000}"/>
    <cellStyle name="Comma 6 5 3 5" xfId="2606" xr:uid="{00000000-0005-0000-0000-00003D320000}"/>
    <cellStyle name="Comma 6 5 4" xfId="2607" xr:uid="{00000000-0005-0000-0000-00003E320000}"/>
    <cellStyle name="Comma 6 5 4 2" xfId="2608" xr:uid="{00000000-0005-0000-0000-00003F320000}"/>
    <cellStyle name="Comma 6 5 4 3" xfId="2609" xr:uid="{00000000-0005-0000-0000-000040320000}"/>
    <cellStyle name="Comma 6 5 5" xfId="2610" xr:uid="{00000000-0005-0000-0000-000041320000}"/>
    <cellStyle name="Comma 6 5 5 2" xfId="2611" xr:uid="{00000000-0005-0000-0000-000042320000}"/>
    <cellStyle name="Comma 6 5 5 3" xfId="2612" xr:uid="{00000000-0005-0000-0000-000043320000}"/>
    <cellStyle name="Comma 6 5 6" xfId="2613" xr:uid="{00000000-0005-0000-0000-000044320000}"/>
    <cellStyle name="Comma 6 5 7" xfId="2614" xr:uid="{00000000-0005-0000-0000-000045320000}"/>
    <cellStyle name="Comma 6 6" xfId="2615" xr:uid="{00000000-0005-0000-0000-000046320000}"/>
    <cellStyle name="Comma 6 6 2" xfId="2616" xr:uid="{00000000-0005-0000-0000-000047320000}"/>
    <cellStyle name="Comma 6 6 2 2" xfId="2617" xr:uid="{00000000-0005-0000-0000-000048320000}"/>
    <cellStyle name="Comma 6 6 2 2 2" xfId="2618" xr:uid="{00000000-0005-0000-0000-000049320000}"/>
    <cellStyle name="Comma 6 6 2 2 3" xfId="2619" xr:uid="{00000000-0005-0000-0000-00004A320000}"/>
    <cellStyle name="Comma 6 6 2 3" xfId="2620" xr:uid="{00000000-0005-0000-0000-00004B320000}"/>
    <cellStyle name="Comma 6 6 2 3 2" xfId="2621" xr:uid="{00000000-0005-0000-0000-00004C320000}"/>
    <cellStyle name="Comma 6 6 2 3 3" xfId="2622" xr:uid="{00000000-0005-0000-0000-00004D320000}"/>
    <cellStyle name="Comma 6 6 2 4" xfId="2623" xr:uid="{00000000-0005-0000-0000-00004E320000}"/>
    <cellStyle name="Comma 6 6 2 5" xfId="2624" xr:uid="{00000000-0005-0000-0000-00004F320000}"/>
    <cellStyle name="Comma 6 6 3" xfId="2625" xr:uid="{00000000-0005-0000-0000-000050320000}"/>
    <cellStyle name="Comma 6 6 3 2" xfId="2626" xr:uid="{00000000-0005-0000-0000-000051320000}"/>
    <cellStyle name="Comma 6 6 3 3" xfId="2627" xr:uid="{00000000-0005-0000-0000-000052320000}"/>
    <cellStyle name="Comma 6 6 4" xfId="2628" xr:uid="{00000000-0005-0000-0000-000053320000}"/>
    <cellStyle name="Comma 6 6 4 2" xfId="2629" xr:uid="{00000000-0005-0000-0000-000054320000}"/>
    <cellStyle name="Comma 6 6 4 3" xfId="2630" xr:uid="{00000000-0005-0000-0000-000055320000}"/>
    <cellStyle name="Comma 6 6 5" xfId="2631" xr:uid="{00000000-0005-0000-0000-000056320000}"/>
    <cellStyle name="Comma 6 6 6" xfId="2632" xr:uid="{00000000-0005-0000-0000-000057320000}"/>
    <cellStyle name="Comma 6 7" xfId="2633" xr:uid="{00000000-0005-0000-0000-000058320000}"/>
    <cellStyle name="Comma 6 7 2" xfId="2634" xr:uid="{00000000-0005-0000-0000-000059320000}"/>
    <cellStyle name="Comma 6 7 2 2" xfId="2635" xr:uid="{00000000-0005-0000-0000-00005A320000}"/>
    <cellStyle name="Comma 6 7 2 3" xfId="2636" xr:uid="{00000000-0005-0000-0000-00005B320000}"/>
    <cellStyle name="Comma 6 7 3" xfId="2637" xr:uid="{00000000-0005-0000-0000-00005C320000}"/>
    <cellStyle name="Comma 6 7 3 2" xfId="2638" xr:uid="{00000000-0005-0000-0000-00005D320000}"/>
    <cellStyle name="Comma 6 7 3 3" xfId="2639" xr:uid="{00000000-0005-0000-0000-00005E320000}"/>
    <cellStyle name="Comma 6 7 4" xfId="2640" xr:uid="{00000000-0005-0000-0000-00005F320000}"/>
    <cellStyle name="Comma 6 7 5" xfId="2641" xr:uid="{00000000-0005-0000-0000-000060320000}"/>
    <cellStyle name="Comma 6 8" xfId="2642" xr:uid="{00000000-0005-0000-0000-000061320000}"/>
    <cellStyle name="Comma 6 8 2" xfId="2643" xr:uid="{00000000-0005-0000-0000-000062320000}"/>
    <cellStyle name="Comma 6 8 3" xfId="2644" xr:uid="{00000000-0005-0000-0000-000063320000}"/>
    <cellStyle name="Comma 6 9" xfId="2645" xr:uid="{00000000-0005-0000-0000-000064320000}"/>
    <cellStyle name="Comma 6 9 2" xfId="2646" xr:uid="{00000000-0005-0000-0000-000065320000}"/>
    <cellStyle name="Comma 6 9 3" xfId="2647" xr:uid="{00000000-0005-0000-0000-000066320000}"/>
    <cellStyle name="Comma 7" xfId="114" xr:uid="{00000000-0005-0000-0000-000067320000}"/>
    <cellStyle name="Comma 7 10" xfId="2648" xr:uid="{00000000-0005-0000-0000-000068320000}"/>
    <cellStyle name="Comma 7 11" xfId="2649" xr:uid="{00000000-0005-0000-0000-000069320000}"/>
    <cellStyle name="Comma 7 2" xfId="2650" xr:uid="{00000000-0005-0000-0000-00006A320000}"/>
    <cellStyle name="Comma 7 2 2" xfId="2651" xr:uid="{00000000-0005-0000-0000-00006B320000}"/>
    <cellStyle name="Comma 7 2 2 2" xfId="2652" xr:uid="{00000000-0005-0000-0000-00006C320000}"/>
    <cellStyle name="Comma 7 2 2 2 2" xfId="2653" xr:uid="{00000000-0005-0000-0000-00006D320000}"/>
    <cellStyle name="Comma 7 2 2 2 2 2" xfId="2654" xr:uid="{00000000-0005-0000-0000-00006E320000}"/>
    <cellStyle name="Comma 7 2 2 2 2 2 2" xfId="2655" xr:uid="{00000000-0005-0000-0000-00006F320000}"/>
    <cellStyle name="Comma 7 2 2 2 2 2 2 2" xfId="2656" xr:uid="{00000000-0005-0000-0000-000070320000}"/>
    <cellStyle name="Comma 7 2 2 2 2 2 2 3" xfId="2657" xr:uid="{00000000-0005-0000-0000-000071320000}"/>
    <cellStyle name="Comma 7 2 2 2 2 2 3" xfId="2658" xr:uid="{00000000-0005-0000-0000-000072320000}"/>
    <cellStyle name="Comma 7 2 2 2 2 2 3 2" xfId="2659" xr:uid="{00000000-0005-0000-0000-000073320000}"/>
    <cellStyle name="Comma 7 2 2 2 2 2 3 3" xfId="2660" xr:uid="{00000000-0005-0000-0000-000074320000}"/>
    <cellStyle name="Comma 7 2 2 2 2 2 4" xfId="2661" xr:uid="{00000000-0005-0000-0000-000075320000}"/>
    <cellStyle name="Comma 7 2 2 2 2 2 5" xfId="2662" xr:uid="{00000000-0005-0000-0000-000076320000}"/>
    <cellStyle name="Comma 7 2 2 2 2 3" xfId="2663" xr:uid="{00000000-0005-0000-0000-000077320000}"/>
    <cellStyle name="Comma 7 2 2 2 2 3 2" xfId="2664" xr:uid="{00000000-0005-0000-0000-000078320000}"/>
    <cellStyle name="Comma 7 2 2 2 2 3 3" xfId="2665" xr:uid="{00000000-0005-0000-0000-000079320000}"/>
    <cellStyle name="Comma 7 2 2 2 2 4" xfId="2666" xr:uid="{00000000-0005-0000-0000-00007A320000}"/>
    <cellStyle name="Comma 7 2 2 2 2 4 2" xfId="2667" xr:uid="{00000000-0005-0000-0000-00007B320000}"/>
    <cellStyle name="Comma 7 2 2 2 2 4 3" xfId="2668" xr:uid="{00000000-0005-0000-0000-00007C320000}"/>
    <cellStyle name="Comma 7 2 2 2 2 5" xfId="2669" xr:uid="{00000000-0005-0000-0000-00007D320000}"/>
    <cellStyle name="Comma 7 2 2 2 2 6" xfId="2670" xr:uid="{00000000-0005-0000-0000-00007E320000}"/>
    <cellStyle name="Comma 7 2 2 2 3" xfId="2671" xr:uid="{00000000-0005-0000-0000-00007F320000}"/>
    <cellStyle name="Comma 7 2 2 2 3 2" xfId="2672" xr:uid="{00000000-0005-0000-0000-000080320000}"/>
    <cellStyle name="Comma 7 2 2 2 3 2 2" xfId="2673" xr:uid="{00000000-0005-0000-0000-000081320000}"/>
    <cellStyle name="Comma 7 2 2 2 3 2 3" xfId="2674" xr:uid="{00000000-0005-0000-0000-000082320000}"/>
    <cellStyle name="Comma 7 2 2 2 3 3" xfId="2675" xr:uid="{00000000-0005-0000-0000-000083320000}"/>
    <cellStyle name="Comma 7 2 2 2 3 3 2" xfId="2676" xr:uid="{00000000-0005-0000-0000-000084320000}"/>
    <cellStyle name="Comma 7 2 2 2 3 3 3" xfId="2677" xr:uid="{00000000-0005-0000-0000-000085320000}"/>
    <cellStyle name="Comma 7 2 2 2 3 4" xfId="2678" xr:uid="{00000000-0005-0000-0000-000086320000}"/>
    <cellStyle name="Comma 7 2 2 2 3 5" xfId="2679" xr:uid="{00000000-0005-0000-0000-000087320000}"/>
    <cellStyle name="Comma 7 2 2 2 4" xfId="2680" xr:uid="{00000000-0005-0000-0000-000088320000}"/>
    <cellStyle name="Comma 7 2 2 2 4 2" xfId="2681" xr:uid="{00000000-0005-0000-0000-000089320000}"/>
    <cellStyle name="Comma 7 2 2 2 4 3" xfId="2682" xr:uid="{00000000-0005-0000-0000-00008A320000}"/>
    <cellStyle name="Comma 7 2 2 2 5" xfId="2683" xr:uid="{00000000-0005-0000-0000-00008B320000}"/>
    <cellStyle name="Comma 7 2 2 2 5 2" xfId="2684" xr:uid="{00000000-0005-0000-0000-00008C320000}"/>
    <cellStyle name="Comma 7 2 2 2 5 3" xfId="2685" xr:uid="{00000000-0005-0000-0000-00008D320000}"/>
    <cellStyle name="Comma 7 2 2 2 6" xfId="2686" xr:uid="{00000000-0005-0000-0000-00008E320000}"/>
    <cellStyle name="Comma 7 2 2 2 7" xfId="2687" xr:uid="{00000000-0005-0000-0000-00008F320000}"/>
    <cellStyle name="Comma 7 2 2 3" xfId="2688" xr:uid="{00000000-0005-0000-0000-000090320000}"/>
    <cellStyle name="Comma 7 2 2 3 2" xfId="2689" xr:uid="{00000000-0005-0000-0000-000091320000}"/>
    <cellStyle name="Comma 7 2 2 3 2 2" xfId="2690" xr:uid="{00000000-0005-0000-0000-000092320000}"/>
    <cellStyle name="Comma 7 2 2 3 2 2 2" xfId="2691" xr:uid="{00000000-0005-0000-0000-000093320000}"/>
    <cellStyle name="Comma 7 2 2 3 2 2 3" xfId="2692" xr:uid="{00000000-0005-0000-0000-000094320000}"/>
    <cellStyle name="Comma 7 2 2 3 2 3" xfId="2693" xr:uid="{00000000-0005-0000-0000-000095320000}"/>
    <cellStyle name="Comma 7 2 2 3 2 3 2" xfId="2694" xr:uid="{00000000-0005-0000-0000-000096320000}"/>
    <cellStyle name="Comma 7 2 2 3 2 3 3" xfId="2695" xr:uid="{00000000-0005-0000-0000-000097320000}"/>
    <cellStyle name="Comma 7 2 2 3 2 4" xfId="2696" xr:uid="{00000000-0005-0000-0000-000098320000}"/>
    <cellStyle name="Comma 7 2 2 3 2 5" xfId="2697" xr:uid="{00000000-0005-0000-0000-000099320000}"/>
    <cellStyle name="Comma 7 2 2 3 3" xfId="2698" xr:uid="{00000000-0005-0000-0000-00009A320000}"/>
    <cellStyle name="Comma 7 2 2 3 3 2" xfId="2699" xr:uid="{00000000-0005-0000-0000-00009B320000}"/>
    <cellStyle name="Comma 7 2 2 3 3 3" xfId="2700" xr:uid="{00000000-0005-0000-0000-00009C320000}"/>
    <cellStyle name="Comma 7 2 2 3 4" xfId="2701" xr:uid="{00000000-0005-0000-0000-00009D320000}"/>
    <cellStyle name="Comma 7 2 2 3 4 2" xfId="2702" xr:uid="{00000000-0005-0000-0000-00009E320000}"/>
    <cellStyle name="Comma 7 2 2 3 4 3" xfId="2703" xr:uid="{00000000-0005-0000-0000-00009F320000}"/>
    <cellStyle name="Comma 7 2 2 3 5" xfId="2704" xr:uid="{00000000-0005-0000-0000-0000A0320000}"/>
    <cellStyle name="Comma 7 2 2 3 6" xfId="2705" xr:uid="{00000000-0005-0000-0000-0000A1320000}"/>
    <cellStyle name="Comma 7 2 2 4" xfId="2706" xr:uid="{00000000-0005-0000-0000-0000A2320000}"/>
    <cellStyle name="Comma 7 2 2 4 2" xfId="2707" xr:uid="{00000000-0005-0000-0000-0000A3320000}"/>
    <cellStyle name="Comma 7 2 2 4 2 2" xfId="2708" xr:uid="{00000000-0005-0000-0000-0000A4320000}"/>
    <cellStyle name="Comma 7 2 2 4 2 3" xfId="2709" xr:uid="{00000000-0005-0000-0000-0000A5320000}"/>
    <cellStyle name="Comma 7 2 2 4 3" xfId="2710" xr:uid="{00000000-0005-0000-0000-0000A6320000}"/>
    <cellStyle name="Comma 7 2 2 4 3 2" xfId="2711" xr:uid="{00000000-0005-0000-0000-0000A7320000}"/>
    <cellStyle name="Comma 7 2 2 4 3 3" xfId="2712" xr:uid="{00000000-0005-0000-0000-0000A8320000}"/>
    <cellStyle name="Comma 7 2 2 4 4" xfId="2713" xr:uid="{00000000-0005-0000-0000-0000A9320000}"/>
    <cellStyle name="Comma 7 2 2 4 5" xfId="2714" xr:uid="{00000000-0005-0000-0000-0000AA320000}"/>
    <cellStyle name="Comma 7 2 2 5" xfId="2715" xr:uid="{00000000-0005-0000-0000-0000AB320000}"/>
    <cellStyle name="Comma 7 2 2 5 2" xfId="2716" xr:uid="{00000000-0005-0000-0000-0000AC320000}"/>
    <cellStyle name="Comma 7 2 2 5 3" xfId="2717" xr:uid="{00000000-0005-0000-0000-0000AD320000}"/>
    <cellStyle name="Comma 7 2 2 6" xfId="2718" xr:uid="{00000000-0005-0000-0000-0000AE320000}"/>
    <cellStyle name="Comma 7 2 2 6 2" xfId="2719" xr:uid="{00000000-0005-0000-0000-0000AF320000}"/>
    <cellStyle name="Comma 7 2 2 6 3" xfId="2720" xr:uid="{00000000-0005-0000-0000-0000B0320000}"/>
    <cellStyle name="Comma 7 2 2 7" xfId="2721" xr:uid="{00000000-0005-0000-0000-0000B1320000}"/>
    <cellStyle name="Comma 7 2 2 8" xfId="2722" xr:uid="{00000000-0005-0000-0000-0000B2320000}"/>
    <cellStyle name="Comma 7 2 3" xfId="2723" xr:uid="{00000000-0005-0000-0000-0000B3320000}"/>
    <cellStyle name="Comma 7 2 3 2" xfId="2724" xr:uid="{00000000-0005-0000-0000-0000B4320000}"/>
    <cellStyle name="Comma 7 2 3 2 2" xfId="2725" xr:uid="{00000000-0005-0000-0000-0000B5320000}"/>
    <cellStyle name="Comma 7 2 3 2 2 2" xfId="2726" xr:uid="{00000000-0005-0000-0000-0000B6320000}"/>
    <cellStyle name="Comma 7 2 3 2 2 2 2" xfId="2727" xr:uid="{00000000-0005-0000-0000-0000B7320000}"/>
    <cellStyle name="Comma 7 2 3 2 2 2 3" xfId="2728" xr:uid="{00000000-0005-0000-0000-0000B8320000}"/>
    <cellStyle name="Comma 7 2 3 2 2 3" xfId="2729" xr:uid="{00000000-0005-0000-0000-0000B9320000}"/>
    <cellStyle name="Comma 7 2 3 2 2 3 2" xfId="2730" xr:uid="{00000000-0005-0000-0000-0000BA320000}"/>
    <cellStyle name="Comma 7 2 3 2 2 3 3" xfId="2731" xr:uid="{00000000-0005-0000-0000-0000BB320000}"/>
    <cellStyle name="Comma 7 2 3 2 2 4" xfId="2732" xr:uid="{00000000-0005-0000-0000-0000BC320000}"/>
    <cellStyle name="Comma 7 2 3 2 2 5" xfId="2733" xr:uid="{00000000-0005-0000-0000-0000BD320000}"/>
    <cellStyle name="Comma 7 2 3 2 3" xfId="2734" xr:uid="{00000000-0005-0000-0000-0000BE320000}"/>
    <cellStyle name="Comma 7 2 3 2 3 2" xfId="2735" xr:uid="{00000000-0005-0000-0000-0000BF320000}"/>
    <cellStyle name="Comma 7 2 3 2 3 3" xfId="2736" xr:uid="{00000000-0005-0000-0000-0000C0320000}"/>
    <cellStyle name="Comma 7 2 3 2 4" xfId="2737" xr:uid="{00000000-0005-0000-0000-0000C1320000}"/>
    <cellStyle name="Comma 7 2 3 2 4 2" xfId="2738" xr:uid="{00000000-0005-0000-0000-0000C2320000}"/>
    <cellStyle name="Comma 7 2 3 2 4 3" xfId="2739" xr:uid="{00000000-0005-0000-0000-0000C3320000}"/>
    <cellStyle name="Comma 7 2 3 2 5" xfId="2740" xr:uid="{00000000-0005-0000-0000-0000C4320000}"/>
    <cellStyle name="Comma 7 2 3 2 6" xfId="2741" xr:uid="{00000000-0005-0000-0000-0000C5320000}"/>
    <cellStyle name="Comma 7 2 3 3" xfId="2742" xr:uid="{00000000-0005-0000-0000-0000C6320000}"/>
    <cellStyle name="Comma 7 2 3 3 2" xfId="2743" xr:uid="{00000000-0005-0000-0000-0000C7320000}"/>
    <cellStyle name="Comma 7 2 3 3 2 2" xfId="2744" xr:uid="{00000000-0005-0000-0000-0000C8320000}"/>
    <cellStyle name="Comma 7 2 3 3 2 3" xfId="2745" xr:uid="{00000000-0005-0000-0000-0000C9320000}"/>
    <cellStyle name="Comma 7 2 3 3 3" xfId="2746" xr:uid="{00000000-0005-0000-0000-0000CA320000}"/>
    <cellStyle name="Comma 7 2 3 3 3 2" xfId="2747" xr:uid="{00000000-0005-0000-0000-0000CB320000}"/>
    <cellStyle name="Comma 7 2 3 3 3 3" xfId="2748" xr:uid="{00000000-0005-0000-0000-0000CC320000}"/>
    <cellStyle name="Comma 7 2 3 3 4" xfId="2749" xr:uid="{00000000-0005-0000-0000-0000CD320000}"/>
    <cellStyle name="Comma 7 2 3 3 5" xfId="2750" xr:uid="{00000000-0005-0000-0000-0000CE320000}"/>
    <cellStyle name="Comma 7 2 3 4" xfId="2751" xr:uid="{00000000-0005-0000-0000-0000CF320000}"/>
    <cellStyle name="Comma 7 2 3 4 2" xfId="2752" xr:uid="{00000000-0005-0000-0000-0000D0320000}"/>
    <cellStyle name="Comma 7 2 3 4 3" xfId="2753" xr:uid="{00000000-0005-0000-0000-0000D1320000}"/>
    <cellStyle name="Comma 7 2 3 5" xfId="2754" xr:uid="{00000000-0005-0000-0000-0000D2320000}"/>
    <cellStyle name="Comma 7 2 3 5 2" xfId="2755" xr:uid="{00000000-0005-0000-0000-0000D3320000}"/>
    <cellStyle name="Comma 7 2 3 5 3" xfId="2756" xr:uid="{00000000-0005-0000-0000-0000D4320000}"/>
    <cellStyle name="Comma 7 2 3 6" xfId="2757" xr:uid="{00000000-0005-0000-0000-0000D5320000}"/>
    <cellStyle name="Comma 7 2 3 7" xfId="2758" xr:uid="{00000000-0005-0000-0000-0000D6320000}"/>
    <cellStyle name="Comma 7 2 4" xfId="2759" xr:uid="{00000000-0005-0000-0000-0000D7320000}"/>
    <cellStyle name="Comma 7 2 4 2" xfId="2760" xr:uid="{00000000-0005-0000-0000-0000D8320000}"/>
    <cellStyle name="Comma 7 2 4 2 2" xfId="2761" xr:uid="{00000000-0005-0000-0000-0000D9320000}"/>
    <cellStyle name="Comma 7 2 4 2 2 2" xfId="2762" xr:uid="{00000000-0005-0000-0000-0000DA320000}"/>
    <cellStyle name="Comma 7 2 4 2 2 3" xfId="2763" xr:uid="{00000000-0005-0000-0000-0000DB320000}"/>
    <cellStyle name="Comma 7 2 4 2 3" xfId="2764" xr:uid="{00000000-0005-0000-0000-0000DC320000}"/>
    <cellStyle name="Comma 7 2 4 2 3 2" xfId="2765" xr:uid="{00000000-0005-0000-0000-0000DD320000}"/>
    <cellStyle name="Comma 7 2 4 2 3 3" xfId="2766" xr:uid="{00000000-0005-0000-0000-0000DE320000}"/>
    <cellStyle name="Comma 7 2 4 2 4" xfId="2767" xr:uid="{00000000-0005-0000-0000-0000DF320000}"/>
    <cellStyle name="Comma 7 2 4 2 5" xfId="2768" xr:uid="{00000000-0005-0000-0000-0000E0320000}"/>
    <cellStyle name="Comma 7 2 4 3" xfId="2769" xr:uid="{00000000-0005-0000-0000-0000E1320000}"/>
    <cellStyle name="Comma 7 2 4 3 2" xfId="2770" xr:uid="{00000000-0005-0000-0000-0000E2320000}"/>
    <cellStyle name="Comma 7 2 4 3 3" xfId="2771" xr:uid="{00000000-0005-0000-0000-0000E3320000}"/>
    <cellStyle name="Comma 7 2 4 4" xfId="2772" xr:uid="{00000000-0005-0000-0000-0000E4320000}"/>
    <cellStyle name="Comma 7 2 4 4 2" xfId="2773" xr:uid="{00000000-0005-0000-0000-0000E5320000}"/>
    <cellStyle name="Comma 7 2 4 4 3" xfId="2774" xr:uid="{00000000-0005-0000-0000-0000E6320000}"/>
    <cellStyle name="Comma 7 2 4 5" xfId="2775" xr:uid="{00000000-0005-0000-0000-0000E7320000}"/>
    <cellStyle name="Comma 7 2 4 6" xfId="2776" xr:uid="{00000000-0005-0000-0000-0000E8320000}"/>
    <cellStyle name="Comma 7 2 5" xfId="2777" xr:uid="{00000000-0005-0000-0000-0000E9320000}"/>
    <cellStyle name="Comma 7 2 5 2" xfId="2778" xr:uid="{00000000-0005-0000-0000-0000EA320000}"/>
    <cellStyle name="Comma 7 2 5 2 2" xfId="2779" xr:uid="{00000000-0005-0000-0000-0000EB320000}"/>
    <cellStyle name="Comma 7 2 5 2 3" xfId="2780" xr:uid="{00000000-0005-0000-0000-0000EC320000}"/>
    <cellStyle name="Comma 7 2 5 3" xfId="2781" xr:uid="{00000000-0005-0000-0000-0000ED320000}"/>
    <cellStyle name="Comma 7 2 5 3 2" xfId="2782" xr:uid="{00000000-0005-0000-0000-0000EE320000}"/>
    <cellStyle name="Comma 7 2 5 3 3" xfId="2783" xr:uid="{00000000-0005-0000-0000-0000EF320000}"/>
    <cellStyle name="Comma 7 2 5 4" xfId="2784" xr:uid="{00000000-0005-0000-0000-0000F0320000}"/>
    <cellStyle name="Comma 7 2 5 5" xfId="2785" xr:uid="{00000000-0005-0000-0000-0000F1320000}"/>
    <cellStyle name="Comma 7 2 6" xfId="2786" xr:uid="{00000000-0005-0000-0000-0000F2320000}"/>
    <cellStyle name="Comma 7 2 6 2" xfId="2787" xr:uid="{00000000-0005-0000-0000-0000F3320000}"/>
    <cellStyle name="Comma 7 2 6 3" xfId="2788" xr:uid="{00000000-0005-0000-0000-0000F4320000}"/>
    <cellStyle name="Comma 7 2 7" xfId="2789" xr:uid="{00000000-0005-0000-0000-0000F5320000}"/>
    <cellStyle name="Comma 7 2 7 2" xfId="2790" xr:uid="{00000000-0005-0000-0000-0000F6320000}"/>
    <cellStyle name="Comma 7 2 7 3" xfId="2791" xr:uid="{00000000-0005-0000-0000-0000F7320000}"/>
    <cellStyle name="Comma 7 2 8" xfId="2792" xr:uid="{00000000-0005-0000-0000-0000F8320000}"/>
    <cellStyle name="Comma 7 2 9" xfId="2793" xr:uid="{00000000-0005-0000-0000-0000F9320000}"/>
    <cellStyle name="Comma 7 3" xfId="2794" xr:uid="{00000000-0005-0000-0000-0000FA320000}"/>
    <cellStyle name="Comma 7 3 2" xfId="2795" xr:uid="{00000000-0005-0000-0000-0000FB320000}"/>
    <cellStyle name="Comma 7 3 2 2" xfId="2796" xr:uid="{00000000-0005-0000-0000-0000FC320000}"/>
    <cellStyle name="Comma 7 3 2 2 2" xfId="2797" xr:uid="{00000000-0005-0000-0000-0000FD320000}"/>
    <cellStyle name="Comma 7 3 2 2 2 2" xfId="2798" xr:uid="{00000000-0005-0000-0000-0000FE320000}"/>
    <cellStyle name="Comma 7 3 2 2 2 2 2" xfId="2799" xr:uid="{00000000-0005-0000-0000-0000FF320000}"/>
    <cellStyle name="Comma 7 3 2 2 2 2 3" xfId="2800" xr:uid="{00000000-0005-0000-0000-000000330000}"/>
    <cellStyle name="Comma 7 3 2 2 2 3" xfId="2801" xr:uid="{00000000-0005-0000-0000-000001330000}"/>
    <cellStyle name="Comma 7 3 2 2 2 3 2" xfId="2802" xr:uid="{00000000-0005-0000-0000-000002330000}"/>
    <cellStyle name="Comma 7 3 2 2 2 3 3" xfId="2803" xr:uid="{00000000-0005-0000-0000-000003330000}"/>
    <cellStyle name="Comma 7 3 2 2 2 4" xfId="2804" xr:uid="{00000000-0005-0000-0000-000004330000}"/>
    <cellStyle name="Comma 7 3 2 2 2 5" xfId="2805" xr:uid="{00000000-0005-0000-0000-000005330000}"/>
    <cellStyle name="Comma 7 3 2 2 3" xfId="2806" xr:uid="{00000000-0005-0000-0000-000006330000}"/>
    <cellStyle name="Comma 7 3 2 2 3 2" xfId="2807" xr:uid="{00000000-0005-0000-0000-000007330000}"/>
    <cellStyle name="Comma 7 3 2 2 3 3" xfId="2808" xr:uid="{00000000-0005-0000-0000-000008330000}"/>
    <cellStyle name="Comma 7 3 2 2 4" xfId="2809" xr:uid="{00000000-0005-0000-0000-000009330000}"/>
    <cellStyle name="Comma 7 3 2 2 4 2" xfId="2810" xr:uid="{00000000-0005-0000-0000-00000A330000}"/>
    <cellStyle name="Comma 7 3 2 2 4 3" xfId="2811" xr:uid="{00000000-0005-0000-0000-00000B330000}"/>
    <cellStyle name="Comma 7 3 2 2 5" xfId="2812" xr:uid="{00000000-0005-0000-0000-00000C330000}"/>
    <cellStyle name="Comma 7 3 2 2 6" xfId="2813" xr:uid="{00000000-0005-0000-0000-00000D330000}"/>
    <cellStyle name="Comma 7 3 2 3" xfId="2814" xr:uid="{00000000-0005-0000-0000-00000E330000}"/>
    <cellStyle name="Comma 7 3 2 3 2" xfId="2815" xr:uid="{00000000-0005-0000-0000-00000F330000}"/>
    <cellStyle name="Comma 7 3 2 3 2 2" xfId="2816" xr:uid="{00000000-0005-0000-0000-000010330000}"/>
    <cellStyle name="Comma 7 3 2 3 2 3" xfId="2817" xr:uid="{00000000-0005-0000-0000-000011330000}"/>
    <cellStyle name="Comma 7 3 2 3 3" xfId="2818" xr:uid="{00000000-0005-0000-0000-000012330000}"/>
    <cellStyle name="Comma 7 3 2 3 3 2" xfId="2819" xr:uid="{00000000-0005-0000-0000-000013330000}"/>
    <cellStyle name="Comma 7 3 2 3 3 3" xfId="2820" xr:uid="{00000000-0005-0000-0000-000014330000}"/>
    <cellStyle name="Comma 7 3 2 3 4" xfId="2821" xr:uid="{00000000-0005-0000-0000-000015330000}"/>
    <cellStyle name="Comma 7 3 2 3 5" xfId="2822" xr:uid="{00000000-0005-0000-0000-000016330000}"/>
    <cellStyle name="Comma 7 3 2 4" xfId="2823" xr:uid="{00000000-0005-0000-0000-000017330000}"/>
    <cellStyle name="Comma 7 3 2 4 2" xfId="2824" xr:uid="{00000000-0005-0000-0000-000018330000}"/>
    <cellStyle name="Comma 7 3 2 4 3" xfId="2825" xr:uid="{00000000-0005-0000-0000-000019330000}"/>
    <cellStyle name="Comma 7 3 2 5" xfId="2826" xr:uid="{00000000-0005-0000-0000-00001A330000}"/>
    <cellStyle name="Comma 7 3 2 5 2" xfId="2827" xr:uid="{00000000-0005-0000-0000-00001B330000}"/>
    <cellStyle name="Comma 7 3 2 5 3" xfId="2828" xr:uid="{00000000-0005-0000-0000-00001C330000}"/>
    <cellStyle name="Comma 7 3 2 6" xfId="2829" xr:uid="{00000000-0005-0000-0000-00001D330000}"/>
    <cellStyle name="Comma 7 3 2 7" xfId="2830" xr:uid="{00000000-0005-0000-0000-00001E330000}"/>
    <cellStyle name="Comma 7 3 3" xfId="2831" xr:uid="{00000000-0005-0000-0000-00001F330000}"/>
    <cellStyle name="Comma 7 3 3 2" xfId="2832" xr:uid="{00000000-0005-0000-0000-000020330000}"/>
    <cellStyle name="Comma 7 3 3 2 2" xfId="2833" xr:uid="{00000000-0005-0000-0000-000021330000}"/>
    <cellStyle name="Comma 7 3 3 2 2 2" xfId="2834" xr:uid="{00000000-0005-0000-0000-000022330000}"/>
    <cellStyle name="Comma 7 3 3 2 2 3" xfId="2835" xr:uid="{00000000-0005-0000-0000-000023330000}"/>
    <cellStyle name="Comma 7 3 3 2 3" xfId="2836" xr:uid="{00000000-0005-0000-0000-000024330000}"/>
    <cellStyle name="Comma 7 3 3 2 3 2" xfId="2837" xr:uid="{00000000-0005-0000-0000-000025330000}"/>
    <cellStyle name="Comma 7 3 3 2 3 3" xfId="2838" xr:uid="{00000000-0005-0000-0000-000026330000}"/>
    <cellStyle name="Comma 7 3 3 2 4" xfId="2839" xr:uid="{00000000-0005-0000-0000-000027330000}"/>
    <cellStyle name="Comma 7 3 3 2 5" xfId="2840" xr:uid="{00000000-0005-0000-0000-000028330000}"/>
    <cellStyle name="Comma 7 3 3 3" xfId="2841" xr:uid="{00000000-0005-0000-0000-000029330000}"/>
    <cellStyle name="Comma 7 3 3 3 2" xfId="2842" xr:uid="{00000000-0005-0000-0000-00002A330000}"/>
    <cellStyle name="Comma 7 3 3 3 3" xfId="2843" xr:uid="{00000000-0005-0000-0000-00002B330000}"/>
    <cellStyle name="Comma 7 3 3 4" xfId="2844" xr:uid="{00000000-0005-0000-0000-00002C330000}"/>
    <cellStyle name="Comma 7 3 3 4 2" xfId="2845" xr:uid="{00000000-0005-0000-0000-00002D330000}"/>
    <cellStyle name="Comma 7 3 3 4 3" xfId="2846" xr:uid="{00000000-0005-0000-0000-00002E330000}"/>
    <cellStyle name="Comma 7 3 3 5" xfId="2847" xr:uid="{00000000-0005-0000-0000-00002F330000}"/>
    <cellStyle name="Comma 7 3 3 6" xfId="2848" xr:uid="{00000000-0005-0000-0000-000030330000}"/>
    <cellStyle name="Comma 7 3 4" xfId="2849" xr:uid="{00000000-0005-0000-0000-000031330000}"/>
    <cellStyle name="Comma 7 3 4 2" xfId="2850" xr:uid="{00000000-0005-0000-0000-000032330000}"/>
    <cellStyle name="Comma 7 3 4 2 2" xfId="2851" xr:uid="{00000000-0005-0000-0000-000033330000}"/>
    <cellStyle name="Comma 7 3 4 2 3" xfId="2852" xr:uid="{00000000-0005-0000-0000-000034330000}"/>
    <cellStyle name="Comma 7 3 4 3" xfId="2853" xr:uid="{00000000-0005-0000-0000-000035330000}"/>
    <cellStyle name="Comma 7 3 4 3 2" xfId="2854" xr:uid="{00000000-0005-0000-0000-000036330000}"/>
    <cellStyle name="Comma 7 3 4 3 3" xfId="2855" xr:uid="{00000000-0005-0000-0000-000037330000}"/>
    <cellStyle name="Comma 7 3 4 4" xfId="2856" xr:uid="{00000000-0005-0000-0000-000038330000}"/>
    <cellStyle name="Comma 7 3 4 5" xfId="2857" xr:uid="{00000000-0005-0000-0000-000039330000}"/>
    <cellStyle name="Comma 7 3 5" xfId="2858" xr:uid="{00000000-0005-0000-0000-00003A330000}"/>
    <cellStyle name="Comma 7 3 5 2" xfId="2859" xr:uid="{00000000-0005-0000-0000-00003B330000}"/>
    <cellStyle name="Comma 7 3 5 3" xfId="2860" xr:uid="{00000000-0005-0000-0000-00003C330000}"/>
    <cellStyle name="Comma 7 3 6" xfId="2861" xr:uid="{00000000-0005-0000-0000-00003D330000}"/>
    <cellStyle name="Comma 7 3 6 2" xfId="2862" xr:uid="{00000000-0005-0000-0000-00003E330000}"/>
    <cellStyle name="Comma 7 3 6 3" xfId="2863" xr:uid="{00000000-0005-0000-0000-00003F330000}"/>
    <cellStyle name="Comma 7 3 7" xfId="2864" xr:uid="{00000000-0005-0000-0000-000040330000}"/>
    <cellStyle name="Comma 7 3 8" xfId="2865" xr:uid="{00000000-0005-0000-0000-000041330000}"/>
    <cellStyle name="Comma 7 4" xfId="2866" xr:uid="{00000000-0005-0000-0000-000042330000}"/>
    <cellStyle name="Comma 7 4 2" xfId="2867" xr:uid="{00000000-0005-0000-0000-000043330000}"/>
    <cellStyle name="Comma 7 4 2 2" xfId="2868" xr:uid="{00000000-0005-0000-0000-000044330000}"/>
    <cellStyle name="Comma 7 4 2 2 2" xfId="2869" xr:uid="{00000000-0005-0000-0000-000045330000}"/>
    <cellStyle name="Comma 7 4 2 2 2 2" xfId="2870" xr:uid="{00000000-0005-0000-0000-000046330000}"/>
    <cellStyle name="Comma 7 4 2 2 2 2 2" xfId="2871" xr:uid="{00000000-0005-0000-0000-000047330000}"/>
    <cellStyle name="Comma 7 4 2 2 2 2 3" xfId="2872" xr:uid="{00000000-0005-0000-0000-000048330000}"/>
    <cellStyle name="Comma 7 4 2 2 2 3" xfId="2873" xr:uid="{00000000-0005-0000-0000-000049330000}"/>
    <cellStyle name="Comma 7 4 2 2 2 3 2" xfId="2874" xr:uid="{00000000-0005-0000-0000-00004A330000}"/>
    <cellStyle name="Comma 7 4 2 2 2 3 3" xfId="2875" xr:uid="{00000000-0005-0000-0000-00004B330000}"/>
    <cellStyle name="Comma 7 4 2 2 2 4" xfId="2876" xr:uid="{00000000-0005-0000-0000-00004C330000}"/>
    <cellStyle name="Comma 7 4 2 2 2 5" xfId="2877" xr:uid="{00000000-0005-0000-0000-00004D330000}"/>
    <cellStyle name="Comma 7 4 2 2 3" xfId="2878" xr:uid="{00000000-0005-0000-0000-00004E330000}"/>
    <cellStyle name="Comma 7 4 2 2 3 2" xfId="2879" xr:uid="{00000000-0005-0000-0000-00004F330000}"/>
    <cellStyle name="Comma 7 4 2 2 3 3" xfId="2880" xr:uid="{00000000-0005-0000-0000-000050330000}"/>
    <cellStyle name="Comma 7 4 2 2 4" xfId="2881" xr:uid="{00000000-0005-0000-0000-000051330000}"/>
    <cellStyle name="Comma 7 4 2 2 4 2" xfId="2882" xr:uid="{00000000-0005-0000-0000-000052330000}"/>
    <cellStyle name="Comma 7 4 2 2 4 3" xfId="2883" xr:uid="{00000000-0005-0000-0000-000053330000}"/>
    <cellStyle name="Comma 7 4 2 2 5" xfId="2884" xr:uid="{00000000-0005-0000-0000-000054330000}"/>
    <cellStyle name="Comma 7 4 2 2 6" xfId="2885" xr:uid="{00000000-0005-0000-0000-000055330000}"/>
    <cellStyle name="Comma 7 4 2 3" xfId="2886" xr:uid="{00000000-0005-0000-0000-000056330000}"/>
    <cellStyle name="Comma 7 4 2 3 2" xfId="2887" xr:uid="{00000000-0005-0000-0000-000057330000}"/>
    <cellStyle name="Comma 7 4 2 3 2 2" xfId="2888" xr:uid="{00000000-0005-0000-0000-000058330000}"/>
    <cellStyle name="Comma 7 4 2 3 2 3" xfId="2889" xr:uid="{00000000-0005-0000-0000-000059330000}"/>
    <cellStyle name="Comma 7 4 2 3 3" xfId="2890" xr:uid="{00000000-0005-0000-0000-00005A330000}"/>
    <cellStyle name="Comma 7 4 2 3 3 2" xfId="2891" xr:uid="{00000000-0005-0000-0000-00005B330000}"/>
    <cellStyle name="Comma 7 4 2 3 3 3" xfId="2892" xr:uid="{00000000-0005-0000-0000-00005C330000}"/>
    <cellStyle name="Comma 7 4 2 3 4" xfId="2893" xr:uid="{00000000-0005-0000-0000-00005D330000}"/>
    <cellStyle name="Comma 7 4 2 3 5" xfId="2894" xr:uid="{00000000-0005-0000-0000-00005E330000}"/>
    <cellStyle name="Comma 7 4 2 4" xfId="2895" xr:uid="{00000000-0005-0000-0000-00005F330000}"/>
    <cellStyle name="Comma 7 4 2 4 2" xfId="2896" xr:uid="{00000000-0005-0000-0000-000060330000}"/>
    <cellStyle name="Comma 7 4 2 4 3" xfId="2897" xr:uid="{00000000-0005-0000-0000-000061330000}"/>
    <cellStyle name="Comma 7 4 2 5" xfId="2898" xr:uid="{00000000-0005-0000-0000-000062330000}"/>
    <cellStyle name="Comma 7 4 2 5 2" xfId="2899" xr:uid="{00000000-0005-0000-0000-000063330000}"/>
    <cellStyle name="Comma 7 4 2 5 3" xfId="2900" xr:uid="{00000000-0005-0000-0000-000064330000}"/>
    <cellStyle name="Comma 7 4 2 6" xfId="2901" xr:uid="{00000000-0005-0000-0000-000065330000}"/>
    <cellStyle name="Comma 7 4 2 7" xfId="2902" xr:uid="{00000000-0005-0000-0000-000066330000}"/>
    <cellStyle name="Comma 7 4 3" xfId="2903" xr:uid="{00000000-0005-0000-0000-000067330000}"/>
    <cellStyle name="Comma 7 4 3 2" xfId="2904" xr:uid="{00000000-0005-0000-0000-000068330000}"/>
    <cellStyle name="Comma 7 4 3 2 2" xfId="2905" xr:uid="{00000000-0005-0000-0000-000069330000}"/>
    <cellStyle name="Comma 7 4 3 2 2 2" xfId="2906" xr:uid="{00000000-0005-0000-0000-00006A330000}"/>
    <cellStyle name="Comma 7 4 3 2 2 3" xfId="2907" xr:uid="{00000000-0005-0000-0000-00006B330000}"/>
    <cellStyle name="Comma 7 4 3 2 3" xfId="2908" xr:uid="{00000000-0005-0000-0000-00006C330000}"/>
    <cellStyle name="Comma 7 4 3 2 3 2" xfId="2909" xr:uid="{00000000-0005-0000-0000-00006D330000}"/>
    <cellStyle name="Comma 7 4 3 2 3 3" xfId="2910" xr:uid="{00000000-0005-0000-0000-00006E330000}"/>
    <cellStyle name="Comma 7 4 3 2 4" xfId="2911" xr:uid="{00000000-0005-0000-0000-00006F330000}"/>
    <cellStyle name="Comma 7 4 3 2 5" xfId="2912" xr:uid="{00000000-0005-0000-0000-000070330000}"/>
    <cellStyle name="Comma 7 4 3 3" xfId="2913" xr:uid="{00000000-0005-0000-0000-000071330000}"/>
    <cellStyle name="Comma 7 4 3 3 2" xfId="2914" xr:uid="{00000000-0005-0000-0000-000072330000}"/>
    <cellStyle name="Comma 7 4 3 3 3" xfId="2915" xr:uid="{00000000-0005-0000-0000-000073330000}"/>
    <cellStyle name="Comma 7 4 3 4" xfId="2916" xr:uid="{00000000-0005-0000-0000-000074330000}"/>
    <cellStyle name="Comma 7 4 3 4 2" xfId="2917" xr:uid="{00000000-0005-0000-0000-000075330000}"/>
    <cellStyle name="Comma 7 4 3 4 3" xfId="2918" xr:uid="{00000000-0005-0000-0000-000076330000}"/>
    <cellStyle name="Comma 7 4 3 5" xfId="2919" xr:uid="{00000000-0005-0000-0000-000077330000}"/>
    <cellStyle name="Comma 7 4 3 6" xfId="2920" xr:uid="{00000000-0005-0000-0000-000078330000}"/>
    <cellStyle name="Comma 7 4 4" xfId="2921" xr:uid="{00000000-0005-0000-0000-000079330000}"/>
    <cellStyle name="Comma 7 4 4 2" xfId="2922" xr:uid="{00000000-0005-0000-0000-00007A330000}"/>
    <cellStyle name="Comma 7 4 4 2 2" xfId="2923" xr:uid="{00000000-0005-0000-0000-00007B330000}"/>
    <cellStyle name="Comma 7 4 4 2 3" xfId="2924" xr:uid="{00000000-0005-0000-0000-00007C330000}"/>
    <cellStyle name="Comma 7 4 4 3" xfId="2925" xr:uid="{00000000-0005-0000-0000-00007D330000}"/>
    <cellStyle name="Comma 7 4 4 3 2" xfId="2926" xr:uid="{00000000-0005-0000-0000-00007E330000}"/>
    <cellStyle name="Comma 7 4 4 3 3" xfId="2927" xr:uid="{00000000-0005-0000-0000-00007F330000}"/>
    <cellStyle name="Comma 7 4 4 4" xfId="2928" xr:uid="{00000000-0005-0000-0000-000080330000}"/>
    <cellStyle name="Comma 7 4 4 5" xfId="2929" xr:uid="{00000000-0005-0000-0000-000081330000}"/>
    <cellStyle name="Comma 7 4 5" xfId="2930" xr:uid="{00000000-0005-0000-0000-000082330000}"/>
    <cellStyle name="Comma 7 4 5 2" xfId="2931" xr:uid="{00000000-0005-0000-0000-000083330000}"/>
    <cellStyle name="Comma 7 4 5 3" xfId="2932" xr:uid="{00000000-0005-0000-0000-000084330000}"/>
    <cellStyle name="Comma 7 4 6" xfId="2933" xr:uid="{00000000-0005-0000-0000-000085330000}"/>
    <cellStyle name="Comma 7 4 6 2" xfId="2934" xr:uid="{00000000-0005-0000-0000-000086330000}"/>
    <cellStyle name="Comma 7 4 6 3" xfId="2935" xr:uid="{00000000-0005-0000-0000-000087330000}"/>
    <cellStyle name="Comma 7 4 7" xfId="2936" xr:uid="{00000000-0005-0000-0000-000088330000}"/>
    <cellStyle name="Comma 7 4 8" xfId="2937" xr:uid="{00000000-0005-0000-0000-000089330000}"/>
    <cellStyle name="Comma 7 5" xfId="2938" xr:uid="{00000000-0005-0000-0000-00008A330000}"/>
    <cellStyle name="Comma 7 5 2" xfId="2939" xr:uid="{00000000-0005-0000-0000-00008B330000}"/>
    <cellStyle name="Comma 7 5 2 2" xfId="2940" xr:uid="{00000000-0005-0000-0000-00008C330000}"/>
    <cellStyle name="Comma 7 5 2 2 2" xfId="2941" xr:uid="{00000000-0005-0000-0000-00008D330000}"/>
    <cellStyle name="Comma 7 5 2 2 2 2" xfId="2942" xr:uid="{00000000-0005-0000-0000-00008E330000}"/>
    <cellStyle name="Comma 7 5 2 2 2 3" xfId="2943" xr:uid="{00000000-0005-0000-0000-00008F330000}"/>
    <cellStyle name="Comma 7 5 2 2 3" xfId="2944" xr:uid="{00000000-0005-0000-0000-000090330000}"/>
    <cellStyle name="Comma 7 5 2 2 3 2" xfId="2945" xr:uid="{00000000-0005-0000-0000-000091330000}"/>
    <cellStyle name="Comma 7 5 2 2 3 3" xfId="2946" xr:uid="{00000000-0005-0000-0000-000092330000}"/>
    <cellStyle name="Comma 7 5 2 2 4" xfId="2947" xr:uid="{00000000-0005-0000-0000-000093330000}"/>
    <cellStyle name="Comma 7 5 2 2 5" xfId="2948" xr:uid="{00000000-0005-0000-0000-000094330000}"/>
    <cellStyle name="Comma 7 5 2 3" xfId="2949" xr:uid="{00000000-0005-0000-0000-000095330000}"/>
    <cellStyle name="Comma 7 5 2 3 2" xfId="2950" xr:uid="{00000000-0005-0000-0000-000096330000}"/>
    <cellStyle name="Comma 7 5 2 3 3" xfId="2951" xr:uid="{00000000-0005-0000-0000-000097330000}"/>
    <cellStyle name="Comma 7 5 2 4" xfId="2952" xr:uid="{00000000-0005-0000-0000-000098330000}"/>
    <cellStyle name="Comma 7 5 2 4 2" xfId="2953" xr:uid="{00000000-0005-0000-0000-000099330000}"/>
    <cellStyle name="Comma 7 5 2 4 3" xfId="2954" xr:uid="{00000000-0005-0000-0000-00009A330000}"/>
    <cellStyle name="Comma 7 5 2 5" xfId="2955" xr:uid="{00000000-0005-0000-0000-00009B330000}"/>
    <cellStyle name="Comma 7 5 2 6" xfId="2956" xr:uid="{00000000-0005-0000-0000-00009C330000}"/>
    <cellStyle name="Comma 7 5 3" xfId="2957" xr:uid="{00000000-0005-0000-0000-00009D330000}"/>
    <cellStyle name="Comma 7 5 3 2" xfId="2958" xr:uid="{00000000-0005-0000-0000-00009E330000}"/>
    <cellStyle name="Comma 7 5 3 2 2" xfId="2959" xr:uid="{00000000-0005-0000-0000-00009F330000}"/>
    <cellStyle name="Comma 7 5 3 2 3" xfId="2960" xr:uid="{00000000-0005-0000-0000-0000A0330000}"/>
    <cellStyle name="Comma 7 5 3 3" xfId="2961" xr:uid="{00000000-0005-0000-0000-0000A1330000}"/>
    <cellStyle name="Comma 7 5 3 3 2" xfId="2962" xr:uid="{00000000-0005-0000-0000-0000A2330000}"/>
    <cellStyle name="Comma 7 5 3 3 3" xfId="2963" xr:uid="{00000000-0005-0000-0000-0000A3330000}"/>
    <cellStyle name="Comma 7 5 3 4" xfId="2964" xr:uid="{00000000-0005-0000-0000-0000A4330000}"/>
    <cellStyle name="Comma 7 5 3 5" xfId="2965" xr:uid="{00000000-0005-0000-0000-0000A5330000}"/>
    <cellStyle name="Comma 7 5 4" xfId="2966" xr:uid="{00000000-0005-0000-0000-0000A6330000}"/>
    <cellStyle name="Comma 7 5 4 2" xfId="2967" xr:uid="{00000000-0005-0000-0000-0000A7330000}"/>
    <cellStyle name="Comma 7 5 4 3" xfId="2968" xr:uid="{00000000-0005-0000-0000-0000A8330000}"/>
    <cellStyle name="Comma 7 5 5" xfId="2969" xr:uid="{00000000-0005-0000-0000-0000A9330000}"/>
    <cellStyle name="Comma 7 5 5 2" xfId="2970" xr:uid="{00000000-0005-0000-0000-0000AA330000}"/>
    <cellStyle name="Comma 7 5 5 3" xfId="2971" xr:uid="{00000000-0005-0000-0000-0000AB330000}"/>
    <cellStyle name="Comma 7 5 6" xfId="2972" xr:uid="{00000000-0005-0000-0000-0000AC330000}"/>
    <cellStyle name="Comma 7 5 7" xfId="2973" xr:uid="{00000000-0005-0000-0000-0000AD330000}"/>
    <cellStyle name="Comma 7 6" xfId="2974" xr:uid="{00000000-0005-0000-0000-0000AE330000}"/>
    <cellStyle name="Comma 7 6 2" xfId="2975" xr:uid="{00000000-0005-0000-0000-0000AF330000}"/>
    <cellStyle name="Comma 7 6 2 2" xfId="2976" xr:uid="{00000000-0005-0000-0000-0000B0330000}"/>
    <cellStyle name="Comma 7 6 2 2 2" xfId="2977" xr:uid="{00000000-0005-0000-0000-0000B1330000}"/>
    <cellStyle name="Comma 7 6 2 2 3" xfId="2978" xr:uid="{00000000-0005-0000-0000-0000B2330000}"/>
    <cellStyle name="Comma 7 6 2 3" xfId="2979" xr:uid="{00000000-0005-0000-0000-0000B3330000}"/>
    <cellStyle name="Comma 7 6 2 3 2" xfId="2980" xr:uid="{00000000-0005-0000-0000-0000B4330000}"/>
    <cellStyle name="Comma 7 6 2 3 3" xfId="2981" xr:uid="{00000000-0005-0000-0000-0000B5330000}"/>
    <cellStyle name="Comma 7 6 2 4" xfId="2982" xr:uid="{00000000-0005-0000-0000-0000B6330000}"/>
    <cellStyle name="Comma 7 6 2 5" xfId="2983" xr:uid="{00000000-0005-0000-0000-0000B7330000}"/>
    <cellStyle name="Comma 7 6 3" xfId="2984" xr:uid="{00000000-0005-0000-0000-0000B8330000}"/>
    <cellStyle name="Comma 7 6 3 2" xfId="2985" xr:uid="{00000000-0005-0000-0000-0000B9330000}"/>
    <cellStyle name="Comma 7 6 3 3" xfId="2986" xr:uid="{00000000-0005-0000-0000-0000BA330000}"/>
    <cellStyle name="Comma 7 6 4" xfId="2987" xr:uid="{00000000-0005-0000-0000-0000BB330000}"/>
    <cellStyle name="Comma 7 6 4 2" xfId="2988" xr:uid="{00000000-0005-0000-0000-0000BC330000}"/>
    <cellStyle name="Comma 7 6 4 3" xfId="2989" xr:uid="{00000000-0005-0000-0000-0000BD330000}"/>
    <cellStyle name="Comma 7 6 5" xfId="2990" xr:uid="{00000000-0005-0000-0000-0000BE330000}"/>
    <cellStyle name="Comma 7 6 6" xfId="2991" xr:uid="{00000000-0005-0000-0000-0000BF330000}"/>
    <cellStyle name="Comma 7 7" xfId="2992" xr:uid="{00000000-0005-0000-0000-0000C0330000}"/>
    <cellStyle name="Comma 7 7 2" xfId="2993" xr:uid="{00000000-0005-0000-0000-0000C1330000}"/>
    <cellStyle name="Comma 7 7 2 2" xfId="2994" xr:uid="{00000000-0005-0000-0000-0000C2330000}"/>
    <cellStyle name="Comma 7 7 2 3" xfId="2995" xr:uid="{00000000-0005-0000-0000-0000C3330000}"/>
    <cellStyle name="Comma 7 7 3" xfId="2996" xr:uid="{00000000-0005-0000-0000-0000C4330000}"/>
    <cellStyle name="Comma 7 7 3 2" xfId="2997" xr:uid="{00000000-0005-0000-0000-0000C5330000}"/>
    <cellStyle name="Comma 7 7 3 3" xfId="2998" xr:uid="{00000000-0005-0000-0000-0000C6330000}"/>
    <cellStyle name="Comma 7 7 4" xfId="2999" xr:uid="{00000000-0005-0000-0000-0000C7330000}"/>
    <cellStyle name="Comma 7 7 5" xfId="3000" xr:uid="{00000000-0005-0000-0000-0000C8330000}"/>
    <cellStyle name="Comma 7 8" xfId="3001" xr:uid="{00000000-0005-0000-0000-0000C9330000}"/>
    <cellStyle name="Comma 7 8 2" xfId="3002" xr:uid="{00000000-0005-0000-0000-0000CA330000}"/>
    <cellStyle name="Comma 7 8 3" xfId="3003" xr:uid="{00000000-0005-0000-0000-0000CB330000}"/>
    <cellStyle name="Comma 7 9" xfId="3004" xr:uid="{00000000-0005-0000-0000-0000CC330000}"/>
    <cellStyle name="Comma 7 9 2" xfId="3005" xr:uid="{00000000-0005-0000-0000-0000CD330000}"/>
    <cellStyle name="Comma 7 9 3" xfId="3006" xr:uid="{00000000-0005-0000-0000-0000CE330000}"/>
    <cellStyle name="Comma 8" xfId="115" xr:uid="{00000000-0005-0000-0000-0000CF330000}"/>
    <cellStyle name="Comma 8 10" xfId="3007" xr:uid="{00000000-0005-0000-0000-0000D0330000}"/>
    <cellStyle name="Comma 8 2" xfId="3008" xr:uid="{00000000-0005-0000-0000-0000D1330000}"/>
    <cellStyle name="Comma 8 2 2" xfId="3009" xr:uid="{00000000-0005-0000-0000-0000D2330000}"/>
    <cellStyle name="Comma 8 2 2 2" xfId="3010" xr:uid="{00000000-0005-0000-0000-0000D3330000}"/>
    <cellStyle name="Comma 8 2 2 2 2" xfId="3011" xr:uid="{00000000-0005-0000-0000-0000D4330000}"/>
    <cellStyle name="Comma 8 2 2 2 2 2" xfId="3012" xr:uid="{00000000-0005-0000-0000-0000D5330000}"/>
    <cellStyle name="Comma 8 2 2 2 2 2 2" xfId="3013" xr:uid="{00000000-0005-0000-0000-0000D6330000}"/>
    <cellStyle name="Comma 8 2 2 2 2 2 3" xfId="3014" xr:uid="{00000000-0005-0000-0000-0000D7330000}"/>
    <cellStyle name="Comma 8 2 2 2 2 3" xfId="3015" xr:uid="{00000000-0005-0000-0000-0000D8330000}"/>
    <cellStyle name="Comma 8 2 2 2 2 3 2" xfId="3016" xr:uid="{00000000-0005-0000-0000-0000D9330000}"/>
    <cellStyle name="Comma 8 2 2 2 2 3 3" xfId="3017" xr:uid="{00000000-0005-0000-0000-0000DA330000}"/>
    <cellStyle name="Comma 8 2 2 2 2 4" xfId="3018" xr:uid="{00000000-0005-0000-0000-0000DB330000}"/>
    <cellStyle name="Comma 8 2 2 2 2 5" xfId="3019" xr:uid="{00000000-0005-0000-0000-0000DC330000}"/>
    <cellStyle name="Comma 8 2 2 2 3" xfId="3020" xr:uid="{00000000-0005-0000-0000-0000DD330000}"/>
    <cellStyle name="Comma 8 2 2 2 3 2" xfId="3021" xr:uid="{00000000-0005-0000-0000-0000DE330000}"/>
    <cellStyle name="Comma 8 2 2 2 3 3" xfId="3022" xr:uid="{00000000-0005-0000-0000-0000DF330000}"/>
    <cellStyle name="Comma 8 2 2 2 4" xfId="3023" xr:uid="{00000000-0005-0000-0000-0000E0330000}"/>
    <cellStyle name="Comma 8 2 2 2 4 2" xfId="3024" xr:uid="{00000000-0005-0000-0000-0000E1330000}"/>
    <cellStyle name="Comma 8 2 2 2 4 3" xfId="3025" xr:uid="{00000000-0005-0000-0000-0000E2330000}"/>
    <cellStyle name="Comma 8 2 2 2 5" xfId="3026" xr:uid="{00000000-0005-0000-0000-0000E3330000}"/>
    <cellStyle name="Comma 8 2 2 2 6" xfId="3027" xr:uid="{00000000-0005-0000-0000-0000E4330000}"/>
    <cellStyle name="Comma 8 2 2 3" xfId="3028" xr:uid="{00000000-0005-0000-0000-0000E5330000}"/>
    <cellStyle name="Comma 8 2 2 3 2" xfId="3029" xr:uid="{00000000-0005-0000-0000-0000E6330000}"/>
    <cellStyle name="Comma 8 2 2 3 2 2" xfId="3030" xr:uid="{00000000-0005-0000-0000-0000E7330000}"/>
    <cellStyle name="Comma 8 2 2 3 2 3" xfId="3031" xr:uid="{00000000-0005-0000-0000-0000E8330000}"/>
    <cellStyle name="Comma 8 2 2 3 3" xfId="3032" xr:uid="{00000000-0005-0000-0000-0000E9330000}"/>
    <cellStyle name="Comma 8 2 2 3 3 2" xfId="3033" xr:uid="{00000000-0005-0000-0000-0000EA330000}"/>
    <cellStyle name="Comma 8 2 2 3 3 3" xfId="3034" xr:uid="{00000000-0005-0000-0000-0000EB330000}"/>
    <cellStyle name="Comma 8 2 2 3 4" xfId="3035" xr:uid="{00000000-0005-0000-0000-0000EC330000}"/>
    <cellStyle name="Comma 8 2 2 3 5" xfId="3036" xr:uid="{00000000-0005-0000-0000-0000ED330000}"/>
    <cellStyle name="Comma 8 2 2 4" xfId="3037" xr:uid="{00000000-0005-0000-0000-0000EE330000}"/>
    <cellStyle name="Comma 8 2 2 4 2" xfId="3038" xr:uid="{00000000-0005-0000-0000-0000EF330000}"/>
    <cellStyle name="Comma 8 2 2 4 3" xfId="3039" xr:uid="{00000000-0005-0000-0000-0000F0330000}"/>
    <cellStyle name="Comma 8 2 2 5" xfId="3040" xr:uid="{00000000-0005-0000-0000-0000F1330000}"/>
    <cellStyle name="Comma 8 2 2 5 2" xfId="3041" xr:uid="{00000000-0005-0000-0000-0000F2330000}"/>
    <cellStyle name="Comma 8 2 2 5 3" xfId="3042" xr:uid="{00000000-0005-0000-0000-0000F3330000}"/>
    <cellStyle name="Comma 8 2 2 6" xfId="3043" xr:uid="{00000000-0005-0000-0000-0000F4330000}"/>
    <cellStyle name="Comma 8 2 2 7" xfId="3044" xr:uid="{00000000-0005-0000-0000-0000F5330000}"/>
    <cellStyle name="Comma 8 2 3" xfId="3045" xr:uid="{00000000-0005-0000-0000-0000F6330000}"/>
    <cellStyle name="Comma 8 2 3 2" xfId="3046" xr:uid="{00000000-0005-0000-0000-0000F7330000}"/>
    <cellStyle name="Comma 8 2 3 2 2" xfId="3047" xr:uid="{00000000-0005-0000-0000-0000F8330000}"/>
    <cellStyle name="Comma 8 2 3 2 2 2" xfId="3048" xr:uid="{00000000-0005-0000-0000-0000F9330000}"/>
    <cellStyle name="Comma 8 2 3 2 2 3" xfId="3049" xr:uid="{00000000-0005-0000-0000-0000FA330000}"/>
    <cellStyle name="Comma 8 2 3 2 3" xfId="3050" xr:uid="{00000000-0005-0000-0000-0000FB330000}"/>
    <cellStyle name="Comma 8 2 3 2 3 2" xfId="3051" xr:uid="{00000000-0005-0000-0000-0000FC330000}"/>
    <cellStyle name="Comma 8 2 3 2 3 3" xfId="3052" xr:uid="{00000000-0005-0000-0000-0000FD330000}"/>
    <cellStyle name="Comma 8 2 3 2 4" xfId="3053" xr:uid="{00000000-0005-0000-0000-0000FE330000}"/>
    <cellStyle name="Comma 8 2 3 2 5" xfId="3054" xr:uid="{00000000-0005-0000-0000-0000FF330000}"/>
    <cellStyle name="Comma 8 2 3 3" xfId="3055" xr:uid="{00000000-0005-0000-0000-000000340000}"/>
    <cellStyle name="Comma 8 2 3 3 2" xfId="3056" xr:uid="{00000000-0005-0000-0000-000001340000}"/>
    <cellStyle name="Comma 8 2 3 3 3" xfId="3057" xr:uid="{00000000-0005-0000-0000-000002340000}"/>
    <cellStyle name="Comma 8 2 3 4" xfId="3058" xr:uid="{00000000-0005-0000-0000-000003340000}"/>
    <cellStyle name="Comma 8 2 3 4 2" xfId="3059" xr:uid="{00000000-0005-0000-0000-000004340000}"/>
    <cellStyle name="Comma 8 2 3 4 3" xfId="3060" xr:uid="{00000000-0005-0000-0000-000005340000}"/>
    <cellStyle name="Comma 8 2 3 5" xfId="3061" xr:uid="{00000000-0005-0000-0000-000006340000}"/>
    <cellStyle name="Comma 8 2 3 6" xfId="3062" xr:uid="{00000000-0005-0000-0000-000007340000}"/>
    <cellStyle name="Comma 8 2 4" xfId="3063" xr:uid="{00000000-0005-0000-0000-000008340000}"/>
    <cellStyle name="Comma 8 2 4 2" xfId="3064" xr:uid="{00000000-0005-0000-0000-000009340000}"/>
    <cellStyle name="Comma 8 2 4 2 2" xfId="3065" xr:uid="{00000000-0005-0000-0000-00000A340000}"/>
    <cellStyle name="Comma 8 2 4 2 3" xfId="3066" xr:uid="{00000000-0005-0000-0000-00000B340000}"/>
    <cellStyle name="Comma 8 2 4 3" xfId="3067" xr:uid="{00000000-0005-0000-0000-00000C340000}"/>
    <cellStyle name="Comma 8 2 4 3 2" xfId="3068" xr:uid="{00000000-0005-0000-0000-00000D340000}"/>
    <cellStyle name="Comma 8 2 4 3 3" xfId="3069" xr:uid="{00000000-0005-0000-0000-00000E340000}"/>
    <cellStyle name="Comma 8 2 4 4" xfId="3070" xr:uid="{00000000-0005-0000-0000-00000F340000}"/>
    <cellStyle name="Comma 8 2 4 5" xfId="3071" xr:uid="{00000000-0005-0000-0000-000010340000}"/>
    <cellStyle name="Comma 8 2 5" xfId="3072" xr:uid="{00000000-0005-0000-0000-000011340000}"/>
    <cellStyle name="Comma 8 2 5 2" xfId="3073" xr:uid="{00000000-0005-0000-0000-000012340000}"/>
    <cellStyle name="Comma 8 2 5 3" xfId="3074" xr:uid="{00000000-0005-0000-0000-000013340000}"/>
    <cellStyle name="Comma 8 2 6" xfId="3075" xr:uid="{00000000-0005-0000-0000-000014340000}"/>
    <cellStyle name="Comma 8 2 6 2" xfId="3076" xr:uid="{00000000-0005-0000-0000-000015340000}"/>
    <cellStyle name="Comma 8 2 6 3" xfId="3077" xr:uid="{00000000-0005-0000-0000-000016340000}"/>
    <cellStyle name="Comma 8 2 7" xfId="3078" xr:uid="{00000000-0005-0000-0000-000017340000}"/>
    <cellStyle name="Comma 8 2 8" xfId="3079" xr:uid="{00000000-0005-0000-0000-000018340000}"/>
    <cellStyle name="Comma 8 3" xfId="3080" xr:uid="{00000000-0005-0000-0000-000019340000}"/>
    <cellStyle name="Comma 8 3 2" xfId="3081" xr:uid="{00000000-0005-0000-0000-00001A340000}"/>
    <cellStyle name="Comma 8 3 2 2" xfId="3082" xr:uid="{00000000-0005-0000-0000-00001B340000}"/>
    <cellStyle name="Comma 8 3 2 2 2" xfId="3083" xr:uid="{00000000-0005-0000-0000-00001C340000}"/>
    <cellStyle name="Comma 8 3 2 2 2 2" xfId="3084" xr:uid="{00000000-0005-0000-0000-00001D340000}"/>
    <cellStyle name="Comma 8 3 2 2 2 2 2" xfId="3085" xr:uid="{00000000-0005-0000-0000-00001E340000}"/>
    <cellStyle name="Comma 8 3 2 2 2 2 3" xfId="3086" xr:uid="{00000000-0005-0000-0000-00001F340000}"/>
    <cellStyle name="Comma 8 3 2 2 2 3" xfId="3087" xr:uid="{00000000-0005-0000-0000-000020340000}"/>
    <cellStyle name="Comma 8 3 2 2 2 3 2" xfId="3088" xr:uid="{00000000-0005-0000-0000-000021340000}"/>
    <cellStyle name="Comma 8 3 2 2 2 3 3" xfId="3089" xr:uid="{00000000-0005-0000-0000-000022340000}"/>
    <cellStyle name="Comma 8 3 2 2 2 4" xfId="3090" xr:uid="{00000000-0005-0000-0000-000023340000}"/>
    <cellStyle name="Comma 8 3 2 2 2 5" xfId="3091" xr:uid="{00000000-0005-0000-0000-000024340000}"/>
    <cellStyle name="Comma 8 3 2 2 3" xfId="3092" xr:uid="{00000000-0005-0000-0000-000025340000}"/>
    <cellStyle name="Comma 8 3 2 2 3 2" xfId="3093" xr:uid="{00000000-0005-0000-0000-000026340000}"/>
    <cellStyle name="Comma 8 3 2 2 3 3" xfId="3094" xr:uid="{00000000-0005-0000-0000-000027340000}"/>
    <cellStyle name="Comma 8 3 2 2 4" xfId="3095" xr:uid="{00000000-0005-0000-0000-000028340000}"/>
    <cellStyle name="Comma 8 3 2 2 4 2" xfId="3096" xr:uid="{00000000-0005-0000-0000-000029340000}"/>
    <cellStyle name="Comma 8 3 2 2 4 3" xfId="3097" xr:uid="{00000000-0005-0000-0000-00002A340000}"/>
    <cellStyle name="Comma 8 3 2 2 5" xfId="3098" xr:uid="{00000000-0005-0000-0000-00002B340000}"/>
    <cellStyle name="Comma 8 3 2 2 6" xfId="3099" xr:uid="{00000000-0005-0000-0000-00002C340000}"/>
    <cellStyle name="Comma 8 3 2 3" xfId="3100" xr:uid="{00000000-0005-0000-0000-00002D340000}"/>
    <cellStyle name="Comma 8 3 2 3 2" xfId="3101" xr:uid="{00000000-0005-0000-0000-00002E340000}"/>
    <cellStyle name="Comma 8 3 2 3 2 2" xfId="3102" xr:uid="{00000000-0005-0000-0000-00002F340000}"/>
    <cellStyle name="Comma 8 3 2 3 2 3" xfId="3103" xr:uid="{00000000-0005-0000-0000-000030340000}"/>
    <cellStyle name="Comma 8 3 2 3 3" xfId="3104" xr:uid="{00000000-0005-0000-0000-000031340000}"/>
    <cellStyle name="Comma 8 3 2 3 3 2" xfId="3105" xr:uid="{00000000-0005-0000-0000-000032340000}"/>
    <cellStyle name="Comma 8 3 2 3 3 3" xfId="3106" xr:uid="{00000000-0005-0000-0000-000033340000}"/>
    <cellStyle name="Comma 8 3 2 3 4" xfId="3107" xr:uid="{00000000-0005-0000-0000-000034340000}"/>
    <cellStyle name="Comma 8 3 2 3 5" xfId="3108" xr:uid="{00000000-0005-0000-0000-000035340000}"/>
    <cellStyle name="Comma 8 3 2 4" xfId="3109" xr:uid="{00000000-0005-0000-0000-000036340000}"/>
    <cellStyle name="Comma 8 3 2 4 2" xfId="3110" xr:uid="{00000000-0005-0000-0000-000037340000}"/>
    <cellStyle name="Comma 8 3 2 4 3" xfId="3111" xr:uid="{00000000-0005-0000-0000-000038340000}"/>
    <cellStyle name="Comma 8 3 2 5" xfId="3112" xr:uid="{00000000-0005-0000-0000-000039340000}"/>
    <cellStyle name="Comma 8 3 2 5 2" xfId="3113" xr:uid="{00000000-0005-0000-0000-00003A340000}"/>
    <cellStyle name="Comma 8 3 2 5 3" xfId="3114" xr:uid="{00000000-0005-0000-0000-00003B340000}"/>
    <cellStyle name="Comma 8 3 2 6" xfId="3115" xr:uid="{00000000-0005-0000-0000-00003C340000}"/>
    <cellStyle name="Comma 8 3 2 7" xfId="3116" xr:uid="{00000000-0005-0000-0000-00003D340000}"/>
    <cellStyle name="Comma 8 3 3" xfId="3117" xr:uid="{00000000-0005-0000-0000-00003E340000}"/>
    <cellStyle name="Comma 8 3 3 2" xfId="3118" xr:uid="{00000000-0005-0000-0000-00003F340000}"/>
    <cellStyle name="Comma 8 3 3 2 2" xfId="3119" xr:uid="{00000000-0005-0000-0000-000040340000}"/>
    <cellStyle name="Comma 8 3 3 2 2 2" xfId="3120" xr:uid="{00000000-0005-0000-0000-000041340000}"/>
    <cellStyle name="Comma 8 3 3 2 2 3" xfId="3121" xr:uid="{00000000-0005-0000-0000-000042340000}"/>
    <cellStyle name="Comma 8 3 3 2 3" xfId="3122" xr:uid="{00000000-0005-0000-0000-000043340000}"/>
    <cellStyle name="Comma 8 3 3 2 3 2" xfId="3123" xr:uid="{00000000-0005-0000-0000-000044340000}"/>
    <cellStyle name="Comma 8 3 3 2 3 3" xfId="3124" xr:uid="{00000000-0005-0000-0000-000045340000}"/>
    <cellStyle name="Comma 8 3 3 2 4" xfId="3125" xr:uid="{00000000-0005-0000-0000-000046340000}"/>
    <cellStyle name="Comma 8 3 3 2 5" xfId="3126" xr:uid="{00000000-0005-0000-0000-000047340000}"/>
    <cellStyle name="Comma 8 3 3 3" xfId="3127" xr:uid="{00000000-0005-0000-0000-000048340000}"/>
    <cellStyle name="Comma 8 3 3 3 2" xfId="3128" xr:uid="{00000000-0005-0000-0000-000049340000}"/>
    <cellStyle name="Comma 8 3 3 3 3" xfId="3129" xr:uid="{00000000-0005-0000-0000-00004A340000}"/>
    <cellStyle name="Comma 8 3 3 4" xfId="3130" xr:uid="{00000000-0005-0000-0000-00004B340000}"/>
    <cellStyle name="Comma 8 3 3 4 2" xfId="3131" xr:uid="{00000000-0005-0000-0000-00004C340000}"/>
    <cellStyle name="Comma 8 3 3 4 3" xfId="3132" xr:uid="{00000000-0005-0000-0000-00004D340000}"/>
    <cellStyle name="Comma 8 3 3 5" xfId="3133" xr:uid="{00000000-0005-0000-0000-00004E340000}"/>
    <cellStyle name="Comma 8 3 3 6" xfId="3134" xr:uid="{00000000-0005-0000-0000-00004F340000}"/>
    <cellStyle name="Comma 8 3 4" xfId="3135" xr:uid="{00000000-0005-0000-0000-000050340000}"/>
    <cellStyle name="Comma 8 3 4 2" xfId="3136" xr:uid="{00000000-0005-0000-0000-000051340000}"/>
    <cellStyle name="Comma 8 3 4 2 2" xfId="3137" xr:uid="{00000000-0005-0000-0000-000052340000}"/>
    <cellStyle name="Comma 8 3 4 2 3" xfId="3138" xr:uid="{00000000-0005-0000-0000-000053340000}"/>
    <cellStyle name="Comma 8 3 4 3" xfId="3139" xr:uid="{00000000-0005-0000-0000-000054340000}"/>
    <cellStyle name="Comma 8 3 4 3 2" xfId="3140" xr:uid="{00000000-0005-0000-0000-000055340000}"/>
    <cellStyle name="Comma 8 3 4 3 3" xfId="3141" xr:uid="{00000000-0005-0000-0000-000056340000}"/>
    <cellStyle name="Comma 8 3 4 4" xfId="3142" xr:uid="{00000000-0005-0000-0000-000057340000}"/>
    <cellStyle name="Comma 8 3 4 5" xfId="3143" xr:uid="{00000000-0005-0000-0000-000058340000}"/>
    <cellStyle name="Comma 8 3 5" xfId="3144" xr:uid="{00000000-0005-0000-0000-000059340000}"/>
    <cellStyle name="Comma 8 3 5 2" xfId="3145" xr:uid="{00000000-0005-0000-0000-00005A340000}"/>
    <cellStyle name="Comma 8 3 5 3" xfId="3146" xr:uid="{00000000-0005-0000-0000-00005B340000}"/>
    <cellStyle name="Comma 8 3 6" xfId="3147" xr:uid="{00000000-0005-0000-0000-00005C340000}"/>
    <cellStyle name="Comma 8 3 6 2" xfId="3148" xr:uid="{00000000-0005-0000-0000-00005D340000}"/>
    <cellStyle name="Comma 8 3 6 3" xfId="3149" xr:uid="{00000000-0005-0000-0000-00005E340000}"/>
    <cellStyle name="Comma 8 3 7" xfId="3150" xr:uid="{00000000-0005-0000-0000-00005F340000}"/>
    <cellStyle name="Comma 8 3 8" xfId="3151" xr:uid="{00000000-0005-0000-0000-000060340000}"/>
    <cellStyle name="Comma 8 4" xfId="3152" xr:uid="{00000000-0005-0000-0000-000061340000}"/>
    <cellStyle name="Comma 8 4 2" xfId="3153" xr:uid="{00000000-0005-0000-0000-000062340000}"/>
    <cellStyle name="Comma 8 4 2 2" xfId="3154" xr:uid="{00000000-0005-0000-0000-000063340000}"/>
    <cellStyle name="Comma 8 4 2 2 2" xfId="3155" xr:uid="{00000000-0005-0000-0000-000064340000}"/>
    <cellStyle name="Comma 8 4 2 2 2 2" xfId="3156" xr:uid="{00000000-0005-0000-0000-000065340000}"/>
    <cellStyle name="Comma 8 4 2 2 2 3" xfId="3157" xr:uid="{00000000-0005-0000-0000-000066340000}"/>
    <cellStyle name="Comma 8 4 2 2 3" xfId="3158" xr:uid="{00000000-0005-0000-0000-000067340000}"/>
    <cellStyle name="Comma 8 4 2 2 3 2" xfId="3159" xr:uid="{00000000-0005-0000-0000-000068340000}"/>
    <cellStyle name="Comma 8 4 2 2 3 3" xfId="3160" xr:uid="{00000000-0005-0000-0000-000069340000}"/>
    <cellStyle name="Comma 8 4 2 2 4" xfId="3161" xr:uid="{00000000-0005-0000-0000-00006A340000}"/>
    <cellStyle name="Comma 8 4 2 2 5" xfId="3162" xr:uid="{00000000-0005-0000-0000-00006B340000}"/>
    <cellStyle name="Comma 8 4 2 3" xfId="3163" xr:uid="{00000000-0005-0000-0000-00006C340000}"/>
    <cellStyle name="Comma 8 4 2 3 2" xfId="3164" xr:uid="{00000000-0005-0000-0000-00006D340000}"/>
    <cellStyle name="Comma 8 4 2 3 3" xfId="3165" xr:uid="{00000000-0005-0000-0000-00006E340000}"/>
    <cellStyle name="Comma 8 4 2 4" xfId="3166" xr:uid="{00000000-0005-0000-0000-00006F340000}"/>
    <cellStyle name="Comma 8 4 2 4 2" xfId="3167" xr:uid="{00000000-0005-0000-0000-000070340000}"/>
    <cellStyle name="Comma 8 4 2 4 3" xfId="3168" xr:uid="{00000000-0005-0000-0000-000071340000}"/>
    <cellStyle name="Comma 8 4 2 5" xfId="3169" xr:uid="{00000000-0005-0000-0000-000072340000}"/>
    <cellStyle name="Comma 8 4 2 6" xfId="3170" xr:uid="{00000000-0005-0000-0000-000073340000}"/>
    <cellStyle name="Comma 8 4 3" xfId="3171" xr:uid="{00000000-0005-0000-0000-000074340000}"/>
    <cellStyle name="Comma 8 4 3 2" xfId="3172" xr:uid="{00000000-0005-0000-0000-000075340000}"/>
    <cellStyle name="Comma 8 4 3 2 2" xfId="3173" xr:uid="{00000000-0005-0000-0000-000076340000}"/>
    <cellStyle name="Comma 8 4 3 2 3" xfId="3174" xr:uid="{00000000-0005-0000-0000-000077340000}"/>
    <cellStyle name="Comma 8 4 3 3" xfId="3175" xr:uid="{00000000-0005-0000-0000-000078340000}"/>
    <cellStyle name="Comma 8 4 3 3 2" xfId="3176" xr:uid="{00000000-0005-0000-0000-000079340000}"/>
    <cellStyle name="Comma 8 4 3 3 3" xfId="3177" xr:uid="{00000000-0005-0000-0000-00007A340000}"/>
    <cellStyle name="Comma 8 4 3 4" xfId="3178" xr:uid="{00000000-0005-0000-0000-00007B340000}"/>
    <cellStyle name="Comma 8 4 3 5" xfId="3179" xr:uid="{00000000-0005-0000-0000-00007C340000}"/>
    <cellStyle name="Comma 8 4 4" xfId="3180" xr:uid="{00000000-0005-0000-0000-00007D340000}"/>
    <cellStyle name="Comma 8 4 4 2" xfId="3181" xr:uid="{00000000-0005-0000-0000-00007E340000}"/>
    <cellStyle name="Comma 8 4 4 3" xfId="3182" xr:uid="{00000000-0005-0000-0000-00007F340000}"/>
    <cellStyle name="Comma 8 4 5" xfId="3183" xr:uid="{00000000-0005-0000-0000-000080340000}"/>
    <cellStyle name="Comma 8 4 5 2" xfId="3184" xr:uid="{00000000-0005-0000-0000-000081340000}"/>
    <cellStyle name="Comma 8 4 5 3" xfId="3185" xr:uid="{00000000-0005-0000-0000-000082340000}"/>
    <cellStyle name="Comma 8 4 6" xfId="3186" xr:uid="{00000000-0005-0000-0000-000083340000}"/>
    <cellStyle name="Comma 8 4 7" xfId="3187" xr:uid="{00000000-0005-0000-0000-000084340000}"/>
    <cellStyle name="Comma 8 5" xfId="3188" xr:uid="{00000000-0005-0000-0000-000085340000}"/>
    <cellStyle name="Comma 8 5 2" xfId="3189" xr:uid="{00000000-0005-0000-0000-000086340000}"/>
    <cellStyle name="Comma 8 5 2 2" xfId="3190" xr:uid="{00000000-0005-0000-0000-000087340000}"/>
    <cellStyle name="Comma 8 5 2 2 2" xfId="3191" xr:uid="{00000000-0005-0000-0000-000088340000}"/>
    <cellStyle name="Comma 8 5 2 2 3" xfId="3192" xr:uid="{00000000-0005-0000-0000-000089340000}"/>
    <cellStyle name="Comma 8 5 2 3" xfId="3193" xr:uid="{00000000-0005-0000-0000-00008A340000}"/>
    <cellStyle name="Comma 8 5 2 3 2" xfId="3194" xr:uid="{00000000-0005-0000-0000-00008B340000}"/>
    <cellStyle name="Comma 8 5 2 3 3" xfId="3195" xr:uid="{00000000-0005-0000-0000-00008C340000}"/>
    <cellStyle name="Comma 8 5 2 4" xfId="3196" xr:uid="{00000000-0005-0000-0000-00008D340000}"/>
    <cellStyle name="Comma 8 5 2 5" xfId="3197" xr:uid="{00000000-0005-0000-0000-00008E340000}"/>
    <cellStyle name="Comma 8 5 3" xfId="3198" xr:uid="{00000000-0005-0000-0000-00008F340000}"/>
    <cellStyle name="Comma 8 5 3 2" xfId="3199" xr:uid="{00000000-0005-0000-0000-000090340000}"/>
    <cellStyle name="Comma 8 5 3 3" xfId="3200" xr:uid="{00000000-0005-0000-0000-000091340000}"/>
    <cellStyle name="Comma 8 5 4" xfId="3201" xr:uid="{00000000-0005-0000-0000-000092340000}"/>
    <cellStyle name="Comma 8 5 4 2" xfId="3202" xr:uid="{00000000-0005-0000-0000-000093340000}"/>
    <cellStyle name="Comma 8 5 4 3" xfId="3203" xr:uid="{00000000-0005-0000-0000-000094340000}"/>
    <cellStyle name="Comma 8 5 5" xfId="3204" xr:uid="{00000000-0005-0000-0000-000095340000}"/>
    <cellStyle name="Comma 8 5 6" xfId="3205" xr:uid="{00000000-0005-0000-0000-000096340000}"/>
    <cellStyle name="Comma 8 6" xfId="3206" xr:uid="{00000000-0005-0000-0000-000097340000}"/>
    <cellStyle name="Comma 8 6 2" xfId="3207" xr:uid="{00000000-0005-0000-0000-000098340000}"/>
    <cellStyle name="Comma 8 6 2 2" xfId="3208" xr:uid="{00000000-0005-0000-0000-000099340000}"/>
    <cellStyle name="Comma 8 6 2 3" xfId="3209" xr:uid="{00000000-0005-0000-0000-00009A340000}"/>
    <cellStyle name="Comma 8 6 3" xfId="3210" xr:uid="{00000000-0005-0000-0000-00009B340000}"/>
    <cellStyle name="Comma 8 6 3 2" xfId="3211" xr:uid="{00000000-0005-0000-0000-00009C340000}"/>
    <cellStyle name="Comma 8 6 3 3" xfId="3212" xr:uid="{00000000-0005-0000-0000-00009D340000}"/>
    <cellStyle name="Comma 8 6 4" xfId="3213" xr:uid="{00000000-0005-0000-0000-00009E340000}"/>
    <cellStyle name="Comma 8 6 5" xfId="3214" xr:uid="{00000000-0005-0000-0000-00009F340000}"/>
    <cellStyle name="Comma 8 7" xfId="3215" xr:uid="{00000000-0005-0000-0000-0000A0340000}"/>
    <cellStyle name="Comma 8 7 2" xfId="3216" xr:uid="{00000000-0005-0000-0000-0000A1340000}"/>
    <cellStyle name="Comma 8 7 3" xfId="3217" xr:uid="{00000000-0005-0000-0000-0000A2340000}"/>
    <cellStyle name="Comma 8 8" xfId="3218" xr:uid="{00000000-0005-0000-0000-0000A3340000}"/>
    <cellStyle name="Comma 8 8 2" xfId="3219" xr:uid="{00000000-0005-0000-0000-0000A4340000}"/>
    <cellStyle name="Comma 8 8 3" xfId="3220" xr:uid="{00000000-0005-0000-0000-0000A5340000}"/>
    <cellStyle name="Comma 8 9" xfId="3221" xr:uid="{00000000-0005-0000-0000-0000A6340000}"/>
    <cellStyle name="Comma 9" xfId="116" xr:uid="{00000000-0005-0000-0000-0000A7340000}"/>
    <cellStyle name="Comma 9 2" xfId="3222" xr:uid="{00000000-0005-0000-0000-0000A8340000}"/>
    <cellStyle name="Comma(2)" xfId="117" xr:uid="{00000000-0005-0000-0000-0000A9340000}"/>
    <cellStyle name="Comma0" xfId="3223" xr:uid="{00000000-0005-0000-0000-0000AA340000}"/>
    <cellStyle name="Comma0 - Style2" xfId="118" xr:uid="{00000000-0005-0000-0000-0000AB340000}"/>
    <cellStyle name="Comma1 - Style1" xfId="119" xr:uid="{00000000-0005-0000-0000-0000AC340000}"/>
    <cellStyle name="Comments" xfId="120" xr:uid="{00000000-0005-0000-0000-0000AD340000}"/>
    <cellStyle name="Currency" xfId="2" builtinId="4"/>
    <cellStyle name="Currency 10" xfId="322" xr:uid="{00000000-0005-0000-0000-0000AF340000}"/>
    <cellStyle name="Currency 10 2" xfId="3224" xr:uid="{00000000-0005-0000-0000-0000B0340000}"/>
    <cellStyle name="Currency 10 2 2" xfId="3225" xr:uid="{00000000-0005-0000-0000-0000B1340000}"/>
    <cellStyle name="Currency 10 2 2 2" xfId="3226" xr:uid="{00000000-0005-0000-0000-0000B2340000}"/>
    <cellStyle name="Currency 10 2 2 2 2" xfId="3227" xr:uid="{00000000-0005-0000-0000-0000B3340000}"/>
    <cellStyle name="Currency 10 2 2 2 2 2" xfId="3228" xr:uid="{00000000-0005-0000-0000-0000B4340000}"/>
    <cellStyle name="Currency 10 2 2 2 2 3" xfId="3229" xr:uid="{00000000-0005-0000-0000-0000B5340000}"/>
    <cellStyle name="Currency 10 2 2 2 3" xfId="3230" xr:uid="{00000000-0005-0000-0000-0000B6340000}"/>
    <cellStyle name="Currency 10 2 2 2 3 2" xfId="3231" xr:uid="{00000000-0005-0000-0000-0000B7340000}"/>
    <cellStyle name="Currency 10 2 2 2 3 3" xfId="3232" xr:uid="{00000000-0005-0000-0000-0000B8340000}"/>
    <cellStyle name="Currency 10 2 2 2 4" xfId="3233" xr:uid="{00000000-0005-0000-0000-0000B9340000}"/>
    <cellStyle name="Currency 10 2 2 2 5" xfId="3234" xr:uid="{00000000-0005-0000-0000-0000BA340000}"/>
    <cellStyle name="Currency 10 2 2 3" xfId="3235" xr:uid="{00000000-0005-0000-0000-0000BB340000}"/>
    <cellStyle name="Currency 10 2 2 3 2" xfId="3236" xr:uid="{00000000-0005-0000-0000-0000BC340000}"/>
    <cellStyle name="Currency 10 2 2 3 3" xfId="3237" xr:uid="{00000000-0005-0000-0000-0000BD340000}"/>
    <cellStyle name="Currency 10 2 2 4" xfId="3238" xr:uid="{00000000-0005-0000-0000-0000BE340000}"/>
    <cellStyle name="Currency 10 2 2 4 2" xfId="3239" xr:uid="{00000000-0005-0000-0000-0000BF340000}"/>
    <cellStyle name="Currency 10 2 2 4 3" xfId="3240" xr:uid="{00000000-0005-0000-0000-0000C0340000}"/>
    <cellStyle name="Currency 10 2 2 5" xfId="3241" xr:uid="{00000000-0005-0000-0000-0000C1340000}"/>
    <cellStyle name="Currency 10 2 2 6" xfId="3242" xr:uid="{00000000-0005-0000-0000-0000C2340000}"/>
    <cellStyle name="Currency 10 2 3" xfId="3243" xr:uid="{00000000-0005-0000-0000-0000C3340000}"/>
    <cellStyle name="Currency 10 2 3 2" xfId="3244" xr:uid="{00000000-0005-0000-0000-0000C4340000}"/>
    <cellStyle name="Currency 10 2 3 2 2" xfId="3245" xr:uid="{00000000-0005-0000-0000-0000C5340000}"/>
    <cellStyle name="Currency 10 2 3 2 3" xfId="3246" xr:uid="{00000000-0005-0000-0000-0000C6340000}"/>
    <cellStyle name="Currency 10 2 3 3" xfId="3247" xr:uid="{00000000-0005-0000-0000-0000C7340000}"/>
    <cellStyle name="Currency 10 2 3 3 2" xfId="3248" xr:uid="{00000000-0005-0000-0000-0000C8340000}"/>
    <cellStyle name="Currency 10 2 3 3 3" xfId="3249" xr:uid="{00000000-0005-0000-0000-0000C9340000}"/>
    <cellStyle name="Currency 10 2 3 4" xfId="3250" xr:uid="{00000000-0005-0000-0000-0000CA340000}"/>
    <cellStyle name="Currency 10 2 3 5" xfId="3251" xr:uid="{00000000-0005-0000-0000-0000CB340000}"/>
    <cellStyle name="Currency 10 2 4" xfId="3252" xr:uid="{00000000-0005-0000-0000-0000CC340000}"/>
    <cellStyle name="Currency 10 2 4 2" xfId="3253" xr:uid="{00000000-0005-0000-0000-0000CD340000}"/>
    <cellStyle name="Currency 10 2 4 3" xfId="3254" xr:uid="{00000000-0005-0000-0000-0000CE340000}"/>
    <cellStyle name="Currency 10 2 5" xfId="3255" xr:uid="{00000000-0005-0000-0000-0000CF340000}"/>
    <cellStyle name="Currency 10 2 5 2" xfId="3256" xr:uid="{00000000-0005-0000-0000-0000D0340000}"/>
    <cellStyle name="Currency 10 2 5 3" xfId="3257" xr:uid="{00000000-0005-0000-0000-0000D1340000}"/>
    <cellStyle name="Currency 10 2 6" xfId="3258" xr:uid="{00000000-0005-0000-0000-0000D2340000}"/>
    <cellStyle name="Currency 10 2 7" xfId="3259" xr:uid="{00000000-0005-0000-0000-0000D3340000}"/>
    <cellStyle name="Currency 10 3" xfId="3260" xr:uid="{00000000-0005-0000-0000-0000D4340000}"/>
    <cellStyle name="Currency 10 4" xfId="3261" xr:uid="{00000000-0005-0000-0000-0000D5340000}"/>
    <cellStyle name="Currency 11" xfId="3262" xr:uid="{00000000-0005-0000-0000-0000D6340000}"/>
    <cellStyle name="Currency 11 2" xfId="3263" xr:uid="{00000000-0005-0000-0000-0000D7340000}"/>
    <cellStyle name="Currency 11 2 2" xfId="3264" xr:uid="{00000000-0005-0000-0000-0000D8340000}"/>
    <cellStyle name="Currency 11 3" xfId="3265" xr:uid="{00000000-0005-0000-0000-0000D9340000}"/>
    <cellStyle name="Currency 11 4" xfId="3266" xr:uid="{00000000-0005-0000-0000-0000DA340000}"/>
    <cellStyle name="Currency 11 5" xfId="3267" xr:uid="{00000000-0005-0000-0000-0000DB340000}"/>
    <cellStyle name="Currency 12" xfId="3268" xr:uid="{00000000-0005-0000-0000-0000DC340000}"/>
    <cellStyle name="Currency 12 2" xfId="3269" xr:uid="{00000000-0005-0000-0000-0000DD340000}"/>
    <cellStyle name="Currency 12 2 2" xfId="3270" xr:uid="{00000000-0005-0000-0000-0000DE340000}"/>
    <cellStyle name="Currency 12 3" xfId="3271" xr:uid="{00000000-0005-0000-0000-0000DF340000}"/>
    <cellStyle name="Currency 13" xfId="3272" xr:uid="{00000000-0005-0000-0000-0000E0340000}"/>
    <cellStyle name="Currency 14" xfId="3273" xr:uid="{00000000-0005-0000-0000-0000E1340000}"/>
    <cellStyle name="Currency 14 2" xfId="3274" xr:uid="{00000000-0005-0000-0000-0000E2340000}"/>
    <cellStyle name="Currency 15" xfId="3275" xr:uid="{00000000-0005-0000-0000-0000E3340000}"/>
    <cellStyle name="Currency 16" xfId="3276" xr:uid="{00000000-0005-0000-0000-0000E4340000}"/>
    <cellStyle name="Currency 17" xfId="3277" xr:uid="{00000000-0005-0000-0000-0000E5340000}"/>
    <cellStyle name="Currency 18" xfId="3278" xr:uid="{00000000-0005-0000-0000-0000E6340000}"/>
    <cellStyle name="Currency 19" xfId="3279" xr:uid="{00000000-0005-0000-0000-0000E7340000}"/>
    <cellStyle name="Currency 2" xfId="10" xr:uid="{00000000-0005-0000-0000-0000E8340000}"/>
    <cellStyle name="Currency 2 2" xfId="11" xr:uid="{00000000-0005-0000-0000-0000E9340000}"/>
    <cellStyle name="Currency 2 2 2" xfId="123" xr:uid="{00000000-0005-0000-0000-0000EA340000}"/>
    <cellStyle name="Currency 2 2 2 2" xfId="3280" xr:uid="{00000000-0005-0000-0000-0000EB340000}"/>
    <cellStyle name="Currency 2 2 2 3" xfId="3281" xr:uid="{00000000-0005-0000-0000-0000EC340000}"/>
    <cellStyle name="Currency 2 2 2 4" xfId="3282" xr:uid="{00000000-0005-0000-0000-0000ED340000}"/>
    <cellStyle name="Currency 2 2 2 5" xfId="3283" xr:uid="{00000000-0005-0000-0000-0000EE340000}"/>
    <cellStyle name="Currency 2 2 2 6" xfId="3284" xr:uid="{00000000-0005-0000-0000-0000EF340000}"/>
    <cellStyle name="Currency 2 2 3" xfId="3285" xr:uid="{00000000-0005-0000-0000-0000F0340000}"/>
    <cellStyle name="Currency 2 2 3 2" xfId="3286" xr:uid="{00000000-0005-0000-0000-0000F1340000}"/>
    <cellStyle name="Currency 2 2 3 3" xfId="3287" xr:uid="{00000000-0005-0000-0000-0000F2340000}"/>
    <cellStyle name="Currency 2 2 4" xfId="3288" xr:uid="{00000000-0005-0000-0000-0000F3340000}"/>
    <cellStyle name="Currency 2 2 4 2" xfId="3289" xr:uid="{00000000-0005-0000-0000-0000F4340000}"/>
    <cellStyle name="Currency 2 2 4 3" xfId="3290" xr:uid="{00000000-0005-0000-0000-0000F5340000}"/>
    <cellStyle name="Currency 2 2 5" xfId="3291" xr:uid="{00000000-0005-0000-0000-0000F6340000}"/>
    <cellStyle name="Currency 2 2 6" xfId="3292" xr:uid="{00000000-0005-0000-0000-0000F7340000}"/>
    <cellStyle name="Currency 2 2 7" xfId="3293" xr:uid="{00000000-0005-0000-0000-0000F8340000}"/>
    <cellStyle name="Currency 2 2 8" xfId="3294" xr:uid="{00000000-0005-0000-0000-0000F9340000}"/>
    <cellStyle name="Currency 2 3" xfId="122" xr:uid="{00000000-0005-0000-0000-0000FA340000}"/>
    <cellStyle name="Currency 2 3 2" xfId="323" xr:uid="{00000000-0005-0000-0000-0000FB340000}"/>
    <cellStyle name="Currency 2 3 2 2" xfId="3295" xr:uid="{00000000-0005-0000-0000-0000FC340000}"/>
    <cellStyle name="Currency 2 3 2 3" xfId="3296" xr:uid="{00000000-0005-0000-0000-0000FD340000}"/>
    <cellStyle name="Currency 2 3 2 4" xfId="3297" xr:uid="{00000000-0005-0000-0000-0000FE340000}"/>
    <cellStyle name="Currency 2 3 2 5" xfId="3298" xr:uid="{00000000-0005-0000-0000-0000FF340000}"/>
    <cellStyle name="Currency 2 3 2 6" xfId="3299" xr:uid="{00000000-0005-0000-0000-000000350000}"/>
    <cellStyle name="Currency 2 3 3" xfId="3300" xr:uid="{00000000-0005-0000-0000-000001350000}"/>
    <cellStyle name="Currency 2 3 3 2" xfId="3301" xr:uid="{00000000-0005-0000-0000-000002350000}"/>
    <cellStyle name="Currency 2 3 3 3" xfId="3302" xr:uid="{00000000-0005-0000-0000-000003350000}"/>
    <cellStyle name="Currency 2 3 3 4" xfId="3303" xr:uid="{00000000-0005-0000-0000-000004350000}"/>
    <cellStyle name="Currency 2 3 3 5" xfId="3304" xr:uid="{00000000-0005-0000-0000-000005350000}"/>
    <cellStyle name="Currency 2 3 4" xfId="3305" xr:uid="{00000000-0005-0000-0000-000006350000}"/>
    <cellStyle name="Currency 2 3 4 2" xfId="3306" xr:uid="{00000000-0005-0000-0000-000007350000}"/>
    <cellStyle name="Currency 2 3 4 3" xfId="3307" xr:uid="{00000000-0005-0000-0000-000008350000}"/>
    <cellStyle name="Currency 2 3 5" xfId="3308" xr:uid="{00000000-0005-0000-0000-000009350000}"/>
    <cellStyle name="Currency 2 3 6" xfId="3309" xr:uid="{00000000-0005-0000-0000-00000A350000}"/>
    <cellStyle name="Currency 2 3 7" xfId="3310" xr:uid="{00000000-0005-0000-0000-00000B350000}"/>
    <cellStyle name="Currency 2 3 8" xfId="3311" xr:uid="{00000000-0005-0000-0000-00000C350000}"/>
    <cellStyle name="Currency 2 4" xfId="3312" xr:uid="{00000000-0005-0000-0000-00000D350000}"/>
    <cellStyle name="Currency 2 4 2" xfId="3313" xr:uid="{00000000-0005-0000-0000-00000E350000}"/>
    <cellStyle name="Currency 2 4 2 2" xfId="3314" xr:uid="{00000000-0005-0000-0000-00000F350000}"/>
    <cellStyle name="Currency 2 4 2 3" xfId="3315" xr:uid="{00000000-0005-0000-0000-000010350000}"/>
    <cellStyle name="Currency 2 4 2 4" xfId="3316" xr:uid="{00000000-0005-0000-0000-000011350000}"/>
    <cellStyle name="Currency 2 4 2 5" xfId="3317" xr:uid="{00000000-0005-0000-0000-000012350000}"/>
    <cellStyle name="Currency 2 4 3" xfId="3318" xr:uid="{00000000-0005-0000-0000-000013350000}"/>
    <cellStyle name="Currency 2 4 3 2" xfId="3319" xr:uid="{00000000-0005-0000-0000-000014350000}"/>
    <cellStyle name="Currency 2 4 3 3" xfId="3320" xr:uid="{00000000-0005-0000-0000-000015350000}"/>
    <cellStyle name="Currency 2 4 4" xfId="3321" xr:uid="{00000000-0005-0000-0000-000016350000}"/>
    <cellStyle name="Currency 2 4 4 2" xfId="3322" xr:uid="{00000000-0005-0000-0000-000017350000}"/>
    <cellStyle name="Currency 2 4 4 3" xfId="3323" xr:uid="{00000000-0005-0000-0000-000018350000}"/>
    <cellStyle name="Currency 2 4 5" xfId="3324" xr:uid="{00000000-0005-0000-0000-000019350000}"/>
    <cellStyle name="Currency 2 4 6" xfId="3325" xr:uid="{00000000-0005-0000-0000-00001A350000}"/>
    <cellStyle name="Currency 2 4 7" xfId="3326" xr:uid="{00000000-0005-0000-0000-00001B350000}"/>
    <cellStyle name="Currency 2 4 8" xfId="3327" xr:uid="{00000000-0005-0000-0000-00001C350000}"/>
    <cellStyle name="Currency 2 5" xfId="3328" xr:uid="{00000000-0005-0000-0000-00001D350000}"/>
    <cellStyle name="Currency 2 5 2" xfId="3329" xr:uid="{00000000-0005-0000-0000-00001E350000}"/>
    <cellStyle name="Currency 2 5 3" xfId="3330" xr:uid="{00000000-0005-0000-0000-00001F350000}"/>
    <cellStyle name="Currency 2 5 3 2" xfId="34926" xr:uid="{00000000-0005-0000-0000-000020350000}"/>
    <cellStyle name="Currency 2 6" xfId="12" xr:uid="{00000000-0005-0000-0000-000021350000}"/>
    <cellStyle name="Currency 2 6 2" xfId="13" xr:uid="{00000000-0005-0000-0000-000022350000}"/>
    <cellStyle name="Currency 2 6 2 2" xfId="369" xr:uid="{00000000-0005-0000-0000-000023350000}"/>
    <cellStyle name="Currency 2 6 3" xfId="3331" xr:uid="{00000000-0005-0000-0000-000024350000}"/>
    <cellStyle name="Currency 2 7" xfId="3332" xr:uid="{00000000-0005-0000-0000-000025350000}"/>
    <cellStyle name="Currency 3" xfId="14" xr:uid="{00000000-0005-0000-0000-000026350000}"/>
    <cellStyle name="Currency 3 10" xfId="3333" xr:uid="{00000000-0005-0000-0000-000027350000}"/>
    <cellStyle name="Currency 3 11" xfId="3334" xr:uid="{00000000-0005-0000-0000-000028350000}"/>
    <cellStyle name="Currency 3 2" xfId="125" xr:uid="{00000000-0005-0000-0000-000029350000}"/>
    <cellStyle name="Currency 3 2 2" xfId="3335" xr:uid="{00000000-0005-0000-0000-00002A350000}"/>
    <cellStyle name="Currency 3 2 2 2" xfId="3336" xr:uid="{00000000-0005-0000-0000-00002B350000}"/>
    <cellStyle name="Currency 3 2 2 2 2" xfId="3337" xr:uid="{00000000-0005-0000-0000-00002C350000}"/>
    <cellStyle name="Currency 3 2 2 2 2 2" xfId="3338" xr:uid="{00000000-0005-0000-0000-00002D350000}"/>
    <cellStyle name="Currency 3 2 2 2 2 2 2" xfId="3339" xr:uid="{00000000-0005-0000-0000-00002E350000}"/>
    <cellStyle name="Currency 3 2 2 2 2 2 2 2" xfId="3340" xr:uid="{00000000-0005-0000-0000-00002F350000}"/>
    <cellStyle name="Currency 3 2 2 2 2 2 2 3" xfId="3341" xr:uid="{00000000-0005-0000-0000-000030350000}"/>
    <cellStyle name="Currency 3 2 2 2 2 2 3" xfId="3342" xr:uid="{00000000-0005-0000-0000-000031350000}"/>
    <cellStyle name="Currency 3 2 2 2 2 2 3 2" xfId="3343" xr:uid="{00000000-0005-0000-0000-000032350000}"/>
    <cellStyle name="Currency 3 2 2 2 2 2 3 3" xfId="3344" xr:uid="{00000000-0005-0000-0000-000033350000}"/>
    <cellStyle name="Currency 3 2 2 2 2 2 4" xfId="3345" xr:uid="{00000000-0005-0000-0000-000034350000}"/>
    <cellStyle name="Currency 3 2 2 2 2 2 5" xfId="3346" xr:uid="{00000000-0005-0000-0000-000035350000}"/>
    <cellStyle name="Currency 3 2 2 2 2 3" xfId="3347" xr:uid="{00000000-0005-0000-0000-000036350000}"/>
    <cellStyle name="Currency 3 2 2 2 2 3 2" xfId="3348" xr:uid="{00000000-0005-0000-0000-000037350000}"/>
    <cellStyle name="Currency 3 2 2 2 2 3 3" xfId="3349" xr:uid="{00000000-0005-0000-0000-000038350000}"/>
    <cellStyle name="Currency 3 2 2 2 2 4" xfId="3350" xr:uid="{00000000-0005-0000-0000-000039350000}"/>
    <cellStyle name="Currency 3 2 2 2 2 4 2" xfId="3351" xr:uid="{00000000-0005-0000-0000-00003A350000}"/>
    <cellStyle name="Currency 3 2 2 2 2 4 3" xfId="3352" xr:uid="{00000000-0005-0000-0000-00003B350000}"/>
    <cellStyle name="Currency 3 2 2 2 2 5" xfId="3353" xr:uid="{00000000-0005-0000-0000-00003C350000}"/>
    <cellStyle name="Currency 3 2 2 2 2 6" xfId="3354" xr:uid="{00000000-0005-0000-0000-00003D350000}"/>
    <cellStyle name="Currency 3 2 2 2 3" xfId="3355" xr:uid="{00000000-0005-0000-0000-00003E350000}"/>
    <cellStyle name="Currency 3 2 2 2 3 2" xfId="3356" xr:uid="{00000000-0005-0000-0000-00003F350000}"/>
    <cellStyle name="Currency 3 2 2 2 3 2 2" xfId="3357" xr:uid="{00000000-0005-0000-0000-000040350000}"/>
    <cellStyle name="Currency 3 2 2 2 3 2 3" xfId="3358" xr:uid="{00000000-0005-0000-0000-000041350000}"/>
    <cellStyle name="Currency 3 2 2 2 3 3" xfId="3359" xr:uid="{00000000-0005-0000-0000-000042350000}"/>
    <cellStyle name="Currency 3 2 2 2 3 3 2" xfId="3360" xr:uid="{00000000-0005-0000-0000-000043350000}"/>
    <cellStyle name="Currency 3 2 2 2 3 3 3" xfId="3361" xr:uid="{00000000-0005-0000-0000-000044350000}"/>
    <cellStyle name="Currency 3 2 2 2 3 4" xfId="3362" xr:uid="{00000000-0005-0000-0000-000045350000}"/>
    <cellStyle name="Currency 3 2 2 2 3 5" xfId="3363" xr:uid="{00000000-0005-0000-0000-000046350000}"/>
    <cellStyle name="Currency 3 2 2 2 4" xfId="3364" xr:uid="{00000000-0005-0000-0000-000047350000}"/>
    <cellStyle name="Currency 3 2 2 2 4 2" xfId="3365" xr:uid="{00000000-0005-0000-0000-000048350000}"/>
    <cellStyle name="Currency 3 2 2 2 4 3" xfId="3366" xr:uid="{00000000-0005-0000-0000-000049350000}"/>
    <cellStyle name="Currency 3 2 2 2 5" xfId="3367" xr:uid="{00000000-0005-0000-0000-00004A350000}"/>
    <cellStyle name="Currency 3 2 2 2 5 2" xfId="3368" xr:uid="{00000000-0005-0000-0000-00004B350000}"/>
    <cellStyle name="Currency 3 2 2 2 5 3" xfId="3369" xr:uid="{00000000-0005-0000-0000-00004C350000}"/>
    <cellStyle name="Currency 3 2 2 2 6" xfId="3370" xr:uid="{00000000-0005-0000-0000-00004D350000}"/>
    <cellStyle name="Currency 3 2 2 2 7" xfId="3371" xr:uid="{00000000-0005-0000-0000-00004E350000}"/>
    <cellStyle name="Currency 3 2 2 3" xfId="3372" xr:uid="{00000000-0005-0000-0000-00004F350000}"/>
    <cellStyle name="Currency 3 2 2 3 2" xfId="3373" xr:uid="{00000000-0005-0000-0000-000050350000}"/>
    <cellStyle name="Currency 3 2 2 3 2 2" xfId="3374" xr:uid="{00000000-0005-0000-0000-000051350000}"/>
    <cellStyle name="Currency 3 2 2 3 2 2 2" xfId="3375" xr:uid="{00000000-0005-0000-0000-000052350000}"/>
    <cellStyle name="Currency 3 2 2 3 2 2 3" xfId="3376" xr:uid="{00000000-0005-0000-0000-000053350000}"/>
    <cellStyle name="Currency 3 2 2 3 2 3" xfId="3377" xr:uid="{00000000-0005-0000-0000-000054350000}"/>
    <cellStyle name="Currency 3 2 2 3 2 3 2" xfId="3378" xr:uid="{00000000-0005-0000-0000-000055350000}"/>
    <cellStyle name="Currency 3 2 2 3 2 3 3" xfId="3379" xr:uid="{00000000-0005-0000-0000-000056350000}"/>
    <cellStyle name="Currency 3 2 2 3 2 4" xfId="3380" xr:uid="{00000000-0005-0000-0000-000057350000}"/>
    <cellStyle name="Currency 3 2 2 3 2 5" xfId="3381" xr:uid="{00000000-0005-0000-0000-000058350000}"/>
    <cellStyle name="Currency 3 2 2 3 3" xfId="3382" xr:uid="{00000000-0005-0000-0000-000059350000}"/>
    <cellStyle name="Currency 3 2 2 3 3 2" xfId="3383" xr:uid="{00000000-0005-0000-0000-00005A350000}"/>
    <cellStyle name="Currency 3 2 2 3 3 3" xfId="3384" xr:uid="{00000000-0005-0000-0000-00005B350000}"/>
    <cellStyle name="Currency 3 2 2 3 4" xfId="3385" xr:uid="{00000000-0005-0000-0000-00005C350000}"/>
    <cellStyle name="Currency 3 2 2 3 4 2" xfId="3386" xr:uid="{00000000-0005-0000-0000-00005D350000}"/>
    <cellStyle name="Currency 3 2 2 3 4 3" xfId="3387" xr:uid="{00000000-0005-0000-0000-00005E350000}"/>
    <cellStyle name="Currency 3 2 2 3 5" xfId="3388" xr:uid="{00000000-0005-0000-0000-00005F350000}"/>
    <cellStyle name="Currency 3 2 2 3 6" xfId="3389" xr:uid="{00000000-0005-0000-0000-000060350000}"/>
    <cellStyle name="Currency 3 2 2 4" xfId="3390" xr:uid="{00000000-0005-0000-0000-000061350000}"/>
    <cellStyle name="Currency 3 2 2 4 2" xfId="3391" xr:uid="{00000000-0005-0000-0000-000062350000}"/>
    <cellStyle name="Currency 3 2 2 4 2 2" xfId="3392" xr:uid="{00000000-0005-0000-0000-000063350000}"/>
    <cellStyle name="Currency 3 2 2 4 2 3" xfId="3393" xr:uid="{00000000-0005-0000-0000-000064350000}"/>
    <cellStyle name="Currency 3 2 2 4 3" xfId="3394" xr:uid="{00000000-0005-0000-0000-000065350000}"/>
    <cellStyle name="Currency 3 2 2 4 3 2" xfId="3395" xr:uid="{00000000-0005-0000-0000-000066350000}"/>
    <cellStyle name="Currency 3 2 2 4 3 3" xfId="3396" xr:uid="{00000000-0005-0000-0000-000067350000}"/>
    <cellStyle name="Currency 3 2 2 4 4" xfId="3397" xr:uid="{00000000-0005-0000-0000-000068350000}"/>
    <cellStyle name="Currency 3 2 2 4 5" xfId="3398" xr:uid="{00000000-0005-0000-0000-000069350000}"/>
    <cellStyle name="Currency 3 2 2 5" xfId="3399" xr:uid="{00000000-0005-0000-0000-00006A350000}"/>
    <cellStyle name="Currency 3 2 2 5 2" xfId="3400" xr:uid="{00000000-0005-0000-0000-00006B350000}"/>
    <cellStyle name="Currency 3 2 2 5 3" xfId="3401" xr:uid="{00000000-0005-0000-0000-00006C350000}"/>
    <cellStyle name="Currency 3 2 2 6" xfId="3402" xr:uid="{00000000-0005-0000-0000-00006D350000}"/>
    <cellStyle name="Currency 3 2 2 6 2" xfId="3403" xr:uid="{00000000-0005-0000-0000-00006E350000}"/>
    <cellStyle name="Currency 3 2 2 6 3" xfId="3404" xr:uid="{00000000-0005-0000-0000-00006F350000}"/>
    <cellStyle name="Currency 3 2 2 7" xfId="3405" xr:uid="{00000000-0005-0000-0000-000070350000}"/>
    <cellStyle name="Currency 3 2 2 8" xfId="3406" xr:uid="{00000000-0005-0000-0000-000071350000}"/>
    <cellStyle name="Currency 3 2 3" xfId="3407" xr:uid="{00000000-0005-0000-0000-000072350000}"/>
    <cellStyle name="Currency 3 2 3 2" xfId="3408" xr:uid="{00000000-0005-0000-0000-000073350000}"/>
    <cellStyle name="Currency 3 2 3 2 2" xfId="3409" xr:uid="{00000000-0005-0000-0000-000074350000}"/>
    <cellStyle name="Currency 3 2 3 2 2 2" xfId="3410" xr:uid="{00000000-0005-0000-0000-000075350000}"/>
    <cellStyle name="Currency 3 2 3 2 2 2 2" xfId="3411" xr:uid="{00000000-0005-0000-0000-000076350000}"/>
    <cellStyle name="Currency 3 2 3 2 2 2 3" xfId="3412" xr:uid="{00000000-0005-0000-0000-000077350000}"/>
    <cellStyle name="Currency 3 2 3 2 2 3" xfId="3413" xr:uid="{00000000-0005-0000-0000-000078350000}"/>
    <cellStyle name="Currency 3 2 3 2 2 3 2" xfId="3414" xr:uid="{00000000-0005-0000-0000-000079350000}"/>
    <cellStyle name="Currency 3 2 3 2 2 3 3" xfId="3415" xr:uid="{00000000-0005-0000-0000-00007A350000}"/>
    <cellStyle name="Currency 3 2 3 2 2 4" xfId="3416" xr:uid="{00000000-0005-0000-0000-00007B350000}"/>
    <cellStyle name="Currency 3 2 3 2 2 5" xfId="3417" xr:uid="{00000000-0005-0000-0000-00007C350000}"/>
    <cellStyle name="Currency 3 2 3 2 3" xfId="3418" xr:uid="{00000000-0005-0000-0000-00007D350000}"/>
    <cellStyle name="Currency 3 2 3 2 3 2" xfId="3419" xr:uid="{00000000-0005-0000-0000-00007E350000}"/>
    <cellStyle name="Currency 3 2 3 2 3 3" xfId="3420" xr:uid="{00000000-0005-0000-0000-00007F350000}"/>
    <cellStyle name="Currency 3 2 3 2 4" xfId="3421" xr:uid="{00000000-0005-0000-0000-000080350000}"/>
    <cellStyle name="Currency 3 2 3 2 4 2" xfId="3422" xr:uid="{00000000-0005-0000-0000-000081350000}"/>
    <cellStyle name="Currency 3 2 3 2 4 3" xfId="3423" xr:uid="{00000000-0005-0000-0000-000082350000}"/>
    <cellStyle name="Currency 3 2 3 2 5" xfId="3424" xr:uid="{00000000-0005-0000-0000-000083350000}"/>
    <cellStyle name="Currency 3 2 3 2 6" xfId="3425" xr:uid="{00000000-0005-0000-0000-000084350000}"/>
    <cellStyle name="Currency 3 2 3 3" xfId="3426" xr:uid="{00000000-0005-0000-0000-000085350000}"/>
    <cellStyle name="Currency 3 2 3 3 2" xfId="3427" xr:uid="{00000000-0005-0000-0000-000086350000}"/>
    <cellStyle name="Currency 3 2 3 3 2 2" xfId="3428" xr:uid="{00000000-0005-0000-0000-000087350000}"/>
    <cellStyle name="Currency 3 2 3 3 2 3" xfId="3429" xr:uid="{00000000-0005-0000-0000-000088350000}"/>
    <cellStyle name="Currency 3 2 3 3 3" xfId="3430" xr:uid="{00000000-0005-0000-0000-000089350000}"/>
    <cellStyle name="Currency 3 2 3 3 3 2" xfId="3431" xr:uid="{00000000-0005-0000-0000-00008A350000}"/>
    <cellStyle name="Currency 3 2 3 3 3 3" xfId="3432" xr:uid="{00000000-0005-0000-0000-00008B350000}"/>
    <cellStyle name="Currency 3 2 3 3 4" xfId="3433" xr:uid="{00000000-0005-0000-0000-00008C350000}"/>
    <cellStyle name="Currency 3 2 3 3 5" xfId="3434" xr:uid="{00000000-0005-0000-0000-00008D350000}"/>
    <cellStyle name="Currency 3 2 3 4" xfId="3435" xr:uid="{00000000-0005-0000-0000-00008E350000}"/>
    <cellStyle name="Currency 3 2 3 4 2" xfId="3436" xr:uid="{00000000-0005-0000-0000-00008F350000}"/>
    <cellStyle name="Currency 3 2 3 4 3" xfId="3437" xr:uid="{00000000-0005-0000-0000-000090350000}"/>
    <cellStyle name="Currency 3 2 3 5" xfId="3438" xr:uid="{00000000-0005-0000-0000-000091350000}"/>
    <cellStyle name="Currency 3 2 3 5 2" xfId="3439" xr:uid="{00000000-0005-0000-0000-000092350000}"/>
    <cellStyle name="Currency 3 2 3 5 3" xfId="3440" xr:uid="{00000000-0005-0000-0000-000093350000}"/>
    <cellStyle name="Currency 3 2 3 6" xfId="3441" xr:uid="{00000000-0005-0000-0000-000094350000}"/>
    <cellStyle name="Currency 3 2 3 7" xfId="3442" xr:uid="{00000000-0005-0000-0000-000095350000}"/>
    <cellStyle name="Currency 3 2 4" xfId="3443" xr:uid="{00000000-0005-0000-0000-000096350000}"/>
    <cellStyle name="Currency 3 2 4 2" xfId="3444" xr:uid="{00000000-0005-0000-0000-000097350000}"/>
    <cellStyle name="Currency 3 2 4 2 2" xfId="3445" xr:uid="{00000000-0005-0000-0000-000098350000}"/>
    <cellStyle name="Currency 3 2 4 2 2 2" xfId="3446" xr:uid="{00000000-0005-0000-0000-000099350000}"/>
    <cellStyle name="Currency 3 2 4 2 2 3" xfId="3447" xr:uid="{00000000-0005-0000-0000-00009A350000}"/>
    <cellStyle name="Currency 3 2 4 2 3" xfId="3448" xr:uid="{00000000-0005-0000-0000-00009B350000}"/>
    <cellStyle name="Currency 3 2 4 2 3 2" xfId="3449" xr:uid="{00000000-0005-0000-0000-00009C350000}"/>
    <cellStyle name="Currency 3 2 4 2 3 3" xfId="3450" xr:uid="{00000000-0005-0000-0000-00009D350000}"/>
    <cellStyle name="Currency 3 2 4 2 4" xfId="3451" xr:uid="{00000000-0005-0000-0000-00009E350000}"/>
    <cellStyle name="Currency 3 2 4 2 5" xfId="3452" xr:uid="{00000000-0005-0000-0000-00009F350000}"/>
    <cellStyle name="Currency 3 2 4 3" xfId="3453" xr:uid="{00000000-0005-0000-0000-0000A0350000}"/>
    <cellStyle name="Currency 3 2 4 3 2" xfId="3454" xr:uid="{00000000-0005-0000-0000-0000A1350000}"/>
    <cellStyle name="Currency 3 2 4 3 3" xfId="3455" xr:uid="{00000000-0005-0000-0000-0000A2350000}"/>
    <cellStyle name="Currency 3 2 4 4" xfId="3456" xr:uid="{00000000-0005-0000-0000-0000A3350000}"/>
    <cellStyle name="Currency 3 2 4 4 2" xfId="3457" xr:uid="{00000000-0005-0000-0000-0000A4350000}"/>
    <cellStyle name="Currency 3 2 4 4 3" xfId="3458" xr:uid="{00000000-0005-0000-0000-0000A5350000}"/>
    <cellStyle name="Currency 3 2 4 5" xfId="3459" xr:uid="{00000000-0005-0000-0000-0000A6350000}"/>
    <cellStyle name="Currency 3 2 4 6" xfId="3460" xr:uid="{00000000-0005-0000-0000-0000A7350000}"/>
    <cellStyle name="Currency 3 2 5" xfId="3461" xr:uid="{00000000-0005-0000-0000-0000A8350000}"/>
    <cellStyle name="Currency 3 2 5 2" xfId="3462" xr:uid="{00000000-0005-0000-0000-0000A9350000}"/>
    <cellStyle name="Currency 3 2 5 2 2" xfId="3463" xr:uid="{00000000-0005-0000-0000-0000AA350000}"/>
    <cellStyle name="Currency 3 2 5 2 3" xfId="3464" xr:uid="{00000000-0005-0000-0000-0000AB350000}"/>
    <cellStyle name="Currency 3 2 5 3" xfId="3465" xr:uid="{00000000-0005-0000-0000-0000AC350000}"/>
    <cellStyle name="Currency 3 2 5 3 2" xfId="3466" xr:uid="{00000000-0005-0000-0000-0000AD350000}"/>
    <cellStyle name="Currency 3 2 5 3 3" xfId="3467" xr:uid="{00000000-0005-0000-0000-0000AE350000}"/>
    <cellStyle name="Currency 3 2 5 4" xfId="3468" xr:uid="{00000000-0005-0000-0000-0000AF350000}"/>
    <cellStyle name="Currency 3 2 5 5" xfId="3469" xr:uid="{00000000-0005-0000-0000-0000B0350000}"/>
    <cellStyle name="Currency 3 2 6" xfId="3470" xr:uid="{00000000-0005-0000-0000-0000B1350000}"/>
    <cellStyle name="Currency 3 2 6 2" xfId="3471" xr:uid="{00000000-0005-0000-0000-0000B2350000}"/>
    <cellStyle name="Currency 3 2 6 3" xfId="3472" xr:uid="{00000000-0005-0000-0000-0000B3350000}"/>
    <cellStyle name="Currency 3 2 7" xfId="3473" xr:uid="{00000000-0005-0000-0000-0000B4350000}"/>
    <cellStyle name="Currency 3 2 7 2" xfId="3474" xr:uid="{00000000-0005-0000-0000-0000B5350000}"/>
    <cellStyle name="Currency 3 2 7 3" xfId="3475" xr:uid="{00000000-0005-0000-0000-0000B6350000}"/>
    <cellStyle name="Currency 3 2 8" xfId="3476" xr:uid="{00000000-0005-0000-0000-0000B7350000}"/>
    <cellStyle name="Currency 3 2 9" xfId="3477" xr:uid="{00000000-0005-0000-0000-0000B8350000}"/>
    <cellStyle name="Currency 3 3" xfId="124" xr:uid="{00000000-0005-0000-0000-0000B9350000}"/>
    <cellStyle name="Currency 3 3 2" xfId="3479" xr:uid="{00000000-0005-0000-0000-0000BA350000}"/>
    <cellStyle name="Currency 3 3 2 2" xfId="3480" xr:uid="{00000000-0005-0000-0000-0000BB350000}"/>
    <cellStyle name="Currency 3 3 2 2 2" xfId="3481" xr:uid="{00000000-0005-0000-0000-0000BC350000}"/>
    <cellStyle name="Currency 3 3 2 2 2 2" xfId="3482" xr:uid="{00000000-0005-0000-0000-0000BD350000}"/>
    <cellStyle name="Currency 3 3 2 2 2 2 2" xfId="3483" xr:uid="{00000000-0005-0000-0000-0000BE350000}"/>
    <cellStyle name="Currency 3 3 2 2 2 2 3" xfId="3484" xr:uid="{00000000-0005-0000-0000-0000BF350000}"/>
    <cellStyle name="Currency 3 3 2 2 2 3" xfId="3485" xr:uid="{00000000-0005-0000-0000-0000C0350000}"/>
    <cellStyle name="Currency 3 3 2 2 2 3 2" xfId="3486" xr:uid="{00000000-0005-0000-0000-0000C1350000}"/>
    <cellStyle name="Currency 3 3 2 2 2 3 3" xfId="3487" xr:uid="{00000000-0005-0000-0000-0000C2350000}"/>
    <cellStyle name="Currency 3 3 2 2 2 4" xfId="3488" xr:uid="{00000000-0005-0000-0000-0000C3350000}"/>
    <cellStyle name="Currency 3 3 2 2 2 5" xfId="3489" xr:uid="{00000000-0005-0000-0000-0000C4350000}"/>
    <cellStyle name="Currency 3 3 2 2 3" xfId="3490" xr:uid="{00000000-0005-0000-0000-0000C5350000}"/>
    <cellStyle name="Currency 3 3 2 2 3 2" xfId="3491" xr:uid="{00000000-0005-0000-0000-0000C6350000}"/>
    <cellStyle name="Currency 3 3 2 2 3 3" xfId="3492" xr:uid="{00000000-0005-0000-0000-0000C7350000}"/>
    <cellStyle name="Currency 3 3 2 2 4" xfId="3493" xr:uid="{00000000-0005-0000-0000-0000C8350000}"/>
    <cellStyle name="Currency 3 3 2 2 4 2" xfId="3494" xr:uid="{00000000-0005-0000-0000-0000C9350000}"/>
    <cellStyle name="Currency 3 3 2 2 4 3" xfId="3495" xr:uid="{00000000-0005-0000-0000-0000CA350000}"/>
    <cellStyle name="Currency 3 3 2 2 5" xfId="3496" xr:uid="{00000000-0005-0000-0000-0000CB350000}"/>
    <cellStyle name="Currency 3 3 2 2 6" xfId="3497" xr:uid="{00000000-0005-0000-0000-0000CC350000}"/>
    <cellStyle name="Currency 3 3 2 3" xfId="3498" xr:uid="{00000000-0005-0000-0000-0000CD350000}"/>
    <cellStyle name="Currency 3 3 2 3 2" xfId="3499" xr:uid="{00000000-0005-0000-0000-0000CE350000}"/>
    <cellStyle name="Currency 3 3 2 3 2 2" xfId="3500" xr:uid="{00000000-0005-0000-0000-0000CF350000}"/>
    <cellStyle name="Currency 3 3 2 3 2 3" xfId="3501" xr:uid="{00000000-0005-0000-0000-0000D0350000}"/>
    <cellStyle name="Currency 3 3 2 3 3" xfId="3502" xr:uid="{00000000-0005-0000-0000-0000D1350000}"/>
    <cellStyle name="Currency 3 3 2 3 3 2" xfId="3503" xr:uid="{00000000-0005-0000-0000-0000D2350000}"/>
    <cellStyle name="Currency 3 3 2 3 3 3" xfId="3504" xr:uid="{00000000-0005-0000-0000-0000D3350000}"/>
    <cellStyle name="Currency 3 3 2 3 4" xfId="3505" xr:uid="{00000000-0005-0000-0000-0000D4350000}"/>
    <cellStyle name="Currency 3 3 2 3 5" xfId="3506" xr:uid="{00000000-0005-0000-0000-0000D5350000}"/>
    <cellStyle name="Currency 3 3 2 4" xfId="3507" xr:uid="{00000000-0005-0000-0000-0000D6350000}"/>
    <cellStyle name="Currency 3 3 2 4 2" xfId="3508" xr:uid="{00000000-0005-0000-0000-0000D7350000}"/>
    <cellStyle name="Currency 3 3 2 4 3" xfId="3509" xr:uid="{00000000-0005-0000-0000-0000D8350000}"/>
    <cellStyle name="Currency 3 3 2 5" xfId="3510" xr:uid="{00000000-0005-0000-0000-0000D9350000}"/>
    <cellStyle name="Currency 3 3 2 5 2" xfId="3511" xr:uid="{00000000-0005-0000-0000-0000DA350000}"/>
    <cellStyle name="Currency 3 3 2 5 3" xfId="3512" xr:uid="{00000000-0005-0000-0000-0000DB350000}"/>
    <cellStyle name="Currency 3 3 2 6" xfId="3513" xr:uid="{00000000-0005-0000-0000-0000DC350000}"/>
    <cellStyle name="Currency 3 3 2 7" xfId="3514" xr:uid="{00000000-0005-0000-0000-0000DD350000}"/>
    <cellStyle name="Currency 3 3 3" xfId="3515" xr:uid="{00000000-0005-0000-0000-0000DE350000}"/>
    <cellStyle name="Currency 3 3 3 2" xfId="3516" xr:uid="{00000000-0005-0000-0000-0000DF350000}"/>
    <cellStyle name="Currency 3 3 3 2 2" xfId="3517" xr:uid="{00000000-0005-0000-0000-0000E0350000}"/>
    <cellStyle name="Currency 3 3 3 2 2 2" xfId="3518" xr:uid="{00000000-0005-0000-0000-0000E1350000}"/>
    <cellStyle name="Currency 3 3 3 2 2 3" xfId="3519" xr:uid="{00000000-0005-0000-0000-0000E2350000}"/>
    <cellStyle name="Currency 3 3 3 2 3" xfId="3520" xr:uid="{00000000-0005-0000-0000-0000E3350000}"/>
    <cellStyle name="Currency 3 3 3 2 3 2" xfId="3521" xr:uid="{00000000-0005-0000-0000-0000E4350000}"/>
    <cellStyle name="Currency 3 3 3 2 3 3" xfId="3522" xr:uid="{00000000-0005-0000-0000-0000E5350000}"/>
    <cellStyle name="Currency 3 3 3 2 4" xfId="3523" xr:uid="{00000000-0005-0000-0000-0000E6350000}"/>
    <cellStyle name="Currency 3 3 3 2 5" xfId="3524" xr:uid="{00000000-0005-0000-0000-0000E7350000}"/>
    <cellStyle name="Currency 3 3 3 2 6" xfId="34923" xr:uid="{00000000-0005-0000-0000-0000E8350000}"/>
    <cellStyle name="Currency 3 3 3 3" xfId="3525" xr:uid="{00000000-0005-0000-0000-0000E9350000}"/>
    <cellStyle name="Currency 3 3 3 3 2" xfId="3526" xr:uid="{00000000-0005-0000-0000-0000EA350000}"/>
    <cellStyle name="Currency 3 3 3 3 3" xfId="3527" xr:uid="{00000000-0005-0000-0000-0000EB350000}"/>
    <cellStyle name="Currency 3 3 3 4" xfId="3528" xr:uid="{00000000-0005-0000-0000-0000EC350000}"/>
    <cellStyle name="Currency 3 3 3 4 2" xfId="3529" xr:uid="{00000000-0005-0000-0000-0000ED350000}"/>
    <cellStyle name="Currency 3 3 3 4 3" xfId="3530" xr:uid="{00000000-0005-0000-0000-0000EE350000}"/>
    <cellStyle name="Currency 3 3 3 5" xfId="3531" xr:uid="{00000000-0005-0000-0000-0000EF350000}"/>
    <cellStyle name="Currency 3 3 3 6" xfId="3532" xr:uid="{00000000-0005-0000-0000-0000F0350000}"/>
    <cellStyle name="Currency 3 3 4" xfId="3533" xr:uid="{00000000-0005-0000-0000-0000F1350000}"/>
    <cellStyle name="Currency 3 3 4 2" xfId="3534" xr:uid="{00000000-0005-0000-0000-0000F2350000}"/>
    <cellStyle name="Currency 3 3 4 2 2" xfId="3535" xr:uid="{00000000-0005-0000-0000-0000F3350000}"/>
    <cellStyle name="Currency 3 3 4 2 3" xfId="3536" xr:uid="{00000000-0005-0000-0000-0000F4350000}"/>
    <cellStyle name="Currency 3 3 4 3" xfId="3537" xr:uid="{00000000-0005-0000-0000-0000F5350000}"/>
    <cellStyle name="Currency 3 3 4 3 2" xfId="3538" xr:uid="{00000000-0005-0000-0000-0000F6350000}"/>
    <cellStyle name="Currency 3 3 4 3 3" xfId="3539" xr:uid="{00000000-0005-0000-0000-0000F7350000}"/>
    <cellStyle name="Currency 3 3 4 4" xfId="3540" xr:uid="{00000000-0005-0000-0000-0000F8350000}"/>
    <cellStyle name="Currency 3 3 4 5" xfId="3541" xr:uid="{00000000-0005-0000-0000-0000F9350000}"/>
    <cellStyle name="Currency 3 3 5" xfId="3542" xr:uid="{00000000-0005-0000-0000-0000FA350000}"/>
    <cellStyle name="Currency 3 3 5 2" xfId="3543" xr:uid="{00000000-0005-0000-0000-0000FB350000}"/>
    <cellStyle name="Currency 3 3 5 3" xfId="3544" xr:uid="{00000000-0005-0000-0000-0000FC350000}"/>
    <cellStyle name="Currency 3 3 6" xfId="3545" xr:uid="{00000000-0005-0000-0000-0000FD350000}"/>
    <cellStyle name="Currency 3 3 6 2" xfId="3546" xr:uid="{00000000-0005-0000-0000-0000FE350000}"/>
    <cellStyle name="Currency 3 3 6 3" xfId="3547" xr:uid="{00000000-0005-0000-0000-0000FF350000}"/>
    <cellStyle name="Currency 3 3 7" xfId="3548" xr:uid="{00000000-0005-0000-0000-000000360000}"/>
    <cellStyle name="Currency 3 3 8" xfId="3549" xr:uid="{00000000-0005-0000-0000-000001360000}"/>
    <cellStyle name="Currency 3 3 9" xfId="3478" xr:uid="{00000000-0005-0000-0000-000002360000}"/>
    <cellStyle name="Currency 3 4" xfId="288" xr:uid="{00000000-0005-0000-0000-000003360000}"/>
    <cellStyle name="Currency 3 4 2" xfId="3550" xr:uid="{00000000-0005-0000-0000-000004360000}"/>
    <cellStyle name="Currency 3 4 2 2" xfId="3551" xr:uid="{00000000-0005-0000-0000-000005360000}"/>
    <cellStyle name="Currency 3 4 2 2 2" xfId="3552" xr:uid="{00000000-0005-0000-0000-000006360000}"/>
    <cellStyle name="Currency 3 4 2 2 2 2" xfId="3553" xr:uid="{00000000-0005-0000-0000-000007360000}"/>
    <cellStyle name="Currency 3 4 2 2 2 2 2" xfId="3554" xr:uid="{00000000-0005-0000-0000-000008360000}"/>
    <cellStyle name="Currency 3 4 2 2 2 2 3" xfId="3555" xr:uid="{00000000-0005-0000-0000-000009360000}"/>
    <cellStyle name="Currency 3 4 2 2 2 3" xfId="3556" xr:uid="{00000000-0005-0000-0000-00000A360000}"/>
    <cellStyle name="Currency 3 4 2 2 2 3 2" xfId="3557" xr:uid="{00000000-0005-0000-0000-00000B360000}"/>
    <cellStyle name="Currency 3 4 2 2 2 3 3" xfId="3558" xr:uid="{00000000-0005-0000-0000-00000C360000}"/>
    <cellStyle name="Currency 3 4 2 2 2 4" xfId="3559" xr:uid="{00000000-0005-0000-0000-00000D360000}"/>
    <cellStyle name="Currency 3 4 2 2 2 5" xfId="3560" xr:uid="{00000000-0005-0000-0000-00000E360000}"/>
    <cellStyle name="Currency 3 4 2 2 3" xfId="3561" xr:uid="{00000000-0005-0000-0000-00000F360000}"/>
    <cellStyle name="Currency 3 4 2 2 3 2" xfId="3562" xr:uid="{00000000-0005-0000-0000-000010360000}"/>
    <cellStyle name="Currency 3 4 2 2 3 3" xfId="3563" xr:uid="{00000000-0005-0000-0000-000011360000}"/>
    <cellStyle name="Currency 3 4 2 2 4" xfId="3564" xr:uid="{00000000-0005-0000-0000-000012360000}"/>
    <cellStyle name="Currency 3 4 2 2 4 2" xfId="3565" xr:uid="{00000000-0005-0000-0000-000013360000}"/>
    <cellStyle name="Currency 3 4 2 2 4 3" xfId="3566" xr:uid="{00000000-0005-0000-0000-000014360000}"/>
    <cellStyle name="Currency 3 4 2 2 5" xfId="3567" xr:uid="{00000000-0005-0000-0000-000015360000}"/>
    <cellStyle name="Currency 3 4 2 2 6" xfId="3568" xr:uid="{00000000-0005-0000-0000-000016360000}"/>
    <cellStyle name="Currency 3 4 2 3" xfId="3569" xr:uid="{00000000-0005-0000-0000-000017360000}"/>
    <cellStyle name="Currency 3 4 2 3 2" xfId="3570" xr:uid="{00000000-0005-0000-0000-000018360000}"/>
    <cellStyle name="Currency 3 4 2 3 2 2" xfId="3571" xr:uid="{00000000-0005-0000-0000-000019360000}"/>
    <cellStyle name="Currency 3 4 2 3 2 3" xfId="3572" xr:uid="{00000000-0005-0000-0000-00001A360000}"/>
    <cellStyle name="Currency 3 4 2 3 3" xfId="3573" xr:uid="{00000000-0005-0000-0000-00001B360000}"/>
    <cellStyle name="Currency 3 4 2 3 3 2" xfId="3574" xr:uid="{00000000-0005-0000-0000-00001C360000}"/>
    <cellStyle name="Currency 3 4 2 3 3 3" xfId="3575" xr:uid="{00000000-0005-0000-0000-00001D360000}"/>
    <cellStyle name="Currency 3 4 2 3 4" xfId="3576" xr:uid="{00000000-0005-0000-0000-00001E360000}"/>
    <cellStyle name="Currency 3 4 2 3 5" xfId="3577" xr:uid="{00000000-0005-0000-0000-00001F360000}"/>
    <cellStyle name="Currency 3 4 2 4" xfId="3578" xr:uid="{00000000-0005-0000-0000-000020360000}"/>
    <cellStyle name="Currency 3 4 2 4 2" xfId="3579" xr:uid="{00000000-0005-0000-0000-000021360000}"/>
    <cellStyle name="Currency 3 4 2 4 3" xfId="3580" xr:uid="{00000000-0005-0000-0000-000022360000}"/>
    <cellStyle name="Currency 3 4 2 5" xfId="3581" xr:uid="{00000000-0005-0000-0000-000023360000}"/>
    <cellStyle name="Currency 3 4 2 5 2" xfId="3582" xr:uid="{00000000-0005-0000-0000-000024360000}"/>
    <cellStyle name="Currency 3 4 2 5 3" xfId="3583" xr:uid="{00000000-0005-0000-0000-000025360000}"/>
    <cellStyle name="Currency 3 4 2 6" xfId="3584" xr:uid="{00000000-0005-0000-0000-000026360000}"/>
    <cellStyle name="Currency 3 4 2 7" xfId="3585" xr:uid="{00000000-0005-0000-0000-000027360000}"/>
    <cellStyle name="Currency 3 4 3" xfId="3586" xr:uid="{00000000-0005-0000-0000-000028360000}"/>
    <cellStyle name="Currency 3 4 3 2" xfId="3587" xr:uid="{00000000-0005-0000-0000-000029360000}"/>
    <cellStyle name="Currency 3 4 3 2 2" xfId="3588" xr:uid="{00000000-0005-0000-0000-00002A360000}"/>
    <cellStyle name="Currency 3 4 3 2 2 2" xfId="3589" xr:uid="{00000000-0005-0000-0000-00002B360000}"/>
    <cellStyle name="Currency 3 4 3 2 2 3" xfId="3590" xr:uid="{00000000-0005-0000-0000-00002C360000}"/>
    <cellStyle name="Currency 3 4 3 2 3" xfId="3591" xr:uid="{00000000-0005-0000-0000-00002D360000}"/>
    <cellStyle name="Currency 3 4 3 2 3 2" xfId="3592" xr:uid="{00000000-0005-0000-0000-00002E360000}"/>
    <cellStyle name="Currency 3 4 3 2 3 3" xfId="3593" xr:uid="{00000000-0005-0000-0000-00002F360000}"/>
    <cellStyle name="Currency 3 4 3 2 4" xfId="3594" xr:uid="{00000000-0005-0000-0000-000030360000}"/>
    <cellStyle name="Currency 3 4 3 2 5" xfId="3595" xr:uid="{00000000-0005-0000-0000-000031360000}"/>
    <cellStyle name="Currency 3 4 3 3" xfId="3596" xr:uid="{00000000-0005-0000-0000-000032360000}"/>
    <cellStyle name="Currency 3 4 3 3 2" xfId="3597" xr:uid="{00000000-0005-0000-0000-000033360000}"/>
    <cellStyle name="Currency 3 4 3 3 3" xfId="3598" xr:uid="{00000000-0005-0000-0000-000034360000}"/>
    <cellStyle name="Currency 3 4 3 4" xfId="3599" xr:uid="{00000000-0005-0000-0000-000035360000}"/>
    <cellStyle name="Currency 3 4 3 4 2" xfId="3600" xr:uid="{00000000-0005-0000-0000-000036360000}"/>
    <cellStyle name="Currency 3 4 3 4 3" xfId="3601" xr:uid="{00000000-0005-0000-0000-000037360000}"/>
    <cellStyle name="Currency 3 4 3 5" xfId="3602" xr:uid="{00000000-0005-0000-0000-000038360000}"/>
    <cellStyle name="Currency 3 4 3 6" xfId="3603" xr:uid="{00000000-0005-0000-0000-000039360000}"/>
    <cellStyle name="Currency 3 4 4" xfId="3604" xr:uid="{00000000-0005-0000-0000-00003A360000}"/>
    <cellStyle name="Currency 3 4 4 2" xfId="3605" xr:uid="{00000000-0005-0000-0000-00003B360000}"/>
    <cellStyle name="Currency 3 4 4 2 2" xfId="3606" xr:uid="{00000000-0005-0000-0000-00003C360000}"/>
    <cellStyle name="Currency 3 4 4 2 3" xfId="3607" xr:uid="{00000000-0005-0000-0000-00003D360000}"/>
    <cellStyle name="Currency 3 4 4 3" xfId="3608" xr:uid="{00000000-0005-0000-0000-00003E360000}"/>
    <cellStyle name="Currency 3 4 4 3 2" xfId="3609" xr:uid="{00000000-0005-0000-0000-00003F360000}"/>
    <cellStyle name="Currency 3 4 4 3 3" xfId="3610" xr:uid="{00000000-0005-0000-0000-000040360000}"/>
    <cellStyle name="Currency 3 4 4 4" xfId="3611" xr:uid="{00000000-0005-0000-0000-000041360000}"/>
    <cellStyle name="Currency 3 4 4 5" xfId="3612" xr:uid="{00000000-0005-0000-0000-000042360000}"/>
    <cellStyle name="Currency 3 4 5" xfId="3613" xr:uid="{00000000-0005-0000-0000-000043360000}"/>
    <cellStyle name="Currency 3 4 5 2" xfId="3614" xr:uid="{00000000-0005-0000-0000-000044360000}"/>
    <cellStyle name="Currency 3 4 5 3" xfId="3615" xr:uid="{00000000-0005-0000-0000-000045360000}"/>
    <cellStyle name="Currency 3 4 6" xfId="3616" xr:uid="{00000000-0005-0000-0000-000046360000}"/>
    <cellStyle name="Currency 3 4 6 2" xfId="3617" xr:uid="{00000000-0005-0000-0000-000047360000}"/>
    <cellStyle name="Currency 3 4 6 3" xfId="3618" xr:uid="{00000000-0005-0000-0000-000048360000}"/>
    <cellStyle name="Currency 3 4 7" xfId="3619" xr:uid="{00000000-0005-0000-0000-000049360000}"/>
    <cellStyle name="Currency 3 4 8" xfId="3620" xr:uid="{00000000-0005-0000-0000-00004A360000}"/>
    <cellStyle name="Currency 3 5" xfId="3621" xr:uid="{00000000-0005-0000-0000-00004B360000}"/>
    <cellStyle name="Currency 3 5 2" xfId="3622" xr:uid="{00000000-0005-0000-0000-00004C360000}"/>
    <cellStyle name="Currency 3 5 2 2" xfId="3623" xr:uid="{00000000-0005-0000-0000-00004D360000}"/>
    <cellStyle name="Currency 3 5 2 2 2" xfId="3624" xr:uid="{00000000-0005-0000-0000-00004E360000}"/>
    <cellStyle name="Currency 3 5 2 2 2 2" xfId="3625" xr:uid="{00000000-0005-0000-0000-00004F360000}"/>
    <cellStyle name="Currency 3 5 2 2 2 3" xfId="3626" xr:uid="{00000000-0005-0000-0000-000050360000}"/>
    <cellStyle name="Currency 3 5 2 2 3" xfId="3627" xr:uid="{00000000-0005-0000-0000-000051360000}"/>
    <cellStyle name="Currency 3 5 2 2 3 2" xfId="3628" xr:uid="{00000000-0005-0000-0000-000052360000}"/>
    <cellStyle name="Currency 3 5 2 2 3 3" xfId="3629" xr:uid="{00000000-0005-0000-0000-000053360000}"/>
    <cellStyle name="Currency 3 5 2 2 4" xfId="3630" xr:uid="{00000000-0005-0000-0000-000054360000}"/>
    <cellStyle name="Currency 3 5 2 2 5" xfId="3631" xr:uid="{00000000-0005-0000-0000-000055360000}"/>
    <cellStyle name="Currency 3 5 2 3" xfId="3632" xr:uid="{00000000-0005-0000-0000-000056360000}"/>
    <cellStyle name="Currency 3 5 2 3 2" xfId="3633" xr:uid="{00000000-0005-0000-0000-000057360000}"/>
    <cellStyle name="Currency 3 5 2 3 3" xfId="3634" xr:uid="{00000000-0005-0000-0000-000058360000}"/>
    <cellStyle name="Currency 3 5 2 4" xfId="3635" xr:uid="{00000000-0005-0000-0000-000059360000}"/>
    <cellStyle name="Currency 3 5 2 4 2" xfId="3636" xr:uid="{00000000-0005-0000-0000-00005A360000}"/>
    <cellStyle name="Currency 3 5 2 4 3" xfId="3637" xr:uid="{00000000-0005-0000-0000-00005B360000}"/>
    <cellStyle name="Currency 3 5 2 5" xfId="3638" xr:uid="{00000000-0005-0000-0000-00005C360000}"/>
    <cellStyle name="Currency 3 5 2 6" xfId="3639" xr:uid="{00000000-0005-0000-0000-00005D360000}"/>
    <cellStyle name="Currency 3 5 3" xfId="3640" xr:uid="{00000000-0005-0000-0000-00005E360000}"/>
    <cellStyle name="Currency 3 5 3 2" xfId="3641" xr:uid="{00000000-0005-0000-0000-00005F360000}"/>
    <cellStyle name="Currency 3 5 3 2 2" xfId="3642" xr:uid="{00000000-0005-0000-0000-000060360000}"/>
    <cellStyle name="Currency 3 5 3 2 3" xfId="3643" xr:uid="{00000000-0005-0000-0000-000061360000}"/>
    <cellStyle name="Currency 3 5 3 3" xfId="3644" xr:uid="{00000000-0005-0000-0000-000062360000}"/>
    <cellStyle name="Currency 3 5 3 3 2" xfId="3645" xr:uid="{00000000-0005-0000-0000-000063360000}"/>
    <cellStyle name="Currency 3 5 3 3 3" xfId="3646" xr:uid="{00000000-0005-0000-0000-000064360000}"/>
    <cellStyle name="Currency 3 5 3 4" xfId="3647" xr:uid="{00000000-0005-0000-0000-000065360000}"/>
    <cellStyle name="Currency 3 5 3 5" xfId="3648" xr:uid="{00000000-0005-0000-0000-000066360000}"/>
    <cellStyle name="Currency 3 5 4" xfId="3649" xr:uid="{00000000-0005-0000-0000-000067360000}"/>
    <cellStyle name="Currency 3 5 4 2" xfId="3650" xr:uid="{00000000-0005-0000-0000-000068360000}"/>
    <cellStyle name="Currency 3 5 4 3" xfId="3651" xr:uid="{00000000-0005-0000-0000-000069360000}"/>
    <cellStyle name="Currency 3 5 5" xfId="3652" xr:uid="{00000000-0005-0000-0000-00006A360000}"/>
    <cellStyle name="Currency 3 5 5 2" xfId="3653" xr:uid="{00000000-0005-0000-0000-00006B360000}"/>
    <cellStyle name="Currency 3 5 5 3" xfId="3654" xr:uid="{00000000-0005-0000-0000-00006C360000}"/>
    <cellStyle name="Currency 3 5 6" xfId="3655" xr:uid="{00000000-0005-0000-0000-00006D360000}"/>
    <cellStyle name="Currency 3 5 7" xfId="3656" xr:uid="{00000000-0005-0000-0000-00006E360000}"/>
    <cellStyle name="Currency 3 6" xfId="3657" xr:uid="{00000000-0005-0000-0000-00006F360000}"/>
    <cellStyle name="Currency 3 6 2" xfId="3658" xr:uid="{00000000-0005-0000-0000-000070360000}"/>
    <cellStyle name="Currency 3 6 2 2" xfId="3659" xr:uid="{00000000-0005-0000-0000-000071360000}"/>
    <cellStyle name="Currency 3 6 2 2 2" xfId="3660" xr:uid="{00000000-0005-0000-0000-000072360000}"/>
    <cellStyle name="Currency 3 6 2 2 3" xfId="3661" xr:uid="{00000000-0005-0000-0000-000073360000}"/>
    <cellStyle name="Currency 3 6 2 3" xfId="3662" xr:uid="{00000000-0005-0000-0000-000074360000}"/>
    <cellStyle name="Currency 3 6 2 3 2" xfId="3663" xr:uid="{00000000-0005-0000-0000-000075360000}"/>
    <cellStyle name="Currency 3 6 2 3 3" xfId="3664" xr:uid="{00000000-0005-0000-0000-000076360000}"/>
    <cellStyle name="Currency 3 6 2 4" xfId="3665" xr:uid="{00000000-0005-0000-0000-000077360000}"/>
    <cellStyle name="Currency 3 6 2 5" xfId="3666" xr:uid="{00000000-0005-0000-0000-000078360000}"/>
    <cellStyle name="Currency 3 6 3" xfId="3667" xr:uid="{00000000-0005-0000-0000-000079360000}"/>
    <cellStyle name="Currency 3 6 3 2" xfId="3668" xr:uid="{00000000-0005-0000-0000-00007A360000}"/>
    <cellStyle name="Currency 3 6 3 3" xfId="3669" xr:uid="{00000000-0005-0000-0000-00007B360000}"/>
    <cellStyle name="Currency 3 6 4" xfId="3670" xr:uid="{00000000-0005-0000-0000-00007C360000}"/>
    <cellStyle name="Currency 3 6 4 2" xfId="3671" xr:uid="{00000000-0005-0000-0000-00007D360000}"/>
    <cellStyle name="Currency 3 6 4 3" xfId="3672" xr:uid="{00000000-0005-0000-0000-00007E360000}"/>
    <cellStyle name="Currency 3 6 5" xfId="3673" xr:uid="{00000000-0005-0000-0000-00007F360000}"/>
    <cellStyle name="Currency 3 6 6" xfId="3674" xr:uid="{00000000-0005-0000-0000-000080360000}"/>
    <cellStyle name="Currency 3 7" xfId="3675" xr:uid="{00000000-0005-0000-0000-000081360000}"/>
    <cellStyle name="Currency 3 7 2" xfId="3676" xr:uid="{00000000-0005-0000-0000-000082360000}"/>
    <cellStyle name="Currency 3 7 2 2" xfId="3677" xr:uid="{00000000-0005-0000-0000-000083360000}"/>
    <cellStyle name="Currency 3 7 2 3" xfId="3678" xr:uid="{00000000-0005-0000-0000-000084360000}"/>
    <cellStyle name="Currency 3 7 3" xfId="3679" xr:uid="{00000000-0005-0000-0000-000085360000}"/>
    <cellStyle name="Currency 3 7 3 2" xfId="3680" xr:uid="{00000000-0005-0000-0000-000086360000}"/>
    <cellStyle name="Currency 3 7 3 3" xfId="3681" xr:uid="{00000000-0005-0000-0000-000087360000}"/>
    <cellStyle name="Currency 3 7 4" xfId="3682" xr:uid="{00000000-0005-0000-0000-000088360000}"/>
    <cellStyle name="Currency 3 7 5" xfId="3683" xr:uid="{00000000-0005-0000-0000-000089360000}"/>
    <cellStyle name="Currency 3 8" xfId="3684" xr:uid="{00000000-0005-0000-0000-00008A360000}"/>
    <cellStyle name="Currency 3 8 2" xfId="3685" xr:uid="{00000000-0005-0000-0000-00008B360000}"/>
    <cellStyle name="Currency 3 8 3" xfId="3686" xr:uid="{00000000-0005-0000-0000-00008C360000}"/>
    <cellStyle name="Currency 3 9" xfId="3687" xr:uid="{00000000-0005-0000-0000-00008D360000}"/>
    <cellStyle name="Currency 3 9 2" xfId="3688" xr:uid="{00000000-0005-0000-0000-00008E360000}"/>
    <cellStyle name="Currency 3 9 3" xfId="3689" xr:uid="{00000000-0005-0000-0000-00008F360000}"/>
    <cellStyle name="Currency 4" xfId="15" xr:uid="{00000000-0005-0000-0000-000090360000}"/>
    <cellStyle name="Currency 4 10" xfId="3690" xr:uid="{00000000-0005-0000-0000-000091360000}"/>
    <cellStyle name="Currency 4 11" xfId="3691" xr:uid="{00000000-0005-0000-0000-000092360000}"/>
    <cellStyle name="Currency 4 2" xfId="16" xr:uid="{00000000-0005-0000-0000-000093360000}"/>
    <cellStyle name="Currency 4 2 2" xfId="3692" xr:uid="{00000000-0005-0000-0000-000094360000}"/>
    <cellStyle name="Currency 4 2 2 2" xfId="3693" xr:uid="{00000000-0005-0000-0000-000095360000}"/>
    <cellStyle name="Currency 4 2 2 2 2" xfId="3694" xr:uid="{00000000-0005-0000-0000-000096360000}"/>
    <cellStyle name="Currency 4 2 2 2 2 2" xfId="3695" xr:uid="{00000000-0005-0000-0000-000097360000}"/>
    <cellStyle name="Currency 4 2 2 2 2 2 2" xfId="3696" xr:uid="{00000000-0005-0000-0000-000098360000}"/>
    <cellStyle name="Currency 4 2 2 2 2 2 2 2" xfId="3697" xr:uid="{00000000-0005-0000-0000-000099360000}"/>
    <cellStyle name="Currency 4 2 2 2 2 2 2 3" xfId="3698" xr:uid="{00000000-0005-0000-0000-00009A360000}"/>
    <cellStyle name="Currency 4 2 2 2 2 2 3" xfId="3699" xr:uid="{00000000-0005-0000-0000-00009B360000}"/>
    <cellStyle name="Currency 4 2 2 2 2 2 3 2" xfId="3700" xr:uid="{00000000-0005-0000-0000-00009C360000}"/>
    <cellStyle name="Currency 4 2 2 2 2 2 3 3" xfId="3701" xr:uid="{00000000-0005-0000-0000-00009D360000}"/>
    <cellStyle name="Currency 4 2 2 2 2 2 4" xfId="3702" xr:uid="{00000000-0005-0000-0000-00009E360000}"/>
    <cellStyle name="Currency 4 2 2 2 2 2 5" xfId="3703" xr:uid="{00000000-0005-0000-0000-00009F360000}"/>
    <cellStyle name="Currency 4 2 2 2 2 3" xfId="3704" xr:uid="{00000000-0005-0000-0000-0000A0360000}"/>
    <cellStyle name="Currency 4 2 2 2 2 3 2" xfId="3705" xr:uid="{00000000-0005-0000-0000-0000A1360000}"/>
    <cellStyle name="Currency 4 2 2 2 2 3 3" xfId="3706" xr:uid="{00000000-0005-0000-0000-0000A2360000}"/>
    <cellStyle name="Currency 4 2 2 2 2 4" xfId="3707" xr:uid="{00000000-0005-0000-0000-0000A3360000}"/>
    <cellStyle name="Currency 4 2 2 2 2 4 2" xfId="3708" xr:uid="{00000000-0005-0000-0000-0000A4360000}"/>
    <cellStyle name="Currency 4 2 2 2 2 4 3" xfId="3709" xr:uid="{00000000-0005-0000-0000-0000A5360000}"/>
    <cellStyle name="Currency 4 2 2 2 2 5" xfId="3710" xr:uid="{00000000-0005-0000-0000-0000A6360000}"/>
    <cellStyle name="Currency 4 2 2 2 2 6" xfId="3711" xr:uid="{00000000-0005-0000-0000-0000A7360000}"/>
    <cellStyle name="Currency 4 2 2 2 3" xfId="3712" xr:uid="{00000000-0005-0000-0000-0000A8360000}"/>
    <cellStyle name="Currency 4 2 2 2 3 2" xfId="3713" xr:uid="{00000000-0005-0000-0000-0000A9360000}"/>
    <cellStyle name="Currency 4 2 2 2 3 2 2" xfId="3714" xr:uid="{00000000-0005-0000-0000-0000AA360000}"/>
    <cellStyle name="Currency 4 2 2 2 3 2 3" xfId="3715" xr:uid="{00000000-0005-0000-0000-0000AB360000}"/>
    <cellStyle name="Currency 4 2 2 2 3 3" xfId="3716" xr:uid="{00000000-0005-0000-0000-0000AC360000}"/>
    <cellStyle name="Currency 4 2 2 2 3 3 2" xfId="3717" xr:uid="{00000000-0005-0000-0000-0000AD360000}"/>
    <cellStyle name="Currency 4 2 2 2 3 3 3" xfId="3718" xr:uid="{00000000-0005-0000-0000-0000AE360000}"/>
    <cellStyle name="Currency 4 2 2 2 3 4" xfId="3719" xr:uid="{00000000-0005-0000-0000-0000AF360000}"/>
    <cellStyle name="Currency 4 2 2 2 3 5" xfId="3720" xr:uid="{00000000-0005-0000-0000-0000B0360000}"/>
    <cellStyle name="Currency 4 2 2 2 4" xfId="3721" xr:uid="{00000000-0005-0000-0000-0000B1360000}"/>
    <cellStyle name="Currency 4 2 2 2 4 2" xfId="3722" xr:uid="{00000000-0005-0000-0000-0000B2360000}"/>
    <cellStyle name="Currency 4 2 2 2 4 3" xfId="3723" xr:uid="{00000000-0005-0000-0000-0000B3360000}"/>
    <cellStyle name="Currency 4 2 2 2 5" xfId="3724" xr:uid="{00000000-0005-0000-0000-0000B4360000}"/>
    <cellStyle name="Currency 4 2 2 2 5 2" xfId="3725" xr:uid="{00000000-0005-0000-0000-0000B5360000}"/>
    <cellStyle name="Currency 4 2 2 2 5 3" xfId="3726" xr:uid="{00000000-0005-0000-0000-0000B6360000}"/>
    <cellStyle name="Currency 4 2 2 2 6" xfId="3727" xr:uid="{00000000-0005-0000-0000-0000B7360000}"/>
    <cellStyle name="Currency 4 2 2 2 7" xfId="3728" xr:uid="{00000000-0005-0000-0000-0000B8360000}"/>
    <cellStyle name="Currency 4 2 2 3" xfId="3729" xr:uid="{00000000-0005-0000-0000-0000B9360000}"/>
    <cellStyle name="Currency 4 2 2 3 2" xfId="3730" xr:uid="{00000000-0005-0000-0000-0000BA360000}"/>
    <cellStyle name="Currency 4 2 2 3 2 2" xfId="3731" xr:uid="{00000000-0005-0000-0000-0000BB360000}"/>
    <cellStyle name="Currency 4 2 2 3 2 2 2" xfId="3732" xr:uid="{00000000-0005-0000-0000-0000BC360000}"/>
    <cellStyle name="Currency 4 2 2 3 2 2 3" xfId="3733" xr:uid="{00000000-0005-0000-0000-0000BD360000}"/>
    <cellStyle name="Currency 4 2 2 3 2 3" xfId="3734" xr:uid="{00000000-0005-0000-0000-0000BE360000}"/>
    <cellStyle name="Currency 4 2 2 3 2 3 2" xfId="3735" xr:uid="{00000000-0005-0000-0000-0000BF360000}"/>
    <cellStyle name="Currency 4 2 2 3 2 3 3" xfId="3736" xr:uid="{00000000-0005-0000-0000-0000C0360000}"/>
    <cellStyle name="Currency 4 2 2 3 2 4" xfId="3737" xr:uid="{00000000-0005-0000-0000-0000C1360000}"/>
    <cellStyle name="Currency 4 2 2 3 2 5" xfId="3738" xr:uid="{00000000-0005-0000-0000-0000C2360000}"/>
    <cellStyle name="Currency 4 2 2 3 3" xfId="3739" xr:uid="{00000000-0005-0000-0000-0000C3360000}"/>
    <cellStyle name="Currency 4 2 2 3 3 2" xfId="3740" xr:uid="{00000000-0005-0000-0000-0000C4360000}"/>
    <cellStyle name="Currency 4 2 2 3 3 3" xfId="3741" xr:uid="{00000000-0005-0000-0000-0000C5360000}"/>
    <cellStyle name="Currency 4 2 2 3 4" xfId="3742" xr:uid="{00000000-0005-0000-0000-0000C6360000}"/>
    <cellStyle name="Currency 4 2 2 3 4 2" xfId="3743" xr:uid="{00000000-0005-0000-0000-0000C7360000}"/>
    <cellStyle name="Currency 4 2 2 3 4 3" xfId="3744" xr:uid="{00000000-0005-0000-0000-0000C8360000}"/>
    <cellStyle name="Currency 4 2 2 3 5" xfId="3745" xr:uid="{00000000-0005-0000-0000-0000C9360000}"/>
    <cellStyle name="Currency 4 2 2 3 6" xfId="3746" xr:uid="{00000000-0005-0000-0000-0000CA360000}"/>
    <cellStyle name="Currency 4 2 2 4" xfId="3747" xr:uid="{00000000-0005-0000-0000-0000CB360000}"/>
    <cellStyle name="Currency 4 2 2 4 2" xfId="3748" xr:uid="{00000000-0005-0000-0000-0000CC360000}"/>
    <cellStyle name="Currency 4 2 2 4 2 2" xfId="3749" xr:uid="{00000000-0005-0000-0000-0000CD360000}"/>
    <cellStyle name="Currency 4 2 2 4 2 3" xfId="3750" xr:uid="{00000000-0005-0000-0000-0000CE360000}"/>
    <cellStyle name="Currency 4 2 2 4 3" xfId="3751" xr:uid="{00000000-0005-0000-0000-0000CF360000}"/>
    <cellStyle name="Currency 4 2 2 4 3 2" xfId="3752" xr:uid="{00000000-0005-0000-0000-0000D0360000}"/>
    <cellStyle name="Currency 4 2 2 4 3 3" xfId="3753" xr:uid="{00000000-0005-0000-0000-0000D1360000}"/>
    <cellStyle name="Currency 4 2 2 4 4" xfId="3754" xr:uid="{00000000-0005-0000-0000-0000D2360000}"/>
    <cellStyle name="Currency 4 2 2 4 5" xfId="3755" xr:uid="{00000000-0005-0000-0000-0000D3360000}"/>
    <cellStyle name="Currency 4 2 2 5" xfId="3756" xr:uid="{00000000-0005-0000-0000-0000D4360000}"/>
    <cellStyle name="Currency 4 2 2 5 2" xfId="3757" xr:uid="{00000000-0005-0000-0000-0000D5360000}"/>
    <cellStyle name="Currency 4 2 2 5 3" xfId="3758" xr:uid="{00000000-0005-0000-0000-0000D6360000}"/>
    <cellStyle name="Currency 4 2 2 6" xfId="3759" xr:uid="{00000000-0005-0000-0000-0000D7360000}"/>
    <cellStyle name="Currency 4 2 2 6 2" xfId="3760" xr:uid="{00000000-0005-0000-0000-0000D8360000}"/>
    <cellStyle name="Currency 4 2 2 6 3" xfId="3761" xr:uid="{00000000-0005-0000-0000-0000D9360000}"/>
    <cellStyle name="Currency 4 2 2 7" xfId="3762" xr:uid="{00000000-0005-0000-0000-0000DA360000}"/>
    <cellStyle name="Currency 4 2 2 8" xfId="3763" xr:uid="{00000000-0005-0000-0000-0000DB360000}"/>
    <cellStyle name="Currency 4 2 3" xfId="3764" xr:uid="{00000000-0005-0000-0000-0000DC360000}"/>
    <cellStyle name="Currency 4 2 3 2" xfId="3765" xr:uid="{00000000-0005-0000-0000-0000DD360000}"/>
    <cellStyle name="Currency 4 2 3 2 2" xfId="3766" xr:uid="{00000000-0005-0000-0000-0000DE360000}"/>
    <cellStyle name="Currency 4 2 3 2 2 2" xfId="3767" xr:uid="{00000000-0005-0000-0000-0000DF360000}"/>
    <cellStyle name="Currency 4 2 3 2 2 2 2" xfId="3768" xr:uid="{00000000-0005-0000-0000-0000E0360000}"/>
    <cellStyle name="Currency 4 2 3 2 2 2 3" xfId="3769" xr:uid="{00000000-0005-0000-0000-0000E1360000}"/>
    <cellStyle name="Currency 4 2 3 2 2 3" xfId="3770" xr:uid="{00000000-0005-0000-0000-0000E2360000}"/>
    <cellStyle name="Currency 4 2 3 2 2 3 2" xfId="3771" xr:uid="{00000000-0005-0000-0000-0000E3360000}"/>
    <cellStyle name="Currency 4 2 3 2 2 3 3" xfId="3772" xr:uid="{00000000-0005-0000-0000-0000E4360000}"/>
    <cellStyle name="Currency 4 2 3 2 2 4" xfId="3773" xr:uid="{00000000-0005-0000-0000-0000E5360000}"/>
    <cellStyle name="Currency 4 2 3 2 2 5" xfId="3774" xr:uid="{00000000-0005-0000-0000-0000E6360000}"/>
    <cellStyle name="Currency 4 2 3 2 3" xfId="3775" xr:uid="{00000000-0005-0000-0000-0000E7360000}"/>
    <cellStyle name="Currency 4 2 3 2 3 2" xfId="3776" xr:uid="{00000000-0005-0000-0000-0000E8360000}"/>
    <cellStyle name="Currency 4 2 3 2 3 3" xfId="3777" xr:uid="{00000000-0005-0000-0000-0000E9360000}"/>
    <cellStyle name="Currency 4 2 3 2 4" xfId="3778" xr:uid="{00000000-0005-0000-0000-0000EA360000}"/>
    <cellStyle name="Currency 4 2 3 2 4 2" xfId="3779" xr:uid="{00000000-0005-0000-0000-0000EB360000}"/>
    <cellStyle name="Currency 4 2 3 2 4 3" xfId="3780" xr:uid="{00000000-0005-0000-0000-0000EC360000}"/>
    <cellStyle name="Currency 4 2 3 2 5" xfId="3781" xr:uid="{00000000-0005-0000-0000-0000ED360000}"/>
    <cellStyle name="Currency 4 2 3 2 6" xfId="3782" xr:uid="{00000000-0005-0000-0000-0000EE360000}"/>
    <cellStyle name="Currency 4 2 3 3" xfId="3783" xr:uid="{00000000-0005-0000-0000-0000EF360000}"/>
    <cellStyle name="Currency 4 2 3 3 2" xfId="3784" xr:uid="{00000000-0005-0000-0000-0000F0360000}"/>
    <cellStyle name="Currency 4 2 3 3 2 2" xfId="3785" xr:uid="{00000000-0005-0000-0000-0000F1360000}"/>
    <cellStyle name="Currency 4 2 3 3 2 3" xfId="3786" xr:uid="{00000000-0005-0000-0000-0000F2360000}"/>
    <cellStyle name="Currency 4 2 3 3 3" xfId="3787" xr:uid="{00000000-0005-0000-0000-0000F3360000}"/>
    <cellStyle name="Currency 4 2 3 3 3 2" xfId="3788" xr:uid="{00000000-0005-0000-0000-0000F4360000}"/>
    <cellStyle name="Currency 4 2 3 3 3 3" xfId="3789" xr:uid="{00000000-0005-0000-0000-0000F5360000}"/>
    <cellStyle name="Currency 4 2 3 3 4" xfId="3790" xr:uid="{00000000-0005-0000-0000-0000F6360000}"/>
    <cellStyle name="Currency 4 2 3 3 5" xfId="3791" xr:uid="{00000000-0005-0000-0000-0000F7360000}"/>
    <cellStyle name="Currency 4 2 3 4" xfId="3792" xr:uid="{00000000-0005-0000-0000-0000F8360000}"/>
    <cellStyle name="Currency 4 2 3 4 2" xfId="3793" xr:uid="{00000000-0005-0000-0000-0000F9360000}"/>
    <cellStyle name="Currency 4 2 3 4 3" xfId="3794" xr:uid="{00000000-0005-0000-0000-0000FA360000}"/>
    <cellStyle name="Currency 4 2 3 5" xfId="3795" xr:uid="{00000000-0005-0000-0000-0000FB360000}"/>
    <cellStyle name="Currency 4 2 3 5 2" xfId="3796" xr:uid="{00000000-0005-0000-0000-0000FC360000}"/>
    <cellStyle name="Currency 4 2 3 5 3" xfId="3797" xr:uid="{00000000-0005-0000-0000-0000FD360000}"/>
    <cellStyle name="Currency 4 2 3 6" xfId="3798" xr:uid="{00000000-0005-0000-0000-0000FE360000}"/>
    <cellStyle name="Currency 4 2 3 7" xfId="3799" xr:uid="{00000000-0005-0000-0000-0000FF360000}"/>
    <cellStyle name="Currency 4 2 4" xfId="3800" xr:uid="{00000000-0005-0000-0000-000000370000}"/>
    <cellStyle name="Currency 4 2 4 2" xfId="3801" xr:uid="{00000000-0005-0000-0000-000001370000}"/>
    <cellStyle name="Currency 4 2 4 2 2" xfId="3802" xr:uid="{00000000-0005-0000-0000-000002370000}"/>
    <cellStyle name="Currency 4 2 4 2 2 2" xfId="3803" xr:uid="{00000000-0005-0000-0000-000003370000}"/>
    <cellStyle name="Currency 4 2 4 2 2 3" xfId="3804" xr:uid="{00000000-0005-0000-0000-000004370000}"/>
    <cellStyle name="Currency 4 2 4 2 3" xfId="3805" xr:uid="{00000000-0005-0000-0000-000005370000}"/>
    <cellStyle name="Currency 4 2 4 2 3 2" xfId="3806" xr:uid="{00000000-0005-0000-0000-000006370000}"/>
    <cellStyle name="Currency 4 2 4 2 3 3" xfId="3807" xr:uid="{00000000-0005-0000-0000-000007370000}"/>
    <cellStyle name="Currency 4 2 4 2 4" xfId="3808" xr:uid="{00000000-0005-0000-0000-000008370000}"/>
    <cellStyle name="Currency 4 2 4 2 5" xfId="3809" xr:uid="{00000000-0005-0000-0000-000009370000}"/>
    <cellStyle name="Currency 4 2 4 3" xfId="3810" xr:uid="{00000000-0005-0000-0000-00000A370000}"/>
    <cellStyle name="Currency 4 2 4 3 2" xfId="3811" xr:uid="{00000000-0005-0000-0000-00000B370000}"/>
    <cellStyle name="Currency 4 2 4 3 3" xfId="3812" xr:uid="{00000000-0005-0000-0000-00000C370000}"/>
    <cellStyle name="Currency 4 2 4 4" xfId="3813" xr:uid="{00000000-0005-0000-0000-00000D370000}"/>
    <cellStyle name="Currency 4 2 4 4 2" xfId="3814" xr:uid="{00000000-0005-0000-0000-00000E370000}"/>
    <cellStyle name="Currency 4 2 4 4 3" xfId="3815" xr:uid="{00000000-0005-0000-0000-00000F370000}"/>
    <cellStyle name="Currency 4 2 4 5" xfId="3816" xr:uid="{00000000-0005-0000-0000-000010370000}"/>
    <cellStyle name="Currency 4 2 4 6" xfId="3817" xr:uid="{00000000-0005-0000-0000-000011370000}"/>
    <cellStyle name="Currency 4 2 5" xfId="3818" xr:uid="{00000000-0005-0000-0000-000012370000}"/>
    <cellStyle name="Currency 4 2 5 2" xfId="3819" xr:uid="{00000000-0005-0000-0000-000013370000}"/>
    <cellStyle name="Currency 4 2 5 2 2" xfId="3820" xr:uid="{00000000-0005-0000-0000-000014370000}"/>
    <cellStyle name="Currency 4 2 5 2 3" xfId="3821" xr:uid="{00000000-0005-0000-0000-000015370000}"/>
    <cellStyle name="Currency 4 2 5 3" xfId="3822" xr:uid="{00000000-0005-0000-0000-000016370000}"/>
    <cellStyle name="Currency 4 2 5 3 2" xfId="3823" xr:uid="{00000000-0005-0000-0000-000017370000}"/>
    <cellStyle name="Currency 4 2 5 3 3" xfId="3824" xr:uid="{00000000-0005-0000-0000-000018370000}"/>
    <cellStyle name="Currency 4 2 5 4" xfId="3825" xr:uid="{00000000-0005-0000-0000-000019370000}"/>
    <cellStyle name="Currency 4 2 5 5" xfId="3826" xr:uid="{00000000-0005-0000-0000-00001A370000}"/>
    <cellStyle name="Currency 4 2 6" xfId="3827" xr:uid="{00000000-0005-0000-0000-00001B370000}"/>
    <cellStyle name="Currency 4 2 6 2" xfId="3828" xr:uid="{00000000-0005-0000-0000-00001C370000}"/>
    <cellStyle name="Currency 4 2 6 3" xfId="3829" xr:uid="{00000000-0005-0000-0000-00001D370000}"/>
    <cellStyle name="Currency 4 2 7" xfId="3830" xr:uid="{00000000-0005-0000-0000-00001E370000}"/>
    <cellStyle name="Currency 4 2 7 2" xfId="3831" xr:uid="{00000000-0005-0000-0000-00001F370000}"/>
    <cellStyle name="Currency 4 2 7 3" xfId="3832" xr:uid="{00000000-0005-0000-0000-000020370000}"/>
    <cellStyle name="Currency 4 2 8" xfId="3833" xr:uid="{00000000-0005-0000-0000-000021370000}"/>
    <cellStyle name="Currency 4 2 9" xfId="3834" xr:uid="{00000000-0005-0000-0000-000022370000}"/>
    <cellStyle name="Currency 4 3" xfId="3835" xr:uid="{00000000-0005-0000-0000-000023370000}"/>
    <cellStyle name="Currency 4 3 2" xfId="3836" xr:uid="{00000000-0005-0000-0000-000024370000}"/>
    <cellStyle name="Currency 4 3 2 2" xfId="3837" xr:uid="{00000000-0005-0000-0000-000025370000}"/>
    <cellStyle name="Currency 4 3 2 2 2" xfId="3838" xr:uid="{00000000-0005-0000-0000-000026370000}"/>
    <cellStyle name="Currency 4 3 2 2 2 2" xfId="3839" xr:uid="{00000000-0005-0000-0000-000027370000}"/>
    <cellStyle name="Currency 4 3 2 2 2 2 2" xfId="3840" xr:uid="{00000000-0005-0000-0000-000028370000}"/>
    <cellStyle name="Currency 4 3 2 2 2 2 3" xfId="3841" xr:uid="{00000000-0005-0000-0000-000029370000}"/>
    <cellStyle name="Currency 4 3 2 2 2 3" xfId="3842" xr:uid="{00000000-0005-0000-0000-00002A370000}"/>
    <cellStyle name="Currency 4 3 2 2 2 3 2" xfId="3843" xr:uid="{00000000-0005-0000-0000-00002B370000}"/>
    <cellStyle name="Currency 4 3 2 2 2 3 3" xfId="3844" xr:uid="{00000000-0005-0000-0000-00002C370000}"/>
    <cellStyle name="Currency 4 3 2 2 2 4" xfId="3845" xr:uid="{00000000-0005-0000-0000-00002D370000}"/>
    <cellStyle name="Currency 4 3 2 2 2 5" xfId="3846" xr:uid="{00000000-0005-0000-0000-00002E370000}"/>
    <cellStyle name="Currency 4 3 2 2 3" xfId="3847" xr:uid="{00000000-0005-0000-0000-00002F370000}"/>
    <cellStyle name="Currency 4 3 2 2 3 2" xfId="3848" xr:uid="{00000000-0005-0000-0000-000030370000}"/>
    <cellStyle name="Currency 4 3 2 2 3 3" xfId="3849" xr:uid="{00000000-0005-0000-0000-000031370000}"/>
    <cellStyle name="Currency 4 3 2 2 4" xfId="3850" xr:uid="{00000000-0005-0000-0000-000032370000}"/>
    <cellStyle name="Currency 4 3 2 2 4 2" xfId="3851" xr:uid="{00000000-0005-0000-0000-000033370000}"/>
    <cellStyle name="Currency 4 3 2 2 4 3" xfId="3852" xr:uid="{00000000-0005-0000-0000-000034370000}"/>
    <cellStyle name="Currency 4 3 2 2 5" xfId="3853" xr:uid="{00000000-0005-0000-0000-000035370000}"/>
    <cellStyle name="Currency 4 3 2 2 6" xfId="3854" xr:uid="{00000000-0005-0000-0000-000036370000}"/>
    <cellStyle name="Currency 4 3 2 3" xfId="3855" xr:uid="{00000000-0005-0000-0000-000037370000}"/>
    <cellStyle name="Currency 4 3 2 3 2" xfId="3856" xr:uid="{00000000-0005-0000-0000-000038370000}"/>
    <cellStyle name="Currency 4 3 2 3 2 2" xfId="3857" xr:uid="{00000000-0005-0000-0000-000039370000}"/>
    <cellStyle name="Currency 4 3 2 3 2 3" xfId="3858" xr:uid="{00000000-0005-0000-0000-00003A370000}"/>
    <cellStyle name="Currency 4 3 2 3 3" xfId="3859" xr:uid="{00000000-0005-0000-0000-00003B370000}"/>
    <cellStyle name="Currency 4 3 2 3 3 2" xfId="3860" xr:uid="{00000000-0005-0000-0000-00003C370000}"/>
    <cellStyle name="Currency 4 3 2 3 3 3" xfId="3861" xr:uid="{00000000-0005-0000-0000-00003D370000}"/>
    <cellStyle name="Currency 4 3 2 3 4" xfId="3862" xr:uid="{00000000-0005-0000-0000-00003E370000}"/>
    <cellStyle name="Currency 4 3 2 3 5" xfId="3863" xr:uid="{00000000-0005-0000-0000-00003F370000}"/>
    <cellStyle name="Currency 4 3 2 4" xfId="3864" xr:uid="{00000000-0005-0000-0000-000040370000}"/>
    <cellStyle name="Currency 4 3 2 4 2" xfId="3865" xr:uid="{00000000-0005-0000-0000-000041370000}"/>
    <cellStyle name="Currency 4 3 2 4 3" xfId="3866" xr:uid="{00000000-0005-0000-0000-000042370000}"/>
    <cellStyle name="Currency 4 3 2 5" xfId="3867" xr:uid="{00000000-0005-0000-0000-000043370000}"/>
    <cellStyle name="Currency 4 3 2 5 2" xfId="3868" xr:uid="{00000000-0005-0000-0000-000044370000}"/>
    <cellStyle name="Currency 4 3 2 5 3" xfId="3869" xr:uid="{00000000-0005-0000-0000-000045370000}"/>
    <cellStyle name="Currency 4 3 2 6" xfId="3870" xr:uid="{00000000-0005-0000-0000-000046370000}"/>
    <cellStyle name="Currency 4 3 2 7" xfId="3871" xr:uid="{00000000-0005-0000-0000-000047370000}"/>
    <cellStyle name="Currency 4 3 3" xfId="3872" xr:uid="{00000000-0005-0000-0000-000048370000}"/>
    <cellStyle name="Currency 4 3 3 2" xfId="3873" xr:uid="{00000000-0005-0000-0000-000049370000}"/>
    <cellStyle name="Currency 4 3 3 2 2" xfId="3874" xr:uid="{00000000-0005-0000-0000-00004A370000}"/>
    <cellStyle name="Currency 4 3 3 2 2 2" xfId="3875" xr:uid="{00000000-0005-0000-0000-00004B370000}"/>
    <cellStyle name="Currency 4 3 3 2 2 3" xfId="3876" xr:uid="{00000000-0005-0000-0000-00004C370000}"/>
    <cellStyle name="Currency 4 3 3 2 3" xfId="3877" xr:uid="{00000000-0005-0000-0000-00004D370000}"/>
    <cellStyle name="Currency 4 3 3 2 3 2" xfId="3878" xr:uid="{00000000-0005-0000-0000-00004E370000}"/>
    <cellStyle name="Currency 4 3 3 2 3 3" xfId="3879" xr:uid="{00000000-0005-0000-0000-00004F370000}"/>
    <cellStyle name="Currency 4 3 3 2 4" xfId="3880" xr:uid="{00000000-0005-0000-0000-000050370000}"/>
    <cellStyle name="Currency 4 3 3 2 5" xfId="3881" xr:uid="{00000000-0005-0000-0000-000051370000}"/>
    <cellStyle name="Currency 4 3 3 3" xfId="3882" xr:uid="{00000000-0005-0000-0000-000052370000}"/>
    <cellStyle name="Currency 4 3 3 3 2" xfId="3883" xr:uid="{00000000-0005-0000-0000-000053370000}"/>
    <cellStyle name="Currency 4 3 3 3 3" xfId="3884" xr:uid="{00000000-0005-0000-0000-000054370000}"/>
    <cellStyle name="Currency 4 3 3 4" xfId="3885" xr:uid="{00000000-0005-0000-0000-000055370000}"/>
    <cellStyle name="Currency 4 3 3 4 2" xfId="3886" xr:uid="{00000000-0005-0000-0000-000056370000}"/>
    <cellStyle name="Currency 4 3 3 4 3" xfId="3887" xr:uid="{00000000-0005-0000-0000-000057370000}"/>
    <cellStyle name="Currency 4 3 3 5" xfId="3888" xr:uid="{00000000-0005-0000-0000-000058370000}"/>
    <cellStyle name="Currency 4 3 3 6" xfId="3889" xr:uid="{00000000-0005-0000-0000-000059370000}"/>
    <cellStyle name="Currency 4 3 4" xfId="3890" xr:uid="{00000000-0005-0000-0000-00005A370000}"/>
    <cellStyle name="Currency 4 3 4 2" xfId="3891" xr:uid="{00000000-0005-0000-0000-00005B370000}"/>
    <cellStyle name="Currency 4 3 4 2 2" xfId="3892" xr:uid="{00000000-0005-0000-0000-00005C370000}"/>
    <cellStyle name="Currency 4 3 4 2 3" xfId="3893" xr:uid="{00000000-0005-0000-0000-00005D370000}"/>
    <cellStyle name="Currency 4 3 4 3" xfId="3894" xr:uid="{00000000-0005-0000-0000-00005E370000}"/>
    <cellStyle name="Currency 4 3 4 3 2" xfId="3895" xr:uid="{00000000-0005-0000-0000-00005F370000}"/>
    <cellStyle name="Currency 4 3 4 3 3" xfId="3896" xr:uid="{00000000-0005-0000-0000-000060370000}"/>
    <cellStyle name="Currency 4 3 4 4" xfId="3897" xr:uid="{00000000-0005-0000-0000-000061370000}"/>
    <cellStyle name="Currency 4 3 4 5" xfId="3898" xr:uid="{00000000-0005-0000-0000-000062370000}"/>
    <cellStyle name="Currency 4 3 5" xfId="3899" xr:uid="{00000000-0005-0000-0000-000063370000}"/>
    <cellStyle name="Currency 4 3 5 2" xfId="3900" xr:uid="{00000000-0005-0000-0000-000064370000}"/>
    <cellStyle name="Currency 4 3 5 3" xfId="3901" xr:uid="{00000000-0005-0000-0000-000065370000}"/>
    <cellStyle name="Currency 4 3 6" xfId="3902" xr:uid="{00000000-0005-0000-0000-000066370000}"/>
    <cellStyle name="Currency 4 3 6 2" xfId="3903" xr:uid="{00000000-0005-0000-0000-000067370000}"/>
    <cellStyle name="Currency 4 3 6 3" xfId="3904" xr:uid="{00000000-0005-0000-0000-000068370000}"/>
    <cellStyle name="Currency 4 3 7" xfId="3905" xr:uid="{00000000-0005-0000-0000-000069370000}"/>
    <cellStyle name="Currency 4 3 8" xfId="3906" xr:uid="{00000000-0005-0000-0000-00006A370000}"/>
    <cellStyle name="Currency 4 4" xfId="3907" xr:uid="{00000000-0005-0000-0000-00006B370000}"/>
    <cellStyle name="Currency 4 4 2" xfId="3908" xr:uid="{00000000-0005-0000-0000-00006C370000}"/>
    <cellStyle name="Currency 4 4 2 2" xfId="3909" xr:uid="{00000000-0005-0000-0000-00006D370000}"/>
    <cellStyle name="Currency 4 4 2 2 2" xfId="3910" xr:uid="{00000000-0005-0000-0000-00006E370000}"/>
    <cellStyle name="Currency 4 4 2 2 2 2" xfId="3911" xr:uid="{00000000-0005-0000-0000-00006F370000}"/>
    <cellStyle name="Currency 4 4 2 2 2 2 2" xfId="3912" xr:uid="{00000000-0005-0000-0000-000070370000}"/>
    <cellStyle name="Currency 4 4 2 2 2 2 3" xfId="3913" xr:uid="{00000000-0005-0000-0000-000071370000}"/>
    <cellStyle name="Currency 4 4 2 2 2 3" xfId="3914" xr:uid="{00000000-0005-0000-0000-000072370000}"/>
    <cellStyle name="Currency 4 4 2 2 2 3 2" xfId="3915" xr:uid="{00000000-0005-0000-0000-000073370000}"/>
    <cellStyle name="Currency 4 4 2 2 2 3 3" xfId="3916" xr:uid="{00000000-0005-0000-0000-000074370000}"/>
    <cellStyle name="Currency 4 4 2 2 2 4" xfId="3917" xr:uid="{00000000-0005-0000-0000-000075370000}"/>
    <cellStyle name="Currency 4 4 2 2 2 5" xfId="3918" xr:uid="{00000000-0005-0000-0000-000076370000}"/>
    <cellStyle name="Currency 4 4 2 2 3" xfId="3919" xr:uid="{00000000-0005-0000-0000-000077370000}"/>
    <cellStyle name="Currency 4 4 2 2 3 2" xfId="3920" xr:uid="{00000000-0005-0000-0000-000078370000}"/>
    <cellStyle name="Currency 4 4 2 2 3 3" xfId="3921" xr:uid="{00000000-0005-0000-0000-000079370000}"/>
    <cellStyle name="Currency 4 4 2 2 4" xfId="3922" xr:uid="{00000000-0005-0000-0000-00007A370000}"/>
    <cellStyle name="Currency 4 4 2 2 4 2" xfId="3923" xr:uid="{00000000-0005-0000-0000-00007B370000}"/>
    <cellStyle name="Currency 4 4 2 2 4 3" xfId="3924" xr:uid="{00000000-0005-0000-0000-00007C370000}"/>
    <cellStyle name="Currency 4 4 2 2 5" xfId="3925" xr:uid="{00000000-0005-0000-0000-00007D370000}"/>
    <cellStyle name="Currency 4 4 2 2 6" xfId="3926" xr:uid="{00000000-0005-0000-0000-00007E370000}"/>
    <cellStyle name="Currency 4 4 2 3" xfId="3927" xr:uid="{00000000-0005-0000-0000-00007F370000}"/>
    <cellStyle name="Currency 4 4 2 3 2" xfId="3928" xr:uid="{00000000-0005-0000-0000-000080370000}"/>
    <cellStyle name="Currency 4 4 2 3 2 2" xfId="3929" xr:uid="{00000000-0005-0000-0000-000081370000}"/>
    <cellStyle name="Currency 4 4 2 3 2 3" xfId="3930" xr:uid="{00000000-0005-0000-0000-000082370000}"/>
    <cellStyle name="Currency 4 4 2 3 3" xfId="3931" xr:uid="{00000000-0005-0000-0000-000083370000}"/>
    <cellStyle name="Currency 4 4 2 3 3 2" xfId="3932" xr:uid="{00000000-0005-0000-0000-000084370000}"/>
    <cellStyle name="Currency 4 4 2 3 3 3" xfId="3933" xr:uid="{00000000-0005-0000-0000-000085370000}"/>
    <cellStyle name="Currency 4 4 2 3 4" xfId="3934" xr:uid="{00000000-0005-0000-0000-000086370000}"/>
    <cellStyle name="Currency 4 4 2 3 5" xfId="3935" xr:uid="{00000000-0005-0000-0000-000087370000}"/>
    <cellStyle name="Currency 4 4 2 4" xfId="3936" xr:uid="{00000000-0005-0000-0000-000088370000}"/>
    <cellStyle name="Currency 4 4 2 4 2" xfId="3937" xr:uid="{00000000-0005-0000-0000-000089370000}"/>
    <cellStyle name="Currency 4 4 2 4 3" xfId="3938" xr:uid="{00000000-0005-0000-0000-00008A370000}"/>
    <cellStyle name="Currency 4 4 2 5" xfId="3939" xr:uid="{00000000-0005-0000-0000-00008B370000}"/>
    <cellStyle name="Currency 4 4 2 5 2" xfId="3940" xr:uid="{00000000-0005-0000-0000-00008C370000}"/>
    <cellStyle name="Currency 4 4 2 5 3" xfId="3941" xr:uid="{00000000-0005-0000-0000-00008D370000}"/>
    <cellStyle name="Currency 4 4 2 6" xfId="3942" xr:uid="{00000000-0005-0000-0000-00008E370000}"/>
    <cellStyle name="Currency 4 4 2 7" xfId="3943" xr:uid="{00000000-0005-0000-0000-00008F370000}"/>
    <cellStyle name="Currency 4 4 3" xfId="3944" xr:uid="{00000000-0005-0000-0000-000090370000}"/>
    <cellStyle name="Currency 4 4 3 2" xfId="3945" xr:uid="{00000000-0005-0000-0000-000091370000}"/>
    <cellStyle name="Currency 4 4 3 2 2" xfId="3946" xr:uid="{00000000-0005-0000-0000-000092370000}"/>
    <cellStyle name="Currency 4 4 3 2 2 2" xfId="3947" xr:uid="{00000000-0005-0000-0000-000093370000}"/>
    <cellStyle name="Currency 4 4 3 2 2 3" xfId="3948" xr:uid="{00000000-0005-0000-0000-000094370000}"/>
    <cellStyle name="Currency 4 4 3 2 3" xfId="3949" xr:uid="{00000000-0005-0000-0000-000095370000}"/>
    <cellStyle name="Currency 4 4 3 2 3 2" xfId="3950" xr:uid="{00000000-0005-0000-0000-000096370000}"/>
    <cellStyle name="Currency 4 4 3 2 3 3" xfId="3951" xr:uid="{00000000-0005-0000-0000-000097370000}"/>
    <cellStyle name="Currency 4 4 3 2 4" xfId="3952" xr:uid="{00000000-0005-0000-0000-000098370000}"/>
    <cellStyle name="Currency 4 4 3 2 5" xfId="3953" xr:uid="{00000000-0005-0000-0000-000099370000}"/>
    <cellStyle name="Currency 4 4 3 3" xfId="3954" xr:uid="{00000000-0005-0000-0000-00009A370000}"/>
    <cellStyle name="Currency 4 4 3 3 2" xfId="3955" xr:uid="{00000000-0005-0000-0000-00009B370000}"/>
    <cellStyle name="Currency 4 4 3 3 3" xfId="3956" xr:uid="{00000000-0005-0000-0000-00009C370000}"/>
    <cellStyle name="Currency 4 4 3 4" xfId="3957" xr:uid="{00000000-0005-0000-0000-00009D370000}"/>
    <cellStyle name="Currency 4 4 3 4 2" xfId="3958" xr:uid="{00000000-0005-0000-0000-00009E370000}"/>
    <cellStyle name="Currency 4 4 3 4 3" xfId="3959" xr:uid="{00000000-0005-0000-0000-00009F370000}"/>
    <cellStyle name="Currency 4 4 3 5" xfId="3960" xr:uid="{00000000-0005-0000-0000-0000A0370000}"/>
    <cellStyle name="Currency 4 4 3 6" xfId="3961" xr:uid="{00000000-0005-0000-0000-0000A1370000}"/>
    <cellStyle name="Currency 4 4 4" xfId="3962" xr:uid="{00000000-0005-0000-0000-0000A2370000}"/>
    <cellStyle name="Currency 4 4 4 2" xfId="3963" xr:uid="{00000000-0005-0000-0000-0000A3370000}"/>
    <cellStyle name="Currency 4 4 4 2 2" xfId="3964" xr:uid="{00000000-0005-0000-0000-0000A4370000}"/>
    <cellStyle name="Currency 4 4 4 2 3" xfId="3965" xr:uid="{00000000-0005-0000-0000-0000A5370000}"/>
    <cellStyle name="Currency 4 4 4 3" xfId="3966" xr:uid="{00000000-0005-0000-0000-0000A6370000}"/>
    <cellStyle name="Currency 4 4 4 3 2" xfId="3967" xr:uid="{00000000-0005-0000-0000-0000A7370000}"/>
    <cellStyle name="Currency 4 4 4 3 3" xfId="3968" xr:uid="{00000000-0005-0000-0000-0000A8370000}"/>
    <cellStyle name="Currency 4 4 4 4" xfId="3969" xr:uid="{00000000-0005-0000-0000-0000A9370000}"/>
    <cellStyle name="Currency 4 4 4 5" xfId="3970" xr:uid="{00000000-0005-0000-0000-0000AA370000}"/>
    <cellStyle name="Currency 4 4 5" xfId="3971" xr:uid="{00000000-0005-0000-0000-0000AB370000}"/>
    <cellStyle name="Currency 4 4 5 2" xfId="3972" xr:uid="{00000000-0005-0000-0000-0000AC370000}"/>
    <cellStyle name="Currency 4 4 5 3" xfId="3973" xr:uid="{00000000-0005-0000-0000-0000AD370000}"/>
    <cellStyle name="Currency 4 4 6" xfId="3974" xr:uid="{00000000-0005-0000-0000-0000AE370000}"/>
    <cellStyle name="Currency 4 4 6 2" xfId="3975" xr:uid="{00000000-0005-0000-0000-0000AF370000}"/>
    <cellStyle name="Currency 4 4 6 3" xfId="3976" xr:uid="{00000000-0005-0000-0000-0000B0370000}"/>
    <cellStyle name="Currency 4 4 7" xfId="3977" xr:uid="{00000000-0005-0000-0000-0000B1370000}"/>
    <cellStyle name="Currency 4 4 8" xfId="3978" xr:uid="{00000000-0005-0000-0000-0000B2370000}"/>
    <cellStyle name="Currency 4 5" xfId="3979" xr:uid="{00000000-0005-0000-0000-0000B3370000}"/>
    <cellStyle name="Currency 4 5 2" xfId="3980" xr:uid="{00000000-0005-0000-0000-0000B4370000}"/>
    <cellStyle name="Currency 4 5 2 2" xfId="3981" xr:uid="{00000000-0005-0000-0000-0000B5370000}"/>
    <cellStyle name="Currency 4 5 2 2 2" xfId="3982" xr:uid="{00000000-0005-0000-0000-0000B6370000}"/>
    <cellStyle name="Currency 4 5 2 2 2 2" xfId="3983" xr:uid="{00000000-0005-0000-0000-0000B7370000}"/>
    <cellStyle name="Currency 4 5 2 2 2 3" xfId="3984" xr:uid="{00000000-0005-0000-0000-0000B8370000}"/>
    <cellStyle name="Currency 4 5 2 2 3" xfId="3985" xr:uid="{00000000-0005-0000-0000-0000B9370000}"/>
    <cellStyle name="Currency 4 5 2 2 3 2" xfId="3986" xr:uid="{00000000-0005-0000-0000-0000BA370000}"/>
    <cellStyle name="Currency 4 5 2 2 3 3" xfId="3987" xr:uid="{00000000-0005-0000-0000-0000BB370000}"/>
    <cellStyle name="Currency 4 5 2 2 4" xfId="3988" xr:uid="{00000000-0005-0000-0000-0000BC370000}"/>
    <cellStyle name="Currency 4 5 2 2 5" xfId="3989" xr:uid="{00000000-0005-0000-0000-0000BD370000}"/>
    <cellStyle name="Currency 4 5 2 3" xfId="3990" xr:uid="{00000000-0005-0000-0000-0000BE370000}"/>
    <cellStyle name="Currency 4 5 2 3 2" xfId="3991" xr:uid="{00000000-0005-0000-0000-0000BF370000}"/>
    <cellStyle name="Currency 4 5 2 3 3" xfId="3992" xr:uid="{00000000-0005-0000-0000-0000C0370000}"/>
    <cellStyle name="Currency 4 5 2 4" xfId="3993" xr:uid="{00000000-0005-0000-0000-0000C1370000}"/>
    <cellStyle name="Currency 4 5 2 4 2" xfId="3994" xr:uid="{00000000-0005-0000-0000-0000C2370000}"/>
    <cellStyle name="Currency 4 5 2 4 3" xfId="3995" xr:uid="{00000000-0005-0000-0000-0000C3370000}"/>
    <cellStyle name="Currency 4 5 2 5" xfId="3996" xr:uid="{00000000-0005-0000-0000-0000C4370000}"/>
    <cellStyle name="Currency 4 5 2 6" xfId="3997" xr:uid="{00000000-0005-0000-0000-0000C5370000}"/>
    <cellStyle name="Currency 4 5 3" xfId="3998" xr:uid="{00000000-0005-0000-0000-0000C6370000}"/>
    <cellStyle name="Currency 4 5 3 2" xfId="3999" xr:uid="{00000000-0005-0000-0000-0000C7370000}"/>
    <cellStyle name="Currency 4 5 3 2 2" xfId="4000" xr:uid="{00000000-0005-0000-0000-0000C8370000}"/>
    <cellStyle name="Currency 4 5 3 2 3" xfId="4001" xr:uid="{00000000-0005-0000-0000-0000C9370000}"/>
    <cellStyle name="Currency 4 5 3 3" xfId="4002" xr:uid="{00000000-0005-0000-0000-0000CA370000}"/>
    <cellStyle name="Currency 4 5 3 3 2" xfId="4003" xr:uid="{00000000-0005-0000-0000-0000CB370000}"/>
    <cellStyle name="Currency 4 5 3 3 3" xfId="4004" xr:uid="{00000000-0005-0000-0000-0000CC370000}"/>
    <cellStyle name="Currency 4 5 3 4" xfId="4005" xr:uid="{00000000-0005-0000-0000-0000CD370000}"/>
    <cellStyle name="Currency 4 5 3 5" xfId="4006" xr:uid="{00000000-0005-0000-0000-0000CE370000}"/>
    <cellStyle name="Currency 4 5 4" xfId="4007" xr:uid="{00000000-0005-0000-0000-0000CF370000}"/>
    <cellStyle name="Currency 4 5 4 2" xfId="4008" xr:uid="{00000000-0005-0000-0000-0000D0370000}"/>
    <cellStyle name="Currency 4 5 4 3" xfId="4009" xr:uid="{00000000-0005-0000-0000-0000D1370000}"/>
    <cellStyle name="Currency 4 5 5" xfId="4010" xr:uid="{00000000-0005-0000-0000-0000D2370000}"/>
    <cellStyle name="Currency 4 5 5 2" xfId="4011" xr:uid="{00000000-0005-0000-0000-0000D3370000}"/>
    <cellStyle name="Currency 4 5 5 3" xfId="4012" xr:uid="{00000000-0005-0000-0000-0000D4370000}"/>
    <cellStyle name="Currency 4 5 6" xfId="4013" xr:uid="{00000000-0005-0000-0000-0000D5370000}"/>
    <cellStyle name="Currency 4 5 7" xfId="4014" xr:uid="{00000000-0005-0000-0000-0000D6370000}"/>
    <cellStyle name="Currency 4 6" xfId="4015" xr:uid="{00000000-0005-0000-0000-0000D7370000}"/>
    <cellStyle name="Currency 4 6 2" xfId="4016" xr:uid="{00000000-0005-0000-0000-0000D8370000}"/>
    <cellStyle name="Currency 4 6 2 2" xfId="4017" xr:uid="{00000000-0005-0000-0000-0000D9370000}"/>
    <cellStyle name="Currency 4 6 2 2 2" xfId="4018" xr:uid="{00000000-0005-0000-0000-0000DA370000}"/>
    <cellStyle name="Currency 4 6 2 2 3" xfId="4019" xr:uid="{00000000-0005-0000-0000-0000DB370000}"/>
    <cellStyle name="Currency 4 6 2 3" xfId="4020" xr:uid="{00000000-0005-0000-0000-0000DC370000}"/>
    <cellStyle name="Currency 4 6 2 3 2" xfId="4021" xr:uid="{00000000-0005-0000-0000-0000DD370000}"/>
    <cellStyle name="Currency 4 6 2 3 3" xfId="4022" xr:uid="{00000000-0005-0000-0000-0000DE370000}"/>
    <cellStyle name="Currency 4 6 2 4" xfId="4023" xr:uid="{00000000-0005-0000-0000-0000DF370000}"/>
    <cellStyle name="Currency 4 6 2 5" xfId="4024" xr:uid="{00000000-0005-0000-0000-0000E0370000}"/>
    <cellStyle name="Currency 4 6 3" xfId="4025" xr:uid="{00000000-0005-0000-0000-0000E1370000}"/>
    <cellStyle name="Currency 4 6 3 2" xfId="4026" xr:uid="{00000000-0005-0000-0000-0000E2370000}"/>
    <cellStyle name="Currency 4 6 3 3" xfId="4027" xr:uid="{00000000-0005-0000-0000-0000E3370000}"/>
    <cellStyle name="Currency 4 6 4" xfId="4028" xr:uid="{00000000-0005-0000-0000-0000E4370000}"/>
    <cellStyle name="Currency 4 6 4 2" xfId="4029" xr:uid="{00000000-0005-0000-0000-0000E5370000}"/>
    <cellStyle name="Currency 4 6 4 3" xfId="4030" xr:uid="{00000000-0005-0000-0000-0000E6370000}"/>
    <cellStyle name="Currency 4 6 5" xfId="4031" xr:uid="{00000000-0005-0000-0000-0000E7370000}"/>
    <cellStyle name="Currency 4 6 6" xfId="4032" xr:uid="{00000000-0005-0000-0000-0000E8370000}"/>
    <cellStyle name="Currency 4 7" xfId="4033" xr:uid="{00000000-0005-0000-0000-0000E9370000}"/>
    <cellStyle name="Currency 4 7 2" xfId="4034" xr:uid="{00000000-0005-0000-0000-0000EA370000}"/>
    <cellStyle name="Currency 4 7 2 2" xfId="4035" xr:uid="{00000000-0005-0000-0000-0000EB370000}"/>
    <cellStyle name="Currency 4 7 2 3" xfId="4036" xr:uid="{00000000-0005-0000-0000-0000EC370000}"/>
    <cellStyle name="Currency 4 7 3" xfId="4037" xr:uid="{00000000-0005-0000-0000-0000ED370000}"/>
    <cellStyle name="Currency 4 7 3 2" xfId="4038" xr:uid="{00000000-0005-0000-0000-0000EE370000}"/>
    <cellStyle name="Currency 4 7 3 3" xfId="4039" xr:uid="{00000000-0005-0000-0000-0000EF370000}"/>
    <cellStyle name="Currency 4 7 4" xfId="4040" xr:uid="{00000000-0005-0000-0000-0000F0370000}"/>
    <cellStyle name="Currency 4 7 5" xfId="4041" xr:uid="{00000000-0005-0000-0000-0000F1370000}"/>
    <cellStyle name="Currency 4 8" xfId="4042" xr:uid="{00000000-0005-0000-0000-0000F2370000}"/>
    <cellStyle name="Currency 4 8 2" xfId="4043" xr:uid="{00000000-0005-0000-0000-0000F3370000}"/>
    <cellStyle name="Currency 4 8 3" xfId="4044" xr:uid="{00000000-0005-0000-0000-0000F4370000}"/>
    <cellStyle name="Currency 4 9" xfId="4045" xr:uid="{00000000-0005-0000-0000-0000F5370000}"/>
    <cellStyle name="Currency 4 9 2" xfId="4046" xr:uid="{00000000-0005-0000-0000-0000F6370000}"/>
    <cellStyle name="Currency 4 9 3" xfId="4047" xr:uid="{00000000-0005-0000-0000-0000F7370000}"/>
    <cellStyle name="Currency 5" xfId="121" xr:uid="{00000000-0005-0000-0000-0000F8370000}"/>
    <cellStyle name="Currency 5 10" xfId="4048" xr:uid="{00000000-0005-0000-0000-0000F9370000}"/>
    <cellStyle name="Currency 5 2" xfId="273" xr:uid="{00000000-0005-0000-0000-0000FA370000}"/>
    <cellStyle name="Currency 5 2 2" xfId="4049" xr:uid="{00000000-0005-0000-0000-0000FB370000}"/>
    <cellStyle name="Currency 5 2 2 2" xfId="4050" xr:uid="{00000000-0005-0000-0000-0000FC370000}"/>
    <cellStyle name="Currency 5 2 2 2 2" xfId="4051" xr:uid="{00000000-0005-0000-0000-0000FD370000}"/>
    <cellStyle name="Currency 5 2 2 2 2 2" xfId="4052" xr:uid="{00000000-0005-0000-0000-0000FE370000}"/>
    <cellStyle name="Currency 5 2 2 2 2 2 2" xfId="4053" xr:uid="{00000000-0005-0000-0000-0000FF370000}"/>
    <cellStyle name="Currency 5 2 2 2 2 2 3" xfId="4054" xr:uid="{00000000-0005-0000-0000-000000380000}"/>
    <cellStyle name="Currency 5 2 2 2 2 3" xfId="4055" xr:uid="{00000000-0005-0000-0000-000001380000}"/>
    <cellStyle name="Currency 5 2 2 2 2 3 2" xfId="4056" xr:uid="{00000000-0005-0000-0000-000002380000}"/>
    <cellStyle name="Currency 5 2 2 2 2 3 3" xfId="4057" xr:uid="{00000000-0005-0000-0000-000003380000}"/>
    <cellStyle name="Currency 5 2 2 2 2 4" xfId="4058" xr:uid="{00000000-0005-0000-0000-000004380000}"/>
    <cellStyle name="Currency 5 2 2 2 2 5" xfId="4059" xr:uid="{00000000-0005-0000-0000-000005380000}"/>
    <cellStyle name="Currency 5 2 2 2 3" xfId="4060" xr:uid="{00000000-0005-0000-0000-000006380000}"/>
    <cellStyle name="Currency 5 2 2 2 3 2" xfId="4061" xr:uid="{00000000-0005-0000-0000-000007380000}"/>
    <cellStyle name="Currency 5 2 2 2 3 3" xfId="4062" xr:uid="{00000000-0005-0000-0000-000008380000}"/>
    <cellStyle name="Currency 5 2 2 2 4" xfId="4063" xr:uid="{00000000-0005-0000-0000-000009380000}"/>
    <cellStyle name="Currency 5 2 2 2 4 2" xfId="4064" xr:uid="{00000000-0005-0000-0000-00000A380000}"/>
    <cellStyle name="Currency 5 2 2 2 4 3" xfId="4065" xr:uid="{00000000-0005-0000-0000-00000B380000}"/>
    <cellStyle name="Currency 5 2 2 2 5" xfId="4066" xr:uid="{00000000-0005-0000-0000-00000C380000}"/>
    <cellStyle name="Currency 5 2 2 2 6" xfId="4067" xr:uid="{00000000-0005-0000-0000-00000D380000}"/>
    <cellStyle name="Currency 5 2 2 3" xfId="4068" xr:uid="{00000000-0005-0000-0000-00000E380000}"/>
    <cellStyle name="Currency 5 2 2 3 2" xfId="4069" xr:uid="{00000000-0005-0000-0000-00000F380000}"/>
    <cellStyle name="Currency 5 2 2 3 2 2" xfId="4070" xr:uid="{00000000-0005-0000-0000-000010380000}"/>
    <cellStyle name="Currency 5 2 2 3 2 3" xfId="4071" xr:uid="{00000000-0005-0000-0000-000011380000}"/>
    <cellStyle name="Currency 5 2 2 3 3" xfId="4072" xr:uid="{00000000-0005-0000-0000-000012380000}"/>
    <cellStyle name="Currency 5 2 2 3 3 2" xfId="4073" xr:uid="{00000000-0005-0000-0000-000013380000}"/>
    <cellStyle name="Currency 5 2 2 3 3 3" xfId="4074" xr:uid="{00000000-0005-0000-0000-000014380000}"/>
    <cellStyle name="Currency 5 2 2 3 4" xfId="4075" xr:uid="{00000000-0005-0000-0000-000015380000}"/>
    <cellStyle name="Currency 5 2 2 3 5" xfId="4076" xr:uid="{00000000-0005-0000-0000-000016380000}"/>
    <cellStyle name="Currency 5 2 2 4" xfId="4077" xr:uid="{00000000-0005-0000-0000-000017380000}"/>
    <cellStyle name="Currency 5 2 2 4 2" xfId="4078" xr:uid="{00000000-0005-0000-0000-000018380000}"/>
    <cellStyle name="Currency 5 2 2 4 3" xfId="4079" xr:uid="{00000000-0005-0000-0000-000019380000}"/>
    <cellStyle name="Currency 5 2 2 5" xfId="4080" xr:uid="{00000000-0005-0000-0000-00001A380000}"/>
    <cellStyle name="Currency 5 2 2 5 2" xfId="4081" xr:uid="{00000000-0005-0000-0000-00001B380000}"/>
    <cellStyle name="Currency 5 2 2 5 3" xfId="4082" xr:uid="{00000000-0005-0000-0000-00001C380000}"/>
    <cellStyle name="Currency 5 2 2 6" xfId="4083" xr:uid="{00000000-0005-0000-0000-00001D380000}"/>
    <cellStyle name="Currency 5 2 2 7" xfId="4084" xr:uid="{00000000-0005-0000-0000-00001E380000}"/>
    <cellStyle name="Currency 5 2 3" xfId="4085" xr:uid="{00000000-0005-0000-0000-00001F380000}"/>
    <cellStyle name="Currency 5 2 3 2" xfId="4086" xr:uid="{00000000-0005-0000-0000-000020380000}"/>
    <cellStyle name="Currency 5 2 3 2 2" xfId="4087" xr:uid="{00000000-0005-0000-0000-000021380000}"/>
    <cellStyle name="Currency 5 2 3 2 2 2" xfId="4088" xr:uid="{00000000-0005-0000-0000-000022380000}"/>
    <cellStyle name="Currency 5 2 3 2 2 3" xfId="4089" xr:uid="{00000000-0005-0000-0000-000023380000}"/>
    <cellStyle name="Currency 5 2 3 2 3" xfId="4090" xr:uid="{00000000-0005-0000-0000-000024380000}"/>
    <cellStyle name="Currency 5 2 3 2 3 2" xfId="4091" xr:uid="{00000000-0005-0000-0000-000025380000}"/>
    <cellStyle name="Currency 5 2 3 2 3 3" xfId="4092" xr:uid="{00000000-0005-0000-0000-000026380000}"/>
    <cellStyle name="Currency 5 2 3 2 4" xfId="4093" xr:uid="{00000000-0005-0000-0000-000027380000}"/>
    <cellStyle name="Currency 5 2 3 2 5" xfId="4094" xr:uid="{00000000-0005-0000-0000-000028380000}"/>
    <cellStyle name="Currency 5 2 3 3" xfId="4095" xr:uid="{00000000-0005-0000-0000-000029380000}"/>
    <cellStyle name="Currency 5 2 3 3 2" xfId="4096" xr:uid="{00000000-0005-0000-0000-00002A380000}"/>
    <cellStyle name="Currency 5 2 3 3 3" xfId="4097" xr:uid="{00000000-0005-0000-0000-00002B380000}"/>
    <cellStyle name="Currency 5 2 3 4" xfId="4098" xr:uid="{00000000-0005-0000-0000-00002C380000}"/>
    <cellStyle name="Currency 5 2 3 4 2" xfId="4099" xr:uid="{00000000-0005-0000-0000-00002D380000}"/>
    <cellStyle name="Currency 5 2 3 4 3" xfId="4100" xr:uid="{00000000-0005-0000-0000-00002E380000}"/>
    <cellStyle name="Currency 5 2 3 5" xfId="4101" xr:uid="{00000000-0005-0000-0000-00002F380000}"/>
    <cellStyle name="Currency 5 2 3 6" xfId="4102" xr:uid="{00000000-0005-0000-0000-000030380000}"/>
    <cellStyle name="Currency 5 2 4" xfId="4103" xr:uid="{00000000-0005-0000-0000-000031380000}"/>
    <cellStyle name="Currency 5 2 4 2" xfId="4104" xr:uid="{00000000-0005-0000-0000-000032380000}"/>
    <cellStyle name="Currency 5 2 4 2 2" xfId="4105" xr:uid="{00000000-0005-0000-0000-000033380000}"/>
    <cellStyle name="Currency 5 2 4 2 3" xfId="4106" xr:uid="{00000000-0005-0000-0000-000034380000}"/>
    <cellStyle name="Currency 5 2 4 3" xfId="4107" xr:uid="{00000000-0005-0000-0000-000035380000}"/>
    <cellStyle name="Currency 5 2 4 3 2" xfId="4108" xr:uid="{00000000-0005-0000-0000-000036380000}"/>
    <cellStyle name="Currency 5 2 4 3 3" xfId="4109" xr:uid="{00000000-0005-0000-0000-000037380000}"/>
    <cellStyle name="Currency 5 2 4 4" xfId="4110" xr:uid="{00000000-0005-0000-0000-000038380000}"/>
    <cellStyle name="Currency 5 2 4 5" xfId="4111" xr:uid="{00000000-0005-0000-0000-000039380000}"/>
    <cellStyle name="Currency 5 2 5" xfId="4112" xr:uid="{00000000-0005-0000-0000-00003A380000}"/>
    <cellStyle name="Currency 5 2 5 2" xfId="4113" xr:uid="{00000000-0005-0000-0000-00003B380000}"/>
    <cellStyle name="Currency 5 2 5 3" xfId="4114" xr:uid="{00000000-0005-0000-0000-00003C380000}"/>
    <cellStyle name="Currency 5 2 6" xfId="4115" xr:uid="{00000000-0005-0000-0000-00003D380000}"/>
    <cellStyle name="Currency 5 2 6 2" xfId="4116" xr:uid="{00000000-0005-0000-0000-00003E380000}"/>
    <cellStyle name="Currency 5 2 6 3" xfId="4117" xr:uid="{00000000-0005-0000-0000-00003F380000}"/>
    <cellStyle name="Currency 5 2 7" xfId="4118" xr:uid="{00000000-0005-0000-0000-000040380000}"/>
    <cellStyle name="Currency 5 2 8" xfId="4119" xr:uid="{00000000-0005-0000-0000-000041380000}"/>
    <cellStyle name="Currency 5 3" xfId="289" xr:uid="{00000000-0005-0000-0000-000042380000}"/>
    <cellStyle name="Currency 5 3 2" xfId="4120" xr:uid="{00000000-0005-0000-0000-000043380000}"/>
    <cellStyle name="Currency 5 3 2 2" xfId="4121" xr:uid="{00000000-0005-0000-0000-000044380000}"/>
    <cellStyle name="Currency 5 3 2 2 2" xfId="4122" xr:uid="{00000000-0005-0000-0000-000045380000}"/>
    <cellStyle name="Currency 5 3 2 2 2 2" xfId="4123" xr:uid="{00000000-0005-0000-0000-000046380000}"/>
    <cellStyle name="Currency 5 3 2 2 2 2 2" xfId="4124" xr:uid="{00000000-0005-0000-0000-000047380000}"/>
    <cellStyle name="Currency 5 3 2 2 2 2 3" xfId="4125" xr:uid="{00000000-0005-0000-0000-000048380000}"/>
    <cellStyle name="Currency 5 3 2 2 2 3" xfId="4126" xr:uid="{00000000-0005-0000-0000-000049380000}"/>
    <cellStyle name="Currency 5 3 2 2 2 3 2" xfId="4127" xr:uid="{00000000-0005-0000-0000-00004A380000}"/>
    <cellStyle name="Currency 5 3 2 2 2 3 3" xfId="4128" xr:uid="{00000000-0005-0000-0000-00004B380000}"/>
    <cellStyle name="Currency 5 3 2 2 2 4" xfId="4129" xr:uid="{00000000-0005-0000-0000-00004C380000}"/>
    <cellStyle name="Currency 5 3 2 2 2 5" xfId="4130" xr:uid="{00000000-0005-0000-0000-00004D380000}"/>
    <cellStyle name="Currency 5 3 2 2 3" xfId="4131" xr:uid="{00000000-0005-0000-0000-00004E380000}"/>
    <cellStyle name="Currency 5 3 2 2 3 2" xfId="4132" xr:uid="{00000000-0005-0000-0000-00004F380000}"/>
    <cellStyle name="Currency 5 3 2 2 3 3" xfId="4133" xr:uid="{00000000-0005-0000-0000-000050380000}"/>
    <cellStyle name="Currency 5 3 2 2 4" xfId="4134" xr:uid="{00000000-0005-0000-0000-000051380000}"/>
    <cellStyle name="Currency 5 3 2 2 4 2" xfId="4135" xr:uid="{00000000-0005-0000-0000-000052380000}"/>
    <cellStyle name="Currency 5 3 2 2 4 3" xfId="4136" xr:uid="{00000000-0005-0000-0000-000053380000}"/>
    <cellStyle name="Currency 5 3 2 2 5" xfId="4137" xr:uid="{00000000-0005-0000-0000-000054380000}"/>
    <cellStyle name="Currency 5 3 2 2 6" xfId="4138" xr:uid="{00000000-0005-0000-0000-000055380000}"/>
    <cellStyle name="Currency 5 3 2 3" xfId="4139" xr:uid="{00000000-0005-0000-0000-000056380000}"/>
    <cellStyle name="Currency 5 3 2 3 2" xfId="4140" xr:uid="{00000000-0005-0000-0000-000057380000}"/>
    <cellStyle name="Currency 5 3 2 3 2 2" xfId="4141" xr:uid="{00000000-0005-0000-0000-000058380000}"/>
    <cellStyle name="Currency 5 3 2 3 2 3" xfId="4142" xr:uid="{00000000-0005-0000-0000-000059380000}"/>
    <cellStyle name="Currency 5 3 2 3 3" xfId="4143" xr:uid="{00000000-0005-0000-0000-00005A380000}"/>
    <cellStyle name="Currency 5 3 2 3 3 2" xfId="4144" xr:uid="{00000000-0005-0000-0000-00005B380000}"/>
    <cellStyle name="Currency 5 3 2 3 3 3" xfId="4145" xr:uid="{00000000-0005-0000-0000-00005C380000}"/>
    <cellStyle name="Currency 5 3 2 3 4" xfId="4146" xr:uid="{00000000-0005-0000-0000-00005D380000}"/>
    <cellStyle name="Currency 5 3 2 3 5" xfId="4147" xr:uid="{00000000-0005-0000-0000-00005E380000}"/>
    <cellStyle name="Currency 5 3 2 4" xfId="4148" xr:uid="{00000000-0005-0000-0000-00005F380000}"/>
    <cellStyle name="Currency 5 3 2 4 2" xfId="4149" xr:uid="{00000000-0005-0000-0000-000060380000}"/>
    <cellStyle name="Currency 5 3 2 4 3" xfId="4150" xr:uid="{00000000-0005-0000-0000-000061380000}"/>
    <cellStyle name="Currency 5 3 2 5" xfId="4151" xr:uid="{00000000-0005-0000-0000-000062380000}"/>
    <cellStyle name="Currency 5 3 2 5 2" xfId="4152" xr:uid="{00000000-0005-0000-0000-000063380000}"/>
    <cellStyle name="Currency 5 3 2 5 3" xfId="4153" xr:uid="{00000000-0005-0000-0000-000064380000}"/>
    <cellStyle name="Currency 5 3 2 6" xfId="4154" xr:uid="{00000000-0005-0000-0000-000065380000}"/>
    <cellStyle name="Currency 5 3 2 7" xfId="4155" xr:uid="{00000000-0005-0000-0000-000066380000}"/>
    <cellStyle name="Currency 5 3 3" xfId="4156" xr:uid="{00000000-0005-0000-0000-000067380000}"/>
    <cellStyle name="Currency 5 3 3 2" xfId="4157" xr:uid="{00000000-0005-0000-0000-000068380000}"/>
    <cellStyle name="Currency 5 3 3 2 2" xfId="4158" xr:uid="{00000000-0005-0000-0000-000069380000}"/>
    <cellStyle name="Currency 5 3 3 2 2 2" xfId="4159" xr:uid="{00000000-0005-0000-0000-00006A380000}"/>
    <cellStyle name="Currency 5 3 3 2 2 3" xfId="4160" xr:uid="{00000000-0005-0000-0000-00006B380000}"/>
    <cellStyle name="Currency 5 3 3 2 3" xfId="4161" xr:uid="{00000000-0005-0000-0000-00006C380000}"/>
    <cellStyle name="Currency 5 3 3 2 3 2" xfId="4162" xr:uid="{00000000-0005-0000-0000-00006D380000}"/>
    <cellStyle name="Currency 5 3 3 2 3 3" xfId="4163" xr:uid="{00000000-0005-0000-0000-00006E380000}"/>
    <cellStyle name="Currency 5 3 3 2 4" xfId="4164" xr:uid="{00000000-0005-0000-0000-00006F380000}"/>
    <cellStyle name="Currency 5 3 3 2 5" xfId="4165" xr:uid="{00000000-0005-0000-0000-000070380000}"/>
    <cellStyle name="Currency 5 3 3 3" xfId="4166" xr:uid="{00000000-0005-0000-0000-000071380000}"/>
    <cellStyle name="Currency 5 3 3 3 2" xfId="4167" xr:uid="{00000000-0005-0000-0000-000072380000}"/>
    <cellStyle name="Currency 5 3 3 3 3" xfId="4168" xr:uid="{00000000-0005-0000-0000-000073380000}"/>
    <cellStyle name="Currency 5 3 3 4" xfId="4169" xr:uid="{00000000-0005-0000-0000-000074380000}"/>
    <cellStyle name="Currency 5 3 3 4 2" xfId="4170" xr:uid="{00000000-0005-0000-0000-000075380000}"/>
    <cellStyle name="Currency 5 3 3 4 3" xfId="4171" xr:uid="{00000000-0005-0000-0000-000076380000}"/>
    <cellStyle name="Currency 5 3 3 5" xfId="4172" xr:uid="{00000000-0005-0000-0000-000077380000}"/>
    <cellStyle name="Currency 5 3 3 6" xfId="4173" xr:uid="{00000000-0005-0000-0000-000078380000}"/>
    <cellStyle name="Currency 5 3 4" xfId="4174" xr:uid="{00000000-0005-0000-0000-000079380000}"/>
    <cellStyle name="Currency 5 3 4 2" xfId="4175" xr:uid="{00000000-0005-0000-0000-00007A380000}"/>
    <cellStyle name="Currency 5 3 4 2 2" xfId="4176" xr:uid="{00000000-0005-0000-0000-00007B380000}"/>
    <cellStyle name="Currency 5 3 4 2 3" xfId="4177" xr:uid="{00000000-0005-0000-0000-00007C380000}"/>
    <cellStyle name="Currency 5 3 4 3" xfId="4178" xr:uid="{00000000-0005-0000-0000-00007D380000}"/>
    <cellStyle name="Currency 5 3 4 3 2" xfId="4179" xr:uid="{00000000-0005-0000-0000-00007E380000}"/>
    <cellStyle name="Currency 5 3 4 3 3" xfId="4180" xr:uid="{00000000-0005-0000-0000-00007F380000}"/>
    <cellStyle name="Currency 5 3 4 4" xfId="4181" xr:uid="{00000000-0005-0000-0000-000080380000}"/>
    <cellStyle name="Currency 5 3 4 5" xfId="4182" xr:uid="{00000000-0005-0000-0000-000081380000}"/>
    <cellStyle name="Currency 5 3 5" xfId="4183" xr:uid="{00000000-0005-0000-0000-000082380000}"/>
    <cellStyle name="Currency 5 3 5 2" xfId="4184" xr:uid="{00000000-0005-0000-0000-000083380000}"/>
    <cellStyle name="Currency 5 3 5 3" xfId="4185" xr:uid="{00000000-0005-0000-0000-000084380000}"/>
    <cellStyle name="Currency 5 3 6" xfId="4186" xr:uid="{00000000-0005-0000-0000-000085380000}"/>
    <cellStyle name="Currency 5 3 6 2" xfId="4187" xr:uid="{00000000-0005-0000-0000-000086380000}"/>
    <cellStyle name="Currency 5 3 6 3" xfId="4188" xr:uid="{00000000-0005-0000-0000-000087380000}"/>
    <cellStyle name="Currency 5 3 7" xfId="4189" xr:uid="{00000000-0005-0000-0000-000088380000}"/>
    <cellStyle name="Currency 5 3 8" xfId="4190" xr:uid="{00000000-0005-0000-0000-000089380000}"/>
    <cellStyle name="Currency 5 4" xfId="4191" xr:uid="{00000000-0005-0000-0000-00008A380000}"/>
    <cellStyle name="Currency 5 4 2" xfId="4192" xr:uid="{00000000-0005-0000-0000-00008B380000}"/>
    <cellStyle name="Currency 5 4 2 2" xfId="4193" xr:uid="{00000000-0005-0000-0000-00008C380000}"/>
    <cellStyle name="Currency 5 4 2 2 2" xfId="4194" xr:uid="{00000000-0005-0000-0000-00008D380000}"/>
    <cellStyle name="Currency 5 4 2 2 2 2" xfId="4195" xr:uid="{00000000-0005-0000-0000-00008E380000}"/>
    <cellStyle name="Currency 5 4 2 2 2 3" xfId="4196" xr:uid="{00000000-0005-0000-0000-00008F380000}"/>
    <cellStyle name="Currency 5 4 2 2 3" xfId="4197" xr:uid="{00000000-0005-0000-0000-000090380000}"/>
    <cellStyle name="Currency 5 4 2 2 3 2" xfId="4198" xr:uid="{00000000-0005-0000-0000-000091380000}"/>
    <cellStyle name="Currency 5 4 2 2 3 3" xfId="4199" xr:uid="{00000000-0005-0000-0000-000092380000}"/>
    <cellStyle name="Currency 5 4 2 2 4" xfId="4200" xr:uid="{00000000-0005-0000-0000-000093380000}"/>
    <cellStyle name="Currency 5 4 2 2 5" xfId="4201" xr:uid="{00000000-0005-0000-0000-000094380000}"/>
    <cellStyle name="Currency 5 4 2 3" xfId="4202" xr:uid="{00000000-0005-0000-0000-000095380000}"/>
    <cellStyle name="Currency 5 4 2 3 2" xfId="4203" xr:uid="{00000000-0005-0000-0000-000096380000}"/>
    <cellStyle name="Currency 5 4 2 3 3" xfId="4204" xr:uid="{00000000-0005-0000-0000-000097380000}"/>
    <cellStyle name="Currency 5 4 2 4" xfId="4205" xr:uid="{00000000-0005-0000-0000-000098380000}"/>
    <cellStyle name="Currency 5 4 2 4 2" xfId="4206" xr:uid="{00000000-0005-0000-0000-000099380000}"/>
    <cellStyle name="Currency 5 4 2 4 3" xfId="4207" xr:uid="{00000000-0005-0000-0000-00009A380000}"/>
    <cellStyle name="Currency 5 4 2 5" xfId="4208" xr:uid="{00000000-0005-0000-0000-00009B380000}"/>
    <cellStyle name="Currency 5 4 2 6" xfId="4209" xr:uid="{00000000-0005-0000-0000-00009C380000}"/>
    <cellStyle name="Currency 5 4 3" xfId="4210" xr:uid="{00000000-0005-0000-0000-00009D380000}"/>
    <cellStyle name="Currency 5 4 3 2" xfId="4211" xr:uid="{00000000-0005-0000-0000-00009E380000}"/>
    <cellStyle name="Currency 5 4 3 2 2" xfId="4212" xr:uid="{00000000-0005-0000-0000-00009F380000}"/>
    <cellStyle name="Currency 5 4 3 2 3" xfId="4213" xr:uid="{00000000-0005-0000-0000-0000A0380000}"/>
    <cellStyle name="Currency 5 4 3 3" xfId="4214" xr:uid="{00000000-0005-0000-0000-0000A1380000}"/>
    <cellStyle name="Currency 5 4 3 3 2" xfId="4215" xr:uid="{00000000-0005-0000-0000-0000A2380000}"/>
    <cellStyle name="Currency 5 4 3 3 3" xfId="4216" xr:uid="{00000000-0005-0000-0000-0000A3380000}"/>
    <cellStyle name="Currency 5 4 3 4" xfId="4217" xr:uid="{00000000-0005-0000-0000-0000A4380000}"/>
    <cellStyle name="Currency 5 4 3 5" xfId="4218" xr:uid="{00000000-0005-0000-0000-0000A5380000}"/>
    <cellStyle name="Currency 5 4 4" xfId="4219" xr:uid="{00000000-0005-0000-0000-0000A6380000}"/>
    <cellStyle name="Currency 5 4 4 2" xfId="4220" xr:uid="{00000000-0005-0000-0000-0000A7380000}"/>
    <cellStyle name="Currency 5 4 4 3" xfId="4221" xr:uid="{00000000-0005-0000-0000-0000A8380000}"/>
    <cellStyle name="Currency 5 4 5" xfId="4222" xr:uid="{00000000-0005-0000-0000-0000A9380000}"/>
    <cellStyle name="Currency 5 4 5 2" xfId="4223" xr:uid="{00000000-0005-0000-0000-0000AA380000}"/>
    <cellStyle name="Currency 5 4 5 3" xfId="4224" xr:uid="{00000000-0005-0000-0000-0000AB380000}"/>
    <cellStyle name="Currency 5 4 6" xfId="4225" xr:uid="{00000000-0005-0000-0000-0000AC380000}"/>
    <cellStyle name="Currency 5 4 7" xfId="4226" xr:uid="{00000000-0005-0000-0000-0000AD380000}"/>
    <cellStyle name="Currency 5 5" xfId="4227" xr:uid="{00000000-0005-0000-0000-0000AE380000}"/>
    <cellStyle name="Currency 5 5 2" xfId="4228" xr:uid="{00000000-0005-0000-0000-0000AF380000}"/>
    <cellStyle name="Currency 5 5 2 2" xfId="4229" xr:uid="{00000000-0005-0000-0000-0000B0380000}"/>
    <cellStyle name="Currency 5 5 2 2 2" xfId="4230" xr:uid="{00000000-0005-0000-0000-0000B1380000}"/>
    <cellStyle name="Currency 5 5 2 2 3" xfId="4231" xr:uid="{00000000-0005-0000-0000-0000B2380000}"/>
    <cellStyle name="Currency 5 5 2 3" xfId="4232" xr:uid="{00000000-0005-0000-0000-0000B3380000}"/>
    <cellStyle name="Currency 5 5 2 3 2" xfId="4233" xr:uid="{00000000-0005-0000-0000-0000B4380000}"/>
    <cellStyle name="Currency 5 5 2 3 3" xfId="4234" xr:uid="{00000000-0005-0000-0000-0000B5380000}"/>
    <cellStyle name="Currency 5 5 2 4" xfId="4235" xr:uid="{00000000-0005-0000-0000-0000B6380000}"/>
    <cellStyle name="Currency 5 5 2 5" xfId="4236" xr:uid="{00000000-0005-0000-0000-0000B7380000}"/>
    <cellStyle name="Currency 5 5 3" xfId="4237" xr:uid="{00000000-0005-0000-0000-0000B8380000}"/>
    <cellStyle name="Currency 5 5 3 2" xfId="4238" xr:uid="{00000000-0005-0000-0000-0000B9380000}"/>
    <cellStyle name="Currency 5 5 3 3" xfId="4239" xr:uid="{00000000-0005-0000-0000-0000BA380000}"/>
    <cellStyle name="Currency 5 5 4" xfId="4240" xr:uid="{00000000-0005-0000-0000-0000BB380000}"/>
    <cellStyle name="Currency 5 5 4 2" xfId="4241" xr:uid="{00000000-0005-0000-0000-0000BC380000}"/>
    <cellStyle name="Currency 5 5 4 3" xfId="4242" xr:uid="{00000000-0005-0000-0000-0000BD380000}"/>
    <cellStyle name="Currency 5 5 5" xfId="4243" xr:uid="{00000000-0005-0000-0000-0000BE380000}"/>
    <cellStyle name="Currency 5 5 6" xfId="4244" xr:uid="{00000000-0005-0000-0000-0000BF380000}"/>
    <cellStyle name="Currency 5 6" xfId="4245" xr:uid="{00000000-0005-0000-0000-0000C0380000}"/>
    <cellStyle name="Currency 5 6 2" xfId="4246" xr:uid="{00000000-0005-0000-0000-0000C1380000}"/>
    <cellStyle name="Currency 5 6 2 2" xfId="4247" xr:uid="{00000000-0005-0000-0000-0000C2380000}"/>
    <cellStyle name="Currency 5 6 2 3" xfId="4248" xr:uid="{00000000-0005-0000-0000-0000C3380000}"/>
    <cellStyle name="Currency 5 6 3" xfId="4249" xr:uid="{00000000-0005-0000-0000-0000C4380000}"/>
    <cellStyle name="Currency 5 6 3 2" xfId="4250" xr:uid="{00000000-0005-0000-0000-0000C5380000}"/>
    <cellStyle name="Currency 5 6 3 3" xfId="4251" xr:uid="{00000000-0005-0000-0000-0000C6380000}"/>
    <cellStyle name="Currency 5 6 4" xfId="4252" xr:uid="{00000000-0005-0000-0000-0000C7380000}"/>
    <cellStyle name="Currency 5 6 5" xfId="4253" xr:uid="{00000000-0005-0000-0000-0000C8380000}"/>
    <cellStyle name="Currency 5 7" xfId="4254" xr:uid="{00000000-0005-0000-0000-0000C9380000}"/>
    <cellStyle name="Currency 5 7 2" xfId="4255" xr:uid="{00000000-0005-0000-0000-0000CA380000}"/>
    <cellStyle name="Currency 5 7 3" xfId="4256" xr:uid="{00000000-0005-0000-0000-0000CB380000}"/>
    <cellStyle name="Currency 5 8" xfId="4257" xr:uid="{00000000-0005-0000-0000-0000CC380000}"/>
    <cellStyle name="Currency 5 8 2" xfId="4258" xr:uid="{00000000-0005-0000-0000-0000CD380000}"/>
    <cellStyle name="Currency 5 8 3" xfId="4259" xr:uid="{00000000-0005-0000-0000-0000CE380000}"/>
    <cellStyle name="Currency 5 9" xfId="4260" xr:uid="{00000000-0005-0000-0000-0000CF380000}"/>
    <cellStyle name="Currency 6" xfId="290" xr:uid="{00000000-0005-0000-0000-0000D0380000}"/>
    <cellStyle name="Currency 6 2" xfId="4261" xr:uid="{00000000-0005-0000-0000-0000D1380000}"/>
    <cellStyle name="Currency 6 3" xfId="4262" xr:uid="{00000000-0005-0000-0000-0000D2380000}"/>
    <cellStyle name="Currency 6 4" xfId="4263" xr:uid="{00000000-0005-0000-0000-0000D3380000}"/>
    <cellStyle name="Currency 7" xfId="291" xr:uid="{00000000-0005-0000-0000-0000D4380000}"/>
    <cellStyle name="Currency 7 2" xfId="4264" xr:uid="{00000000-0005-0000-0000-0000D5380000}"/>
    <cellStyle name="Currency 8" xfId="324" xr:uid="{00000000-0005-0000-0000-0000D6380000}"/>
    <cellStyle name="Currency 8 2" xfId="4265" xr:uid="{00000000-0005-0000-0000-0000D7380000}"/>
    <cellStyle name="Currency 8 2 2" xfId="4266" xr:uid="{00000000-0005-0000-0000-0000D8380000}"/>
    <cellStyle name="Currency 8 2 2 2" xfId="4267" xr:uid="{00000000-0005-0000-0000-0000D9380000}"/>
    <cellStyle name="Currency 8 2 2 2 2" xfId="4268" xr:uid="{00000000-0005-0000-0000-0000DA380000}"/>
    <cellStyle name="Currency 8 2 2 2 2 2" xfId="4269" xr:uid="{00000000-0005-0000-0000-0000DB380000}"/>
    <cellStyle name="Currency 8 2 2 2 2 2 2" xfId="4270" xr:uid="{00000000-0005-0000-0000-0000DC380000}"/>
    <cellStyle name="Currency 8 2 2 2 2 2 3" xfId="4271" xr:uid="{00000000-0005-0000-0000-0000DD380000}"/>
    <cellStyle name="Currency 8 2 2 2 2 3" xfId="4272" xr:uid="{00000000-0005-0000-0000-0000DE380000}"/>
    <cellStyle name="Currency 8 2 2 2 2 3 2" xfId="4273" xr:uid="{00000000-0005-0000-0000-0000DF380000}"/>
    <cellStyle name="Currency 8 2 2 2 2 3 3" xfId="4274" xr:uid="{00000000-0005-0000-0000-0000E0380000}"/>
    <cellStyle name="Currency 8 2 2 2 2 4" xfId="4275" xr:uid="{00000000-0005-0000-0000-0000E1380000}"/>
    <cellStyle name="Currency 8 2 2 2 2 5" xfId="4276" xr:uid="{00000000-0005-0000-0000-0000E2380000}"/>
    <cellStyle name="Currency 8 2 2 2 3" xfId="4277" xr:uid="{00000000-0005-0000-0000-0000E3380000}"/>
    <cellStyle name="Currency 8 2 2 2 3 2" xfId="4278" xr:uid="{00000000-0005-0000-0000-0000E4380000}"/>
    <cellStyle name="Currency 8 2 2 2 3 3" xfId="4279" xr:uid="{00000000-0005-0000-0000-0000E5380000}"/>
    <cellStyle name="Currency 8 2 2 2 4" xfId="4280" xr:uid="{00000000-0005-0000-0000-0000E6380000}"/>
    <cellStyle name="Currency 8 2 2 2 4 2" xfId="4281" xr:uid="{00000000-0005-0000-0000-0000E7380000}"/>
    <cellStyle name="Currency 8 2 2 2 4 3" xfId="4282" xr:uid="{00000000-0005-0000-0000-0000E8380000}"/>
    <cellStyle name="Currency 8 2 2 2 5" xfId="4283" xr:uid="{00000000-0005-0000-0000-0000E9380000}"/>
    <cellStyle name="Currency 8 2 2 2 6" xfId="4284" xr:uid="{00000000-0005-0000-0000-0000EA380000}"/>
    <cellStyle name="Currency 8 2 2 3" xfId="4285" xr:uid="{00000000-0005-0000-0000-0000EB380000}"/>
    <cellStyle name="Currency 8 2 2 3 2" xfId="4286" xr:uid="{00000000-0005-0000-0000-0000EC380000}"/>
    <cellStyle name="Currency 8 2 2 3 2 2" xfId="4287" xr:uid="{00000000-0005-0000-0000-0000ED380000}"/>
    <cellStyle name="Currency 8 2 2 3 2 3" xfId="4288" xr:uid="{00000000-0005-0000-0000-0000EE380000}"/>
    <cellStyle name="Currency 8 2 2 3 3" xfId="4289" xr:uid="{00000000-0005-0000-0000-0000EF380000}"/>
    <cellStyle name="Currency 8 2 2 3 3 2" xfId="4290" xr:uid="{00000000-0005-0000-0000-0000F0380000}"/>
    <cellStyle name="Currency 8 2 2 3 3 3" xfId="4291" xr:uid="{00000000-0005-0000-0000-0000F1380000}"/>
    <cellStyle name="Currency 8 2 2 3 4" xfId="4292" xr:uid="{00000000-0005-0000-0000-0000F2380000}"/>
    <cellStyle name="Currency 8 2 2 3 5" xfId="4293" xr:uid="{00000000-0005-0000-0000-0000F3380000}"/>
    <cellStyle name="Currency 8 2 2 4" xfId="4294" xr:uid="{00000000-0005-0000-0000-0000F4380000}"/>
    <cellStyle name="Currency 8 2 2 4 2" xfId="4295" xr:uid="{00000000-0005-0000-0000-0000F5380000}"/>
    <cellStyle name="Currency 8 2 2 4 3" xfId="4296" xr:uid="{00000000-0005-0000-0000-0000F6380000}"/>
    <cellStyle name="Currency 8 2 2 5" xfId="4297" xr:uid="{00000000-0005-0000-0000-0000F7380000}"/>
    <cellStyle name="Currency 8 2 2 5 2" xfId="4298" xr:uid="{00000000-0005-0000-0000-0000F8380000}"/>
    <cellStyle name="Currency 8 2 2 5 3" xfId="4299" xr:uid="{00000000-0005-0000-0000-0000F9380000}"/>
    <cellStyle name="Currency 8 2 2 6" xfId="4300" xr:uid="{00000000-0005-0000-0000-0000FA380000}"/>
    <cellStyle name="Currency 8 2 2 7" xfId="4301" xr:uid="{00000000-0005-0000-0000-0000FB380000}"/>
    <cellStyle name="Currency 8 2 3" xfId="4302" xr:uid="{00000000-0005-0000-0000-0000FC380000}"/>
    <cellStyle name="Currency 8 2 3 2" xfId="4303" xr:uid="{00000000-0005-0000-0000-0000FD380000}"/>
    <cellStyle name="Currency 8 2 3 2 2" xfId="4304" xr:uid="{00000000-0005-0000-0000-0000FE380000}"/>
    <cellStyle name="Currency 8 2 3 2 2 2" xfId="4305" xr:uid="{00000000-0005-0000-0000-0000FF380000}"/>
    <cellStyle name="Currency 8 2 3 2 2 3" xfId="4306" xr:uid="{00000000-0005-0000-0000-000000390000}"/>
    <cellStyle name="Currency 8 2 3 2 3" xfId="4307" xr:uid="{00000000-0005-0000-0000-000001390000}"/>
    <cellStyle name="Currency 8 2 3 2 3 2" xfId="4308" xr:uid="{00000000-0005-0000-0000-000002390000}"/>
    <cellStyle name="Currency 8 2 3 2 3 3" xfId="4309" xr:uid="{00000000-0005-0000-0000-000003390000}"/>
    <cellStyle name="Currency 8 2 3 2 4" xfId="4310" xr:uid="{00000000-0005-0000-0000-000004390000}"/>
    <cellStyle name="Currency 8 2 3 2 5" xfId="4311" xr:uid="{00000000-0005-0000-0000-000005390000}"/>
    <cellStyle name="Currency 8 2 3 3" xfId="4312" xr:uid="{00000000-0005-0000-0000-000006390000}"/>
    <cellStyle name="Currency 8 2 3 3 2" xfId="4313" xr:uid="{00000000-0005-0000-0000-000007390000}"/>
    <cellStyle name="Currency 8 2 3 3 3" xfId="4314" xr:uid="{00000000-0005-0000-0000-000008390000}"/>
    <cellStyle name="Currency 8 2 3 4" xfId="4315" xr:uid="{00000000-0005-0000-0000-000009390000}"/>
    <cellStyle name="Currency 8 2 3 4 2" xfId="4316" xr:uid="{00000000-0005-0000-0000-00000A390000}"/>
    <cellStyle name="Currency 8 2 3 4 3" xfId="4317" xr:uid="{00000000-0005-0000-0000-00000B390000}"/>
    <cellStyle name="Currency 8 2 3 5" xfId="4318" xr:uid="{00000000-0005-0000-0000-00000C390000}"/>
    <cellStyle name="Currency 8 2 3 6" xfId="4319" xr:uid="{00000000-0005-0000-0000-00000D390000}"/>
    <cellStyle name="Currency 8 2 4" xfId="4320" xr:uid="{00000000-0005-0000-0000-00000E390000}"/>
    <cellStyle name="Currency 8 2 4 2" xfId="4321" xr:uid="{00000000-0005-0000-0000-00000F390000}"/>
    <cellStyle name="Currency 8 2 4 2 2" xfId="4322" xr:uid="{00000000-0005-0000-0000-000010390000}"/>
    <cellStyle name="Currency 8 2 4 2 3" xfId="4323" xr:uid="{00000000-0005-0000-0000-000011390000}"/>
    <cellStyle name="Currency 8 2 4 3" xfId="4324" xr:uid="{00000000-0005-0000-0000-000012390000}"/>
    <cellStyle name="Currency 8 2 4 3 2" xfId="4325" xr:uid="{00000000-0005-0000-0000-000013390000}"/>
    <cellStyle name="Currency 8 2 4 3 3" xfId="4326" xr:uid="{00000000-0005-0000-0000-000014390000}"/>
    <cellStyle name="Currency 8 2 4 4" xfId="4327" xr:uid="{00000000-0005-0000-0000-000015390000}"/>
    <cellStyle name="Currency 8 2 4 5" xfId="4328" xr:uid="{00000000-0005-0000-0000-000016390000}"/>
    <cellStyle name="Currency 8 2 5" xfId="4329" xr:uid="{00000000-0005-0000-0000-000017390000}"/>
    <cellStyle name="Currency 8 2 5 2" xfId="4330" xr:uid="{00000000-0005-0000-0000-000018390000}"/>
    <cellStyle name="Currency 8 2 5 3" xfId="4331" xr:uid="{00000000-0005-0000-0000-000019390000}"/>
    <cellStyle name="Currency 8 2 6" xfId="4332" xr:uid="{00000000-0005-0000-0000-00001A390000}"/>
    <cellStyle name="Currency 8 2 6 2" xfId="4333" xr:uid="{00000000-0005-0000-0000-00001B390000}"/>
    <cellStyle name="Currency 8 2 6 3" xfId="4334" xr:uid="{00000000-0005-0000-0000-00001C390000}"/>
    <cellStyle name="Currency 8 2 7" xfId="4335" xr:uid="{00000000-0005-0000-0000-00001D390000}"/>
    <cellStyle name="Currency 8 2 8" xfId="4336" xr:uid="{00000000-0005-0000-0000-00001E390000}"/>
    <cellStyle name="Currency 8 3" xfId="4337" xr:uid="{00000000-0005-0000-0000-00001F390000}"/>
    <cellStyle name="Currency 8 3 2" xfId="4338" xr:uid="{00000000-0005-0000-0000-000020390000}"/>
    <cellStyle name="Currency 8 3 2 2" xfId="4339" xr:uid="{00000000-0005-0000-0000-000021390000}"/>
    <cellStyle name="Currency 8 3 2 2 2" xfId="4340" xr:uid="{00000000-0005-0000-0000-000022390000}"/>
    <cellStyle name="Currency 8 3 2 2 2 2" xfId="4341" xr:uid="{00000000-0005-0000-0000-000023390000}"/>
    <cellStyle name="Currency 8 3 2 2 2 3" xfId="4342" xr:uid="{00000000-0005-0000-0000-000024390000}"/>
    <cellStyle name="Currency 8 3 2 2 3" xfId="4343" xr:uid="{00000000-0005-0000-0000-000025390000}"/>
    <cellStyle name="Currency 8 3 2 2 3 2" xfId="4344" xr:uid="{00000000-0005-0000-0000-000026390000}"/>
    <cellStyle name="Currency 8 3 2 2 3 3" xfId="4345" xr:uid="{00000000-0005-0000-0000-000027390000}"/>
    <cellStyle name="Currency 8 3 2 2 4" xfId="4346" xr:uid="{00000000-0005-0000-0000-000028390000}"/>
    <cellStyle name="Currency 8 3 2 2 5" xfId="4347" xr:uid="{00000000-0005-0000-0000-000029390000}"/>
    <cellStyle name="Currency 8 3 2 3" xfId="4348" xr:uid="{00000000-0005-0000-0000-00002A390000}"/>
    <cellStyle name="Currency 8 3 2 3 2" xfId="4349" xr:uid="{00000000-0005-0000-0000-00002B390000}"/>
    <cellStyle name="Currency 8 3 2 3 3" xfId="4350" xr:uid="{00000000-0005-0000-0000-00002C390000}"/>
    <cellStyle name="Currency 8 3 2 4" xfId="4351" xr:uid="{00000000-0005-0000-0000-00002D390000}"/>
    <cellStyle name="Currency 8 3 2 4 2" xfId="4352" xr:uid="{00000000-0005-0000-0000-00002E390000}"/>
    <cellStyle name="Currency 8 3 2 4 3" xfId="4353" xr:uid="{00000000-0005-0000-0000-00002F390000}"/>
    <cellStyle name="Currency 8 3 2 5" xfId="4354" xr:uid="{00000000-0005-0000-0000-000030390000}"/>
    <cellStyle name="Currency 8 3 2 6" xfId="4355" xr:uid="{00000000-0005-0000-0000-000031390000}"/>
    <cellStyle name="Currency 8 3 3" xfId="4356" xr:uid="{00000000-0005-0000-0000-000032390000}"/>
    <cellStyle name="Currency 8 3 3 2" xfId="4357" xr:uid="{00000000-0005-0000-0000-000033390000}"/>
    <cellStyle name="Currency 8 3 3 2 2" xfId="4358" xr:uid="{00000000-0005-0000-0000-000034390000}"/>
    <cellStyle name="Currency 8 3 3 2 3" xfId="4359" xr:uid="{00000000-0005-0000-0000-000035390000}"/>
    <cellStyle name="Currency 8 3 3 3" xfId="4360" xr:uid="{00000000-0005-0000-0000-000036390000}"/>
    <cellStyle name="Currency 8 3 3 3 2" xfId="4361" xr:uid="{00000000-0005-0000-0000-000037390000}"/>
    <cellStyle name="Currency 8 3 3 3 3" xfId="4362" xr:uid="{00000000-0005-0000-0000-000038390000}"/>
    <cellStyle name="Currency 8 3 3 4" xfId="4363" xr:uid="{00000000-0005-0000-0000-000039390000}"/>
    <cellStyle name="Currency 8 3 3 5" xfId="4364" xr:uid="{00000000-0005-0000-0000-00003A390000}"/>
    <cellStyle name="Currency 8 3 4" xfId="4365" xr:uid="{00000000-0005-0000-0000-00003B390000}"/>
    <cellStyle name="Currency 8 3 4 2" xfId="4366" xr:uid="{00000000-0005-0000-0000-00003C390000}"/>
    <cellStyle name="Currency 8 3 4 3" xfId="4367" xr:uid="{00000000-0005-0000-0000-00003D390000}"/>
    <cellStyle name="Currency 8 3 5" xfId="4368" xr:uid="{00000000-0005-0000-0000-00003E390000}"/>
    <cellStyle name="Currency 8 3 5 2" xfId="4369" xr:uid="{00000000-0005-0000-0000-00003F390000}"/>
    <cellStyle name="Currency 8 3 5 3" xfId="4370" xr:uid="{00000000-0005-0000-0000-000040390000}"/>
    <cellStyle name="Currency 8 3 6" xfId="4371" xr:uid="{00000000-0005-0000-0000-000041390000}"/>
    <cellStyle name="Currency 8 3 7" xfId="4372" xr:uid="{00000000-0005-0000-0000-000042390000}"/>
    <cellStyle name="Currency 8 4" xfId="4373" xr:uid="{00000000-0005-0000-0000-000043390000}"/>
    <cellStyle name="Currency 8 4 2" xfId="4374" xr:uid="{00000000-0005-0000-0000-000044390000}"/>
    <cellStyle name="Currency 8 4 2 2" xfId="4375" xr:uid="{00000000-0005-0000-0000-000045390000}"/>
    <cellStyle name="Currency 8 4 2 2 2" xfId="4376" xr:uid="{00000000-0005-0000-0000-000046390000}"/>
    <cellStyle name="Currency 8 4 2 2 3" xfId="4377" xr:uid="{00000000-0005-0000-0000-000047390000}"/>
    <cellStyle name="Currency 8 4 2 3" xfId="4378" xr:uid="{00000000-0005-0000-0000-000048390000}"/>
    <cellStyle name="Currency 8 4 2 3 2" xfId="4379" xr:uid="{00000000-0005-0000-0000-000049390000}"/>
    <cellStyle name="Currency 8 4 2 3 3" xfId="4380" xr:uid="{00000000-0005-0000-0000-00004A390000}"/>
    <cellStyle name="Currency 8 4 2 4" xfId="4381" xr:uid="{00000000-0005-0000-0000-00004B390000}"/>
    <cellStyle name="Currency 8 4 2 5" xfId="4382" xr:uid="{00000000-0005-0000-0000-00004C390000}"/>
    <cellStyle name="Currency 8 4 3" xfId="4383" xr:uid="{00000000-0005-0000-0000-00004D390000}"/>
    <cellStyle name="Currency 8 4 3 2" xfId="4384" xr:uid="{00000000-0005-0000-0000-00004E390000}"/>
    <cellStyle name="Currency 8 4 3 3" xfId="4385" xr:uid="{00000000-0005-0000-0000-00004F390000}"/>
    <cellStyle name="Currency 8 4 4" xfId="4386" xr:uid="{00000000-0005-0000-0000-000050390000}"/>
    <cellStyle name="Currency 8 4 4 2" xfId="4387" xr:uid="{00000000-0005-0000-0000-000051390000}"/>
    <cellStyle name="Currency 8 4 4 3" xfId="4388" xr:uid="{00000000-0005-0000-0000-000052390000}"/>
    <cellStyle name="Currency 8 4 5" xfId="4389" xr:uid="{00000000-0005-0000-0000-000053390000}"/>
    <cellStyle name="Currency 8 4 6" xfId="4390" xr:uid="{00000000-0005-0000-0000-000054390000}"/>
    <cellStyle name="Currency 8 5" xfId="4391" xr:uid="{00000000-0005-0000-0000-000055390000}"/>
    <cellStyle name="Currency 8 5 2" xfId="4392" xr:uid="{00000000-0005-0000-0000-000056390000}"/>
    <cellStyle name="Currency 8 5 2 2" xfId="4393" xr:uid="{00000000-0005-0000-0000-000057390000}"/>
    <cellStyle name="Currency 8 5 2 3" xfId="4394" xr:uid="{00000000-0005-0000-0000-000058390000}"/>
    <cellStyle name="Currency 8 5 3" xfId="4395" xr:uid="{00000000-0005-0000-0000-000059390000}"/>
    <cellStyle name="Currency 8 5 3 2" xfId="4396" xr:uid="{00000000-0005-0000-0000-00005A390000}"/>
    <cellStyle name="Currency 8 5 3 3" xfId="4397" xr:uid="{00000000-0005-0000-0000-00005B390000}"/>
    <cellStyle name="Currency 8 5 4" xfId="4398" xr:uid="{00000000-0005-0000-0000-00005C390000}"/>
    <cellStyle name="Currency 8 5 5" xfId="4399" xr:uid="{00000000-0005-0000-0000-00005D390000}"/>
    <cellStyle name="Currency 8 6" xfId="4400" xr:uid="{00000000-0005-0000-0000-00005E390000}"/>
    <cellStyle name="Currency 8 6 2" xfId="4401" xr:uid="{00000000-0005-0000-0000-00005F390000}"/>
    <cellStyle name="Currency 8 6 3" xfId="4402" xr:uid="{00000000-0005-0000-0000-000060390000}"/>
    <cellStyle name="Currency 8 7" xfId="4403" xr:uid="{00000000-0005-0000-0000-000061390000}"/>
    <cellStyle name="Currency 8 7 2" xfId="4404" xr:uid="{00000000-0005-0000-0000-000062390000}"/>
    <cellStyle name="Currency 8 7 3" xfId="4405" xr:uid="{00000000-0005-0000-0000-000063390000}"/>
    <cellStyle name="Currency 8 8" xfId="4406" xr:uid="{00000000-0005-0000-0000-000064390000}"/>
    <cellStyle name="Currency 8 9" xfId="4407" xr:uid="{00000000-0005-0000-0000-000065390000}"/>
    <cellStyle name="Currency 9" xfId="325" xr:uid="{00000000-0005-0000-0000-000066390000}"/>
    <cellStyle name="Currency 9 2" xfId="4408" xr:uid="{00000000-0005-0000-0000-000067390000}"/>
    <cellStyle name="Currency 9 2 2" xfId="4409" xr:uid="{00000000-0005-0000-0000-000068390000}"/>
    <cellStyle name="Currency 9 2 2 2" xfId="4410" xr:uid="{00000000-0005-0000-0000-000069390000}"/>
    <cellStyle name="Currency 9 2 2 2 2" xfId="4411" xr:uid="{00000000-0005-0000-0000-00006A390000}"/>
    <cellStyle name="Currency 9 2 2 2 2 2" xfId="4412" xr:uid="{00000000-0005-0000-0000-00006B390000}"/>
    <cellStyle name="Currency 9 2 2 2 2 3" xfId="4413" xr:uid="{00000000-0005-0000-0000-00006C390000}"/>
    <cellStyle name="Currency 9 2 2 2 3" xfId="4414" xr:uid="{00000000-0005-0000-0000-00006D390000}"/>
    <cellStyle name="Currency 9 2 2 2 3 2" xfId="4415" xr:uid="{00000000-0005-0000-0000-00006E390000}"/>
    <cellStyle name="Currency 9 2 2 2 3 3" xfId="4416" xr:uid="{00000000-0005-0000-0000-00006F390000}"/>
    <cellStyle name="Currency 9 2 2 2 4" xfId="4417" xr:uid="{00000000-0005-0000-0000-000070390000}"/>
    <cellStyle name="Currency 9 2 2 2 5" xfId="4418" xr:uid="{00000000-0005-0000-0000-000071390000}"/>
    <cellStyle name="Currency 9 2 2 3" xfId="4419" xr:uid="{00000000-0005-0000-0000-000072390000}"/>
    <cellStyle name="Currency 9 2 2 3 2" xfId="4420" xr:uid="{00000000-0005-0000-0000-000073390000}"/>
    <cellStyle name="Currency 9 2 2 3 3" xfId="4421" xr:uid="{00000000-0005-0000-0000-000074390000}"/>
    <cellStyle name="Currency 9 2 2 4" xfId="4422" xr:uid="{00000000-0005-0000-0000-000075390000}"/>
    <cellStyle name="Currency 9 2 2 4 2" xfId="4423" xr:uid="{00000000-0005-0000-0000-000076390000}"/>
    <cellStyle name="Currency 9 2 2 4 3" xfId="4424" xr:uid="{00000000-0005-0000-0000-000077390000}"/>
    <cellStyle name="Currency 9 2 2 5" xfId="4425" xr:uid="{00000000-0005-0000-0000-000078390000}"/>
    <cellStyle name="Currency 9 2 2 6" xfId="4426" xr:uid="{00000000-0005-0000-0000-000079390000}"/>
    <cellStyle name="Currency 9 2 3" xfId="4427" xr:uid="{00000000-0005-0000-0000-00007A390000}"/>
    <cellStyle name="Currency 9 2 3 2" xfId="4428" xr:uid="{00000000-0005-0000-0000-00007B390000}"/>
    <cellStyle name="Currency 9 2 3 2 2" xfId="4429" xr:uid="{00000000-0005-0000-0000-00007C390000}"/>
    <cellStyle name="Currency 9 2 3 2 3" xfId="4430" xr:uid="{00000000-0005-0000-0000-00007D390000}"/>
    <cellStyle name="Currency 9 2 3 3" xfId="4431" xr:uid="{00000000-0005-0000-0000-00007E390000}"/>
    <cellStyle name="Currency 9 2 3 3 2" xfId="4432" xr:uid="{00000000-0005-0000-0000-00007F390000}"/>
    <cellStyle name="Currency 9 2 3 3 3" xfId="4433" xr:uid="{00000000-0005-0000-0000-000080390000}"/>
    <cellStyle name="Currency 9 2 3 4" xfId="4434" xr:uid="{00000000-0005-0000-0000-000081390000}"/>
    <cellStyle name="Currency 9 2 3 5" xfId="4435" xr:uid="{00000000-0005-0000-0000-000082390000}"/>
    <cellStyle name="Currency 9 2 4" xfId="4436" xr:uid="{00000000-0005-0000-0000-000083390000}"/>
    <cellStyle name="Currency 9 2 4 2" xfId="4437" xr:uid="{00000000-0005-0000-0000-000084390000}"/>
    <cellStyle name="Currency 9 2 4 3" xfId="4438" xr:uid="{00000000-0005-0000-0000-000085390000}"/>
    <cellStyle name="Currency 9 2 5" xfId="4439" xr:uid="{00000000-0005-0000-0000-000086390000}"/>
    <cellStyle name="Currency 9 2 5 2" xfId="4440" xr:uid="{00000000-0005-0000-0000-000087390000}"/>
    <cellStyle name="Currency 9 2 5 3" xfId="4441" xr:uid="{00000000-0005-0000-0000-000088390000}"/>
    <cellStyle name="Currency 9 2 6" xfId="4442" xr:uid="{00000000-0005-0000-0000-000089390000}"/>
    <cellStyle name="Currency 9 2 7" xfId="4443" xr:uid="{00000000-0005-0000-0000-00008A390000}"/>
    <cellStyle name="Currency 9 3" xfId="4444" xr:uid="{00000000-0005-0000-0000-00008B390000}"/>
    <cellStyle name="Currency 9 3 2" xfId="4445" xr:uid="{00000000-0005-0000-0000-00008C390000}"/>
    <cellStyle name="Currency 9 3 2 2" xfId="4446" xr:uid="{00000000-0005-0000-0000-00008D390000}"/>
    <cellStyle name="Currency 9 3 2 2 2" xfId="4447" xr:uid="{00000000-0005-0000-0000-00008E390000}"/>
    <cellStyle name="Currency 9 3 2 2 3" xfId="4448" xr:uid="{00000000-0005-0000-0000-00008F390000}"/>
    <cellStyle name="Currency 9 3 2 3" xfId="4449" xr:uid="{00000000-0005-0000-0000-000090390000}"/>
    <cellStyle name="Currency 9 3 2 3 2" xfId="4450" xr:uid="{00000000-0005-0000-0000-000091390000}"/>
    <cellStyle name="Currency 9 3 2 3 3" xfId="4451" xr:uid="{00000000-0005-0000-0000-000092390000}"/>
    <cellStyle name="Currency 9 3 2 4" xfId="4452" xr:uid="{00000000-0005-0000-0000-000093390000}"/>
    <cellStyle name="Currency 9 3 2 5" xfId="4453" xr:uid="{00000000-0005-0000-0000-000094390000}"/>
    <cellStyle name="Currency 9 3 3" xfId="4454" xr:uid="{00000000-0005-0000-0000-000095390000}"/>
    <cellStyle name="Currency 9 3 3 2" xfId="4455" xr:uid="{00000000-0005-0000-0000-000096390000}"/>
    <cellStyle name="Currency 9 3 3 3" xfId="4456" xr:uid="{00000000-0005-0000-0000-000097390000}"/>
    <cellStyle name="Currency 9 3 4" xfId="4457" xr:uid="{00000000-0005-0000-0000-000098390000}"/>
    <cellStyle name="Currency 9 3 4 2" xfId="4458" xr:uid="{00000000-0005-0000-0000-000099390000}"/>
    <cellStyle name="Currency 9 3 4 3" xfId="4459" xr:uid="{00000000-0005-0000-0000-00009A390000}"/>
    <cellStyle name="Currency 9 3 5" xfId="4460" xr:uid="{00000000-0005-0000-0000-00009B390000}"/>
    <cellStyle name="Currency 9 3 6" xfId="4461" xr:uid="{00000000-0005-0000-0000-00009C390000}"/>
    <cellStyle name="Currency 9 4" xfId="4462" xr:uid="{00000000-0005-0000-0000-00009D390000}"/>
    <cellStyle name="Currency 9 4 2" xfId="4463" xr:uid="{00000000-0005-0000-0000-00009E390000}"/>
    <cellStyle name="Currency 9 4 2 2" xfId="4464" xr:uid="{00000000-0005-0000-0000-00009F390000}"/>
    <cellStyle name="Currency 9 4 2 3" xfId="4465" xr:uid="{00000000-0005-0000-0000-0000A0390000}"/>
    <cellStyle name="Currency 9 4 3" xfId="4466" xr:uid="{00000000-0005-0000-0000-0000A1390000}"/>
    <cellStyle name="Currency 9 4 3 2" xfId="4467" xr:uid="{00000000-0005-0000-0000-0000A2390000}"/>
    <cellStyle name="Currency 9 4 3 3" xfId="4468" xr:uid="{00000000-0005-0000-0000-0000A3390000}"/>
    <cellStyle name="Currency 9 4 4" xfId="4469" xr:uid="{00000000-0005-0000-0000-0000A4390000}"/>
    <cellStyle name="Currency 9 4 5" xfId="4470" xr:uid="{00000000-0005-0000-0000-0000A5390000}"/>
    <cellStyle name="Currency 9 5" xfId="4471" xr:uid="{00000000-0005-0000-0000-0000A6390000}"/>
    <cellStyle name="Currency 9 5 2" xfId="4472" xr:uid="{00000000-0005-0000-0000-0000A7390000}"/>
    <cellStyle name="Currency 9 5 3" xfId="4473" xr:uid="{00000000-0005-0000-0000-0000A8390000}"/>
    <cellStyle name="Currency 9 6" xfId="4474" xr:uid="{00000000-0005-0000-0000-0000A9390000}"/>
    <cellStyle name="Currency 9 6 2" xfId="4475" xr:uid="{00000000-0005-0000-0000-0000AA390000}"/>
    <cellStyle name="Currency 9 6 3" xfId="4476" xr:uid="{00000000-0005-0000-0000-0000AB390000}"/>
    <cellStyle name="Currency 9 7" xfId="4477" xr:uid="{00000000-0005-0000-0000-0000AC390000}"/>
    <cellStyle name="Currency 9 8" xfId="4478" xr:uid="{00000000-0005-0000-0000-0000AD390000}"/>
    <cellStyle name="Currency0" xfId="4479" xr:uid="{00000000-0005-0000-0000-0000AE390000}"/>
    <cellStyle name="Custom - Style1" xfId="4480" xr:uid="{00000000-0005-0000-0000-0000AF390000}"/>
    <cellStyle name="Custom - Style8" xfId="4481" xr:uid="{00000000-0005-0000-0000-0000B0390000}"/>
    <cellStyle name="Data   - Style2" xfId="4482" xr:uid="{00000000-0005-0000-0000-0000B1390000}"/>
    <cellStyle name="Data   - Style2 10" xfId="4483" xr:uid="{00000000-0005-0000-0000-0000B2390000}"/>
    <cellStyle name="Data   - Style2 10 10" xfId="24389" xr:uid="{00000000-0005-0000-0000-0000B3390000}"/>
    <cellStyle name="Data   - Style2 10 11" xfId="25388" xr:uid="{00000000-0005-0000-0000-0000B4390000}"/>
    <cellStyle name="Data   - Style2 10 12" xfId="28335" xr:uid="{00000000-0005-0000-0000-0000B5390000}"/>
    <cellStyle name="Data   - Style2 10 13" xfId="29302" xr:uid="{00000000-0005-0000-0000-0000B6390000}"/>
    <cellStyle name="Data   - Style2 10 14" xfId="30344" xr:uid="{00000000-0005-0000-0000-0000B7390000}"/>
    <cellStyle name="Data   - Style2 10 15" xfId="31335" xr:uid="{00000000-0005-0000-0000-0000B8390000}"/>
    <cellStyle name="Data   - Style2 10 16" xfId="32343" xr:uid="{00000000-0005-0000-0000-0000B9390000}"/>
    <cellStyle name="Data   - Style2 10 17" xfId="33346" xr:uid="{00000000-0005-0000-0000-0000BA390000}"/>
    <cellStyle name="Data   - Style2 10 18" xfId="34345" xr:uid="{00000000-0005-0000-0000-0000BB390000}"/>
    <cellStyle name="Data   - Style2 10 19" xfId="35966" xr:uid="{00000000-0005-0000-0000-0000BC390000}"/>
    <cellStyle name="Data   - Style2 10 2" xfId="16370" xr:uid="{00000000-0005-0000-0000-0000BD390000}"/>
    <cellStyle name="Data   - Style2 10 20" xfId="36905" xr:uid="{00000000-0005-0000-0000-0000BE390000}"/>
    <cellStyle name="Data   - Style2 10 3" xfId="17349" xr:uid="{00000000-0005-0000-0000-0000BF390000}"/>
    <cellStyle name="Data   - Style2 10 4" xfId="18375" xr:uid="{00000000-0005-0000-0000-0000C0390000}"/>
    <cellStyle name="Data   - Style2 10 5" xfId="19408" xr:uid="{00000000-0005-0000-0000-0000C1390000}"/>
    <cellStyle name="Data   - Style2 10 6" xfId="20430" xr:uid="{00000000-0005-0000-0000-0000C2390000}"/>
    <cellStyle name="Data   - Style2 10 7" xfId="21441" xr:uid="{00000000-0005-0000-0000-0000C3390000}"/>
    <cellStyle name="Data   - Style2 10 8" xfId="22412" xr:uid="{00000000-0005-0000-0000-0000C4390000}"/>
    <cellStyle name="Data   - Style2 10 9" xfId="23417" xr:uid="{00000000-0005-0000-0000-0000C5390000}"/>
    <cellStyle name="Data   - Style2 11" xfId="14005" xr:uid="{00000000-0005-0000-0000-0000C6390000}"/>
    <cellStyle name="Data   - Style2 12" xfId="14585" xr:uid="{00000000-0005-0000-0000-0000C7390000}"/>
    <cellStyle name="Data   - Style2 13" xfId="13788" xr:uid="{00000000-0005-0000-0000-0000C8390000}"/>
    <cellStyle name="Data   - Style2 14" xfId="14239" xr:uid="{00000000-0005-0000-0000-0000C9390000}"/>
    <cellStyle name="Data   - Style2 15" xfId="27435" xr:uid="{00000000-0005-0000-0000-0000CA390000}"/>
    <cellStyle name="Data   - Style2 16" xfId="26205" xr:uid="{00000000-0005-0000-0000-0000CB390000}"/>
    <cellStyle name="Data   - Style2 17" xfId="28762" xr:uid="{00000000-0005-0000-0000-0000CC390000}"/>
    <cellStyle name="Data   - Style2 2" xfId="4484" xr:uid="{00000000-0005-0000-0000-0000CD390000}"/>
    <cellStyle name="Data   - Style2 2 10" xfId="14581" xr:uid="{00000000-0005-0000-0000-0000CE390000}"/>
    <cellStyle name="Data   - Style2 2 11" xfId="26543" xr:uid="{00000000-0005-0000-0000-0000CF390000}"/>
    <cellStyle name="Data   - Style2 2 12" xfId="27769" xr:uid="{00000000-0005-0000-0000-0000D0390000}"/>
    <cellStyle name="Data   - Style2 2 13" xfId="29807" xr:uid="{00000000-0005-0000-0000-0000D1390000}"/>
    <cellStyle name="Data   - Style2 2 2" xfId="4485" xr:uid="{00000000-0005-0000-0000-0000D2390000}"/>
    <cellStyle name="Data   - Style2 2 2 10" xfId="23418" xr:uid="{00000000-0005-0000-0000-0000D3390000}"/>
    <cellStyle name="Data   - Style2 2 2 11" xfId="24390" xr:uid="{00000000-0005-0000-0000-0000D4390000}"/>
    <cellStyle name="Data   - Style2 2 2 12" xfId="25389" xr:uid="{00000000-0005-0000-0000-0000D5390000}"/>
    <cellStyle name="Data   - Style2 2 2 13" xfId="28336" xr:uid="{00000000-0005-0000-0000-0000D6390000}"/>
    <cellStyle name="Data   - Style2 2 2 14" xfId="29303" xr:uid="{00000000-0005-0000-0000-0000D7390000}"/>
    <cellStyle name="Data   - Style2 2 2 15" xfId="30345" xr:uid="{00000000-0005-0000-0000-0000D8390000}"/>
    <cellStyle name="Data   - Style2 2 2 16" xfId="31336" xr:uid="{00000000-0005-0000-0000-0000D9390000}"/>
    <cellStyle name="Data   - Style2 2 2 17" xfId="32344" xr:uid="{00000000-0005-0000-0000-0000DA390000}"/>
    <cellStyle name="Data   - Style2 2 2 18" xfId="33347" xr:uid="{00000000-0005-0000-0000-0000DB390000}"/>
    <cellStyle name="Data   - Style2 2 2 19" xfId="34346" xr:uid="{00000000-0005-0000-0000-0000DC390000}"/>
    <cellStyle name="Data   - Style2 2 2 2" xfId="4486" xr:uid="{00000000-0005-0000-0000-0000DD390000}"/>
    <cellStyle name="Data   - Style2 2 2 2 10" xfId="24391" xr:uid="{00000000-0005-0000-0000-0000DE390000}"/>
    <cellStyle name="Data   - Style2 2 2 2 11" xfId="25390" xr:uid="{00000000-0005-0000-0000-0000DF390000}"/>
    <cellStyle name="Data   - Style2 2 2 2 12" xfId="28337" xr:uid="{00000000-0005-0000-0000-0000E0390000}"/>
    <cellStyle name="Data   - Style2 2 2 2 13" xfId="29304" xr:uid="{00000000-0005-0000-0000-0000E1390000}"/>
    <cellStyle name="Data   - Style2 2 2 2 14" xfId="30346" xr:uid="{00000000-0005-0000-0000-0000E2390000}"/>
    <cellStyle name="Data   - Style2 2 2 2 15" xfId="31337" xr:uid="{00000000-0005-0000-0000-0000E3390000}"/>
    <cellStyle name="Data   - Style2 2 2 2 16" xfId="32345" xr:uid="{00000000-0005-0000-0000-0000E4390000}"/>
    <cellStyle name="Data   - Style2 2 2 2 17" xfId="33348" xr:uid="{00000000-0005-0000-0000-0000E5390000}"/>
    <cellStyle name="Data   - Style2 2 2 2 18" xfId="34347" xr:uid="{00000000-0005-0000-0000-0000E6390000}"/>
    <cellStyle name="Data   - Style2 2 2 2 19" xfId="35968" xr:uid="{00000000-0005-0000-0000-0000E7390000}"/>
    <cellStyle name="Data   - Style2 2 2 2 2" xfId="16372" xr:uid="{00000000-0005-0000-0000-0000E8390000}"/>
    <cellStyle name="Data   - Style2 2 2 2 20" xfId="36907" xr:uid="{00000000-0005-0000-0000-0000E9390000}"/>
    <cellStyle name="Data   - Style2 2 2 2 3" xfId="17351" xr:uid="{00000000-0005-0000-0000-0000EA390000}"/>
    <cellStyle name="Data   - Style2 2 2 2 4" xfId="18377" xr:uid="{00000000-0005-0000-0000-0000EB390000}"/>
    <cellStyle name="Data   - Style2 2 2 2 5" xfId="19410" xr:uid="{00000000-0005-0000-0000-0000EC390000}"/>
    <cellStyle name="Data   - Style2 2 2 2 6" xfId="20432" xr:uid="{00000000-0005-0000-0000-0000ED390000}"/>
    <cellStyle name="Data   - Style2 2 2 2 7" xfId="21443" xr:uid="{00000000-0005-0000-0000-0000EE390000}"/>
    <cellStyle name="Data   - Style2 2 2 2 8" xfId="22414" xr:uid="{00000000-0005-0000-0000-0000EF390000}"/>
    <cellStyle name="Data   - Style2 2 2 2 9" xfId="23419" xr:uid="{00000000-0005-0000-0000-0000F0390000}"/>
    <cellStyle name="Data   - Style2 2 2 20" xfId="35967" xr:uid="{00000000-0005-0000-0000-0000F1390000}"/>
    <cellStyle name="Data   - Style2 2 2 21" xfId="36906" xr:uid="{00000000-0005-0000-0000-0000F2390000}"/>
    <cellStyle name="Data   - Style2 2 2 3" xfId="16371" xr:uid="{00000000-0005-0000-0000-0000F3390000}"/>
    <cellStyle name="Data   - Style2 2 2 4" xfId="17350" xr:uid="{00000000-0005-0000-0000-0000F4390000}"/>
    <cellStyle name="Data   - Style2 2 2 5" xfId="18376" xr:uid="{00000000-0005-0000-0000-0000F5390000}"/>
    <cellStyle name="Data   - Style2 2 2 6" xfId="19409" xr:uid="{00000000-0005-0000-0000-0000F6390000}"/>
    <cellStyle name="Data   - Style2 2 2 7" xfId="20431" xr:uid="{00000000-0005-0000-0000-0000F7390000}"/>
    <cellStyle name="Data   - Style2 2 2 8" xfId="21442" xr:uid="{00000000-0005-0000-0000-0000F8390000}"/>
    <cellStyle name="Data   - Style2 2 2 9" xfId="22413" xr:uid="{00000000-0005-0000-0000-0000F9390000}"/>
    <cellStyle name="Data   - Style2 2 3" xfId="4487" xr:uid="{00000000-0005-0000-0000-0000FA390000}"/>
    <cellStyle name="Data   - Style2 2 3 10" xfId="23420" xr:uid="{00000000-0005-0000-0000-0000FB390000}"/>
    <cellStyle name="Data   - Style2 2 3 11" xfId="24392" xr:uid="{00000000-0005-0000-0000-0000FC390000}"/>
    <cellStyle name="Data   - Style2 2 3 12" xfId="25391" xr:uid="{00000000-0005-0000-0000-0000FD390000}"/>
    <cellStyle name="Data   - Style2 2 3 13" xfId="28338" xr:uid="{00000000-0005-0000-0000-0000FE390000}"/>
    <cellStyle name="Data   - Style2 2 3 14" xfId="29305" xr:uid="{00000000-0005-0000-0000-0000FF390000}"/>
    <cellStyle name="Data   - Style2 2 3 15" xfId="30347" xr:uid="{00000000-0005-0000-0000-0000003A0000}"/>
    <cellStyle name="Data   - Style2 2 3 16" xfId="31338" xr:uid="{00000000-0005-0000-0000-0000013A0000}"/>
    <cellStyle name="Data   - Style2 2 3 17" xfId="32346" xr:uid="{00000000-0005-0000-0000-0000023A0000}"/>
    <cellStyle name="Data   - Style2 2 3 18" xfId="33349" xr:uid="{00000000-0005-0000-0000-0000033A0000}"/>
    <cellStyle name="Data   - Style2 2 3 19" xfId="34348" xr:uid="{00000000-0005-0000-0000-0000043A0000}"/>
    <cellStyle name="Data   - Style2 2 3 2" xfId="4488" xr:uid="{00000000-0005-0000-0000-0000053A0000}"/>
    <cellStyle name="Data   - Style2 2 3 2 10" xfId="24393" xr:uid="{00000000-0005-0000-0000-0000063A0000}"/>
    <cellStyle name="Data   - Style2 2 3 2 11" xfId="25392" xr:uid="{00000000-0005-0000-0000-0000073A0000}"/>
    <cellStyle name="Data   - Style2 2 3 2 12" xfId="28339" xr:uid="{00000000-0005-0000-0000-0000083A0000}"/>
    <cellStyle name="Data   - Style2 2 3 2 13" xfId="29306" xr:uid="{00000000-0005-0000-0000-0000093A0000}"/>
    <cellStyle name="Data   - Style2 2 3 2 14" xfId="30348" xr:uid="{00000000-0005-0000-0000-00000A3A0000}"/>
    <cellStyle name="Data   - Style2 2 3 2 15" xfId="31339" xr:uid="{00000000-0005-0000-0000-00000B3A0000}"/>
    <cellStyle name="Data   - Style2 2 3 2 16" xfId="32347" xr:uid="{00000000-0005-0000-0000-00000C3A0000}"/>
    <cellStyle name="Data   - Style2 2 3 2 17" xfId="33350" xr:uid="{00000000-0005-0000-0000-00000D3A0000}"/>
    <cellStyle name="Data   - Style2 2 3 2 18" xfId="34349" xr:uid="{00000000-0005-0000-0000-00000E3A0000}"/>
    <cellStyle name="Data   - Style2 2 3 2 19" xfId="35970" xr:uid="{00000000-0005-0000-0000-00000F3A0000}"/>
    <cellStyle name="Data   - Style2 2 3 2 2" xfId="16374" xr:uid="{00000000-0005-0000-0000-0000103A0000}"/>
    <cellStyle name="Data   - Style2 2 3 2 20" xfId="36909" xr:uid="{00000000-0005-0000-0000-0000113A0000}"/>
    <cellStyle name="Data   - Style2 2 3 2 3" xfId="17353" xr:uid="{00000000-0005-0000-0000-0000123A0000}"/>
    <cellStyle name="Data   - Style2 2 3 2 4" xfId="18379" xr:uid="{00000000-0005-0000-0000-0000133A0000}"/>
    <cellStyle name="Data   - Style2 2 3 2 5" xfId="19412" xr:uid="{00000000-0005-0000-0000-0000143A0000}"/>
    <cellStyle name="Data   - Style2 2 3 2 6" xfId="20434" xr:uid="{00000000-0005-0000-0000-0000153A0000}"/>
    <cellStyle name="Data   - Style2 2 3 2 7" xfId="21445" xr:uid="{00000000-0005-0000-0000-0000163A0000}"/>
    <cellStyle name="Data   - Style2 2 3 2 8" xfId="22416" xr:uid="{00000000-0005-0000-0000-0000173A0000}"/>
    <cellStyle name="Data   - Style2 2 3 2 9" xfId="23421" xr:uid="{00000000-0005-0000-0000-0000183A0000}"/>
    <cellStyle name="Data   - Style2 2 3 20" xfId="35969" xr:uid="{00000000-0005-0000-0000-0000193A0000}"/>
    <cellStyle name="Data   - Style2 2 3 21" xfId="36908" xr:uid="{00000000-0005-0000-0000-00001A3A0000}"/>
    <cellStyle name="Data   - Style2 2 3 3" xfId="16373" xr:uid="{00000000-0005-0000-0000-00001B3A0000}"/>
    <cellStyle name="Data   - Style2 2 3 4" xfId="17352" xr:uid="{00000000-0005-0000-0000-00001C3A0000}"/>
    <cellStyle name="Data   - Style2 2 3 5" xfId="18378" xr:uid="{00000000-0005-0000-0000-00001D3A0000}"/>
    <cellStyle name="Data   - Style2 2 3 6" xfId="19411" xr:uid="{00000000-0005-0000-0000-00001E3A0000}"/>
    <cellStyle name="Data   - Style2 2 3 7" xfId="20433" xr:uid="{00000000-0005-0000-0000-00001F3A0000}"/>
    <cellStyle name="Data   - Style2 2 3 8" xfId="21444" xr:uid="{00000000-0005-0000-0000-0000203A0000}"/>
    <cellStyle name="Data   - Style2 2 3 9" xfId="22415" xr:uid="{00000000-0005-0000-0000-0000213A0000}"/>
    <cellStyle name="Data   - Style2 2 4" xfId="4489" xr:uid="{00000000-0005-0000-0000-0000223A0000}"/>
    <cellStyle name="Data   - Style2 2 4 10" xfId="23422" xr:uid="{00000000-0005-0000-0000-0000233A0000}"/>
    <cellStyle name="Data   - Style2 2 4 11" xfId="24394" xr:uid="{00000000-0005-0000-0000-0000243A0000}"/>
    <cellStyle name="Data   - Style2 2 4 12" xfId="25393" xr:uid="{00000000-0005-0000-0000-0000253A0000}"/>
    <cellStyle name="Data   - Style2 2 4 13" xfId="28340" xr:uid="{00000000-0005-0000-0000-0000263A0000}"/>
    <cellStyle name="Data   - Style2 2 4 14" xfId="29307" xr:uid="{00000000-0005-0000-0000-0000273A0000}"/>
    <cellStyle name="Data   - Style2 2 4 15" xfId="30349" xr:uid="{00000000-0005-0000-0000-0000283A0000}"/>
    <cellStyle name="Data   - Style2 2 4 16" xfId="31340" xr:uid="{00000000-0005-0000-0000-0000293A0000}"/>
    <cellStyle name="Data   - Style2 2 4 17" xfId="32348" xr:uid="{00000000-0005-0000-0000-00002A3A0000}"/>
    <cellStyle name="Data   - Style2 2 4 18" xfId="33351" xr:uid="{00000000-0005-0000-0000-00002B3A0000}"/>
    <cellStyle name="Data   - Style2 2 4 19" xfId="34350" xr:uid="{00000000-0005-0000-0000-00002C3A0000}"/>
    <cellStyle name="Data   - Style2 2 4 2" xfId="4490" xr:uid="{00000000-0005-0000-0000-00002D3A0000}"/>
    <cellStyle name="Data   - Style2 2 4 2 10" xfId="24395" xr:uid="{00000000-0005-0000-0000-00002E3A0000}"/>
    <cellStyle name="Data   - Style2 2 4 2 11" xfId="25394" xr:uid="{00000000-0005-0000-0000-00002F3A0000}"/>
    <cellStyle name="Data   - Style2 2 4 2 12" xfId="28341" xr:uid="{00000000-0005-0000-0000-0000303A0000}"/>
    <cellStyle name="Data   - Style2 2 4 2 13" xfId="29308" xr:uid="{00000000-0005-0000-0000-0000313A0000}"/>
    <cellStyle name="Data   - Style2 2 4 2 14" xfId="30350" xr:uid="{00000000-0005-0000-0000-0000323A0000}"/>
    <cellStyle name="Data   - Style2 2 4 2 15" xfId="31341" xr:uid="{00000000-0005-0000-0000-0000333A0000}"/>
    <cellStyle name="Data   - Style2 2 4 2 16" xfId="32349" xr:uid="{00000000-0005-0000-0000-0000343A0000}"/>
    <cellStyle name="Data   - Style2 2 4 2 17" xfId="33352" xr:uid="{00000000-0005-0000-0000-0000353A0000}"/>
    <cellStyle name="Data   - Style2 2 4 2 18" xfId="34351" xr:uid="{00000000-0005-0000-0000-0000363A0000}"/>
    <cellStyle name="Data   - Style2 2 4 2 19" xfId="35972" xr:uid="{00000000-0005-0000-0000-0000373A0000}"/>
    <cellStyle name="Data   - Style2 2 4 2 2" xfId="16376" xr:uid="{00000000-0005-0000-0000-0000383A0000}"/>
    <cellStyle name="Data   - Style2 2 4 2 20" xfId="36911" xr:uid="{00000000-0005-0000-0000-0000393A0000}"/>
    <cellStyle name="Data   - Style2 2 4 2 3" xfId="17355" xr:uid="{00000000-0005-0000-0000-00003A3A0000}"/>
    <cellStyle name="Data   - Style2 2 4 2 4" xfId="18381" xr:uid="{00000000-0005-0000-0000-00003B3A0000}"/>
    <cellStyle name="Data   - Style2 2 4 2 5" xfId="19414" xr:uid="{00000000-0005-0000-0000-00003C3A0000}"/>
    <cellStyle name="Data   - Style2 2 4 2 6" xfId="20436" xr:uid="{00000000-0005-0000-0000-00003D3A0000}"/>
    <cellStyle name="Data   - Style2 2 4 2 7" xfId="21447" xr:uid="{00000000-0005-0000-0000-00003E3A0000}"/>
    <cellStyle name="Data   - Style2 2 4 2 8" xfId="22418" xr:uid="{00000000-0005-0000-0000-00003F3A0000}"/>
    <cellStyle name="Data   - Style2 2 4 2 9" xfId="23423" xr:uid="{00000000-0005-0000-0000-0000403A0000}"/>
    <cellStyle name="Data   - Style2 2 4 20" xfId="35971" xr:uid="{00000000-0005-0000-0000-0000413A0000}"/>
    <cellStyle name="Data   - Style2 2 4 21" xfId="36910" xr:uid="{00000000-0005-0000-0000-0000423A0000}"/>
    <cellStyle name="Data   - Style2 2 4 3" xfId="16375" xr:uid="{00000000-0005-0000-0000-0000433A0000}"/>
    <cellStyle name="Data   - Style2 2 4 4" xfId="17354" xr:uid="{00000000-0005-0000-0000-0000443A0000}"/>
    <cellStyle name="Data   - Style2 2 4 5" xfId="18380" xr:uid="{00000000-0005-0000-0000-0000453A0000}"/>
    <cellStyle name="Data   - Style2 2 4 6" xfId="19413" xr:uid="{00000000-0005-0000-0000-0000463A0000}"/>
    <cellStyle name="Data   - Style2 2 4 7" xfId="20435" xr:uid="{00000000-0005-0000-0000-0000473A0000}"/>
    <cellStyle name="Data   - Style2 2 4 8" xfId="21446" xr:uid="{00000000-0005-0000-0000-0000483A0000}"/>
    <cellStyle name="Data   - Style2 2 4 9" xfId="22417" xr:uid="{00000000-0005-0000-0000-0000493A0000}"/>
    <cellStyle name="Data   - Style2 2 5" xfId="4491" xr:uid="{00000000-0005-0000-0000-00004A3A0000}"/>
    <cellStyle name="Data   - Style2 2 5 10" xfId="23424" xr:uid="{00000000-0005-0000-0000-00004B3A0000}"/>
    <cellStyle name="Data   - Style2 2 5 11" xfId="24396" xr:uid="{00000000-0005-0000-0000-00004C3A0000}"/>
    <cellStyle name="Data   - Style2 2 5 12" xfId="25395" xr:uid="{00000000-0005-0000-0000-00004D3A0000}"/>
    <cellStyle name="Data   - Style2 2 5 13" xfId="28342" xr:uid="{00000000-0005-0000-0000-00004E3A0000}"/>
    <cellStyle name="Data   - Style2 2 5 14" xfId="29309" xr:uid="{00000000-0005-0000-0000-00004F3A0000}"/>
    <cellStyle name="Data   - Style2 2 5 15" xfId="30351" xr:uid="{00000000-0005-0000-0000-0000503A0000}"/>
    <cellStyle name="Data   - Style2 2 5 16" xfId="31342" xr:uid="{00000000-0005-0000-0000-0000513A0000}"/>
    <cellStyle name="Data   - Style2 2 5 17" xfId="32350" xr:uid="{00000000-0005-0000-0000-0000523A0000}"/>
    <cellStyle name="Data   - Style2 2 5 18" xfId="33353" xr:uid="{00000000-0005-0000-0000-0000533A0000}"/>
    <cellStyle name="Data   - Style2 2 5 19" xfId="34352" xr:uid="{00000000-0005-0000-0000-0000543A0000}"/>
    <cellStyle name="Data   - Style2 2 5 2" xfId="4492" xr:uid="{00000000-0005-0000-0000-0000553A0000}"/>
    <cellStyle name="Data   - Style2 2 5 2 10" xfId="24397" xr:uid="{00000000-0005-0000-0000-0000563A0000}"/>
    <cellStyle name="Data   - Style2 2 5 2 11" xfId="25396" xr:uid="{00000000-0005-0000-0000-0000573A0000}"/>
    <cellStyle name="Data   - Style2 2 5 2 12" xfId="28343" xr:uid="{00000000-0005-0000-0000-0000583A0000}"/>
    <cellStyle name="Data   - Style2 2 5 2 13" xfId="29310" xr:uid="{00000000-0005-0000-0000-0000593A0000}"/>
    <cellStyle name="Data   - Style2 2 5 2 14" xfId="30352" xr:uid="{00000000-0005-0000-0000-00005A3A0000}"/>
    <cellStyle name="Data   - Style2 2 5 2 15" xfId="31343" xr:uid="{00000000-0005-0000-0000-00005B3A0000}"/>
    <cellStyle name="Data   - Style2 2 5 2 16" xfId="32351" xr:uid="{00000000-0005-0000-0000-00005C3A0000}"/>
    <cellStyle name="Data   - Style2 2 5 2 17" xfId="33354" xr:uid="{00000000-0005-0000-0000-00005D3A0000}"/>
    <cellStyle name="Data   - Style2 2 5 2 18" xfId="34353" xr:uid="{00000000-0005-0000-0000-00005E3A0000}"/>
    <cellStyle name="Data   - Style2 2 5 2 19" xfId="35974" xr:uid="{00000000-0005-0000-0000-00005F3A0000}"/>
    <cellStyle name="Data   - Style2 2 5 2 2" xfId="16378" xr:uid="{00000000-0005-0000-0000-0000603A0000}"/>
    <cellStyle name="Data   - Style2 2 5 2 20" xfId="36913" xr:uid="{00000000-0005-0000-0000-0000613A0000}"/>
    <cellStyle name="Data   - Style2 2 5 2 3" xfId="17357" xr:uid="{00000000-0005-0000-0000-0000623A0000}"/>
    <cellStyle name="Data   - Style2 2 5 2 4" xfId="18383" xr:uid="{00000000-0005-0000-0000-0000633A0000}"/>
    <cellStyle name="Data   - Style2 2 5 2 5" xfId="19416" xr:uid="{00000000-0005-0000-0000-0000643A0000}"/>
    <cellStyle name="Data   - Style2 2 5 2 6" xfId="20438" xr:uid="{00000000-0005-0000-0000-0000653A0000}"/>
    <cellStyle name="Data   - Style2 2 5 2 7" xfId="21449" xr:uid="{00000000-0005-0000-0000-0000663A0000}"/>
    <cellStyle name="Data   - Style2 2 5 2 8" xfId="22420" xr:uid="{00000000-0005-0000-0000-0000673A0000}"/>
    <cellStyle name="Data   - Style2 2 5 2 9" xfId="23425" xr:uid="{00000000-0005-0000-0000-0000683A0000}"/>
    <cellStyle name="Data   - Style2 2 5 20" xfId="35973" xr:uid="{00000000-0005-0000-0000-0000693A0000}"/>
    <cellStyle name="Data   - Style2 2 5 21" xfId="36912" xr:uid="{00000000-0005-0000-0000-00006A3A0000}"/>
    <cellStyle name="Data   - Style2 2 5 3" xfId="16377" xr:uid="{00000000-0005-0000-0000-00006B3A0000}"/>
    <cellStyle name="Data   - Style2 2 5 4" xfId="17356" xr:uid="{00000000-0005-0000-0000-00006C3A0000}"/>
    <cellStyle name="Data   - Style2 2 5 5" xfId="18382" xr:uid="{00000000-0005-0000-0000-00006D3A0000}"/>
    <cellStyle name="Data   - Style2 2 5 6" xfId="19415" xr:uid="{00000000-0005-0000-0000-00006E3A0000}"/>
    <cellStyle name="Data   - Style2 2 5 7" xfId="20437" xr:uid="{00000000-0005-0000-0000-00006F3A0000}"/>
    <cellStyle name="Data   - Style2 2 5 8" xfId="21448" xr:uid="{00000000-0005-0000-0000-0000703A0000}"/>
    <cellStyle name="Data   - Style2 2 5 9" xfId="22419" xr:uid="{00000000-0005-0000-0000-0000713A0000}"/>
    <cellStyle name="Data   - Style2 2 6" xfId="4493" xr:uid="{00000000-0005-0000-0000-0000723A0000}"/>
    <cellStyle name="Data   - Style2 2 6 10" xfId="24398" xr:uid="{00000000-0005-0000-0000-0000733A0000}"/>
    <cellStyle name="Data   - Style2 2 6 11" xfId="25397" xr:uid="{00000000-0005-0000-0000-0000743A0000}"/>
    <cellStyle name="Data   - Style2 2 6 12" xfId="28344" xr:uid="{00000000-0005-0000-0000-0000753A0000}"/>
    <cellStyle name="Data   - Style2 2 6 13" xfId="29311" xr:uid="{00000000-0005-0000-0000-0000763A0000}"/>
    <cellStyle name="Data   - Style2 2 6 14" xfId="30353" xr:uid="{00000000-0005-0000-0000-0000773A0000}"/>
    <cellStyle name="Data   - Style2 2 6 15" xfId="31344" xr:uid="{00000000-0005-0000-0000-0000783A0000}"/>
    <cellStyle name="Data   - Style2 2 6 16" xfId="32352" xr:uid="{00000000-0005-0000-0000-0000793A0000}"/>
    <cellStyle name="Data   - Style2 2 6 17" xfId="33355" xr:uid="{00000000-0005-0000-0000-00007A3A0000}"/>
    <cellStyle name="Data   - Style2 2 6 18" xfId="34354" xr:uid="{00000000-0005-0000-0000-00007B3A0000}"/>
    <cellStyle name="Data   - Style2 2 6 19" xfId="35975" xr:uid="{00000000-0005-0000-0000-00007C3A0000}"/>
    <cellStyle name="Data   - Style2 2 6 2" xfId="16379" xr:uid="{00000000-0005-0000-0000-00007D3A0000}"/>
    <cellStyle name="Data   - Style2 2 6 20" xfId="36914" xr:uid="{00000000-0005-0000-0000-00007E3A0000}"/>
    <cellStyle name="Data   - Style2 2 6 3" xfId="17358" xr:uid="{00000000-0005-0000-0000-00007F3A0000}"/>
    <cellStyle name="Data   - Style2 2 6 4" xfId="18384" xr:uid="{00000000-0005-0000-0000-0000803A0000}"/>
    <cellStyle name="Data   - Style2 2 6 5" xfId="19417" xr:uid="{00000000-0005-0000-0000-0000813A0000}"/>
    <cellStyle name="Data   - Style2 2 6 6" xfId="20439" xr:uid="{00000000-0005-0000-0000-0000823A0000}"/>
    <cellStyle name="Data   - Style2 2 6 7" xfId="21450" xr:uid="{00000000-0005-0000-0000-0000833A0000}"/>
    <cellStyle name="Data   - Style2 2 6 8" xfId="22421" xr:uid="{00000000-0005-0000-0000-0000843A0000}"/>
    <cellStyle name="Data   - Style2 2 6 9" xfId="23426" xr:uid="{00000000-0005-0000-0000-0000853A0000}"/>
    <cellStyle name="Data   - Style2 2 7" xfId="13742" xr:uid="{00000000-0005-0000-0000-0000863A0000}"/>
    <cellStyle name="Data   - Style2 2 8" xfId="14802" xr:uid="{00000000-0005-0000-0000-0000873A0000}"/>
    <cellStyle name="Data   - Style2 2 9" xfId="13927" xr:uid="{00000000-0005-0000-0000-0000883A0000}"/>
    <cellStyle name="Data   - Style2 3" xfId="4494" xr:uid="{00000000-0005-0000-0000-0000893A0000}"/>
    <cellStyle name="Data   - Style2 3 10" xfId="15487" xr:uid="{00000000-0005-0000-0000-00008A3A0000}"/>
    <cellStyle name="Data   - Style2 3 11" xfId="26784" xr:uid="{00000000-0005-0000-0000-00008B3A0000}"/>
    <cellStyle name="Data   - Style2 3 12" xfId="26626" xr:uid="{00000000-0005-0000-0000-00008C3A0000}"/>
    <cellStyle name="Data   - Style2 3 13" xfId="26270" xr:uid="{00000000-0005-0000-0000-00008D3A0000}"/>
    <cellStyle name="Data   - Style2 3 2" xfId="4495" xr:uid="{00000000-0005-0000-0000-00008E3A0000}"/>
    <cellStyle name="Data   - Style2 3 2 10" xfId="23427" xr:uid="{00000000-0005-0000-0000-00008F3A0000}"/>
    <cellStyle name="Data   - Style2 3 2 11" xfId="24399" xr:uid="{00000000-0005-0000-0000-0000903A0000}"/>
    <cellStyle name="Data   - Style2 3 2 12" xfId="25398" xr:uid="{00000000-0005-0000-0000-0000913A0000}"/>
    <cellStyle name="Data   - Style2 3 2 13" xfId="28345" xr:uid="{00000000-0005-0000-0000-0000923A0000}"/>
    <cellStyle name="Data   - Style2 3 2 14" xfId="29312" xr:uid="{00000000-0005-0000-0000-0000933A0000}"/>
    <cellStyle name="Data   - Style2 3 2 15" xfId="30354" xr:uid="{00000000-0005-0000-0000-0000943A0000}"/>
    <cellStyle name="Data   - Style2 3 2 16" xfId="31345" xr:uid="{00000000-0005-0000-0000-0000953A0000}"/>
    <cellStyle name="Data   - Style2 3 2 17" xfId="32353" xr:uid="{00000000-0005-0000-0000-0000963A0000}"/>
    <cellStyle name="Data   - Style2 3 2 18" xfId="33356" xr:uid="{00000000-0005-0000-0000-0000973A0000}"/>
    <cellStyle name="Data   - Style2 3 2 19" xfId="34355" xr:uid="{00000000-0005-0000-0000-0000983A0000}"/>
    <cellStyle name="Data   - Style2 3 2 2" xfId="4496" xr:uid="{00000000-0005-0000-0000-0000993A0000}"/>
    <cellStyle name="Data   - Style2 3 2 2 10" xfId="24400" xr:uid="{00000000-0005-0000-0000-00009A3A0000}"/>
    <cellStyle name="Data   - Style2 3 2 2 11" xfId="25399" xr:uid="{00000000-0005-0000-0000-00009B3A0000}"/>
    <cellStyle name="Data   - Style2 3 2 2 12" xfId="28346" xr:uid="{00000000-0005-0000-0000-00009C3A0000}"/>
    <cellStyle name="Data   - Style2 3 2 2 13" xfId="29313" xr:uid="{00000000-0005-0000-0000-00009D3A0000}"/>
    <cellStyle name="Data   - Style2 3 2 2 14" xfId="30355" xr:uid="{00000000-0005-0000-0000-00009E3A0000}"/>
    <cellStyle name="Data   - Style2 3 2 2 15" xfId="31346" xr:uid="{00000000-0005-0000-0000-00009F3A0000}"/>
    <cellStyle name="Data   - Style2 3 2 2 16" xfId="32354" xr:uid="{00000000-0005-0000-0000-0000A03A0000}"/>
    <cellStyle name="Data   - Style2 3 2 2 17" xfId="33357" xr:uid="{00000000-0005-0000-0000-0000A13A0000}"/>
    <cellStyle name="Data   - Style2 3 2 2 18" xfId="34356" xr:uid="{00000000-0005-0000-0000-0000A23A0000}"/>
    <cellStyle name="Data   - Style2 3 2 2 19" xfId="35977" xr:uid="{00000000-0005-0000-0000-0000A33A0000}"/>
    <cellStyle name="Data   - Style2 3 2 2 2" xfId="16381" xr:uid="{00000000-0005-0000-0000-0000A43A0000}"/>
    <cellStyle name="Data   - Style2 3 2 2 20" xfId="36916" xr:uid="{00000000-0005-0000-0000-0000A53A0000}"/>
    <cellStyle name="Data   - Style2 3 2 2 3" xfId="17360" xr:uid="{00000000-0005-0000-0000-0000A63A0000}"/>
    <cellStyle name="Data   - Style2 3 2 2 4" xfId="18386" xr:uid="{00000000-0005-0000-0000-0000A73A0000}"/>
    <cellStyle name="Data   - Style2 3 2 2 5" xfId="19419" xr:uid="{00000000-0005-0000-0000-0000A83A0000}"/>
    <cellStyle name="Data   - Style2 3 2 2 6" xfId="20441" xr:uid="{00000000-0005-0000-0000-0000A93A0000}"/>
    <cellStyle name="Data   - Style2 3 2 2 7" xfId="21452" xr:uid="{00000000-0005-0000-0000-0000AA3A0000}"/>
    <cellStyle name="Data   - Style2 3 2 2 8" xfId="22423" xr:uid="{00000000-0005-0000-0000-0000AB3A0000}"/>
    <cellStyle name="Data   - Style2 3 2 2 9" xfId="23428" xr:uid="{00000000-0005-0000-0000-0000AC3A0000}"/>
    <cellStyle name="Data   - Style2 3 2 20" xfId="35976" xr:uid="{00000000-0005-0000-0000-0000AD3A0000}"/>
    <cellStyle name="Data   - Style2 3 2 21" xfId="36915" xr:uid="{00000000-0005-0000-0000-0000AE3A0000}"/>
    <cellStyle name="Data   - Style2 3 2 3" xfId="16380" xr:uid="{00000000-0005-0000-0000-0000AF3A0000}"/>
    <cellStyle name="Data   - Style2 3 2 4" xfId="17359" xr:uid="{00000000-0005-0000-0000-0000B03A0000}"/>
    <cellStyle name="Data   - Style2 3 2 5" xfId="18385" xr:uid="{00000000-0005-0000-0000-0000B13A0000}"/>
    <cellStyle name="Data   - Style2 3 2 6" xfId="19418" xr:uid="{00000000-0005-0000-0000-0000B23A0000}"/>
    <cellStyle name="Data   - Style2 3 2 7" xfId="20440" xr:uid="{00000000-0005-0000-0000-0000B33A0000}"/>
    <cellStyle name="Data   - Style2 3 2 8" xfId="21451" xr:uid="{00000000-0005-0000-0000-0000B43A0000}"/>
    <cellStyle name="Data   - Style2 3 2 9" xfId="22422" xr:uid="{00000000-0005-0000-0000-0000B53A0000}"/>
    <cellStyle name="Data   - Style2 3 3" xfId="4497" xr:uid="{00000000-0005-0000-0000-0000B63A0000}"/>
    <cellStyle name="Data   - Style2 3 3 10" xfId="23429" xr:uid="{00000000-0005-0000-0000-0000B73A0000}"/>
    <cellStyle name="Data   - Style2 3 3 11" xfId="24401" xr:uid="{00000000-0005-0000-0000-0000B83A0000}"/>
    <cellStyle name="Data   - Style2 3 3 12" xfId="25400" xr:uid="{00000000-0005-0000-0000-0000B93A0000}"/>
    <cellStyle name="Data   - Style2 3 3 13" xfId="28347" xr:uid="{00000000-0005-0000-0000-0000BA3A0000}"/>
    <cellStyle name="Data   - Style2 3 3 14" xfId="29314" xr:uid="{00000000-0005-0000-0000-0000BB3A0000}"/>
    <cellStyle name="Data   - Style2 3 3 15" xfId="30356" xr:uid="{00000000-0005-0000-0000-0000BC3A0000}"/>
    <cellStyle name="Data   - Style2 3 3 16" xfId="31347" xr:uid="{00000000-0005-0000-0000-0000BD3A0000}"/>
    <cellStyle name="Data   - Style2 3 3 17" xfId="32355" xr:uid="{00000000-0005-0000-0000-0000BE3A0000}"/>
    <cellStyle name="Data   - Style2 3 3 18" xfId="33358" xr:uid="{00000000-0005-0000-0000-0000BF3A0000}"/>
    <cellStyle name="Data   - Style2 3 3 19" xfId="34357" xr:uid="{00000000-0005-0000-0000-0000C03A0000}"/>
    <cellStyle name="Data   - Style2 3 3 2" xfId="4498" xr:uid="{00000000-0005-0000-0000-0000C13A0000}"/>
    <cellStyle name="Data   - Style2 3 3 2 10" xfId="24402" xr:uid="{00000000-0005-0000-0000-0000C23A0000}"/>
    <cellStyle name="Data   - Style2 3 3 2 11" xfId="25401" xr:uid="{00000000-0005-0000-0000-0000C33A0000}"/>
    <cellStyle name="Data   - Style2 3 3 2 12" xfId="28348" xr:uid="{00000000-0005-0000-0000-0000C43A0000}"/>
    <cellStyle name="Data   - Style2 3 3 2 13" xfId="29315" xr:uid="{00000000-0005-0000-0000-0000C53A0000}"/>
    <cellStyle name="Data   - Style2 3 3 2 14" xfId="30357" xr:uid="{00000000-0005-0000-0000-0000C63A0000}"/>
    <cellStyle name="Data   - Style2 3 3 2 15" xfId="31348" xr:uid="{00000000-0005-0000-0000-0000C73A0000}"/>
    <cellStyle name="Data   - Style2 3 3 2 16" xfId="32356" xr:uid="{00000000-0005-0000-0000-0000C83A0000}"/>
    <cellStyle name="Data   - Style2 3 3 2 17" xfId="33359" xr:uid="{00000000-0005-0000-0000-0000C93A0000}"/>
    <cellStyle name="Data   - Style2 3 3 2 18" xfId="34358" xr:uid="{00000000-0005-0000-0000-0000CA3A0000}"/>
    <cellStyle name="Data   - Style2 3 3 2 19" xfId="35979" xr:uid="{00000000-0005-0000-0000-0000CB3A0000}"/>
    <cellStyle name="Data   - Style2 3 3 2 2" xfId="16383" xr:uid="{00000000-0005-0000-0000-0000CC3A0000}"/>
    <cellStyle name="Data   - Style2 3 3 2 20" xfId="36918" xr:uid="{00000000-0005-0000-0000-0000CD3A0000}"/>
    <cellStyle name="Data   - Style2 3 3 2 3" xfId="17362" xr:uid="{00000000-0005-0000-0000-0000CE3A0000}"/>
    <cellStyle name="Data   - Style2 3 3 2 4" xfId="18388" xr:uid="{00000000-0005-0000-0000-0000CF3A0000}"/>
    <cellStyle name="Data   - Style2 3 3 2 5" xfId="19421" xr:uid="{00000000-0005-0000-0000-0000D03A0000}"/>
    <cellStyle name="Data   - Style2 3 3 2 6" xfId="20443" xr:uid="{00000000-0005-0000-0000-0000D13A0000}"/>
    <cellStyle name="Data   - Style2 3 3 2 7" xfId="21454" xr:uid="{00000000-0005-0000-0000-0000D23A0000}"/>
    <cellStyle name="Data   - Style2 3 3 2 8" xfId="22425" xr:uid="{00000000-0005-0000-0000-0000D33A0000}"/>
    <cellStyle name="Data   - Style2 3 3 2 9" xfId="23430" xr:uid="{00000000-0005-0000-0000-0000D43A0000}"/>
    <cellStyle name="Data   - Style2 3 3 20" xfId="35978" xr:uid="{00000000-0005-0000-0000-0000D53A0000}"/>
    <cellStyle name="Data   - Style2 3 3 21" xfId="36917" xr:uid="{00000000-0005-0000-0000-0000D63A0000}"/>
    <cellStyle name="Data   - Style2 3 3 3" xfId="16382" xr:uid="{00000000-0005-0000-0000-0000D73A0000}"/>
    <cellStyle name="Data   - Style2 3 3 4" xfId="17361" xr:uid="{00000000-0005-0000-0000-0000D83A0000}"/>
    <cellStyle name="Data   - Style2 3 3 5" xfId="18387" xr:uid="{00000000-0005-0000-0000-0000D93A0000}"/>
    <cellStyle name="Data   - Style2 3 3 6" xfId="19420" xr:uid="{00000000-0005-0000-0000-0000DA3A0000}"/>
    <cellStyle name="Data   - Style2 3 3 7" xfId="20442" xr:uid="{00000000-0005-0000-0000-0000DB3A0000}"/>
    <cellStyle name="Data   - Style2 3 3 8" xfId="21453" xr:uid="{00000000-0005-0000-0000-0000DC3A0000}"/>
    <cellStyle name="Data   - Style2 3 3 9" xfId="22424" xr:uid="{00000000-0005-0000-0000-0000DD3A0000}"/>
    <cellStyle name="Data   - Style2 3 4" xfId="4499" xr:uid="{00000000-0005-0000-0000-0000DE3A0000}"/>
    <cellStyle name="Data   - Style2 3 4 10" xfId="23431" xr:uid="{00000000-0005-0000-0000-0000DF3A0000}"/>
    <cellStyle name="Data   - Style2 3 4 11" xfId="24403" xr:uid="{00000000-0005-0000-0000-0000E03A0000}"/>
    <cellStyle name="Data   - Style2 3 4 12" xfId="25402" xr:uid="{00000000-0005-0000-0000-0000E13A0000}"/>
    <cellStyle name="Data   - Style2 3 4 13" xfId="28349" xr:uid="{00000000-0005-0000-0000-0000E23A0000}"/>
    <cellStyle name="Data   - Style2 3 4 14" xfId="29316" xr:uid="{00000000-0005-0000-0000-0000E33A0000}"/>
    <cellStyle name="Data   - Style2 3 4 15" xfId="30358" xr:uid="{00000000-0005-0000-0000-0000E43A0000}"/>
    <cellStyle name="Data   - Style2 3 4 16" xfId="31349" xr:uid="{00000000-0005-0000-0000-0000E53A0000}"/>
    <cellStyle name="Data   - Style2 3 4 17" xfId="32357" xr:uid="{00000000-0005-0000-0000-0000E63A0000}"/>
    <cellStyle name="Data   - Style2 3 4 18" xfId="33360" xr:uid="{00000000-0005-0000-0000-0000E73A0000}"/>
    <cellStyle name="Data   - Style2 3 4 19" xfId="34359" xr:uid="{00000000-0005-0000-0000-0000E83A0000}"/>
    <cellStyle name="Data   - Style2 3 4 2" xfId="4500" xr:uid="{00000000-0005-0000-0000-0000E93A0000}"/>
    <cellStyle name="Data   - Style2 3 4 2 10" xfId="24404" xr:uid="{00000000-0005-0000-0000-0000EA3A0000}"/>
    <cellStyle name="Data   - Style2 3 4 2 11" xfId="25403" xr:uid="{00000000-0005-0000-0000-0000EB3A0000}"/>
    <cellStyle name="Data   - Style2 3 4 2 12" xfId="28350" xr:uid="{00000000-0005-0000-0000-0000EC3A0000}"/>
    <cellStyle name="Data   - Style2 3 4 2 13" xfId="29317" xr:uid="{00000000-0005-0000-0000-0000ED3A0000}"/>
    <cellStyle name="Data   - Style2 3 4 2 14" xfId="30359" xr:uid="{00000000-0005-0000-0000-0000EE3A0000}"/>
    <cellStyle name="Data   - Style2 3 4 2 15" xfId="31350" xr:uid="{00000000-0005-0000-0000-0000EF3A0000}"/>
    <cellStyle name="Data   - Style2 3 4 2 16" xfId="32358" xr:uid="{00000000-0005-0000-0000-0000F03A0000}"/>
    <cellStyle name="Data   - Style2 3 4 2 17" xfId="33361" xr:uid="{00000000-0005-0000-0000-0000F13A0000}"/>
    <cellStyle name="Data   - Style2 3 4 2 18" xfId="34360" xr:uid="{00000000-0005-0000-0000-0000F23A0000}"/>
    <cellStyle name="Data   - Style2 3 4 2 19" xfId="35981" xr:uid="{00000000-0005-0000-0000-0000F33A0000}"/>
    <cellStyle name="Data   - Style2 3 4 2 2" xfId="16385" xr:uid="{00000000-0005-0000-0000-0000F43A0000}"/>
    <cellStyle name="Data   - Style2 3 4 2 20" xfId="36920" xr:uid="{00000000-0005-0000-0000-0000F53A0000}"/>
    <cellStyle name="Data   - Style2 3 4 2 3" xfId="17364" xr:uid="{00000000-0005-0000-0000-0000F63A0000}"/>
    <cellStyle name="Data   - Style2 3 4 2 4" xfId="18390" xr:uid="{00000000-0005-0000-0000-0000F73A0000}"/>
    <cellStyle name="Data   - Style2 3 4 2 5" xfId="19423" xr:uid="{00000000-0005-0000-0000-0000F83A0000}"/>
    <cellStyle name="Data   - Style2 3 4 2 6" xfId="20445" xr:uid="{00000000-0005-0000-0000-0000F93A0000}"/>
    <cellStyle name="Data   - Style2 3 4 2 7" xfId="21456" xr:uid="{00000000-0005-0000-0000-0000FA3A0000}"/>
    <cellStyle name="Data   - Style2 3 4 2 8" xfId="22427" xr:uid="{00000000-0005-0000-0000-0000FB3A0000}"/>
    <cellStyle name="Data   - Style2 3 4 2 9" xfId="23432" xr:uid="{00000000-0005-0000-0000-0000FC3A0000}"/>
    <cellStyle name="Data   - Style2 3 4 20" xfId="35980" xr:uid="{00000000-0005-0000-0000-0000FD3A0000}"/>
    <cellStyle name="Data   - Style2 3 4 21" xfId="36919" xr:uid="{00000000-0005-0000-0000-0000FE3A0000}"/>
    <cellStyle name="Data   - Style2 3 4 3" xfId="16384" xr:uid="{00000000-0005-0000-0000-0000FF3A0000}"/>
    <cellStyle name="Data   - Style2 3 4 4" xfId="17363" xr:uid="{00000000-0005-0000-0000-0000003B0000}"/>
    <cellStyle name="Data   - Style2 3 4 5" xfId="18389" xr:uid="{00000000-0005-0000-0000-0000013B0000}"/>
    <cellStyle name="Data   - Style2 3 4 6" xfId="19422" xr:uid="{00000000-0005-0000-0000-0000023B0000}"/>
    <cellStyle name="Data   - Style2 3 4 7" xfId="20444" xr:uid="{00000000-0005-0000-0000-0000033B0000}"/>
    <cellStyle name="Data   - Style2 3 4 8" xfId="21455" xr:uid="{00000000-0005-0000-0000-0000043B0000}"/>
    <cellStyle name="Data   - Style2 3 4 9" xfId="22426" xr:uid="{00000000-0005-0000-0000-0000053B0000}"/>
    <cellStyle name="Data   - Style2 3 5" xfId="4501" xr:uid="{00000000-0005-0000-0000-0000063B0000}"/>
    <cellStyle name="Data   - Style2 3 5 10" xfId="23433" xr:uid="{00000000-0005-0000-0000-0000073B0000}"/>
    <cellStyle name="Data   - Style2 3 5 11" xfId="24405" xr:uid="{00000000-0005-0000-0000-0000083B0000}"/>
    <cellStyle name="Data   - Style2 3 5 12" xfId="25404" xr:uid="{00000000-0005-0000-0000-0000093B0000}"/>
    <cellStyle name="Data   - Style2 3 5 13" xfId="28351" xr:uid="{00000000-0005-0000-0000-00000A3B0000}"/>
    <cellStyle name="Data   - Style2 3 5 14" xfId="29318" xr:uid="{00000000-0005-0000-0000-00000B3B0000}"/>
    <cellStyle name="Data   - Style2 3 5 15" xfId="30360" xr:uid="{00000000-0005-0000-0000-00000C3B0000}"/>
    <cellStyle name="Data   - Style2 3 5 16" xfId="31351" xr:uid="{00000000-0005-0000-0000-00000D3B0000}"/>
    <cellStyle name="Data   - Style2 3 5 17" xfId="32359" xr:uid="{00000000-0005-0000-0000-00000E3B0000}"/>
    <cellStyle name="Data   - Style2 3 5 18" xfId="33362" xr:uid="{00000000-0005-0000-0000-00000F3B0000}"/>
    <cellStyle name="Data   - Style2 3 5 19" xfId="34361" xr:uid="{00000000-0005-0000-0000-0000103B0000}"/>
    <cellStyle name="Data   - Style2 3 5 2" xfId="4502" xr:uid="{00000000-0005-0000-0000-0000113B0000}"/>
    <cellStyle name="Data   - Style2 3 5 2 10" xfId="24406" xr:uid="{00000000-0005-0000-0000-0000123B0000}"/>
    <cellStyle name="Data   - Style2 3 5 2 11" xfId="25405" xr:uid="{00000000-0005-0000-0000-0000133B0000}"/>
    <cellStyle name="Data   - Style2 3 5 2 12" xfId="28352" xr:uid="{00000000-0005-0000-0000-0000143B0000}"/>
    <cellStyle name="Data   - Style2 3 5 2 13" xfId="29319" xr:uid="{00000000-0005-0000-0000-0000153B0000}"/>
    <cellStyle name="Data   - Style2 3 5 2 14" xfId="30361" xr:uid="{00000000-0005-0000-0000-0000163B0000}"/>
    <cellStyle name="Data   - Style2 3 5 2 15" xfId="31352" xr:uid="{00000000-0005-0000-0000-0000173B0000}"/>
    <cellStyle name="Data   - Style2 3 5 2 16" xfId="32360" xr:uid="{00000000-0005-0000-0000-0000183B0000}"/>
    <cellStyle name="Data   - Style2 3 5 2 17" xfId="33363" xr:uid="{00000000-0005-0000-0000-0000193B0000}"/>
    <cellStyle name="Data   - Style2 3 5 2 18" xfId="34362" xr:uid="{00000000-0005-0000-0000-00001A3B0000}"/>
    <cellStyle name="Data   - Style2 3 5 2 19" xfId="35983" xr:uid="{00000000-0005-0000-0000-00001B3B0000}"/>
    <cellStyle name="Data   - Style2 3 5 2 2" xfId="16387" xr:uid="{00000000-0005-0000-0000-00001C3B0000}"/>
    <cellStyle name="Data   - Style2 3 5 2 20" xfId="36922" xr:uid="{00000000-0005-0000-0000-00001D3B0000}"/>
    <cellStyle name="Data   - Style2 3 5 2 3" xfId="17366" xr:uid="{00000000-0005-0000-0000-00001E3B0000}"/>
    <cellStyle name="Data   - Style2 3 5 2 4" xfId="18392" xr:uid="{00000000-0005-0000-0000-00001F3B0000}"/>
    <cellStyle name="Data   - Style2 3 5 2 5" xfId="19425" xr:uid="{00000000-0005-0000-0000-0000203B0000}"/>
    <cellStyle name="Data   - Style2 3 5 2 6" xfId="20447" xr:uid="{00000000-0005-0000-0000-0000213B0000}"/>
    <cellStyle name="Data   - Style2 3 5 2 7" xfId="21458" xr:uid="{00000000-0005-0000-0000-0000223B0000}"/>
    <cellStyle name="Data   - Style2 3 5 2 8" xfId="22429" xr:uid="{00000000-0005-0000-0000-0000233B0000}"/>
    <cellStyle name="Data   - Style2 3 5 2 9" xfId="23434" xr:uid="{00000000-0005-0000-0000-0000243B0000}"/>
    <cellStyle name="Data   - Style2 3 5 20" xfId="35982" xr:uid="{00000000-0005-0000-0000-0000253B0000}"/>
    <cellStyle name="Data   - Style2 3 5 21" xfId="36921" xr:uid="{00000000-0005-0000-0000-0000263B0000}"/>
    <cellStyle name="Data   - Style2 3 5 3" xfId="16386" xr:uid="{00000000-0005-0000-0000-0000273B0000}"/>
    <cellStyle name="Data   - Style2 3 5 4" xfId="17365" xr:uid="{00000000-0005-0000-0000-0000283B0000}"/>
    <cellStyle name="Data   - Style2 3 5 5" xfId="18391" xr:uid="{00000000-0005-0000-0000-0000293B0000}"/>
    <cellStyle name="Data   - Style2 3 5 6" xfId="19424" xr:uid="{00000000-0005-0000-0000-00002A3B0000}"/>
    <cellStyle name="Data   - Style2 3 5 7" xfId="20446" xr:uid="{00000000-0005-0000-0000-00002B3B0000}"/>
    <cellStyle name="Data   - Style2 3 5 8" xfId="21457" xr:uid="{00000000-0005-0000-0000-00002C3B0000}"/>
    <cellStyle name="Data   - Style2 3 5 9" xfId="22428" xr:uid="{00000000-0005-0000-0000-00002D3B0000}"/>
    <cellStyle name="Data   - Style2 3 6" xfId="4503" xr:uid="{00000000-0005-0000-0000-00002E3B0000}"/>
    <cellStyle name="Data   - Style2 3 6 10" xfId="24407" xr:uid="{00000000-0005-0000-0000-00002F3B0000}"/>
    <cellStyle name="Data   - Style2 3 6 11" xfId="25406" xr:uid="{00000000-0005-0000-0000-0000303B0000}"/>
    <cellStyle name="Data   - Style2 3 6 12" xfId="28353" xr:uid="{00000000-0005-0000-0000-0000313B0000}"/>
    <cellStyle name="Data   - Style2 3 6 13" xfId="29320" xr:uid="{00000000-0005-0000-0000-0000323B0000}"/>
    <cellStyle name="Data   - Style2 3 6 14" xfId="30362" xr:uid="{00000000-0005-0000-0000-0000333B0000}"/>
    <cellStyle name="Data   - Style2 3 6 15" xfId="31353" xr:uid="{00000000-0005-0000-0000-0000343B0000}"/>
    <cellStyle name="Data   - Style2 3 6 16" xfId="32361" xr:uid="{00000000-0005-0000-0000-0000353B0000}"/>
    <cellStyle name="Data   - Style2 3 6 17" xfId="33364" xr:uid="{00000000-0005-0000-0000-0000363B0000}"/>
    <cellStyle name="Data   - Style2 3 6 18" xfId="34363" xr:uid="{00000000-0005-0000-0000-0000373B0000}"/>
    <cellStyle name="Data   - Style2 3 6 19" xfId="35984" xr:uid="{00000000-0005-0000-0000-0000383B0000}"/>
    <cellStyle name="Data   - Style2 3 6 2" xfId="16388" xr:uid="{00000000-0005-0000-0000-0000393B0000}"/>
    <cellStyle name="Data   - Style2 3 6 20" xfId="36923" xr:uid="{00000000-0005-0000-0000-00003A3B0000}"/>
    <cellStyle name="Data   - Style2 3 6 3" xfId="17367" xr:uid="{00000000-0005-0000-0000-00003B3B0000}"/>
    <cellStyle name="Data   - Style2 3 6 4" xfId="18393" xr:uid="{00000000-0005-0000-0000-00003C3B0000}"/>
    <cellStyle name="Data   - Style2 3 6 5" xfId="19426" xr:uid="{00000000-0005-0000-0000-00003D3B0000}"/>
    <cellStyle name="Data   - Style2 3 6 6" xfId="20448" xr:uid="{00000000-0005-0000-0000-00003E3B0000}"/>
    <cellStyle name="Data   - Style2 3 6 7" xfId="21459" xr:uid="{00000000-0005-0000-0000-00003F3B0000}"/>
    <cellStyle name="Data   - Style2 3 6 8" xfId="22430" xr:uid="{00000000-0005-0000-0000-0000403B0000}"/>
    <cellStyle name="Data   - Style2 3 6 9" xfId="23435" xr:uid="{00000000-0005-0000-0000-0000413B0000}"/>
    <cellStyle name="Data   - Style2 3 7" xfId="13544" xr:uid="{00000000-0005-0000-0000-0000423B0000}"/>
    <cellStyle name="Data   - Style2 3 8" xfId="13925" xr:uid="{00000000-0005-0000-0000-0000433B0000}"/>
    <cellStyle name="Data   - Style2 3 9" xfId="15368" xr:uid="{00000000-0005-0000-0000-0000443B0000}"/>
    <cellStyle name="Data   - Style2 4" xfId="4504" xr:uid="{00000000-0005-0000-0000-0000453B0000}"/>
    <cellStyle name="Data   - Style2 4 10" xfId="13894" xr:uid="{00000000-0005-0000-0000-0000463B0000}"/>
    <cellStyle name="Data   - Style2 4 11" xfId="25971" xr:uid="{00000000-0005-0000-0000-0000473B0000}"/>
    <cellStyle name="Data   - Style2 4 12" xfId="26685" xr:uid="{00000000-0005-0000-0000-0000483B0000}"/>
    <cellStyle name="Data   - Style2 4 13" xfId="27445" xr:uid="{00000000-0005-0000-0000-0000493B0000}"/>
    <cellStyle name="Data   - Style2 4 2" xfId="4505" xr:uid="{00000000-0005-0000-0000-00004A3B0000}"/>
    <cellStyle name="Data   - Style2 4 2 10" xfId="23436" xr:uid="{00000000-0005-0000-0000-00004B3B0000}"/>
    <cellStyle name="Data   - Style2 4 2 11" xfId="24408" xr:uid="{00000000-0005-0000-0000-00004C3B0000}"/>
    <cellStyle name="Data   - Style2 4 2 12" xfId="25407" xr:uid="{00000000-0005-0000-0000-00004D3B0000}"/>
    <cellStyle name="Data   - Style2 4 2 13" xfId="28354" xr:uid="{00000000-0005-0000-0000-00004E3B0000}"/>
    <cellStyle name="Data   - Style2 4 2 14" xfId="29321" xr:uid="{00000000-0005-0000-0000-00004F3B0000}"/>
    <cellStyle name="Data   - Style2 4 2 15" xfId="30363" xr:uid="{00000000-0005-0000-0000-0000503B0000}"/>
    <cellStyle name="Data   - Style2 4 2 16" xfId="31354" xr:uid="{00000000-0005-0000-0000-0000513B0000}"/>
    <cellStyle name="Data   - Style2 4 2 17" xfId="32362" xr:uid="{00000000-0005-0000-0000-0000523B0000}"/>
    <cellStyle name="Data   - Style2 4 2 18" xfId="33365" xr:uid="{00000000-0005-0000-0000-0000533B0000}"/>
    <cellStyle name="Data   - Style2 4 2 19" xfId="34364" xr:uid="{00000000-0005-0000-0000-0000543B0000}"/>
    <cellStyle name="Data   - Style2 4 2 2" xfId="4506" xr:uid="{00000000-0005-0000-0000-0000553B0000}"/>
    <cellStyle name="Data   - Style2 4 2 2 10" xfId="24409" xr:uid="{00000000-0005-0000-0000-0000563B0000}"/>
    <cellStyle name="Data   - Style2 4 2 2 11" xfId="25408" xr:uid="{00000000-0005-0000-0000-0000573B0000}"/>
    <cellStyle name="Data   - Style2 4 2 2 12" xfId="28355" xr:uid="{00000000-0005-0000-0000-0000583B0000}"/>
    <cellStyle name="Data   - Style2 4 2 2 13" xfId="29322" xr:uid="{00000000-0005-0000-0000-0000593B0000}"/>
    <cellStyle name="Data   - Style2 4 2 2 14" xfId="30364" xr:uid="{00000000-0005-0000-0000-00005A3B0000}"/>
    <cellStyle name="Data   - Style2 4 2 2 15" xfId="31355" xr:uid="{00000000-0005-0000-0000-00005B3B0000}"/>
    <cellStyle name="Data   - Style2 4 2 2 16" xfId="32363" xr:uid="{00000000-0005-0000-0000-00005C3B0000}"/>
    <cellStyle name="Data   - Style2 4 2 2 17" xfId="33366" xr:uid="{00000000-0005-0000-0000-00005D3B0000}"/>
    <cellStyle name="Data   - Style2 4 2 2 18" xfId="34365" xr:uid="{00000000-0005-0000-0000-00005E3B0000}"/>
    <cellStyle name="Data   - Style2 4 2 2 19" xfId="35986" xr:uid="{00000000-0005-0000-0000-00005F3B0000}"/>
    <cellStyle name="Data   - Style2 4 2 2 2" xfId="16390" xr:uid="{00000000-0005-0000-0000-0000603B0000}"/>
    <cellStyle name="Data   - Style2 4 2 2 20" xfId="36925" xr:uid="{00000000-0005-0000-0000-0000613B0000}"/>
    <cellStyle name="Data   - Style2 4 2 2 3" xfId="17369" xr:uid="{00000000-0005-0000-0000-0000623B0000}"/>
    <cellStyle name="Data   - Style2 4 2 2 4" xfId="18395" xr:uid="{00000000-0005-0000-0000-0000633B0000}"/>
    <cellStyle name="Data   - Style2 4 2 2 5" xfId="19428" xr:uid="{00000000-0005-0000-0000-0000643B0000}"/>
    <cellStyle name="Data   - Style2 4 2 2 6" xfId="20450" xr:uid="{00000000-0005-0000-0000-0000653B0000}"/>
    <cellStyle name="Data   - Style2 4 2 2 7" xfId="21461" xr:uid="{00000000-0005-0000-0000-0000663B0000}"/>
    <cellStyle name="Data   - Style2 4 2 2 8" xfId="22432" xr:uid="{00000000-0005-0000-0000-0000673B0000}"/>
    <cellStyle name="Data   - Style2 4 2 2 9" xfId="23437" xr:uid="{00000000-0005-0000-0000-0000683B0000}"/>
    <cellStyle name="Data   - Style2 4 2 20" xfId="35985" xr:uid="{00000000-0005-0000-0000-0000693B0000}"/>
    <cellStyle name="Data   - Style2 4 2 21" xfId="36924" xr:uid="{00000000-0005-0000-0000-00006A3B0000}"/>
    <cellStyle name="Data   - Style2 4 2 3" xfId="16389" xr:uid="{00000000-0005-0000-0000-00006B3B0000}"/>
    <cellStyle name="Data   - Style2 4 2 4" xfId="17368" xr:uid="{00000000-0005-0000-0000-00006C3B0000}"/>
    <cellStyle name="Data   - Style2 4 2 5" xfId="18394" xr:uid="{00000000-0005-0000-0000-00006D3B0000}"/>
    <cellStyle name="Data   - Style2 4 2 6" xfId="19427" xr:uid="{00000000-0005-0000-0000-00006E3B0000}"/>
    <cellStyle name="Data   - Style2 4 2 7" xfId="20449" xr:uid="{00000000-0005-0000-0000-00006F3B0000}"/>
    <cellStyle name="Data   - Style2 4 2 8" xfId="21460" xr:uid="{00000000-0005-0000-0000-0000703B0000}"/>
    <cellStyle name="Data   - Style2 4 2 9" xfId="22431" xr:uid="{00000000-0005-0000-0000-0000713B0000}"/>
    <cellStyle name="Data   - Style2 4 3" xfId="4507" xr:uid="{00000000-0005-0000-0000-0000723B0000}"/>
    <cellStyle name="Data   - Style2 4 3 10" xfId="23438" xr:uid="{00000000-0005-0000-0000-0000733B0000}"/>
    <cellStyle name="Data   - Style2 4 3 11" xfId="24410" xr:uid="{00000000-0005-0000-0000-0000743B0000}"/>
    <cellStyle name="Data   - Style2 4 3 12" xfId="25409" xr:uid="{00000000-0005-0000-0000-0000753B0000}"/>
    <cellStyle name="Data   - Style2 4 3 13" xfId="28356" xr:uid="{00000000-0005-0000-0000-0000763B0000}"/>
    <cellStyle name="Data   - Style2 4 3 14" xfId="29323" xr:uid="{00000000-0005-0000-0000-0000773B0000}"/>
    <cellStyle name="Data   - Style2 4 3 15" xfId="30365" xr:uid="{00000000-0005-0000-0000-0000783B0000}"/>
    <cellStyle name="Data   - Style2 4 3 16" xfId="31356" xr:uid="{00000000-0005-0000-0000-0000793B0000}"/>
    <cellStyle name="Data   - Style2 4 3 17" xfId="32364" xr:uid="{00000000-0005-0000-0000-00007A3B0000}"/>
    <cellStyle name="Data   - Style2 4 3 18" xfId="33367" xr:uid="{00000000-0005-0000-0000-00007B3B0000}"/>
    <cellStyle name="Data   - Style2 4 3 19" xfId="34366" xr:uid="{00000000-0005-0000-0000-00007C3B0000}"/>
    <cellStyle name="Data   - Style2 4 3 2" xfId="4508" xr:uid="{00000000-0005-0000-0000-00007D3B0000}"/>
    <cellStyle name="Data   - Style2 4 3 2 10" xfId="24411" xr:uid="{00000000-0005-0000-0000-00007E3B0000}"/>
    <cellStyle name="Data   - Style2 4 3 2 11" xfId="25410" xr:uid="{00000000-0005-0000-0000-00007F3B0000}"/>
    <cellStyle name="Data   - Style2 4 3 2 12" xfId="28357" xr:uid="{00000000-0005-0000-0000-0000803B0000}"/>
    <cellStyle name="Data   - Style2 4 3 2 13" xfId="29324" xr:uid="{00000000-0005-0000-0000-0000813B0000}"/>
    <cellStyle name="Data   - Style2 4 3 2 14" xfId="30366" xr:uid="{00000000-0005-0000-0000-0000823B0000}"/>
    <cellStyle name="Data   - Style2 4 3 2 15" xfId="31357" xr:uid="{00000000-0005-0000-0000-0000833B0000}"/>
    <cellStyle name="Data   - Style2 4 3 2 16" xfId="32365" xr:uid="{00000000-0005-0000-0000-0000843B0000}"/>
    <cellStyle name="Data   - Style2 4 3 2 17" xfId="33368" xr:uid="{00000000-0005-0000-0000-0000853B0000}"/>
    <cellStyle name="Data   - Style2 4 3 2 18" xfId="34367" xr:uid="{00000000-0005-0000-0000-0000863B0000}"/>
    <cellStyle name="Data   - Style2 4 3 2 19" xfId="35988" xr:uid="{00000000-0005-0000-0000-0000873B0000}"/>
    <cellStyle name="Data   - Style2 4 3 2 2" xfId="16392" xr:uid="{00000000-0005-0000-0000-0000883B0000}"/>
    <cellStyle name="Data   - Style2 4 3 2 20" xfId="36927" xr:uid="{00000000-0005-0000-0000-0000893B0000}"/>
    <cellStyle name="Data   - Style2 4 3 2 3" xfId="17371" xr:uid="{00000000-0005-0000-0000-00008A3B0000}"/>
    <cellStyle name="Data   - Style2 4 3 2 4" xfId="18397" xr:uid="{00000000-0005-0000-0000-00008B3B0000}"/>
    <cellStyle name="Data   - Style2 4 3 2 5" xfId="19430" xr:uid="{00000000-0005-0000-0000-00008C3B0000}"/>
    <cellStyle name="Data   - Style2 4 3 2 6" xfId="20452" xr:uid="{00000000-0005-0000-0000-00008D3B0000}"/>
    <cellStyle name="Data   - Style2 4 3 2 7" xfId="21463" xr:uid="{00000000-0005-0000-0000-00008E3B0000}"/>
    <cellStyle name="Data   - Style2 4 3 2 8" xfId="22434" xr:uid="{00000000-0005-0000-0000-00008F3B0000}"/>
    <cellStyle name="Data   - Style2 4 3 2 9" xfId="23439" xr:uid="{00000000-0005-0000-0000-0000903B0000}"/>
    <cellStyle name="Data   - Style2 4 3 20" xfId="35987" xr:uid="{00000000-0005-0000-0000-0000913B0000}"/>
    <cellStyle name="Data   - Style2 4 3 21" xfId="36926" xr:uid="{00000000-0005-0000-0000-0000923B0000}"/>
    <cellStyle name="Data   - Style2 4 3 3" xfId="16391" xr:uid="{00000000-0005-0000-0000-0000933B0000}"/>
    <cellStyle name="Data   - Style2 4 3 4" xfId="17370" xr:uid="{00000000-0005-0000-0000-0000943B0000}"/>
    <cellStyle name="Data   - Style2 4 3 5" xfId="18396" xr:uid="{00000000-0005-0000-0000-0000953B0000}"/>
    <cellStyle name="Data   - Style2 4 3 6" xfId="19429" xr:uid="{00000000-0005-0000-0000-0000963B0000}"/>
    <cellStyle name="Data   - Style2 4 3 7" xfId="20451" xr:uid="{00000000-0005-0000-0000-0000973B0000}"/>
    <cellStyle name="Data   - Style2 4 3 8" xfId="21462" xr:uid="{00000000-0005-0000-0000-0000983B0000}"/>
    <cellStyle name="Data   - Style2 4 3 9" xfId="22433" xr:uid="{00000000-0005-0000-0000-0000993B0000}"/>
    <cellStyle name="Data   - Style2 4 4" xfId="4509" xr:uid="{00000000-0005-0000-0000-00009A3B0000}"/>
    <cellStyle name="Data   - Style2 4 4 10" xfId="23440" xr:uid="{00000000-0005-0000-0000-00009B3B0000}"/>
    <cellStyle name="Data   - Style2 4 4 11" xfId="24412" xr:uid="{00000000-0005-0000-0000-00009C3B0000}"/>
    <cellStyle name="Data   - Style2 4 4 12" xfId="25411" xr:uid="{00000000-0005-0000-0000-00009D3B0000}"/>
    <cellStyle name="Data   - Style2 4 4 13" xfId="28358" xr:uid="{00000000-0005-0000-0000-00009E3B0000}"/>
    <cellStyle name="Data   - Style2 4 4 14" xfId="29325" xr:uid="{00000000-0005-0000-0000-00009F3B0000}"/>
    <cellStyle name="Data   - Style2 4 4 15" xfId="30367" xr:uid="{00000000-0005-0000-0000-0000A03B0000}"/>
    <cellStyle name="Data   - Style2 4 4 16" xfId="31358" xr:uid="{00000000-0005-0000-0000-0000A13B0000}"/>
    <cellStyle name="Data   - Style2 4 4 17" xfId="32366" xr:uid="{00000000-0005-0000-0000-0000A23B0000}"/>
    <cellStyle name="Data   - Style2 4 4 18" xfId="33369" xr:uid="{00000000-0005-0000-0000-0000A33B0000}"/>
    <cellStyle name="Data   - Style2 4 4 19" xfId="34368" xr:uid="{00000000-0005-0000-0000-0000A43B0000}"/>
    <cellStyle name="Data   - Style2 4 4 2" xfId="4510" xr:uid="{00000000-0005-0000-0000-0000A53B0000}"/>
    <cellStyle name="Data   - Style2 4 4 2 10" xfId="24413" xr:uid="{00000000-0005-0000-0000-0000A63B0000}"/>
    <cellStyle name="Data   - Style2 4 4 2 11" xfId="25412" xr:uid="{00000000-0005-0000-0000-0000A73B0000}"/>
    <cellStyle name="Data   - Style2 4 4 2 12" xfId="28359" xr:uid="{00000000-0005-0000-0000-0000A83B0000}"/>
    <cellStyle name="Data   - Style2 4 4 2 13" xfId="29326" xr:uid="{00000000-0005-0000-0000-0000A93B0000}"/>
    <cellStyle name="Data   - Style2 4 4 2 14" xfId="30368" xr:uid="{00000000-0005-0000-0000-0000AA3B0000}"/>
    <cellStyle name="Data   - Style2 4 4 2 15" xfId="31359" xr:uid="{00000000-0005-0000-0000-0000AB3B0000}"/>
    <cellStyle name="Data   - Style2 4 4 2 16" xfId="32367" xr:uid="{00000000-0005-0000-0000-0000AC3B0000}"/>
    <cellStyle name="Data   - Style2 4 4 2 17" xfId="33370" xr:uid="{00000000-0005-0000-0000-0000AD3B0000}"/>
    <cellStyle name="Data   - Style2 4 4 2 18" xfId="34369" xr:uid="{00000000-0005-0000-0000-0000AE3B0000}"/>
    <cellStyle name="Data   - Style2 4 4 2 19" xfId="35990" xr:uid="{00000000-0005-0000-0000-0000AF3B0000}"/>
    <cellStyle name="Data   - Style2 4 4 2 2" xfId="16394" xr:uid="{00000000-0005-0000-0000-0000B03B0000}"/>
    <cellStyle name="Data   - Style2 4 4 2 20" xfId="36929" xr:uid="{00000000-0005-0000-0000-0000B13B0000}"/>
    <cellStyle name="Data   - Style2 4 4 2 3" xfId="17373" xr:uid="{00000000-0005-0000-0000-0000B23B0000}"/>
    <cellStyle name="Data   - Style2 4 4 2 4" xfId="18399" xr:uid="{00000000-0005-0000-0000-0000B33B0000}"/>
    <cellStyle name="Data   - Style2 4 4 2 5" xfId="19432" xr:uid="{00000000-0005-0000-0000-0000B43B0000}"/>
    <cellStyle name="Data   - Style2 4 4 2 6" xfId="20454" xr:uid="{00000000-0005-0000-0000-0000B53B0000}"/>
    <cellStyle name="Data   - Style2 4 4 2 7" xfId="21465" xr:uid="{00000000-0005-0000-0000-0000B63B0000}"/>
    <cellStyle name="Data   - Style2 4 4 2 8" xfId="22436" xr:uid="{00000000-0005-0000-0000-0000B73B0000}"/>
    <cellStyle name="Data   - Style2 4 4 2 9" xfId="23441" xr:uid="{00000000-0005-0000-0000-0000B83B0000}"/>
    <cellStyle name="Data   - Style2 4 4 20" xfId="35989" xr:uid="{00000000-0005-0000-0000-0000B93B0000}"/>
    <cellStyle name="Data   - Style2 4 4 21" xfId="36928" xr:uid="{00000000-0005-0000-0000-0000BA3B0000}"/>
    <cellStyle name="Data   - Style2 4 4 3" xfId="16393" xr:uid="{00000000-0005-0000-0000-0000BB3B0000}"/>
    <cellStyle name="Data   - Style2 4 4 4" xfId="17372" xr:uid="{00000000-0005-0000-0000-0000BC3B0000}"/>
    <cellStyle name="Data   - Style2 4 4 5" xfId="18398" xr:uid="{00000000-0005-0000-0000-0000BD3B0000}"/>
    <cellStyle name="Data   - Style2 4 4 6" xfId="19431" xr:uid="{00000000-0005-0000-0000-0000BE3B0000}"/>
    <cellStyle name="Data   - Style2 4 4 7" xfId="20453" xr:uid="{00000000-0005-0000-0000-0000BF3B0000}"/>
    <cellStyle name="Data   - Style2 4 4 8" xfId="21464" xr:uid="{00000000-0005-0000-0000-0000C03B0000}"/>
    <cellStyle name="Data   - Style2 4 4 9" xfId="22435" xr:uid="{00000000-0005-0000-0000-0000C13B0000}"/>
    <cellStyle name="Data   - Style2 4 5" xfId="4511" xr:uid="{00000000-0005-0000-0000-0000C23B0000}"/>
    <cellStyle name="Data   - Style2 4 5 10" xfId="23442" xr:uid="{00000000-0005-0000-0000-0000C33B0000}"/>
    <cellStyle name="Data   - Style2 4 5 11" xfId="24414" xr:uid="{00000000-0005-0000-0000-0000C43B0000}"/>
    <cellStyle name="Data   - Style2 4 5 12" xfId="25413" xr:uid="{00000000-0005-0000-0000-0000C53B0000}"/>
    <cellStyle name="Data   - Style2 4 5 13" xfId="28360" xr:uid="{00000000-0005-0000-0000-0000C63B0000}"/>
    <cellStyle name="Data   - Style2 4 5 14" xfId="29327" xr:uid="{00000000-0005-0000-0000-0000C73B0000}"/>
    <cellStyle name="Data   - Style2 4 5 15" xfId="30369" xr:uid="{00000000-0005-0000-0000-0000C83B0000}"/>
    <cellStyle name="Data   - Style2 4 5 16" xfId="31360" xr:uid="{00000000-0005-0000-0000-0000C93B0000}"/>
    <cellStyle name="Data   - Style2 4 5 17" xfId="32368" xr:uid="{00000000-0005-0000-0000-0000CA3B0000}"/>
    <cellStyle name="Data   - Style2 4 5 18" xfId="33371" xr:uid="{00000000-0005-0000-0000-0000CB3B0000}"/>
    <cellStyle name="Data   - Style2 4 5 19" xfId="34370" xr:uid="{00000000-0005-0000-0000-0000CC3B0000}"/>
    <cellStyle name="Data   - Style2 4 5 2" xfId="4512" xr:uid="{00000000-0005-0000-0000-0000CD3B0000}"/>
    <cellStyle name="Data   - Style2 4 5 2 10" xfId="24415" xr:uid="{00000000-0005-0000-0000-0000CE3B0000}"/>
    <cellStyle name="Data   - Style2 4 5 2 11" xfId="25414" xr:uid="{00000000-0005-0000-0000-0000CF3B0000}"/>
    <cellStyle name="Data   - Style2 4 5 2 12" xfId="28361" xr:uid="{00000000-0005-0000-0000-0000D03B0000}"/>
    <cellStyle name="Data   - Style2 4 5 2 13" xfId="29328" xr:uid="{00000000-0005-0000-0000-0000D13B0000}"/>
    <cellStyle name="Data   - Style2 4 5 2 14" xfId="30370" xr:uid="{00000000-0005-0000-0000-0000D23B0000}"/>
    <cellStyle name="Data   - Style2 4 5 2 15" xfId="31361" xr:uid="{00000000-0005-0000-0000-0000D33B0000}"/>
    <cellStyle name="Data   - Style2 4 5 2 16" xfId="32369" xr:uid="{00000000-0005-0000-0000-0000D43B0000}"/>
    <cellStyle name="Data   - Style2 4 5 2 17" xfId="33372" xr:uid="{00000000-0005-0000-0000-0000D53B0000}"/>
    <cellStyle name="Data   - Style2 4 5 2 18" xfId="34371" xr:uid="{00000000-0005-0000-0000-0000D63B0000}"/>
    <cellStyle name="Data   - Style2 4 5 2 19" xfId="35992" xr:uid="{00000000-0005-0000-0000-0000D73B0000}"/>
    <cellStyle name="Data   - Style2 4 5 2 2" xfId="16396" xr:uid="{00000000-0005-0000-0000-0000D83B0000}"/>
    <cellStyle name="Data   - Style2 4 5 2 20" xfId="36931" xr:uid="{00000000-0005-0000-0000-0000D93B0000}"/>
    <cellStyle name="Data   - Style2 4 5 2 3" xfId="17375" xr:uid="{00000000-0005-0000-0000-0000DA3B0000}"/>
    <cellStyle name="Data   - Style2 4 5 2 4" xfId="18401" xr:uid="{00000000-0005-0000-0000-0000DB3B0000}"/>
    <cellStyle name="Data   - Style2 4 5 2 5" xfId="19434" xr:uid="{00000000-0005-0000-0000-0000DC3B0000}"/>
    <cellStyle name="Data   - Style2 4 5 2 6" xfId="20456" xr:uid="{00000000-0005-0000-0000-0000DD3B0000}"/>
    <cellStyle name="Data   - Style2 4 5 2 7" xfId="21467" xr:uid="{00000000-0005-0000-0000-0000DE3B0000}"/>
    <cellStyle name="Data   - Style2 4 5 2 8" xfId="22438" xr:uid="{00000000-0005-0000-0000-0000DF3B0000}"/>
    <cellStyle name="Data   - Style2 4 5 2 9" xfId="23443" xr:uid="{00000000-0005-0000-0000-0000E03B0000}"/>
    <cellStyle name="Data   - Style2 4 5 20" xfId="35991" xr:uid="{00000000-0005-0000-0000-0000E13B0000}"/>
    <cellStyle name="Data   - Style2 4 5 21" xfId="36930" xr:uid="{00000000-0005-0000-0000-0000E23B0000}"/>
    <cellStyle name="Data   - Style2 4 5 3" xfId="16395" xr:uid="{00000000-0005-0000-0000-0000E33B0000}"/>
    <cellStyle name="Data   - Style2 4 5 4" xfId="17374" xr:uid="{00000000-0005-0000-0000-0000E43B0000}"/>
    <cellStyle name="Data   - Style2 4 5 5" xfId="18400" xr:uid="{00000000-0005-0000-0000-0000E53B0000}"/>
    <cellStyle name="Data   - Style2 4 5 6" xfId="19433" xr:uid="{00000000-0005-0000-0000-0000E63B0000}"/>
    <cellStyle name="Data   - Style2 4 5 7" xfId="20455" xr:uid="{00000000-0005-0000-0000-0000E73B0000}"/>
    <cellStyle name="Data   - Style2 4 5 8" xfId="21466" xr:uid="{00000000-0005-0000-0000-0000E83B0000}"/>
    <cellStyle name="Data   - Style2 4 5 9" xfId="22437" xr:uid="{00000000-0005-0000-0000-0000E93B0000}"/>
    <cellStyle name="Data   - Style2 4 6" xfId="4513" xr:uid="{00000000-0005-0000-0000-0000EA3B0000}"/>
    <cellStyle name="Data   - Style2 4 6 10" xfId="24416" xr:uid="{00000000-0005-0000-0000-0000EB3B0000}"/>
    <cellStyle name="Data   - Style2 4 6 11" xfId="25415" xr:uid="{00000000-0005-0000-0000-0000EC3B0000}"/>
    <cellStyle name="Data   - Style2 4 6 12" xfId="28362" xr:uid="{00000000-0005-0000-0000-0000ED3B0000}"/>
    <cellStyle name="Data   - Style2 4 6 13" xfId="29329" xr:uid="{00000000-0005-0000-0000-0000EE3B0000}"/>
    <cellStyle name="Data   - Style2 4 6 14" xfId="30371" xr:uid="{00000000-0005-0000-0000-0000EF3B0000}"/>
    <cellStyle name="Data   - Style2 4 6 15" xfId="31362" xr:uid="{00000000-0005-0000-0000-0000F03B0000}"/>
    <cellStyle name="Data   - Style2 4 6 16" xfId="32370" xr:uid="{00000000-0005-0000-0000-0000F13B0000}"/>
    <cellStyle name="Data   - Style2 4 6 17" xfId="33373" xr:uid="{00000000-0005-0000-0000-0000F23B0000}"/>
    <cellStyle name="Data   - Style2 4 6 18" xfId="34372" xr:uid="{00000000-0005-0000-0000-0000F33B0000}"/>
    <cellStyle name="Data   - Style2 4 6 19" xfId="35993" xr:uid="{00000000-0005-0000-0000-0000F43B0000}"/>
    <cellStyle name="Data   - Style2 4 6 2" xfId="16397" xr:uid="{00000000-0005-0000-0000-0000F53B0000}"/>
    <cellStyle name="Data   - Style2 4 6 20" xfId="36932" xr:uid="{00000000-0005-0000-0000-0000F63B0000}"/>
    <cellStyle name="Data   - Style2 4 6 3" xfId="17376" xr:uid="{00000000-0005-0000-0000-0000F73B0000}"/>
    <cellStyle name="Data   - Style2 4 6 4" xfId="18402" xr:uid="{00000000-0005-0000-0000-0000F83B0000}"/>
    <cellStyle name="Data   - Style2 4 6 5" xfId="19435" xr:uid="{00000000-0005-0000-0000-0000F93B0000}"/>
    <cellStyle name="Data   - Style2 4 6 6" xfId="20457" xr:uid="{00000000-0005-0000-0000-0000FA3B0000}"/>
    <cellStyle name="Data   - Style2 4 6 7" xfId="21468" xr:uid="{00000000-0005-0000-0000-0000FB3B0000}"/>
    <cellStyle name="Data   - Style2 4 6 8" xfId="22439" xr:uid="{00000000-0005-0000-0000-0000FC3B0000}"/>
    <cellStyle name="Data   - Style2 4 6 9" xfId="23444" xr:uid="{00000000-0005-0000-0000-0000FD3B0000}"/>
    <cellStyle name="Data   - Style2 4 7" xfId="15212" xr:uid="{00000000-0005-0000-0000-0000FE3B0000}"/>
    <cellStyle name="Data   - Style2 4 8" xfId="13827" xr:uid="{00000000-0005-0000-0000-0000FF3B0000}"/>
    <cellStyle name="Data   - Style2 4 9" xfId="14176" xr:uid="{00000000-0005-0000-0000-0000003C0000}"/>
    <cellStyle name="Data   - Style2 5" xfId="4514" xr:uid="{00000000-0005-0000-0000-0000013C0000}"/>
    <cellStyle name="Data   - Style2 5 10" xfId="15325" xr:uid="{00000000-0005-0000-0000-0000023C0000}"/>
    <cellStyle name="Data   - Style2 5 11" xfId="26201" xr:uid="{00000000-0005-0000-0000-0000033C0000}"/>
    <cellStyle name="Data   - Style2 5 12" xfId="27476" xr:uid="{00000000-0005-0000-0000-0000043C0000}"/>
    <cellStyle name="Data   - Style2 5 13" xfId="27752" xr:uid="{00000000-0005-0000-0000-0000053C0000}"/>
    <cellStyle name="Data   - Style2 5 2" xfId="4515" xr:uid="{00000000-0005-0000-0000-0000063C0000}"/>
    <cellStyle name="Data   - Style2 5 2 10" xfId="23445" xr:uid="{00000000-0005-0000-0000-0000073C0000}"/>
    <cellStyle name="Data   - Style2 5 2 11" xfId="24417" xr:uid="{00000000-0005-0000-0000-0000083C0000}"/>
    <cellStyle name="Data   - Style2 5 2 12" xfId="25416" xr:uid="{00000000-0005-0000-0000-0000093C0000}"/>
    <cellStyle name="Data   - Style2 5 2 13" xfId="28363" xr:uid="{00000000-0005-0000-0000-00000A3C0000}"/>
    <cellStyle name="Data   - Style2 5 2 14" xfId="29330" xr:uid="{00000000-0005-0000-0000-00000B3C0000}"/>
    <cellStyle name="Data   - Style2 5 2 15" xfId="30372" xr:uid="{00000000-0005-0000-0000-00000C3C0000}"/>
    <cellStyle name="Data   - Style2 5 2 16" xfId="31363" xr:uid="{00000000-0005-0000-0000-00000D3C0000}"/>
    <cellStyle name="Data   - Style2 5 2 17" xfId="32371" xr:uid="{00000000-0005-0000-0000-00000E3C0000}"/>
    <cellStyle name="Data   - Style2 5 2 18" xfId="33374" xr:uid="{00000000-0005-0000-0000-00000F3C0000}"/>
    <cellStyle name="Data   - Style2 5 2 19" xfId="34373" xr:uid="{00000000-0005-0000-0000-0000103C0000}"/>
    <cellStyle name="Data   - Style2 5 2 2" xfId="4516" xr:uid="{00000000-0005-0000-0000-0000113C0000}"/>
    <cellStyle name="Data   - Style2 5 2 2 10" xfId="24418" xr:uid="{00000000-0005-0000-0000-0000123C0000}"/>
    <cellStyle name="Data   - Style2 5 2 2 11" xfId="25417" xr:uid="{00000000-0005-0000-0000-0000133C0000}"/>
    <cellStyle name="Data   - Style2 5 2 2 12" xfId="28364" xr:uid="{00000000-0005-0000-0000-0000143C0000}"/>
    <cellStyle name="Data   - Style2 5 2 2 13" xfId="29331" xr:uid="{00000000-0005-0000-0000-0000153C0000}"/>
    <cellStyle name="Data   - Style2 5 2 2 14" xfId="30373" xr:uid="{00000000-0005-0000-0000-0000163C0000}"/>
    <cellStyle name="Data   - Style2 5 2 2 15" xfId="31364" xr:uid="{00000000-0005-0000-0000-0000173C0000}"/>
    <cellStyle name="Data   - Style2 5 2 2 16" xfId="32372" xr:uid="{00000000-0005-0000-0000-0000183C0000}"/>
    <cellStyle name="Data   - Style2 5 2 2 17" xfId="33375" xr:uid="{00000000-0005-0000-0000-0000193C0000}"/>
    <cellStyle name="Data   - Style2 5 2 2 18" xfId="34374" xr:uid="{00000000-0005-0000-0000-00001A3C0000}"/>
    <cellStyle name="Data   - Style2 5 2 2 19" xfId="35995" xr:uid="{00000000-0005-0000-0000-00001B3C0000}"/>
    <cellStyle name="Data   - Style2 5 2 2 2" xfId="16399" xr:uid="{00000000-0005-0000-0000-00001C3C0000}"/>
    <cellStyle name="Data   - Style2 5 2 2 20" xfId="36934" xr:uid="{00000000-0005-0000-0000-00001D3C0000}"/>
    <cellStyle name="Data   - Style2 5 2 2 3" xfId="17378" xr:uid="{00000000-0005-0000-0000-00001E3C0000}"/>
    <cellStyle name="Data   - Style2 5 2 2 4" xfId="18404" xr:uid="{00000000-0005-0000-0000-00001F3C0000}"/>
    <cellStyle name="Data   - Style2 5 2 2 5" xfId="19437" xr:uid="{00000000-0005-0000-0000-0000203C0000}"/>
    <cellStyle name="Data   - Style2 5 2 2 6" xfId="20459" xr:uid="{00000000-0005-0000-0000-0000213C0000}"/>
    <cellStyle name="Data   - Style2 5 2 2 7" xfId="21470" xr:uid="{00000000-0005-0000-0000-0000223C0000}"/>
    <cellStyle name="Data   - Style2 5 2 2 8" xfId="22441" xr:uid="{00000000-0005-0000-0000-0000233C0000}"/>
    <cellStyle name="Data   - Style2 5 2 2 9" xfId="23446" xr:uid="{00000000-0005-0000-0000-0000243C0000}"/>
    <cellStyle name="Data   - Style2 5 2 20" xfId="35994" xr:uid="{00000000-0005-0000-0000-0000253C0000}"/>
    <cellStyle name="Data   - Style2 5 2 21" xfId="36933" xr:uid="{00000000-0005-0000-0000-0000263C0000}"/>
    <cellStyle name="Data   - Style2 5 2 3" xfId="16398" xr:uid="{00000000-0005-0000-0000-0000273C0000}"/>
    <cellStyle name="Data   - Style2 5 2 4" xfId="17377" xr:uid="{00000000-0005-0000-0000-0000283C0000}"/>
    <cellStyle name="Data   - Style2 5 2 5" xfId="18403" xr:uid="{00000000-0005-0000-0000-0000293C0000}"/>
    <cellStyle name="Data   - Style2 5 2 6" xfId="19436" xr:uid="{00000000-0005-0000-0000-00002A3C0000}"/>
    <cellStyle name="Data   - Style2 5 2 7" xfId="20458" xr:uid="{00000000-0005-0000-0000-00002B3C0000}"/>
    <cellStyle name="Data   - Style2 5 2 8" xfId="21469" xr:uid="{00000000-0005-0000-0000-00002C3C0000}"/>
    <cellStyle name="Data   - Style2 5 2 9" xfId="22440" xr:uid="{00000000-0005-0000-0000-00002D3C0000}"/>
    <cellStyle name="Data   - Style2 5 3" xfId="4517" xr:uid="{00000000-0005-0000-0000-00002E3C0000}"/>
    <cellStyle name="Data   - Style2 5 3 10" xfId="23447" xr:uid="{00000000-0005-0000-0000-00002F3C0000}"/>
    <cellStyle name="Data   - Style2 5 3 11" xfId="24419" xr:uid="{00000000-0005-0000-0000-0000303C0000}"/>
    <cellStyle name="Data   - Style2 5 3 12" xfId="25418" xr:uid="{00000000-0005-0000-0000-0000313C0000}"/>
    <cellStyle name="Data   - Style2 5 3 13" xfId="28365" xr:uid="{00000000-0005-0000-0000-0000323C0000}"/>
    <cellStyle name="Data   - Style2 5 3 14" xfId="29332" xr:uid="{00000000-0005-0000-0000-0000333C0000}"/>
    <cellStyle name="Data   - Style2 5 3 15" xfId="30374" xr:uid="{00000000-0005-0000-0000-0000343C0000}"/>
    <cellStyle name="Data   - Style2 5 3 16" xfId="31365" xr:uid="{00000000-0005-0000-0000-0000353C0000}"/>
    <cellStyle name="Data   - Style2 5 3 17" xfId="32373" xr:uid="{00000000-0005-0000-0000-0000363C0000}"/>
    <cellStyle name="Data   - Style2 5 3 18" xfId="33376" xr:uid="{00000000-0005-0000-0000-0000373C0000}"/>
    <cellStyle name="Data   - Style2 5 3 19" xfId="34375" xr:uid="{00000000-0005-0000-0000-0000383C0000}"/>
    <cellStyle name="Data   - Style2 5 3 2" xfId="4518" xr:uid="{00000000-0005-0000-0000-0000393C0000}"/>
    <cellStyle name="Data   - Style2 5 3 2 10" xfId="24420" xr:uid="{00000000-0005-0000-0000-00003A3C0000}"/>
    <cellStyle name="Data   - Style2 5 3 2 11" xfId="25419" xr:uid="{00000000-0005-0000-0000-00003B3C0000}"/>
    <cellStyle name="Data   - Style2 5 3 2 12" xfId="28366" xr:uid="{00000000-0005-0000-0000-00003C3C0000}"/>
    <cellStyle name="Data   - Style2 5 3 2 13" xfId="29333" xr:uid="{00000000-0005-0000-0000-00003D3C0000}"/>
    <cellStyle name="Data   - Style2 5 3 2 14" xfId="30375" xr:uid="{00000000-0005-0000-0000-00003E3C0000}"/>
    <cellStyle name="Data   - Style2 5 3 2 15" xfId="31366" xr:uid="{00000000-0005-0000-0000-00003F3C0000}"/>
    <cellStyle name="Data   - Style2 5 3 2 16" xfId="32374" xr:uid="{00000000-0005-0000-0000-0000403C0000}"/>
    <cellStyle name="Data   - Style2 5 3 2 17" xfId="33377" xr:uid="{00000000-0005-0000-0000-0000413C0000}"/>
    <cellStyle name="Data   - Style2 5 3 2 18" xfId="34376" xr:uid="{00000000-0005-0000-0000-0000423C0000}"/>
    <cellStyle name="Data   - Style2 5 3 2 19" xfId="35997" xr:uid="{00000000-0005-0000-0000-0000433C0000}"/>
    <cellStyle name="Data   - Style2 5 3 2 2" xfId="16401" xr:uid="{00000000-0005-0000-0000-0000443C0000}"/>
    <cellStyle name="Data   - Style2 5 3 2 20" xfId="36936" xr:uid="{00000000-0005-0000-0000-0000453C0000}"/>
    <cellStyle name="Data   - Style2 5 3 2 3" xfId="17380" xr:uid="{00000000-0005-0000-0000-0000463C0000}"/>
    <cellStyle name="Data   - Style2 5 3 2 4" xfId="18406" xr:uid="{00000000-0005-0000-0000-0000473C0000}"/>
    <cellStyle name="Data   - Style2 5 3 2 5" xfId="19439" xr:uid="{00000000-0005-0000-0000-0000483C0000}"/>
    <cellStyle name="Data   - Style2 5 3 2 6" xfId="20461" xr:uid="{00000000-0005-0000-0000-0000493C0000}"/>
    <cellStyle name="Data   - Style2 5 3 2 7" xfId="21472" xr:uid="{00000000-0005-0000-0000-00004A3C0000}"/>
    <cellStyle name="Data   - Style2 5 3 2 8" xfId="22443" xr:uid="{00000000-0005-0000-0000-00004B3C0000}"/>
    <cellStyle name="Data   - Style2 5 3 2 9" xfId="23448" xr:uid="{00000000-0005-0000-0000-00004C3C0000}"/>
    <cellStyle name="Data   - Style2 5 3 20" xfId="35996" xr:uid="{00000000-0005-0000-0000-00004D3C0000}"/>
    <cellStyle name="Data   - Style2 5 3 21" xfId="36935" xr:uid="{00000000-0005-0000-0000-00004E3C0000}"/>
    <cellStyle name="Data   - Style2 5 3 3" xfId="16400" xr:uid="{00000000-0005-0000-0000-00004F3C0000}"/>
    <cellStyle name="Data   - Style2 5 3 4" xfId="17379" xr:uid="{00000000-0005-0000-0000-0000503C0000}"/>
    <cellStyle name="Data   - Style2 5 3 5" xfId="18405" xr:uid="{00000000-0005-0000-0000-0000513C0000}"/>
    <cellStyle name="Data   - Style2 5 3 6" xfId="19438" xr:uid="{00000000-0005-0000-0000-0000523C0000}"/>
    <cellStyle name="Data   - Style2 5 3 7" xfId="20460" xr:uid="{00000000-0005-0000-0000-0000533C0000}"/>
    <cellStyle name="Data   - Style2 5 3 8" xfId="21471" xr:uid="{00000000-0005-0000-0000-0000543C0000}"/>
    <cellStyle name="Data   - Style2 5 3 9" xfId="22442" xr:uid="{00000000-0005-0000-0000-0000553C0000}"/>
    <cellStyle name="Data   - Style2 5 4" xfId="4519" xr:uid="{00000000-0005-0000-0000-0000563C0000}"/>
    <cellStyle name="Data   - Style2 5 4 10" xfId="23449" xr:uid="{00000000-0005-0000-0000-0000573C0000}"/>
    <cellStyle name="Data   - Style2 5 4 11" xfId="24421" xr:uid="{00000000-0005-0000-0000-0000583C0000}"/>
    <cellStyle name="Data   - Style2 5 4 12" xfId="25420" xr:uid="{00000000-0005-0000-0000-0000593C0000}"/>
    <cellStyle name="Data   - Style2 5 4 13" xfId="28367" xr:uid="{00000000-0005-0000-0000-00005A3C0000}"/>
    <cellStyle name="Data   - Style2 5 4 14" xfId="29334" xr:uid="{00000000-0005-0000-0000-00005B3C0000}"/>
    <cellStyle name="Data   - Style2 5 4 15" xfId="30376" xr:uid="{00000000-0005-0000-0000-00005C3C0000}"/>
    <cellStyle name="Data   - Style2 5 4 16" xfId="31367" xr:uid="{00000000-0005-0000-0000-00005D3C0000}"/>
    <cellStyle name="Data   - Style2 5 4 17" xfId="32375" xr:uid="{00000000-0005-0000-0000-00005E3C0000}"/>
    <cellStyle name="Data   - Style2 5 4 18" xfId="33378" xr:uid="{00000000-0005-0000-0000-00005F3C0000}"/>
    <cellStyle name="Data   - Style2 5 4 19" xfId="34377" xr:uid="{00000000-0005-0000-0000-0000603C0000}"/>
    <cellStyle name="Data   - Style2 5 4 2" xfId="4520" xr:uid="{00000000-0005-0000-0000-0000613C0000}"/>
    <cellStyle name="Data   - Style2 5 4 2 10" xfId="24422" xr:uid="{00000000-0005-0000-0000-0000623C0000}"/>
    <cellStyle name="Data   - Style2 5 4 2 11" xfId="25421" xr:uid="{00000000-0005-0000-0000-0000633C0000}"/>
    <cellStyle name="Data   - Style2 5 4 2 12" xfId="28368" xr:uid="{00000000-0005-0000-0000-0000643C0000}"/>
    <cellStyle name="Data   - Style2 5 4 2 13" xfId="29335" xr:uid="{00000000-0005-0000-0000-0000653C0000}"/>
    <cellStyle name="Data   - Style2 5 4 2 14" xfId="30377" xr:uid="{00000000-0005-0000-0000-0000663C0000}"/>
    <cellStyle name="Data   - Style2 5 4 2 15" xfId="31368" xr:uid="{00000000-0005-0000-0000-0000673C0000}"/>
    <cellStyle name="Data   - Style2 5 4 2 16" xfId="32376" xr:uid="{00000000-0005-0000-0000-0000683C0000}"/>
    <cellStyle name="Data   - Style2 5 4 2 17" xfId="33379" xr:uid="{00000000-0005-0000-0000-0000693C0000}"/>
    <cellStyle name="Data   - Style2 5 4 2 18" xfId="34378" xr:uid="{00000000-0005-0000-0000-00006A3C0000}"/>
    <cellStyle name="Data   - Style2 5 4 2 19" xfId="35999" xr:uid="{00000000-0005-0000-0000-00006B3C0000}"/>
    <cellStyle name="Data   - Style2 5 4 2 2" xfId="16403" xr:uid="{00000000-0005-0000-0000-00006C3C0000}"/>
    <cellStyle name="Data   - Style2 5 4 2 20" xfId="36938" xr:uid="{00000000-0005-0000-0000-00006D3C0000}"/>
    <cellStyle name="Data   - Style2 5 4 2 3" xfId="17382" xr:uid="{00000000-0005-0000-0000-00006E3C0000}"/>
    <cellStyle name="Data   - Style2 5 4 2 4" xfId="18408" xr:uid="{00000000-0005-0000-0000-00006F3C0000}"/>
    <cellStyle name="Data   - Style2 5 4 2 5" xfId="19441" xr:uid="{00000000-0005-0000-0000-0000703C0000}"/>
    <cellStyle name="Data   - Style2 5 4 2 6" xfId="20463" xr:uid="{00000000-0005-0000-0000-0000713C0000}"/>
    <cellStyle name="Data   - Style2 5 4 2 7" xfId="21474" xr:uid="{00000000-0005-0000-0000-0000723C0000}"/>
    <cellStyle name="Data   - Style2 5 4 2 8" xfId="22445" xr:uid="{00000000-0005-0000-0000-0000733C0000}"/>
    <cellStyle name="Data   - Style2 5 4 2 9" xfId="23450" xr:uid="{00000000-0005-0000-0000-0000743C0000}"/>
    <cellStyle name="Data   - Style2 5 4 20" xfId="35998" xr:uid="{00000000-0005-0000-0000-0000753C0000}"/>
    <cellStyle name="Data   - Style2 5 4 21" xfId="36937" xr:uid="{00000000-0005-0000-0000-0000763C0000}"/>
    <cellStyle name="Data   - Style2 5 4 3" xfId="16402" xr:uid="{00000000-0005-0000-0000-0000773C0000}"/>
    <cellStyle name="Data   - Style2 5 4 4" xfId="17381" xr:uid="{00000000-0005-0000-0000-0000783C0000}"/>
    <cellStyle name="Data   - Style2 5 4 5" xfId="18407" xr:uid="{00000000-0005-0000-0000-0000793C0000}"/>
    <cellStyle name="Data   - Style2 5 4 6" xfId="19440" xr:uid="{00000000-0005-0000-0000-00007A3C0000}"/>
    <cellStyle name="Data   - Style2 5 4 7" xfId="20462" xr:uid="{00000000-0005-0000-0000-00007B3C0000}"/>
    <cellStyle name="Data   - Style2 5 4 8" xfId="21473" xr:uid="{00000000-0005-0000-0000-00007C3C0000}"/>
    <cellStyle name="Data   - Style2 5 4 9" xfId="22444" xr:uid="{00000000-0005-0000-0000-00007D3C0000}"/>
    <cellStyle name="Data   - Style2 5 5" xfId="4521" xr:uid="{00000000-0005-0000-0000-00007E3C0000}"/>
    <cellStyle name="Data   - Style2 5 5 10" xfId="23451" xr:uid="{00000000-0005-0000-0000-00007F3C0000}"/>
    <cellStyle name="Data   - Style2 5 5 11" xfId="24423" xr:uid="{00000000-0005-0000-0000-0000803C0000}"/>
    <cellStyle name="Data   - Style2 5 5 12" xfId="25422" xr:uid="{00000000-0005-0000-0000-0000813C0000}"/>
    <cellStyle name="Data   - Style2 5 5 13" xfId="28369" xr:uid="{00000000-0005-0000-0000-0000823C0000}"/>
    <cellStyle name="Data   - Style2 5 5 14" xfId="29336" xr:uid="{00000000-0005-0000-0000-0000833C0000}"/>
    <cellStyle name="Data   - Style2 5 5 15" xfId="30378" xr:uid="{00000000-0005-0000-0000-0000843C0000}"/>
    <cellStyle name="Data   - Style2 5 5 16" xfId="31369" xr:uid="{00000000-0005-0000-0000-0000853C0000}"/>
    <cellStyle name="Data   - Style2 5 5 17" xfId="32377" xr:uid="{00000000-0005-0000-0000-0000863C0000}"/>
    <cellStyle name="Data   - Style2 5 5 18" xfId="33380" xr:uid="{00000000-0005-0000-0000-0000873C0000}"/>
    <cellStyle name="Data   - Style2 5 5 19" xfId="34379" xr:uid="{00000000-0005-0000-0000-0000883C0000}"/>
    <cellStyle name="Data   - Style2 5 5 2" xfId="4522" xr:uid="{00000000-0005-0000-0000-0000893C0000}"/>
    <cellStyle name="Data   - Style2 5 5 2 10" xfId="24424" xr:uid="{00000000-0005-0000-0000-00008A3C0000}"/>
    <cellStyle name="Data   - Style2 5 5 2 11" xfId="25423" xr:uid="{00000000-0005-0000-0000-00008B3C0000}"/>
    <cellStyle name="Data   - Style2 5 5 2 12" xfId="28370" xr:uid="{00000000-0005-0000-0000-00008C3C0000}"/>
    <cellStyle name="Data   - Style2 5 5 2 13" xfId="29337" xr:uid="{00000000-0005-0000-0000-00008D3C0000}"/>
    <cellStyle name="Data   - Style2 5 5 2 14" xfId="30379" xr:uid="{00000000-0005-0000-0000-00008E3C0000}"/>
    <cellStyle name="Data   - Style2 5 5 2 15" xfId="31370" xr:uid="{00000000-0005-0000-0000-00008F3C0000}"/>
    <cellStyle name="Data   - Style2 5 5 2 16" xfId="32378" xr:uid="{00000000-0005-0000-0000-0000903C0000}"/>
    <cellStyle name="Data   - Style2 5 5 2 17" xfId="33381" xr:uid="{00000000-0005-0000-0000-0000913C0000}"/>
    <cellStyle name="Data   - Style2 5 5 2 18" xfId="34380" xr:uid="{00000000-0005-0000-0000-0000923C0000}"/>
    <cellStyle name="Data   - Style2 5 5 2 19" xfId="36001" xr:uid="{00000000-0005-0000-0000-0000933C0000}"/>
    <cellStyle name="Data   - Style2 5 5 2 2" xfId="16405" xr:uid="{00000000-0005-0000-0000-0000943C0000}"/>
    <cellStyle name="Data   - Style2 5 5 2 20" xfId="36940" xr:uid="{00000000-0005-0000-0000-0000953C0000}"/>
    <cellStyle name="Data   - Style2 5 5 2 3" xfId="17384" xr:uid="{00000000-0005-0000-0000-0000963C0000}"/>
    <cellStyle name="Data   - Style2 5 5 2 4" xfId="18410" xr:uid="{00000000-0005-0000-0000-0000973C0000}"/>
    <cellStyle name="Data   - Style2 5 5 2 5" xfId="19443" xr:uid="{00000000-0005-0000-0000-0000983C0000}"/>
    <cellStyle name="Data   - Style2 5 5 2 6" xfId="20465" xr:uid="{00000000-0005-0000-0000-0000993C0000}"/>
    <cellStyle name="Data   - Style2 5 5 2 7" xfId="21476" xr:uid="{00000000-0005-0000-0000-00009A3C0000}"/>
    <cellStyle name="Data   - Style2 5 5 2 8" xfId="22447" xr:uid="{00000000-0005-0000-0000-00009B3C0000}"/>
    <cellStyle name="Data   - Style2 5 5 2 9" xfId="23452" xr:uid="{00000000-0005-0000-0000-00009C3C0000}"/>
    <cellStyle name="Data   - Style2 5 5 20" xfId="36000" xr:uid="{00000000-0005-0000-0000-00009D3C0000}"/>
    <cellStyle name="Data   - Style2 5 5 21" xfId="36939" xr:uid="{00000000-0005-0000-0000-00009E3C0000}"/>
    <cellStyle name="Data   - Style2 5 5 3" xfId="16404" xr:uid="{00000000-0005-0000-0000-00009F3C0000}"/>
    <cellStyle name="Data   - Style2 5 5 4" xfId="17383" xr:uid="{00000000-0005-0000-0000-0000A03C0000}"/>
    <cellStyle name="Data   - Style2 5 5 5" xfId="18409" xr:uid="{00000000-0005-0000-0000-0000A13C0000}"/>
    <cellStyle name="Data   - Style2 5 5 6" xfId="19442" xr:uid="{00000000-0005-0000-0000-0000A23C0000}"/>
    <cellStyle name="Data   - Style2 5 5 7" xfId="20464" xr:uid="{00000000-0005-0000-0000-0000A33C0000}"/>
    <cellStyle name="Data   - Style2 5 5 8" xfId="21475" xr:uid="{00000000-0005-0000-0000-0000A43C0000}"/>
    <cellStyle name="Data   - Style2 5 5 9" xfId="22446" xr:uid="{00000000-0005-0000-0000-0000A53C0000}"/>
    <cellStyle name="Data   - Style2 5 6" xfId="4523" xr:uid="{00000000-0005-0000-0000-0000A63C0000}"/>
    <cellStyle name="Data   - Style2 5 6 10" xfId="24425" xr:uid="{00000000-0005-0000-0000-0000A73C0000}"/>
    <cellStyle name="Data   - Style2 5 6 11" xfId="25424" xr:uid="{00000000-0005-0000-0000-0000A83C0000}"/>
    <cellStyle name="Data   - Style2 5 6 12" xfId="28371" xr:uid="{00000000-0005-0000-0000-0000A93C0000}"/>
    <cellStyle name="Data   - Style2 5 6 13" xfId="29338" xr:uid="{00000000-0005-0000-0000-0000AA3C0000}"/>
    <cellStyle name="Data   - Style2 5 6 14" xfId="30380" xr:uid="{00000000-0005-0000-0000-0000AB3C0000}"/>
    <cellStyle name="Data   - Style2 5 6 15" xfId="31371" xr:uid="{00000000-0005-0000-0000-0000AC3C0000}"/>
    <cellStyle name="Data   - Style2 5 6 16" xfId="32379" xr:uid="{00000000-0005-0000-0000-0000AD3C0000}"/>
    <cellStyle name="Data   - Style2 5 6 17" xfId="33382" xr:uid="{00000000-0005-0000-0000-0000AE3C0000}"/>
    <cellStyle name="Data   - Style2 5 6 18" xfId="34381" xr:uid="{00000000-0005-0000-0000-0000AF3C0000}"/>
    <cellStyle name="Data   - Style2 5 6 19" xfId="36002" xr:uid="{00000000-0005-0000-0000-0000B03C0000}"/>
    <cellStyle name="Data   - Style2 5 6 2" xfId="16406" xr:uid="{00000000-0005-0000-0000-0000B13C0000}"/>
    <cellStyle name="Data   - Style2 5 6 20" xfId="36941" xr:uid="{00000000-0005-0000-0000-0000B23C0000}"/>
    <cellStyle name="Data   - Style2 5 6 3" xfId="17385" xr:uid="{00000000-0005-0000-0000-0000B33C0000}"/>
    <cellStyle name="Data   - Style2 5 6 4" xfId="18411" xr:uid="{00000000-0005-0000-0000-0000B43C0000}"/>
    <cellStyle name="Data   - Style2 5 6 5" xfId="19444" xr:uid="{00000000-0005-0000-0000-0000B53C0000}"/>
    <cellStyle name="Data   - Style2 5 6 6" xfId="20466" xr:uid="{00000000-0005-0000-0000-0000B63C0000}"/>
    <cellStyle name="Data   - Style2 5 6 7" xfId="21477" xr:uid="{00000000-0005-0000-0000-0000B73C0000}"/>
    <cellStyle name="Data   - Style2 5 6 8" xfId="22448" xr:uid="{00000000-0005-0000-0000-0000B83C0000}"/>
    <cellStyle name="Data   - Style2 5 6 9" xfId="23453" xr:uid="{00000000-0005-0000-0000-0000B93C0000}"/>
    <cellStyle name="Data   - Style2 5 7" xfId="15201" xr:uid="{00000000-0005-0000-0000-0000BA3C0000}"/>
    <cellStyle name="Data   - Style2 5 8" xfId="14506" xr:uid="{00000000-0005-0000-0000-0000BB3C0000}"/>
    <cellStyle name="Data   - Style2 5 9" xfId="13415" xr:uid="{00000000-0005-0000-0000-0000BC3C0000}"/>
    <cellStyle name="Data   - Style2 6" xfId="4524" xr:uid="{00000000-0005-0000-0000-0000BD3C0000}"/>
    <cellStyle name="Data   - Style2 6 10" xfId="23454" xr:uid="{00000000-0005-0000-0000-0000BE3C0000}"/>
    <cellStyle name="Data   - Style2 6 11" xfId="24426" xr:uid="{00000000-0005-0000-0000-0000BF3C0000}"/>
    <cellStyle name="Data   - Style2 6 12" xfId="25425" xr:uid="{00000000-0005-0000-0000-0000C03C0000}"/>
    <cellStyle name="Data   - Style2 6 13" xfId="28372" xr:uid="{00000000-0005-0000-0000-0000C13C0000}"/>
    <cellStyle name="Data   - Style2 6 14" xfId="29339" xr:uid="{00000000-0005-0000-0000-0000C23C0000}"/>
    <cellStyle name="Data   - Style2 6 15" xfId="30381" xr:uid="{00000000-0005-0000-0000-0000C33C0000}"/>
    <cellStyle name="Data   - Style2 6 16" xfId="31372" xr:uid="{00000000-0005-0000-0000-0000C43C0000}"/>
    <cellStyle name="Data   - Style2 6 17" xfId="32380" xr:uid="{00000000-0005-0000-0000-0000C53C0000}"/>
    <cellStyle name="Data   - Style2 6 18" xfId="33383" xr:uid="{00000000-0005-0000-0000-0000C63C0000}"/>
    <cellStyle name="Data   - Style2 6 19" xfId="34382" xr:uid="{00000000-0005-0000-0000-0000C73C0000}"/>
    <cellStyle name="Data   - Style2 6 2" xfId="4525" xr:uid="{00000000-0005-0000-0000-0000C83C0000}"/>
    <cellStyle name="Data   - Style2 6 2 10" xfId="24427" xr:uid="{00000000-0005-0000-0000-0000C93C0000}"/>
    <cellStyle name="Data   - Style2 6 2 11" xfId="25426" xr:uid="{00000000-0005-0000-0000-0000CA3C0000}"/>
    <cellStyle name="Data   - Style2 6 2 12" xfId="28373" xr:uid="{00000000-0005-0000-0000-0000CB3C0000}"/>
    <cellStyle name="Data   - Style2 6 2 13" xfId="29340" xr:uid="{00000000-0005-0000-0000-0000CC3C0000}"/>
    <cellStyle name="Data   - Style2 6 2 14" xfId="30382" xr:uid="{00000000-0005-0000-0000-0000CD3C0000}"/>
    <cellStyle name="Data   - Style2 6 2 15" xfId="31373" xr:uid="{00000000-0005-0000-0000-0000CE3C0000}"/>
    <cellStyle name="Data   - Style2 6 2 16" xfId="32381" xr:uid="{00000000-0005-0000-0000-0000CF3C0000}"/>
    <cellStyle name="Data   - Style2 6 2 17" xfId="33384" xr:uid="{00000000-0005-0000-0000-0000D03C0000}"/>
    <cellStyle name="Data   - Style2 6 2 18" xfId="34383" xr:uid="{00000000-0005-0000-0000-0000D13C0000}"/>
    <cellStyle name="Data   - Style2 6 2 19" xfId="36004" xr:uid="{00000000-0005-0000-0000-0000D23C0000}"/>
    <cellStyle name="Data   - Style2 6 2 2" xfId="16408" xr:uid="{00000000-0005-0000-0000-0000D33C0000}"/>
    <cellStyle name="Data   - Style2 6 2 20" xfId="36943" xr:uid="{00000000-0005-0000-0000-0000D43C0000}"/>
    <cellStyle name="Data   - Style2 6 2 3" xfId="17387" xr:uid="{00000000-0005-0000-0000-0000D53C0000}"/>
    <cellStyle name="Data   - Style2 6 2 4" xfId="18413" xr:uid="{00000000-0005-0000-0000-0000D63C0000}"/>
    <cellStyle name="Data   - Style2 6 2 5" xfId="19446" xr:uid="{00000000-0005-0000-0000-0000D73C0000}"/>
    <cellStyle name="Data   - Style2 6 2 6" xfId="20468" xr:uid="{00000000-0005-0000-0000-0000D83C0000}"/>
    <cellStyle name="Data   - Style2 6 2 7" xfId="21479" xr:uid="{00000000-0005-0000-0000-0000D93C0000}"/>
    <cellStyle name="Data   - Style2 6 2 8" xfId="22450" xr:uid="{00000000-0005-0000-0000-0000DA3C0000}"/>
    <cellStyle name="Data   - Style2 6 2 9" xfId="23455" xr:uid="{00000000-0005-0000-0000-0000DB3C0000}"/>
    <cellStyle name="Data   - Style2 6 20" xfId="36003" xr:uid="{00000000-0005-0000-0000-0000DC3C0000}"/>
    <cellStyle name="Data   - Style2 6 21" xfId="36942" xr:uid="{00000000-0005-0000-0000-0000DD3C0000}"/>
    <cellStyle name="Data   - Style2 6 3" xfId="16407" xr:uid="{00000000-0005-0000-0000-0000DE3C0000}"/>
    <cellStyle name="Data   - Style2 6 4" xfId="17386" xr:uid="{00000000-0005-0000-0000-0000DF3C0000}"/>
    <cellStyle name="Data   - Style2 6 5" xfId="18412" xr:uid="{00000000-0005-0000-0000-0000E03C0000}"/>
    <cellStyle name="Data   - Style2 6 6" xfId="19445" xr:uid="{00000000-0005-0000-0000-0000E13C0000}"/>
    <cellStyle name="Data   - Style2 6 7" xfId="20467" xr:uid="{00000000-0005-0000-0000-0000E23C0000}"/>
    <cellStyle name="Data   - Style2 6 8" xfId="21478" xr:uid="{00000000-0005-0000-0000-0000E33C0000}"/>
    <cellStyle name="Data   - Style2 6 9" xfId="22449" xr:uid="{00000000-0005-0000-0000-0000E43C0000}"/>
    <cellStyle name="Data   - Style2 7" xfId="4526" xr:uid="{00000000-0005-0000-0000-0000E53C0000}"/>
    <cellStyle name="Data   - Style2 7 10" xfId="23456" xr:uid="{00000000-0005-0000-0000-0000E63C0000}"/>
    <cellStyle name="Data   - Style2 7 11" xfId="24428" xr:uid="{00000000-0005-0000-0000-0000E73C0000}"/>
    <cellStyle name="Data   - Style2 7 12" xfId="25427" xr:uid="{00000000-0005-0000-0000-0000E83C0000}"/>
    <cellStyle name="Data   - Style2 7 13" xfId="28374" xr:uid="{00000000-0005-0000-0000-0000E93C0000}"/>
    <cellStyle name="Data   - Style2 7 14" xfId="29341" xr:uid="{00000000-0005-0000-0000-0000EA3C0000}"/>
    <cellStyle name="Data   - Style2 7 15" xfId="30383" xr:uid="{00000000-0005-0000-0000-0000EB3C0000}"/>
    <cellStyle name="Data   - Style2 7 16" xfId="31374" xr:uid="{00000000-0005-0000-0000-0000EC3C0000}"/>
    <cellStyle name="Data   - Style2 7 17" xfId="32382" xr:uid="{00000000-0005-0000-0000-0000ED3C0000}"/>
    <cellStyle name="Data   - Style2 7 18" xfId="33385" xr:uid="{00000000-0005-0000-0000-0000EE3C0000}"/>
    <cellStyle name="Data   - Style2 7 19" xfId="34384" xr:uid="{00000000-0005-0000-0000-0000EF3C0000}"/>
    <cellStyle name="Data   - Style2 7 2" xfId="4527" xr:uid="{00000000-0005-0000-0000-0000F03C0000}"/>
    <cellStyle name="Data   - Style2 7 2 10" xfId="24429" xr:uid="{00000000-0005-0000-0000-0000F13C0000}"/>
    <cellStyle name="Data   - Style2 7 2 11" xfId="25428" xr:uid="{00000000-0005-0000-0000-0000F23C0000}"/>
    <cellStyle name="Data   - Style2 7 2 12" xfId="28375" xr:uid="{00000000-0005-0000-0000-0000F33C0000}"/>
    <cellStyle name="Data   - Style2 7 2 13" xfId="29342" xr:uid="{00000000-0005-0000-0000-0000F43C0000}"/>
    <cellStyle name="Data   - Style2 7 2 14" xfId="30384" xr:uid="{00000000-0005-0000-0000-0000F53C0000}"/>
    <cellStyle name="Data   - Style2 7 2 15" xfId="31375" xr:uid="{00000000-0005-0000-0000-0000F63C0000}"/>
    <cellStyle name="Data   - Style2 7 2 16" xfId="32383" xr:uid="{00000000-0005-0000-0000-0000F73C0000}"/>
    <cellStyle name="Data   - Style2 7 2 17" xfId="33386" xr:uid="{00000000-0005-0000-0000-0000F83C0000}"/>
    <cellStyle name="Data   - Style2 7 2 18" xfId="34385" xr:uid="{00000000-0005-0000-0000-0000F93C0000}"/>
    <cellStyle name="Data   - Style2 7 2 19" xfId="36006" xr:uid="{00000000-0005-0000-0000-0000FA3C0000}"/>
    <cellStyle name="Data   - Style2 7 2 2" xfId="16410" xr:uid="{00000000-0005-0000-0000-0000FB3C0000}"/>
    <cellStyle name="Data   - Style2 7 2 20" xfId="36945" xr:uid="{00000000-0005-0000-0000-0000FC3C0000}"/>
    <cellStyle name="Data   - Style2 7 2 3" xfId="17389" xr:uid="{00000000-0005-0000-0000-0000FD3C0000}"/>
    <cellStyle name="Data   - Style2 7 2 4" xfId="18415" xr:uid="{00000000-0005-0000-0000-0000FE3C0000}"/>
    <cellStyle name="Data   - Style2 7 2 5" xfId="19448" xr:uid="{00000000-0005-0000-0000-0000FF3C0000}"/>
    <cellStyle name="Data   - Style2 7 2 6" xfId="20470" xr:uid="{00000000-0005-0000-0000-0000003D0000}"/>
    <cellStyle name="Data   - Style2 7 2 7" xfId="21481" xr:uid="{00000000-0005-0000-0000-0000013D0000}"/>
    <cellStyle name="Data   - Style2 7 2 8" xfId="22452" xr:uid="{00000000-0005-0000-0000-0000023D0000}"/>
    <cellStyle name="Data   - Style2 7 2 9" xfId="23457" xr:uid="{00000000-0005-0000-0000-0000033D0000}"/>
    <cellStyle name="Data   - Style2 7 20" xfId="36005" xr:uid="{00000000-0005-0000-0000-0000043D0000}"/>
    <cellStyle name="Data   - Style2 7 21" xfId="36944" xr:uid="{00000000-0005-0000-0000-0000053D0000}"/>
    <cellStyle name="Data   - Style2 7 3" xfId="16409" xr:uid="{00000000-0005-0000-0000-0000063D0000}"/>
    <cellStyle name="Data   - Style2 7 4" xfId="17388" xr:uid="{00000000-0005-0000-0000-0000073D0000}"/>
    <cellStyle name="Data   - Style2 7 5" xfId="18414" xr:uid="{00000000-0005-0000-0000-0000083D0000}"/>
    <cellStyle name="Data   - Style2 7 6" xfId="19447" xr:uid="{00000000-0005-0000-0000-0000093D0000}"/>
    <cellStyle name="Data   - Style2 7 7" xfId="20469" xr:uid="{00000000-0005-0000-0000-00000A3D0000}"/>
    <cellStyle name="Data   - Style2 7 8" xfId="21480" xr:uid="{00000000-0005-0000-0000-00000B3D0000}"/>
    <cellStyle name="Data   - Style2 7 9" xfId="22451" xr:uid="{00000000-0005-0000-0000-00000C3D0000}"/>
    <cellStyle name="Data   - Style2 8" xfId="4528" xr:uid="{00000000-0005-0000-0000-00000D3D0000}"/>
    <cellStyle name="Data   - Style2 8 10" xfId="23458" xr:uid="{00000000-0005-0000-0000-00000E3D0000}"/>
    <cellStyle name="Data   - Style2 8 11" xfId="24430" xr:uid="{00000000-0005-0000-0000-00000F3D0000}"/>
    <cellStyle name="Data   - Style2 8 12" xfId="25429" xr:uid="{00000000-0005-0000-0000-0000103D0000}"/>
    <cellStyle name="Data   - Style2 8 13" xfId="28376" xr:uid="{00000000-0005-0000-0000-0000113D0000}"/>
    <cellStyle name="Data   - Style2 8 14" xfId="29343" xr:uid="{00000000-0005-0000-0000-0000123D0000}"/>
    <cellStyle name="Data   - Style2 8 15" xfId="30385" xr:uid="{00000000-0005-0000-0000-0000133D0000}"/>
    <cellStyle name="Data   - Style2 8 16" xfId="31376" xr:uid="{00000000-0005-0000-0000-0000143D0000}"/>
    <cellStyle name="Data   - Style2 8 17" xfId="32384" xr:uid="{00000000-0005-0000-0000-0000153D0000}"/>
    <cellStyle name="Data   - Style2 8 18" xfId="33387" xr:uid="{00000000-0005-0000-0000-0000163D0000}"/>
    <cellStyle name="Data   - Style2 8 19" xfId="34386" xr:uid="{00000000-0005-0000-0000-0000173D0000}"/>
    <cellStyle name="Data   - Style2 8 2" xfId="4529" xr:uid="{00000000-0005-0000-0000-0000183D0000}"/>
    <cellStyle name="Data   - Style2 8 2 10" xfId="24431" xr:uid="{00000000-0005-0000-0000-0000193D0000}"/>
    <cellStyle name="Data   - Style2 8 2 11" xfId="25430" xr:uid="{00000000-0005-0000-0000-00001A3D0000}"/>
    <cellStyle name="Data   - Style2 8 2 12" xfId="28377" xr:uid="{00000000-0005-0000-0000-00001B3D0000}"/>
    <cellStyle name="Data   - Style2 8 2 13" xfId="29344" xr:uid="{00000000-0005-0000-0000-00001C3D0000}"/>
    <cellStyle name="Data   - Style2 8 2 14" xfId="30386" xr:uid="{00000000-0005-0000-0000-00001D3D0000}"/>
    <cellStyle name="Data   - Style2 8 2 15" xfId="31377" xr:uid="{00000000-0005-0000-0000-00001E3D0000}"/>
    <cellStyle name="Data   - Style2 8 2 16" xfId="32385" xr:uid="{00000000-0005-0000-0000-00001F3D0000}"/>
    <cellStyle name="Data   - Style2 8 2 17" xfId="33388" xr:uid="{00000000-0005-0000-0000-0000203D0000}"/>
    <cellStyle name="Data   - Style2 8 2 18" xfId="34387" xr:uid="{00000000-0005-0000-0000-0000213D0000}"/>
    <cellStyle name="Data   - Style2 8 2 19" xfId="36008" xr:uid="{00000000-0005-0000-0000-0000223D0000}"/>
    <cellStyle name="Data   - Style2 8 2 2" xfId="16412" xr:uid="{00000000-0005-0000-0000-0000233D0000}"/>
    <cellStyle name="Data   - Style2 8 2 20" xfId="36947" xr:uid="{00000000-0005-0000-0000-0000243D0000}"/>
    <cellStyle name="Data   - Style2 8 2 3" xfId="17391" xr:uid="{00000000-0005-0000-0000-0000253D0000}"/>
    <cellStyle name="Data   - Style2 8 2 4" xfId="18417" xr:uid="{00000000-0005-0000-0000-0000263D0000}"/>
    <cellStyle name="Data   - Style2 8 2 5" xfId="19450" xr:uid="{00000000-0005-0000-0000-0000273D0000}"/>
    <cellStyle name="Data   - Style2 8 2 6" xfId="20472" xr:uid="{00000000-0005-0000-0000-0000283D0000}"/>
    <cellStyle name="Data   - Style2 8 2 7" xfId="21483" xr:uid="{00000000-0005-0000-0000-0000293D0000}"/>
    <cellStyle name="Data   - Style2 8 2 8" xfId="22454" xr:uid="{00000000-0005-0000-0000-00002A3D0000}"/>
    <cellStyle name="Data   - Style2 8 2 9" xfId="23459" xr:uid="{00000000-0005-0000-0000-00002B3D0000}"/>
    <cellStyle name="Data   - Style2 8 20" xfId="36007" xr:uid="{00000000-0005-0000-0000-00002C3D0000}"/>
    <cellStyle name="Data   - Style2 8 21" xfId="36946" xr:uid="{00000000-0005-0000-0000-00002D3D0000}"/>
    <cellStyle name="Data   - Style2 8 3" xfId="16411" xr:uid="{00000000-0005-0000-0000-00002E3D0000}"/>
    <cellStyle name="Data   - Style2 8 4" xfId="17390" xr:uid="{00000000-0005-0000-0000-00002F3D0000}"/>
    <cellStyle name="Data   - Style2 8 5" xfId="18416" xr:uid="{00000000-0005-0000-0000-0000303D0000}"/>
    <cellStyle name="Data   - Style2 8 6" xfId="19449" xr:uid="{00000000-0005-0000-0000-0000313D0000}"/>
    <cellStyle name="Data   - Style2 8 7" xfId="20471" xr:uid="{00000000-0005-0000-0000-0000323D0000}"/>
    <cellStyle name="Data   - Style2 8 8" xfId="21482" xr:uid="{00000000-0005-0000-0000-0000333D0000}"/>
    <cellStyle name="Data   - Style2 8 9" xfId="22453" xr:uid="{00000000-0005-0000-0000-0000343D0000}"/>
    <cellStyle name="Data   - Style2 9" xfId="4530" xr:uid="{00000000-0005-0000-0000-0000353D0000}"/>
    <cellStyle name="Data   - Style2 9 10" xfId="23460" xr:uid="{00000000-0005-0000-0000-0000363D0000}"/>
    <cellStyle name="Data   - Style2 9 11" xfId="24432" xr:uid="{00000000-0005-0000-0000-0000373D0000}"/>
    <cellStyle name="Data   - Style2 9 12" xfId="25431" xr:uid="{00000000-0005-0000-0000-0000383D0000}"/>
    <cellStyle name="Data   - Style2 9 13" xfId="28378" xr:uid="{00000000-0005-0000-0000-0000393D0000}"/>
    <cellStyle name="Data   - Style2 9 14" xfId="29345" xr:uid="{00000000-0005-0000-0000-00003A3D0000}"/>
    <cellStyle name="Data   - Style2 9 15" xfId="30387" xr:uid="{00000000-0005-0000-0000-00003B3D0000}"/>
    <cellStyle name="Data   - Style2 9 16" xfId="31378" xr:uid="{00000000-0005-0000-0000-00003C3D0000}"/>
    <cellStyle name="Data   - Style2 9 17" xfId="32386" xr:uid="{00000000-0005-0000-0000-00003D3D0000}"/>
    <cellStyle name="Data   - Style2 9 18" xfId="33389" xr:uid="{00000000-0005-0000-0000-00003E3D0000}"/>
    <cellStyle name="Data   - Style2 9 19" xfId="34388" xr:uid="{00000000-0005-0000-0000-00003F3D0000}"/>
    <cellStyle name="Data   - Style2 9 2" xfId="4531" xr:uid="{00000000-0005-0000-0000-0000403D0000}"/>
    <cellStyle name="Data   - Style2 9 2 10" xfId="24433" xr:uid="{00000000-0005-0000-0000-0000413D0000}"/>
    <cellStyle name="Data   - Style2 9 2 11" xfId="25432" xr:uid="{00000000-0005-0000-0000-0000423D0000}"/>
    <cellStyle name="Data   - Style2 9 2 12" xfId="28379" xr:uid="{00000000-0005-0000-0000-0000433D0000}"/>
    <cellStyle name="Data   - Style2 9 2 13" xfId="29346" xr:uid="{00000000-0005-0000-0000-0000443D0000}"/>
    <cellStyle name="Data   - Style2 9 2 14" xfId="30388" xr:uid="{00000000-0005-0000-0000-0000453D0000}"/>
    <cellStyle name="Data   - Style2 9 2 15" xfId="31379" xr:uid="{00000000-0005-0000-0000-0000463D0000}"/>
    <cellStyle name="Data   - Style2 9 2 16" xfId="32387" xr:uid="{00000000-0005-0000-0000-0000473D0000}"/>
    <cellStyle name="Data   - Style2 9 2 17" xfId="33390" xr:uid="{00000000-0005-0000-0000-0000483D0000}"/>
    <cellStyle name="Data   - Style2 9 2 18" xfId="34389" xr:uid="{00000000-0005-0000-0000-0000493D0000}"/>
    <cellStyle name="Data   - Style2 9 2 19" xfId="36010" xr:uid="{00000000-0005-0000-0000-00004A3D0000}"/>
    <cellStyle name="Data   - Style2 9 2 2" xfId="16414" xr:uid="{00000000-0005-0000-0000-00004B3D0000}"/>
    <cellStyle name="Data   - Style2 9 2 20" xfId="36949" xr:uid="{00000000-0005-0000-0000-00004C3D0000}"/>
    <cellStyle name="Data   - Style2 9 2 3" xfId="17393" xr:uid="{00000000-0005-0000-0000-00004D3D0000}"/>
    <cellStyle name="Data   - Style2 9 2 4" xfId="18419" xr:uid="{00000000-0005-0000-0000-00004E3D0000}"/>
    <cellStyle name="Data   - Style2 9 2 5" xfId="19452" xr:uid="{00000000-0005-0000-0000-00004F3D0000}"/>
    <cellStyle name="Data   - Style2 9 2 6" xfId="20474" xr:uid="{00000000-0005-0000-0000-0000503D0000}"/>
    <cellStyle name="Data   - Style2 9 2 7" xfId="21485" xr:uid="{00000000-0005-0000-0000-0000513D0000}"/>
    <cellStyle name="Data   - Style2 9 2 8" xfId="22456" xr:uid="{00000000-0005-0000-0000-0000523D0000}"/>
    <cellStyle name="Data   - Style2 9 2 9" xfId="23461" xr:uid="{00000000-0005-0000-0000-0000533D0000}"/>
    <cellStyle name="Data   - Style2 9 20" xfId="36009" xr:uid="{00000000-0005-0000-0000-0000543D0000}"/>
    <cellStyle name="Data   - Style2 9 21" xfId="36948" xr:uid="{00000000-0005-0000-0000-0000553D0000}"/>
    <cellStyle name="Data   - Style2 9 3" xfId="16413" xr:uid="{00000000-0005-0000-0000-0000563D0000}"/>
    <cellStyle name="Data   - Style2 9 4" xfId="17392" xr:uid="{00000000-0005-0000-0000-0000573D0000}"/>
    <cellStyle name="Data   - Style2 9 5" xfId="18418" xr:uid="{00000000-0005-0000-0000-0000583D0000}"/>
    <cellStyle name="Data   - Style2 9 6" xfId="19451" xr:uid="{00000000-0005-0000-0000-0000593D0000}"/>
    <cellStyle name="Data   - Style2 9 7" xfId="20473" xr:uid="{00000000-0005-0000-0000-00005A3D0000}"/>
    <cellStyle name="Data   - Style2 9 8" xfId="21484" xr:uid="{00000000-0005-0000-0000-00005B3D0000}"/>
    <cellStyle name="Data   - Style2 9 9" xfId="22455" xr:uid="{00000000-0005-0000-0000-00005C3D0000}"/>
    <cellStyle name="Data Enter" xfId="126" xr:uid="{00000000-0005-0000-0000-00005D3D0000}"/>
    <cellStyle name="date" xfId="326" xr:uid="{00000000-0005-0000-0000-00005E3D0000}"/>
    <cellStyle name="Euro" xfId="4532" xr:uid="{00000000-0005-0000-0000-00005F3D0000}"/>
    <cellStyle name="Euro 2" xfId="4533" xr:uid="{00000000-0005-0000-0000-0000603D0000}"/>
    <cellStyle name="Explanatory Text" xfId="13367" builtinId="53" customBuiltin="1"/>
    <cellStyle name="Explanatory Text 2" xfId="128" xr:uid="{00000000-0005-0000-0000-0000623D0000}"/>
    <cellStyle name="Explanatory Text 3" xfId="127" xr:uid="{00000000-0005-0000-0000-0000633D0000}"/>
    <cellStyle name="Explanatory Text 4" xfId="4534" xr:uid="{00000000-0005-0000-0000-0000643D0000}"/>
    <cellStyle name="F9ReportControlStyle_ctpInquire" xfId="4535" xr:uid="{00000000-0005-0000-0000-0000653D0000}"/>
    <cellStyle name="FactSheet" xfId="129" xr:uid="{00000000-0005-0000-0000-0000663D0000}"/>
    <cellStyle name="fish" xfId="327" xr:uid="{00000000-0005-0000-0000-0000673D0000}"/>
    <cellStyle name="Good" xfId="13357" builtinId="26" customBuiltin="1"/>
    <cellStyle name="Good 2" xfId="131" xr:uid="{00000000-0005-0000-0000-0000693D0000}"/>
    <cellStyle name="Good 2 2" xfId="4536" xr:uid="{00000000-0005-0000-0000-00006A3D0000}"/>
    <cellStyle name="Good 2 2 2" xfId="4537" xr:uid="{00000000-0005-0000-0000-00006B3D0000}"/>
    <cellStyle name="Good 2 2 3" xfId="34868" xr:uid="{00000000-0005-0000-0000-00006C3D0000}"/>
    <cellStyle name="Good 2 3" xfId="4538" xr:uid="{00000000-0005-0000-0000-00006D3D0000}"/>
    <cellStyle name="Good 2 4" xfId="4539" xr:uid="{00000000-0005-0000-0000-00006E3D0000}"/>
    <cellStyle name="Good 2 5" xfId="4540" xr:uid="{00000000-0005-0000-0000-00006F3D0000}"/>
    <cellStyle name="Good 3" xfId="130" xr:uid="{00000000-0005-0000-0000-0000703D0000}"/>
    <cellStyle name="Good 3 2" xfId="4542" xr:uid="{00000000-0005-0000-0000-0000713D0000}"/>
    <cellStyle name="Good 3 3" xfId="4543" xr:uid="{00000000-0005-0000-0000-0000723D0000}"/>
    <cellStyle name="Good 3 4" xfId="4541" xr:uid="{00000000-0005-0000-0000-0000733D0000}"/>
    <cellStyle name="Good 4" xfId="4544" xr:uid="{00000000-0005-0000-0000-0000743D0000}"/>
    <cellStyle name="Good 5" xfId="4545" xr:uid="{00000000-0005-0000-0000-0000753D0000}"/>
    <cellStyle name="Heading 1" xfId="13353" builtinId="16" customBuiltin="1"/>
    <cellStyle name="Heading 1 2" xfId="133" xr:uid="{00000000-0005-0000-0000-0000773D0000}"/>
    <cellStyle name="Heading 1 2 2" xfId="328" xr:uid="{00000000-0005-0000-0000-0000783D0000}"/>
    <cellStyle name="Heading 1 2 2 2" xfId="4546" xr:uid="{00000000-0005-0000-0000-0000793D0000}"/>
    <cellStyle name="Heading 1 2 3" xfId="4547" xr:uid="{00000000-0005-0000-0000-00007A3D0000}"/>
    <cellStyle name="Heading 1 2 4" xfId="4548" xr:uid="{00000000-0005-0000-0000-00007B3D0000}"/>
    <cellStyle name="Heading 1 3" xfId="132" xr:uid="{00000000-0005-0000-0000-00007C3D0000}"/>
    <cellStyle name="Heading 1 3 2" xfId="329" xr:uid="{00000000-0005-0000-0000-00007D3D0000}"/>
    <cellStyle name="Heading 1 3 3" xfId="4549" xr:uid="{00000000-0005-0000-0000-00007E3D0000}"/>
    <cellStyle name="Heading 1 4" xfId="4550" xr:uid="{00000000-0005-0000-0000-00007F3D0000}"/>
    <cellStyle name="Heading 1 4 2" xfId="4551" xr:uid="{00000000-0005-0000-0000-0000803D0000}"/>
    <cellStyle name="Heading 2" xfId="13354" builtinId="17" customBuiltin="1"/>
    <cellStyle name="Heading 2 2" xfId="135" xr:uid="{00000000-0005-0000-0000-0000823D0000}"/>
    <cellStyle name="Heading 2 2 2" xfId="330" xr:uid="{00000000-0005-0000-0000-0000833D0000}"/>
    <cellStyle name="Heading 2 2 3" xfId="4552" xr:uid="{00000000-0005-0000-0000-0000843D0000}"/>
    <cellStyle name="Heading 2 2 4" xfId="4553" xr:uid="{00000000-0005-0000-0000-0000853D0000}"/>
    <cellStyle name="Heading 2 3" xfId="134" xr:uid="{00000000-0005-0000-0000-0000863D0000}"/>
    <cellStyle name="Heading 2 3 2" xfId="331" xr:uid="{00000000-0005-0000-0000-0000873D0000}"/>
    <cellStyle name="Heading 2 3 3" xfId="4554" xr:uid="{00000000-0005-0000-0000-0000883D0000}"/>
    <cellStyle name="Heading 2 4" xfId="4555" xr:uid="{00000000-0005-0000-0000-0000893D0000}"/>
    <cellStyle name="Heading 2 4 2" xfId="4556" xr:uid="{00000000-0005-0000-0000-00008A3D0000}"/>
    <cellStyle name="Heading 3" xfId="13355" builtinId="18" customBuiltin="1"/>
    <cellStyle name="Heading 3 2" xfId="137" xr:uid="{00000000-0005-0000-0000-00008C3D0000}"/>
    <cellStyle name="Heading 3 2 2" xfId="332" xr:uid="{00000000-0005-0000-0000-00008D3D0000}"/>
    <cellStyle name="Heading 3 2 2 2" xfId="4557" xr:uid="{00000000-0005-0000-0000-00008E3D0000}"/>
    <cellStyle name="Heading 3 2 3" xfId="4558" xr:uid="{00000000-0005-0000-0000-00008F3D0000}"/>
    <cellStyle name="Heading 3 2 4" xfId="4559" xr:uid="{00000000-0005-0000-0000-0000903D0000}"/>
    <cellStyle name="Heading 3 3" xfId="136" xr:uid="{00000000-0005-0000-0000-0000913D0000}"/>
    <cellStyle name="Heading 3 3 2" xfId="333" xr:uid="{00000000-0005-0000-0000-0000923D0000}"/>
    <cellStyle name="Heading 3 3 3" xfId="4560" xr:uid="{00000000-0005-0000-0000-0000933D0000}"/>
    <cellStyle name="Heading 3 4" xfId="4561" xr:uid="{00000000-0005-0000-0000-0000943D0000}"/>
    <cellStyle name="Heading 3 4 2" xfId="4562" xr:uid="{00000000-0005-0000-0000-0000953D0000}"/>
    <cellStyle name="Heading 4" xfId="13356" builtinId="19" customBuiltin="1"/>
    <cellStyle name="Heading 4 2" xfId="139" xr:uid="{00000000-0005-0000-0000-0000973D0000}"/>
    <cellStyle name="Heading 4 2 2" xfId="4563" xr:uid="{00000000-0005-0000-0000-0000983D0000}"/>
    <cellStyle name="Heading 4 2 2 2" xfId="4564" xr:uid="{00000000-0005-0000-0000-0000993D0000}"/>
    <cellStyle name="Heading 4 2 3" xfId="4565" xr:uid="{00000000-0005-0000-0000-00009A3D0000}"/>
    <cellStyle name="Heading 4 3" xfId="138" xr:uid="{00000000-0005-0000-0000-00009B3D0000}"/>
    <cellStyle name="Heading 4 3 2" xfId="4567" xr:uid="{00000000-0005-0000-0000-00009C3D0000}"/>
    <cellStyle name="Heading 4 3 3" xfId="4566" xr:uid="{00000000-0005-0000-0000-00009D3D0000}"/>
    <cellStyle name="Heading 4 4" xfId="4568" xr:uid="{00000000-0005-0000-0000-00009E3D0000}"/>
    <cellStyle name="Hyperlink" xfId="37398" builtinId="8"/>
    <cellStyle name="Hyperlink 2" xfId="140" xr:uid="{00000000-0005-0000-0000-0000A03D0000}"/>
    <cellStyle name="Hyperlink 2 2" xfId="4569" xr:uid="{00000000-0005-0000-0000-0000A13D0000}"/>
    <cellStyle name="Hyperlink 2 2 2" xfId="4570" xr:uid="{00000000-0005-0000-0000-0000A23D0000}"/>
    <cellStyle name="Hyperlink 2 2 3" xfId="4571" xr:uid="{00000000-0005-0000-0000-0000A33D0000}"/>
    <cellStyle name="Hyperlink 2 2 4" xfId="4572" xr:uid="{00000000-0005-0000-0000-0000A43D0000}"/>
    <cellStyle name="Hyperlink 2 2 5" xfId="4573" xr:uid="{00000000-0005-0000-0000-0000A53D0000}"/>
    <cellStyle name="Hyperlink 2 2 6" xfId="4574" xr:uid="{00000000-0005-0000-0000-0000A63D0000}"/>
    <cellStyle name="Hyperlink 2 3" xfId="4575" xr:uid="{00000000-0005-0000-0000-0000A73D0000}"/>
    <cellStyle name="Hyperlink 2 3 2" xfId="4576" xr:uid="{00000000-0005-0000-0000-0000A83D0000}"/>
    <cellStyle name="Hyperlink 2 4" xfId="4577" xr:uid="{00000000-0005-0000-0000-0000A93D0000}"/>
    <cellStyle name="Hyperlink 3" xfId="141" xr:uid="{00000000-0005-0000-0000-0000AA3D0000}"/>
    <cellStyle name="Hyperlink 3 2" xfId="292" xr:uid="{00000000-0005-0000-0000-0000AB3D0000}"/>
    <cellStyle name="Hyperlink 3 2 2" xfId="4578" xr:uid="{00000000-0005-0000-0000-0000AC3D0000}"/>
    <cellStyle name="Hyperlink 3 3" xfId="4579" xr:uid="{00000000-0005-0000-0000-0000AD3D0000}"/>
    <cellStyle name="Hyperlink 4" xfId="4580" xr:uid="{00000000-0005-0000-0000-0000AE3D0000}"/>
    <cellStyle name="Hyperlink 4 2" xfId="4581" xr:uid="{00000000-0005-0000-0000-0000AF3D0000}"/>
    <cellStyle name="Hyperlink 5" xfId="4582" xr:uid="{00000000-0005-0000-0000-0000B03D0000}"/>
    <cellStyle name="Input" xfId="13360" builtinId="20" customBuiltin="1"/>
    <cellStyle name="Input 2" xfId="143" xr:uid="{00000000-0005-0000-0000-0000B23D0000}"/>
    <cellStyle name="Input 2 10" xfId="4583" xr:uid="{00000000-0005-0000-0000-0000B33D0000}"/>
    <cellStyle name="Input 2 10 10" xfId="24868" xr:uid="{00000000-0005-0000-0000-0000B43D0000}"/>
    <cellStyle name="Input 2 10 11" xfId="25867" xr:uid="{00000000-0005-0000-0000-0000B53D0000}"/>
    <cellStyle name="Input 2 10 12" xfId="28773" xr:uid="{00000000-0005-0000-0000-0000B63D0000}"/>
    <cellStyle name="Input 2 10 13" xfId="29790" xr:uid="{00000000-0005-0000-0000-0000B73D0000}"/>
    <cellStyle name="Input 2 10 14" xfId="30823" xr:uid="{00000000-0005-0000-0000-0000B83D0000}"/>
    <cellStyle name="Input 2 10 15" xfId="31818" xr:uid="{00000000-0005-0000-0000-0000B93D0000}"/>
    <cellStyle name="Input 2 10 16" xfId="32822" xr:uid="{00000000-0005-0000-0000-0000BA3D0000}"/>
    <cellStyle name="Input 2 10 17" xfId="33825" xr:uid="{00000000-0005-0000-0000-0000BB3D0000}"/>
    <cellStyle name="Input 2 10 18" xfId="34824" xr:uid="{00000000-0005-0000-0000-0000BC3D0000}"/>
    <cellStyle name="Input 2 10 19" xfId="36385" xr:uid="{00000000-0005-0000-0000-0000BD3D0000}"/>
    <cellStyle name="Input 2 10 2" xfId="16857" xr:uid="{00000000-0005-0000-0000-0000BE3D0000}"/>
    <cellStyle name="Input 2 10 20" xfId="37384" xr:uid="{00000000-0005-0000-0000-0000BF3D0000}"/>
    <cellStyle name="Input 2 10 3" xfId="17837" xr:uid="{00000000-0005-0000-0000-0000C03D0000}"/>
    <cellStyle name="Input 2 10 4" xfId="18862" xr:uid="{00000000-0005-0000-0000-0000C13D0000}"/>
    <cellStyle name="Input 2 10 5" xfId="19896" xr:uid="{00000000-0005-0000-0000-0000C23D0000}"/>
    <cellStyle name="Input 2 10 6" xfId="20921" xr:uid="{00000000-0005-0000-0000-0000C33D0000}"/>
    <cellStyle name="Input 2 10 7" xfId="21881" xr:uid="{00000000-0005-0000-0000-0000C43D0000}"/>
    <cellStyle name="Input 2 10 8" xfId="22893" xr:uid="{00000000-0005-0000-0000-0000C53D0000}"/>
    <cellStyle name="Input 2 10 9" xfId="23896" xr:uid="{00000000-0005-0000-0000-0000C63D0000}"/>
    <cellStyle name="Input 2 11" xfId="34907" xr:uid="{00000000-0005-0000-0000-0000C73D0000}"/>
    <cellStyle name="Input 2 2" xfId="4584" xr:uid="{00000000-0005-0000-0000-0000C83D0000}"/>
    <cellStyle name="Input 2 2 10" xfId="13681" xr:uid="{00000000-0005-0000-0000-0000C93D0000}"/>
    <cellStyle name="Input 2 2 11" xfId="14318" xr:uid="{00000000-0005-0000-0000-0000CA3D0000}"/>
    <cellStyle name="Input 2 2 12" xfId="14100" xr:uid="{00000000-0005-0000-0000-0000CB3D0000}"/>
    <cellStyle name="Input 2 2 13" xfId="14991" xr:uid="{00000000-0005-0000-0000-0000CC3D0000}"/>
    <cellStyle name="Input 2 2 14" xfId="13653" xr:uid="{00000000-0005-0000-0000-0000CD3D0000}"/>
    <cellStyle name="Input 2 2 15" xfId="25992" xr:uid="{00000000-0005-0000-0000-0000CE3D0000}"/>
    <cellStyle name="Input 2 2 16" xfId="27811" xr:uid="{00000000-0005-0000-0000-0000CF3D0000}"/>
    <cellStyle name="Input 2 2 17" xfId="26426" xr:uid="{00000000-0005-0000-0000-0000D03D0000}"/>
    <cellStyle name="Input 2 2 18" xfId="27463" xr:uid="{00000000-0005-0000-0000-0000D13D0000}"/>
    <cellStyle name="Input 2 2 19" xfId="27573" xr:uid="{00000000-0005-0000-0000-0000D23D0000}"/>
    <cellStyle name="Input 2 2 2" xfId="4585" xr:uid="{00000000-0005-0000-0000-0000D33D0000}"/>
    <cellStyle name="Input 2 2 2 10" xfId="14243" xr:uid="{00000000-0005-0000-0000-0000D43D0000}"/>
    <cellStyle name="Input 2 2 2 11" xfId="13787" xr:uid="{00000000-0005-0000-0000-0000D53D0000}"/>
    <cellStyle name="Input 2 2 2 12" xfId="14174" xr:uid="{00000000-0005-0000-0000-0000D63D0000}"/>
    <cellStyle name="Input 2 2 2 13" xfId="14528" xr:uid="{00000000-0005-0000-0000-0000D73D0000}"/>
    <cellStyle name="Input 2 2 2 14" xfId="25993" xr:uid="{00000000-0005-0000-0000-0000D83D0000}"/>
    <cellStyle name="Input 2 2 2 15" xfId="27296" xr:uid="{00000000-0005-0000-0000-0000D93D0000}"/>
    <cellStyle name="Input 2 2 2 16" xfId="26435" xr:uid="{00000000-0005-0000-0000-0000DA3D0000}"/>
    <cellStyle name="Input 2 2 2 17" xfId="27749" xr:uid="{00000000-0005-0000-0000-0000DB3D0000}"/>
    <cellStyle name="Input 2 2 2 18" xfId="27625" xr:uid="{00000000-0005-0000-0000-0000DC3D0000}"/>
    <cellStyle name="Input 2 2 2 19" xfId="27208" xr:uid="{00000000-0005-0000-0000-0000DD3D0000}"/>
    <cellStyle name="Input 2 2 2 2" xfId="4586" xr:uid="{00000000-0005-0000-0000-0000DE3D0000}"/>
    <cellStyle name="Input 2 2 2 2 10" xfId="15380" xr:uid="{00000000-0005-0000-0000-0000DF3D0000}"/>
    <cellStyle name="Input 2 2 2 2 11" xfId="14333" xr:uid="{00000000-0005-0000-0000-0000E03D0000}"/>
    <cellStyle name="Input 2 2 2 2 12" xfId="18923" xr:uid="{00000000-0005-0000-0000-0000E13D0000}"/>
    <cellStyle name="Input 2 2 2 2 13" xfId="15345" xr:uid="{00000000-0005-0000-0000-0000E23D0000}"/>
    <cellStyle name="Input 2 2 2 2 14" xfId="14167" xr:uid="{00000000-0005-0000-0000-0000E33D0000}"/>
    <cellStyle name="Input 2 2 2 2 15" xfId="14170" xr:uid="{00000000-0005-0000-0000-0000E43D0000}"/>
    <cellStyle name="Input 2 2 2 2 16" xfId="26098" xr:uid="{00000000-0005-0000-0000-0000E53D0000}"/>
    <cellStyle name="Input 2 2 2 2 17" xfId="27263" xr:uid="{00000000-0005-0000-0000-0000E63D0000}"/>
    <cellStyle name="Input 2 2 2 2 18" xfId="26116" xr:uid="{00000000-0005-0000-0000-0000E73D0000}"/>
    <cellStyle name="Input 2 2 2 2 19" xfId="28794" xr:uid="{00000000-0005-0000-0000-0000E83D0000}"/>
    <cellStyle name="Input 2 2 2 2 2" xfId="4587" xr:uid="{00000000-0005-0000-0000-0000E93D0000}"/>
    <cellStyle name="Input 2 2 2 2 2 10" xfId="16846" xr:uid="{00000000-0005-0000-0000-0000EA3D0000}"/>
    <cellStyle name="Input 2 2 2 2 2 11" xfId="15524" xr:uid="{00000000-0005-0000-0000-0000EB3D0000}"/>
    <cellStyle name="Input 2 2 2 2 2 12" xfId="26319" xr:uid="{00000000-0005-0000-0000-0000EC3D0000}"/>
    <cellStyle name="Input 2 2 2 2 2 13" xfId="27175" xr:uid="{00000000-0005-0000-0000-0000ED3D0000}"/>
    <cellStyle name="Input 2 2 2 2 2 14" xfId="27522" xr:uid="{00000000-0005-0000-0000-0000EE3D0000}"/>
    <cellStyle name="Input 2 2 2 2 2 15" xfId="27483" xr:uid="{00000000-0005-0000-0000-0000EF3D0000}"/>
    <cellStyle name="Input 2 2 2 2 2 16" xfId="26687" xr:uid="{00000000-0005-0000-0000-0000F03D0000}"/>
    <cellStyle name="Input 2 2 2 2 2 17" xfId="26963" xr:uid="{00000000-0005-0000-0000-0000F13D0000}"/>
    <cellStyle name="Input 2 2 2 2 2 18" xfId="35015" xr:uid="{00000000-0005-0000-0000-0000F23D0000}"/>
    <cellStyle name="Input 2 2 2 2 2 19" xfId="35329" xr:uid="{00000000-0005-0000-0000-0000F33D0000}"/>
    <cellStyle name="Input 2 2 2 2 2 2" xfId="4588" xr:uid="{00000000-0005-0000-0000-0000F43D0000}"/>
    <cellStyle name="Input 2 2 2 2 2 2 10" xfId="23462" xr:uid="{00000000-0005-0000-0000-0000F53D0000}"/>
    <cellStyle name="Input 2 2 2 2 2 2 11" xfId="24434" xr:uid="{00000000-0005-0000-0000-0000F63D0000}"/>
    <cellStyle name="Input 2 2 2 2 2 2 12" xfId="25433" xr:uid="{00000000-0005-0000-0000-0000F73D0000}"/>
    <cellStyle name="Input 2 2 2 2 2 2 13" xfId="28380" xr:uid="{00000000-0005-0000-0000-0000F83D0000}"/>
    <cellStyle name="Input 2 2 2 2 2 2 14" xfId="29347" xr:uid="{00000000-0005-0000-0000-0000F93D0000}"/>
    <cellStyle name="Input 2 2 2 2 2 2 15" xfId="30389" xr:uid="{00000000-0005-0000-0000-0000FA3D0000}"/>
    <cellStyle name="Input 2 2 2 2 2 2 16" xfId="31380" xr:uid="{00000000-0005-0000-0000-0000FB3D0000}"/>
    <cellStyle name="Input 2 2 2 2 2 2 17" xfId="32388" xr:uid="{00000000-0005-0000-0000-0000FC3D0000}"/>
    <cellStyle name="Input 2 2 2 2 2 2 18" xfId="33391" xr:uid="{00000000-0005-0000-0000-0000FD3D0000}"/>
    <cellStyle name="Input 2 2 2 2 2 2 19" xfId="34390" xr:uid="{00000000-0005-0000-0000-0000FE3D0000}"/>
    <cellStyle name="Input 2 2 2 2 2 2 2" xfId="4589" xr:uid="{00000000-0005-0000-0000-0000FF3D0000}"/>
    <cellStyle name="Input 2 2 2 2 2 2 2 10" xfId="24435" xr:uid="{00000000-0005-0000-0000-0000003E0000}"/>
    <cellStyle name="Input 2 2 2 2 2 2 2 11" xfId="25434" xr:uid="{00000000-0005-0000-0000-0000013E0000}"/>
    <cellStyle name="Input 2 2 2 2 2 2 2 12" xfId="28381" xr:uid="{00000000-0005-0000-0000-0000023E0000}"/>
    <cellStyle name="Input 2 2 2 2 2 2 2 13" xfId="29348" xr:uid="{00000000-0005-0000-0000-0000033E0000}"/>
    <cellStyle name="Input 2 2 2 2 2 2 2 14" xfId="30390" xr:uid="{00000000-0005-0000-0000-0000043E0000}"/>
    <cellStyle name="Input 2 2 2 2 2 2 2 15" xfId="31381" xr:uid="{00000000-0005-0000-0000-0000053E0000}"/>
    <cellStyle name="Input 2 2 2 2 2 2 2 16" xfId="32389" xr:uid="{00000000-0005-0000-0000-0000063E0000}"/>
    <cellStyle name="Input 2 2 2 2 2 2 2 17" xfId="33392" xr:uid="{00000000-0005-0000-0000-0000073E0000}"/>
    <cellStyle name="Input 2 2 2 2 2 2 2 18" xfId="34391" xr:uid="{00000000-0005-0000-0000-0000083E0000}"/>
    <cellStyle name="Input 2 2 2 2 2 2 2 19" xfId="36012" xr:uid="{00000000-0005-0000-0000-0000093E0000}"/>
    <cellStyle name="Input 2 2 2 2 2 2 2 2" xfId="16416" xr:uid="{00000000-0005-0000-0000-00000A3E0000}"/>
    <cellStyle name="Input 2 2 2 2 2 2 2 20" xfId="36951" xr:uid="{00000000-0005-0000-0000-00000B3E0000}"/>
    <cellStyle name="Input 2 2 2 2 2 2 2 3" xfId="17395" xr:uid="{00000000-0005-0000-0000-00000C3E0000}"/>
    <cellStyle name="Input 2 2 2 2 2 2 2 4" xfId="18422" xr:uid="{00000000-0005-0000-0000-00000D3E0000}"/>
    <cellStyle name="Input 2 2 2 2 2 2 2 5" xfId="19454" xr:uid="{00000000-0005-0000-0000-00000E3E0000}"/>
    <cellStyle name="Input 2 2 2 2 2 2 2 6" xfId="20476" xr:uid="{00000000-0005-0000-0000-00000F3E0000}"/>
    <cellStyle name="Input 2 2 2 2 2 2 2 7" xfId="21487" xr:uid="{00000000-0005-0000-0000-0000103E0000}"/>
    <cellStyle name="Input 2 2 2 2 2 2 2 8" xfId="22458" xr:uid="{00000000-0005-0000-0000-0000113E0000}"/>
    <cellStyle name="Input 2 2 2 2 2 2 2 9" xfId="23463" xr:uid="{00000000-0005-0000-0000-0000123E0000}"/>
    <cellStyle name="Input 2 2 2 2 2 2 20" xfId="36011" xr:uid="{00000000-0005-0000-0000-0000133E0000}"/>
    <cellStyle name="Input 2 2 2 2 2 2 21" xfId="36950" xr:uid="{00000000-0005-0000-0000-0000143E0000}"/>
    <cellStyle name="Input 2 2 2 2 2 2 3" xfId="16415" xr:uid="{00000000-0005-0000-0000-0000153E0000}"/>
    <cellStyle name="Input 2 2 2 2 2 2 4" xfId="17394" xr:uid="{00000000-0005-0000-0000-0000163E0000}"/>
    <cellStyle name="Input 2 2 2 2 2 2 5" xfId="18421" xr:uid="{00000000-0005-0000-0000-0000173E0000}"/>
    <cellStyle name="Input 2 2 2 2 2 2 6" xfId="19453" xr:uid="{00000000-0005-0000-0000-0000183E0000}"/>
    <cellStyle name="Input 2 2 2 2 2 2 7" xfId="20475" xr:uid="{00000000-0005-0000-0000-0000193E0000}"/>
    <cellStyle name="Input 2 2 2 2 2 2 8" xfId="21486" xr:uid="{00000000-0005-0000-0000-00001A3E0000}"/>
    <cellStyle name="Input 2 2 2 2 2 2 9" xfId="22457" xr:uid="{00000000-0005-0000-0000-00001B3E0000}"/>
    <cellStyle name="Input 2 2 2 2 2 3" xfId="4590" xr:uid="{00000000-0005-0000-0000-00001C3E0000}"/>
    <cellStyle name="Input 2 2 2 2 2 3 10" xfId="23464" xr:uid="{00000000-0005-0000-0000-00001D3E0000}"/>
    <cellStyle name="Input 2 2 2 2 2 3 11" xfId="24436" xr:uid="{00000000-0005-0000-0000-00001E3E0000}"/>
    <cellStyle name="Input 2 2 2 2 2 3 12" xfId="25435" xr:uid="{00000000-0005-0000-0000-00001F3E0000}"/>
    <cellStyle name="Input 2 2 2 2 2 3 13" xfId="28382" xr:uid="{00000000-0005-0000-0000-0000203E0000}"/>
    <cellStyle name="Input 2 2 2 2 2 3 14" xfId="29349" xr:uid="{00000000-0005-0000-0000-0000213E0000}"/>
    <cellStyle name="Input 2 2 2 2 2 3 15" xfId="30391" xr:uid="{00000000-0005-0000-0000-0000223E0000}"/>
    <cellStyle name="Input 2 2 2 2 2 3 16" xfId="31382" xr:uid="{00000000-0005-0000-0000-0000233E0000}"/>
    <cellStyle name="Input 2 2 2 2 2 3 17" xfId="32390" xr:uid="{00000000-0005-0000-0000-0000243E0000}"/>
    <cellStyle name="Input 2 2 2 2 2 3 18" xfId="33393" xr:uid="{00000000-0005-0000-0000-0000253E0000}"/>
    <cellStyle name="Input 2 2 2 2 2 3 19" xfId="34392" xr:uid="{00000000-0005-0000-0000-0000263E0000}"/>
    <cellStyle name="Input 2 2 2 2 2 3 2" xfId="4591" xr:uid="{00000000-0005-0000-0000-0000273E0000}"/>
    <cellStyle name="Input 2 2 2 2 2 3 2 10" xfId="24437" xr:uid="{00000000-0005-0000-0000-0000283E0000}"/>
    <cellStyle name="Input 2 2 2 2 2 3 2 11" xfId="25436" xr:uid="{00000000-0005-0000-0000-0000293E0000}"/>
    <cellStyle name="Input 2 2 2 2 2 3 2 12" xfId="28383" xr:uid="{00000000-0005-0000-0000-00002A3E0000}"/>
    <cellStyle name="Input 2 2 2 2 2 3 2 13" xfId="29350" xr:uid="{00000000-0005-0000-0000-00002B3E0000}"/>
    <cellStyle name="Input 2 2 2 2 2 3 2 14" xfId="30392" xr:uid="{00000000-0005-0000-0000-00002C3E0000}"/>
    <cellStyle name="Input 2 2 2 2 2 3 2 15" xfId="31383" xr:uid="{00000000-0005-0000-0000-00002D3E0000}"/>
    <cellStyle name="Input 2 2 2 2 2 3 2 16" xfId="32391" xr:uid="{00000000-0005-0000-0000-00002E3E0000}"/>
    <cellStyle name="Input 2 2 2 2 2 3 2 17" xfId="33394" xr:uid="{00000000-0005-0000-0000-00002F3E0000}"/>
    <cellStyle name="Input 2 2 2 2 2 3 2 18" xfId="34393" xr:uid="{00000000-0005-0000-0000-0000303E0000}"/>
    <cellStyle name="Input 2 2 2 2 2 3 2 19" xfId="36014" xr:uid="{00000000-0005-0000-0000-0000313E0000}"/>
    <cellStyle name="Input 2 2 2 2 2 3 2 2" xfId="16418" xr:uid="{00000000-0005-0000-0000-0000323E0000}"/>
    <cellStyle name="Input 2 2 2 2 2 3 2 20" xfId="36953" xr:uid="{00000000-0005-0000-0000-0000333E0000}"/>
    <cellStyle name="Input 2 2 2 2 2 3 2 3" xfId="17397" xr:uid="{00000000-0005-0000-0000-0000343E0000}"/>
    <cellStyle name="Input 2 2 2 2 2 3 2 4" xfId="18424" xr:uid="{00000000-0005-0000-0000-0000353E0000}"/>
    <cellStyle name="Input 2 2 2 2 2 3 2 5" xfId="19456" xr:uid="{00000000-0005-0000-0000-0000363E0000}"/>
    <cellStyle name="Input 2 2 2 2 2 3 2 6" xfId="20478" xr:uid="{00000000-0005-0000-0000-0000373E0000}"/>
    <cellStyle name="Input 2 2 2 2 2 3 2 7" xfId="21489" xr:uid="{00000000-0005-0000-0000-0000383E0000}"/>
    <cellStyle name="Input 2 2 2 2 2 3 2 8" xfId="22460" xr:uid="{00000000-0005-0000-0000-0000393E0000}"/>
    <cellStyle name="Input 2 2 2 2 2 3 2 9" xfId="23465" xr:uid="{00000000-0005-0000-0000-00003A3E0000}"/>
    <cellStyle name="Input 2 2 2 2 2 3 20" xfId="36013" xr:uid="{00000000-0005-0000-0000-00003B3E0000}"/>
    <cellStyle name="Input 2 2 2 2 2 3 21" xfId="36952" xr:uid="{00000000-0005-0000-0000-00003C3E0000}"/>
    <cellStyle name="Input 2 2 2 2 2 3 3" xfId="16417" xr:uid="{00000000-0005-0000-0000-00003D3E0000}"/>
    <cellStyle name="Input 2 2 2 2 2 3 4" xfId="17396" xr:uid="{00000000-0005-0000-0000-00003E3E0000}"/>
    <cellStyle name="Input 2 2 2 2 2 3 5" xfId="18423" xr:uid="{00000000-0005-0000-0000-00003F3E0000}"/>
    <cellStyle name="Input 2 2 2 2 2 3 6" xfId="19455" xr:uid="{00000000-0005-0000-0000-0000403E0000}"/>
    <cellStyle name="Input 2 2 2 2 2 3 7" xfId="20477" xr:uid="{00000000-0005-0000-0000-0000413E0000}"/>
    <cellStyle name="Input 2 2 2 2 2 3 8" xfId="21488" xr:uid="{00000000-0005-0000-0000-0000423E0000}"/>
    <cellStyle name="Input 2 2 2 2 2 3 9" xfId="22459" xr:uid="{00000000-0005-0000-0000-0000433E0000}"/>
    <cellStyle name="Input 2 2 2 2 2 4" xfId="4592" xr:uid="{00000000-0005-0000-0000-0000443E0000}"/>
    <cellStyle name="Input 2 2 2 2 2 4 10" xfId="23466" xr:uid="{00000000-0005-0000-0000-0000453E0000}"/>
    <cellStyle name="Input 2 2 2 2 2 4 11" xfId="24438" xr:uid="{00000000-0005-0000-0000-0000463E0000}"/>
    <cellStyle name="Input 2 2 2 2 2 4 12" xfId="25437" xr:uid="{00000000-0005-0000-0000-0000473E0000}"/>
    <cellStyle name="Input 2 2 2 2 2 4 13" xfId="28384" xr:uid="{00000000-0005-0000-0000-0000483E0000}"/>
    <cellStyle name="Input 2 2 2 2 2 4 14" xfId="29351" xr:uid="{00000000-0005-0000-0000-0000493E0000}"/>
    <cellStyle name="Input 2 2 2 2 2 4 15" xfId="30393" xr:uid="{00000000-0005-0000-0000-00004A3E0000}"/>
    <cellStyle name="Input 2 2 2 2 2 4 16" xfId="31384" xr:uid="{00000000-0005-0000-0000-00004B3E0000}"/>
    <cellStyle name="Input 2 2 2 2 2 4 17" xfId="32392" xr:uid="{00000000-0005-0000-0000-00004C3E0000}"/>
    <cellStyle name="Input 2 2 2 2 2 4 18" xfId="33395" xr:uid="{00000000-0005-0000-0000-00004D3E0000}"/>
    <cellStyle name="Input 2 2 2 2 2 4 19" xfId="34394" xr:uid="{00000000-0005-0000-0000-00004E3E0000}"/>
    <cellStyle name="Input 2 2 2 2 2 4 2" xfId="4593" xr:uid="{00000000-0005-0000-0000-00004F3E0000}"/>
    <cellStyle name="Input 2 2 2 2 2 4 2 10" xfId="24439" xr:uid="{00000000-0005-0000-0000-0000503E0000}"/>
    <cellStyle name="Input 2 2 2 2 2 4 2 11" xfId="25438" xr:uid="{00000000-0005-0000-0000-0000513E0000}"/>
    <cellStyle name="Input 2 2 2 2 2 4 2 12" xfId="28385" xr:uid="{00000000-0005-0000-0000-0000523E0000}"/>
    <cellStyle name="Input 2 2 2 2 2 4 2 13" xfId="29352" xr:uid="{00000000-0005-0000-0000-0000533E0000}"/>
    <cellStyle name="Input 2 2 2 2 2 4 2 14" xfId="30394" xr:uid="{00000000-0005-0000-0000-0000543E0000}"/>
    <cellStyle name="Input 2 2 2 2 2 4 2 15" xfId="31385" xr:uid="{00000000-0005-0000-0000-0000553E0000}"/>
    <cellStyle name="Input 2 2 2 2 2 4 2 16" xfId="32393" xr:uid="{00000000-0005-0000-0000-0000563E0000}"/>
    <cellStyle name="Input 2 2 2 2 2 4 2 17" xfId="33396" xr:uid="{00000000-0005-0000-0000-0000573E0000}"/>
    <cellStyle name="Input 2 2 2 2 2 4 2 18" xfId="34395" xr:uid="{00000000-0005-0000-0000-0000583E0000}"/>
    <cellStyle name="Input 2 2 2 2 2 4 2 19" xfId="36016" xr:uid="{00000000-0005-0000-0000-0000593E0000}"/>
    <cellStyle name="Input 2 2 2 2 2 4 2 2" xfId="16420" xr:uid="{00000000-0005-0000-0000-00005A3E0000}"/>
    <cellStyle name="Input 2 2 2 2 2 4 2 20" xfId="36955" xr:uid="{00000000-0005-0000-0000-00005B3E0000}"/>
    <cellStyle name="Input 2 2 2 2 2 4 2 3" xfId="17399" xr:uid="{00000000-0005-0000-0000-00005C3E0000}"/>
    <cellStyle name="Input 2 2 2 2 2 4 2 4" xfId="18426" xr:uid="{00000000-0005-0000-0000-00005D3E0000}"/>
    <cellStyle name="Input 2 2 2 2 2 4 2 5" xfId="19458" xr:uid="{00000000-0005-0000-0000-00005E3E0000}"/>
    <cellStyle name="Input 2 2 2 2 2 4 2 6" xfId="20480" xr:uid="{00000000-0005-0000-0000-00005F3E0000}"/>
    <cellStyle name="Input 2 2 2 2 2 4 2 7" xfId="21491" xr:uid="{00000000-0005-0000-0000-0000603E0000}"/>
    <cellStyle name="Input 2 2 2 2 2 4 2 8" xfId="22462" xr:uid="{00000000-0005-0000-0000-0000613E0000}"/>
    <cellStyle name="Input 2 2 2 2 2 4 2 9" xfId="23467" xr:uid="{00000000-0005-0000-0000-0000623E0000}"/>
    <cellStyle name="Input 2 2 2 2 2 4 20" xfId="36015" xr:uid="{00000000-0005-0000-0000-0000633E0000}"/>
    <cellStyle name="Input 2 2 2 2 2 4 21" xfId="36954" xr:uid="{00000000-0005-0000-0000-0000643E0000}"/>
    <cellStyle name="Input 2 2 2 2 2 4 3" xfId="16419" xr:uid="{00000000-0005-0000-0000-0000653E0000}"/>
    <cellStyle name="Input 2 2 2 2 2 4 4" xfId="17398" xr:uid="{00000000-0005-0000-0000-0000663E0000}"/>
    <cellStyle name="Input 2 2 2 2 2 4 5" xfId="18425" xr:uid="{00000000-0005-0000-0000-0000673E0000}"/>
    <cellStyle name="Input 2 2 2 2 2 4 6" xfId="19457" xr:uid="{00000000-0005-0000-0000-0000683E0000}"/>
    <cellStyle name="Input 2 2 2 2 2 4 7" xfId="20479" xr:uid="{00000000-0005-0000-0000-0000693E0000}"/>
    <cellStyle name="Input 2 2 2 2 2 4 8" xfId="21490" xr:uid="{00000000-0005-0000-0000-00006A3E0000}"/>
    <cellStyle name="Input 2 2 2 2 2 4 9" xfId="22461" xr:uid="{00000000-0005-0000-0000-00006B3E0000}"/>
    <cellStyle name="Input 2 2 2 2 2 5" xfId="4594" xr:uid="{00000000-0005-0000-0000-00006C3E0000}"/>
    <cellStyle name="Input 2 2 2 2 2 5 10" xfId="24440" xr:uid="{00000000-0005-0000-0000-00006D3E0000}"/>
    <cellStyle name="Input 2 2 2 2 2 5 11" xfId="25439" xr:uid="{00000000-0005-0000-0000-00006E3E0000}"/>
    <cellStyle name="Input 2 2 2 2 2 5 12" xfId="28386" xr:uid="{00000000-0005-0000-0000-00006F3E0000}"/>
    <cellStyle name="Input 2 2 2 2 2 5 13" xfId="29353" xr:uid="{00000000-0005-0000-0000-0000703E0000}"/>
    <cellStyle name="Input 2 2 2 2 2 5 14" xfId="30395" xr:uid="{00000000-0005-0000-0000-0000713E0000}"/>
    <cellStyle name="Input 2 2 2 2 2 5 15" xfId="31386" xr:uid="{00000000-0005-0000-0000-0000723E0000}"/>
    <cellStyle name="Input 2 2 2 2 2 5 16" xfId="32394" xr:uid="{00000000-0005-0000-0000-0000733E0000}"/>
    <cellStyle name="Input 2 2 2 2 2 5 17" xfId="33397" xr:uid="{00000000-0005-0000-0000-0000743E0000}"/>
    <cellStyle name="Input 2 2 2 2 2 5 18" xfId="34396" xr:uid="{00000000-0005-0000-0000-0000753E0000}"/>
    <cellStyle name="Input 2 2 2 2 2 5 19" xfId="36017" xr:uid="{00000000-0005-0000-0000-0000763E0000}"/>
    <cellStyle name="Input 2 2 2 2 2 5 2" xfId="16421" xr:uid="{00000000-0005-0000-0000-0000773E0000}"/>
    <cellStyle name="Input 2 2 2 2 2 5 20" xfId="36956" xr:uid="{00000000-0005-0000-0000-0000783E0000}"/>
    <cellStyle name="Input 2 2 2 2 2 5 3" xfId="17400" xr:uid="{00000000-0005-0000-0000-0000793E0000}"/>
    <cellStyle name="Input 2 2 2 2 2 5 4" xfId="18427" xr:uid="{00000000-0005-0000-0000-00007A3E0000}"/>
    <cellStyle name="Input 2 2 2 2 2 5 5" xfId="19459" xr:uid="{00000000-0005-0000-0000-00007B3E0000}"/>
    <cellStyle name="Input 2 2 2 2 2 5 6" xfId="20481" xr:uid="{00000000-0005-0000-0000-00007C3E0000}"/>
    <cellStyle name="Input 2 2 2 2 2 5 7" xfId="21492" xr:uid="{00000000-0005-0000-0000-00007D3E0000}"/>
    <cellStyle name="Input 2 2 2 2 2 5 8" xfId="22463" xr:uid="{00000000-0005-0000-0000-00007E3E0000}"/>
    <cellStyle name="Input 2 2 2 2 2 5 9" xfId="23468" xr:uid="{00000000-0005-0000-0000-00007F3E0000}"/>
    <cellStyle name="Input 2 2 2 2 2 6" xfId="13731" xr:uid="{00000000-0005-0000-0000-0000803E0000}"/>
    <cellStyle name="Input 2 2 2 2 2 7" xfId="15069" xr:uid="{00000000-0005-0000-0000-0000813E0000}"/>
    <cellStyle name="Input 2 2 2 2 2 8" xfId="15459" xr:uid="{00000000-0005-0000-0000-0000823E0000}"/>
    <cellStyle name="Input 2 2 2 2 2 9" xfId="15091" xr:uid="{00000000-0005-0000-0000-0000833E0000}"/>
    <cellStyle name="Input 2 2 2 2 20" xfId="30852" xr:uid="{00000000-0005-0000-0000-0000843E0000}"/>
    <cellStyle name="Input 2 2 2 2 21" xfId="27433" xr:uid="{00000000-0005-0000-0000-0000853E0000}"/>
    <cellStyle name="Input 2 2 2 2 22" xfId="34958" xr:uid="{00000000-0005-0000-0000-0000863E0000}"/>
    <cellStyle name="Input 2 2 2 2 23" xfId="35369" xr:uid="{00000000-0005-0000-0000-0000873E0000}"/>
    <cellStyle name="Input 2 2 2 2 3" xfId="4595" xr:uid="{00000000-0005-0000-0000-0000883E0000}"/>
    <cellStyle name="Input 2 2 2 2 3 10" xfId="13934" xr:uid="{00000000-0005-0000-0000-0000893E0000}"/>
    <cellStyle name="Input 2 2 2 2 3 11" xfId="13488" xr:uid="{00000000-0005-0000-0000-00008A3E0000}"/>
    <cellStyle name="Input 2 2 2 2 3 12" xfId="26399" xr:uid="{00000000-0005-0000-0000-00008B3E0000}"/>
    <cellStyle name="Input 2 2 2 2 3 13" xfId="27123" xr:uid="{00000000-0005-0000-0000-00008C3E0000}"/>
    <cellStyle name="Input 2 2 2 2 3 14" xfId="25943" xr:uid="{00000000-0005-0000-0000-00008D3E0000}"/>
    <cellStyle name="Input 2 2 2 2 3 15" xfId="27372" xr:uid="{00000000-0005-0000-0000-00008E3E0000}"/>
    <cellStyle name="Input 2 2 2 2 3 16" xfId="26850" xr:uid="{00000000-0005-0000-0000-00008F3E0000}"/>
    <cellStyle name="Input 2 2 2 2 3 17" xfId="26265" xr:uid="{00000000-0005-0000-0000-0000903E0000}"/>
    <cellStyle name="Input 2 2 2 2 3 18" xfId="35090" xr:uid="{00000000-0005-0000-0000-0000913E0000}"/>
    <cellStyle name="Input 2 2 2 2 3 19" xfId="35429" xr:uid="{00000000-0005-0000-0000-0000923E0000}"/>
    <cellStyle name="Input 2 2 2 2 3 2" xfId="4596" xr:uid="{00000000-0005-0000-0000-0000933E0000}"/>
    <cellStyle name="Input 2 2 2 2 3 2 10" xfId="23469" xr:uid="{00000000-0005-0000-0000-0000943E0000}"/>
    <cellStyle name="Input 2 2 2 2 3 2 11" xfId="24441" xr:uid="{00000000-0005-0000-0000-0000953E0000}"/>
    <cellStyle name="Input 2 2 2 2 3 2 12" xfId="25440" xr:uid="{00000000-0005-0000-0000-0000963E0000}"/>
    <cellStyle name="Input 2 2 2 2 3 2 13" xfId="28387" xr:uid="{00000000-0005-0000-0000-0000973E0000}"/>
    <cellStyle name="Input 2 2 2 2 3 2 14" xfId="29354" xr:uid="{00000000-0005-0000-0000-0000983E0000}"/>
    <cellStyle name="Input 2 2 2 2 3 2 15" xfId="30396" xr:uid="{00000000-0005-0000-0000-0000993E0000}"/>
    <cellStyle name="Input 2 2 2 2 3 2 16" xfId="31387" xr:uid="{00000000-0005-0000-0000-00009A3E0000}"/>
    <cellStyle name="Input 2 2 2 2 3 2 17" xfId="32395" xr:uid="{00000000-0005-0000-0000-00009B3E0000}"/>
    <cellStyle name="Input 2 2 2 2 3 2 18" xfId="33398" xr:uid="{00000000-0005-0000-0000-00009C3E0000}"/>
    <cellStyle name="Input 2 2 2 2 3 2 19" xfId="34397" xr:uid="{00000000-0005-0000-0000-00009D3E0000}"/>
    <cellStyle name="Input 2 2 2 2 3 2 2" xfId="4597" xr:uid="{00000000-0005-0000-0000-00009E3E0000}"/>
    <cellStyle name="Input 2 2 2 2 3 2 2 10" xfId="24442" xr:uid="{00000000-0005-0000-0000-00009F3E0000}"/>
    <cellStyle name="Input 2 2 2 2 3 2 2 11" xfId="25441" xr:uid="{00000000-0005-0000-0000-0000A03E0000}"/>
    <cellStyle name="Input 2 2 2 2 3 2 2 12" xfId="28388" xr:uid="{00000000-0005-0000-0000-0000A13E0000}"/>
    <cellStyle name="Input 2 2 2 2 3 2 2 13" xfId="29355" xr:uid="{00000000-0005-0000-0000-0000A23E0000}"/>
    <cellStyle name="Input 2 2 2 2 3 2 2 14" xfId="30397" xr:uid="{00000000-0005-0000-0000-0000A33E0000}"/>
    <cellStyle name="Input 2 2 2 2 3 2 2 15" xfId="31388" xr:uid="{00000000-0005-0000-0000-0000A43E0000}"/>
    <cellStyle name="Input 2 2 2 2 3 2 2 16" xfId="32396" xr:uid="{00000000-0005-0000-0000-0000A53E0000}"/>
    <cellStyle name="Input 2 2 2 2 3 2 2 17" xfId="33399" xr:uid="{00000000-0005-0000-0000-0000A63E0000}"/>
    <cellStyle name="Input 2 2 2 2 3 2 2 18" xfId="34398" xr:uid="{00000000-0005-0000-0000-0000A73E0000}"/>
    <cellStyle name="Input 2 2 2 2 3 2 2 19" xfId="36019" xr:uid="{00000000-0005-0000-0000-0000A83E0000}"/>
    <cellStyle name="Input 2 2 2 2 3 2 2 2" xfId="16423" xr:uid="{00000000-0005-0000-0000-0000A93E0000}"/>
    <cellStyle name="Input 2 2 2 2 3 2 2 20" xfId="36958" xr:uid="{00000000-0005-0000-0000-0000AA3E0000}"/>
    <cellStyle name="Input 2 2 2 2 3 2 2 3" xfId="17402" xr:uid="{00000000-0005-0000-0000-0000AB3E0000}"/>
    <cellStyle name="Input 2 2 2 2 3 2 2 4" xfId="18429" xr:uid="{00000000-0005-0000-0000-0000AC3E0000}"/>
    <cellStyle name="Input 2 2 2 2 3 2 2 5" xfId="19461" xr:uid="{00000000-0005-0000-0000-0000AD3E0000}"/>
    <cellStyle name="Input 2 2 2 2 3 2 2 6" xfId="20483" xr:uid="{00000000-0005-0000-0000-0000AE3E0000}"/>
    <cellStyle name="Input 2 2 2 2 3 2 2 7" xfId="21494" xr:uid="{00000000-0005-0000-0000-0000AF3E0000}"/>
    <cellStyle name="Input 2 2 2 2 3 2 2 8" xfId="22465" xr:uid="{00000000-0005-0000-0000-0000B03E0000}"/>
    <cellStyle name="Input 2 2 2 2 3 2 2 9" xfId="23470" xr:uid="{00000000-0005-0000-0000-0000B13E0000}"/>
    <cellStyle name="Input 2 2 2 2 3 2 20" xfId="36018" xr:uid="{00000000-0005-0000-0000-0000B23E0000}"/>
    <cellStyle name="Input 2 2 2 2 3 2 21" xfId="36957" xr:uid="{00000000-0005-0000-0000-0000B33E0000}"/>
    <cellStyle name="Input 2 2 2 2 3 2 3" xfId="16422" xr:uid="{00000000-0005-0000-0000-0000B43E0000}"/>
    <cellStyle name="Input 2 2 2 2 3 2 4" xfId="17401" xr:uid="{00000000-0005-0000-0000-0000B53E0000}"/>
    <cellStyle name="Input 2 2 2 2 3 2 5" xfId="18428" xr:uid="{00000000-0005-0000-0000-0000B63E0000}"/>
    <cellStyle name="Input 2 2 2 2 3 2 6" xfId="19460" xr:uid="{00000000-0005-0000-0000-0000B73E0000}"/>
    <cellStyle name="Input 2 2 2 2 3 2 7" xfId="20482" xr:uid="{00000000-0005-0000-0000-0000B83E0000}"/>
    <cellStyle name="Input 2 2 2 2 3 2 8" xfId="21493" xr:uid="{00000000-0005-0000-0000-0000B93E0000}"/>
    <cellStyle name="Input 2 2 2 2 3 2 9" xfId="22464" xr:uid="{00000000-0005-0000-0000-0000BA3E0000}"/>
    <cellStyle name="Input 2 2 2 2 3 3" xfId="4598" xr:uid="{00000000-0005-0000-0000-0000BB3E0000}"/>
    <cellStyle name="Input 2 2 2 2 3 3 10" xfId="23471" xr:uid="{00000000-0005-0000-0000-0000BC3E0000}"/>
    <cellStyle name="Input 2 2 2 2 3 3 11" xfId="24443" xr:uid="{00000000-0005-0000-0000-0000BD3E0000}"/>
    <cellStyle name="Input 2 2 2 2 3 3 12" xfId="25442" xr:uid="{00000000-0005-0000-0000-0000BE3E0000}"/>
    <cellStyle name="Input 2 2 2 2 3 3 13" xfId="28389" xr:uid="{00000000-0005-0000-0000-0000BF3E0000}"/>
    <cellStyle name="Input 2 2 2 2 3 3 14" xfId="29356" xr:uid="{00000000-0005-0000-0000-0000C03E0000}"/>
    <cellStyle name="Input 2 2 2 2 3 3 15" xfId="30398" xr:uid="{00000000-0005-0000-0000-0000C13E0000}"/>
    <cellStyle name="Input 2 2 2 2 3 3 16" xfId="31389" xr:uid="{00000000-0005-0000-0000-0000C23E0000}"/>
    <cellStyle name="Input 2 2 2 2 3 3 17" xfId="32397" xr:uid="{00000000-0005-0000-0000-0000C33E0000}"/>
    <cellStyle name="Input 2 2 2 2 3 3 18" xfId="33400" xr:uid="{00000000-0005-0000-0000-0000C43E0000}"/>
    <cellStyle name="Input 2 2 2 2 3 3 19" xfId="34399" xr:uid="{00000000-0005-0000-0000-0000C53E0000}"/>
    <cellStyle name="Input 2 2 2 2 3 3 2" xfId="4599" xr:uid="{00000000-0005-0000-0000-0000C63E0000}"/>
    <cellStyle name="Input 2 2 2 2 3 3 2 10" xfId="24444" xr:uid="{00000000-0005-0000-0000-0000C73E0000}"/>
    <cellStyle name="Input 2 2 2 2 3 3 2 11" xfId="25443" xr:uid="{00000000-0005-0000-0000-0000C83E0000}"/>
    <cellStyle name="Input 2 2 2 2 3 3 2 12" xfId="28390" xr:uid="{00000000-0005-0000-0000-0000C93E0000}"/>
    <cellStyle name="Input 2 2 2 2 3 3 2 13" xfId="29357" xr:uid="{00000000-0005-0000-0000-0000CA3E0000}"/>
    <cellStyle name="Input 2 2 2 2 3 3 2 14" xfId="30399" xr:uid="{00000000-0005-0000-0000-0000CB3E0000}"/>
    <cellStyle name="Input 2 2 2 2 3 3 2 15" xfId="31390" xr:uid="{00000000-0005-0000-0000-0000CC3E0000}"/>
    <cellStyle name="Input 2 2 2 2 3 3 2 16" xfId="32398" xr:uid="{00000000-0005-0000-0000-0000CD3E0000}"/>
    <cellStyle name="Input 2 2 2 2 3 3 2 17" xfId="33401" xr:uid="{00000000-0005-0000-0000-0000CE3E0000}"/>
    <cellStyle name="Input 2 2 2 2 3 3 2 18" xfId="34400" xr:uid="{00000000-0005-0000-0000-0000CF3E0000}"/>
    <cellStyle name="Input 2 2 2 2 3 3 2 19" xfId="36021" xr:uid="{00000000-0005-0000-0000-0000D03E0000}"/>
    <cellStyle name="Input 2 2 2 2 3 3 2 2" xfId="16425" xr:uid="{00000000-0005-0000-0000-0000D13E0000}"/>
    <cellStyle name="Input 2 2 2 2 3 3 2 20" xfId="36960" xr:uid="{00000000-0005-0000-0000-0000D23E0000}"/>
    <cellStyle name="Input 2 2 2 2 3 3 2 3" xfId="17404" xr:uid="{00000000-0005-0000-0000-0000D33E0000}"/>
    <cellStyle name="Input 2 2 2 2 3 3 2 4" xfId="18431" xr:uid="{00000000-0005-0000-0000-0000D43E0000}"/>
    <cellStyle name="Input 2 2 2 2 3 3 2 5" xfId="19463" xr:uid="{00000000-0005-0000-0000-0000D53E0000}"/>
    <cellStyle name="Input 2 2 2 2 3 3 2 6" xfId="20485" xr:uid="{00000000-0005-0000-0000-0000D63E0000}"/>
    <cellStyle name="Input 2 2 2 2 3 3 2 7" xfId="21496" xr:uid="{00000000-0005-0000-0000-0000D73E0000}"/>
    <cellStyle name="Input 2 2 2 2 3 3 2 8" xfId="22467" xr:uid="{00000000-0005-0000-0000-0000D83E0000}"/>
    <cellStyle name="Input 2 2 2 2 3 3 2 9" xfId="23472" xr:uid="{00000000-0005-0000-0000-0000D93E0000}"/>
    <cellStyle name="Input 2 2 2 2 3 3 20" xfId="36020" xr:uid="{00000000-0005-0000-0000-0000DA3E0000}"/>
    <cellStyle name="Input 2 2 2 2 3 3 21" xfId="36959" xr:uid="{00000000-0005-0000-0000-0000DB3E0000}"/>
    <cellStyle name="Input 2 2 2 2 3 3 3" xfId="16424" xr:uid="{00000000-0005-0000-0000-0000DC3E0000}"/>
    <cellStyle name="Input 2 2 2 2 3 3 4" xfId="17403" xr:uid="{00000000-0005-0000-0000-0000DD3E0000}"/>
    <cellStyle name="Input 2 2 2 2 3 3 5" xfId="18430" xr:uid="{00000000-0005-0000-0000-0000DE3E0000}"/>
    <cellStyle name="Input 2 2 2 2 3 3 6" xfId="19462" xr:uid="{00000000-0005-0000-0000-0000DF3E0000}"/>
    <cellStyle name="Input 2 2 2 2 3 3 7" xfId="20484" xr:uid="{00000000-0005-0000-0000-0000E03E0000}"/>
    <cellStyle name="Input 2 2 2 2 3 3 8" xfId="21495" xr:uid="{00000000-0005-0000-0000-0000E13E0000}"/>
    <cellStyle name="Input 2 2 2 2 3 3 9" xfId="22466" xr:uid="{00000000-0005-0000-0000-0000E23E0000}"/>
    <cellStyle name="Input 2 2 2 2 3 4" xfId="4600" xr:uid="{00000000-0005-0000-0000-0000E33E0000}"/>
    <cellStyle name="Input 2 2 2 2 3 4 10" xfId="23473" xr:uid="{00000000-0005-0000-0000-0000E43E0000}"/>
    <cellStyle name="Input 2 2 2 2 3 4 11" xfId="24445" xr:uid="{00000000-0005-0000-0000-0000E53E0000}"/>
    <cellStyle name="Input 2 2 2 2 3 4 12" xfId="25444" xr:uid="{00000000-0005-0000-0000-0000E63E0000}"/>
    <cellStyle name="Input 2 2 2 2 3 4 13" xfId="28391" xr:uid="{00000000-0005-0000-0000-0000E73E0000}"/>
    <cellStyle name="Input 2 2 2 2 3 4 14" xfId="29358" xr:uid="{00000000-0005-0000-0000-0000E83E0000}"/>
    <cellStyle name="Input 2 2 2 2 3 4 15" xfId="30400" xr:uid="{00000000-0005-0000-0000-0000E93E0000}"/>
    <cellStyle name="Input 2 2 2 2 3 4 16" xfId="31391" xr:uid="{00000000-0005-0000-0000-0000EA3E0000}"/>
    <cellStyle name="Input 2 2 2 2 3 4 17" xfId="32399" xr:uid="{00000000-0005-0000-0000-0000EB3E0000}"/>
    <cellStyle name="Input 2 2 2 2 3 4 18" xfId="33402" xr:uid="{00000000-0005-0000-0000-0000EC3E0000}"/>
    <cellStyle name="Input 2 2 2 2 3 4 19" xfId="34401" xr:uid="{00000000-0005-0000-0000-0000ED3E0000}"/>
    <cellStyle name="Input 2 2 2 2 3 4 2" xfId="4601" xr:uid="{00000000-0005-0000-0000-0000EE3E0000}"/>
    <cellStyle name="Input 2 2 2 2 3 4 2 10" xfId="24446" xr:uid="{00000000-0005-0000-0000-0000EF3E0000}"/>
    <cellStyle name="Input 2 2 2 2 3 4 2 11" xfId="25445" xr:uid="{00000000-0005-0000-0000-0000F03E0000}"/>
    <cellStyle name="Input 2 2 2 2 3 4 2 12" xfId="28392" xr:uid="{00000000-0005-0000-0000-0000F13E0000}"/>
    <cellStyle name="Input 2 2 2 2 3 4 2 13" xfId="29359" xr:uid="{00000000-0005-0000-0000-0000F23E0000}"/>
    <cellStyle name="Input 2 2 2 2 3 4 2 14" xfId="30401" xr:uid="{00000000-0005-0000-0000-0000F33E0000}"/>
    <cellStyle name="Input 2 2 2 2 3 4 2 15" xfId="31392" xr:uid="{00000000-0005-0000-0000-0000F43E0000}"/>
    <cellStyle name="Input 2 2 2 2 3 4 2 16" xfId="32400" xr:uid="{00000000-0005-0000-0000-0000F53E0000}"/>
    <cellStyle name="Input 2 2 2 2 3 4 2 17" xfId="33403" xr:uid="{00000000-0005-0000-0000-0000F63E0000}"/>
    <cellStyle name="Input 2 2 2 2 3 4 2 18" xfId="34402" xr:uid="{00000000-0005-0000-0000-0000F73E0000}"/>
    <cellStyle name="Input 2 2 2 2 3 4 2 19" xfId="36023" xr:uid="{00000000-0005-0000-0000-0000F83E0000}"/>
    <cellStyle name="Input 2 2 2 2 3 4 2 2" xfId="16427" xr:uid="{00000000-0005-0000-0000-0000F93E0000}"/>
    <cellStyle name="Input 2 2 2 2 3 4 2 20" xfId="36962" xr:uid="{00000000-0005-0000-0000-0000FA3E0000}"/>
    <cellStyle name="Input 2 2 2 2 3 4 2 3" xfId="17406" xr:uid="{00000000-0005-0000-0000-0000FB3E0000}"/>
    <cellStyle name="Input 2 2 2 2 3 4 2 4" xfId="18433" xr:uid="{00000000-0005-0000-0000-0000FC3E0000}"/>
    <cellStyle name="Input 2 2 2 2 3 4 2 5" xfId="19465" xr:uid="{00000000-0005-0000-0000-0000FD3E0000}"/>
    <cellStyle name="Input 2 2 2 2 3 4 2 6" xfId="20487" xr:uid="{00000000-0005-0000-0000-0000FE3E0000}"/>
    <cellStyle name="Input 2 2 2 2 3 4 2 7" xfId="21498" xr:uid="{00000000-0005-0000-0000-0000FF3E0000}"/>
    <cellStyle name="Input 2 2 2 2 3 4 2 8" xfId="22469" xr:uid="{00000000-0005-0000-0000-0000003F0000}"/>
    <cellStyle name="Input 2 2 2 2 3 4 2 9" xfId="23474" xr:uid="{00000000-0005-0000-0000-0000013F0000}"/>
    <cellStyle name="Input 2 2 2 2 3 4 20" xfId="36022" xr:uid="{00000000-0005-0000-0000-0000023F0000}"/>
    <cellStyle name="Input 2 2 2 2 3 4 21" xfId="36961" xr:uid="{00000000-0005-0000-0000-0000033F0000}"/>
    <cellStyle name="Input 2 2 2 2 3 4 3" xfId="16426" xr:uid="{00000000-0005-0000-0000-0000043F0000}"/>
    <cellStyle name="Input 2 2 2 2 3 4 4" xfId="17405" xr:uid="{00000000-0005-0000-0000-0000053F0000}"/>
    <cellStyle name="Input 2 2 2 2 3 4 5" xfId="18432" xr:uid="{00000000-0005-0000-0000-0000063F0000}"/>
    <cellStyle name="Input 2 2 2 2 3 4 6" xfId="19464" xr:uid="{00000000-0005-0000-0000-0000073F0000}"/>
    <cellStyle name="Input 2 2 2 2 3 4 7" xfId="20486" xr:uid="{00000000-0005-0000-0000-0000083F0000}"/>
    <cellStyle name="Input 2 2 2 2 3 4 8" xfId="21497" xr:uid="{00000000-0005-0000-0000-0000093F0000}"/>
    <cellStyle name="Input 2 2 2 2 3 4 9" xfId="22468" xr:uid="{00000000-0005-0000-0000-00000A3F0000}"/>
    <cellStyle name="Input 2 2 2 2 3 5" xfId="4602" xr:uid="{00000000-0005-0000-0000-00000B3F0000}"/>
    <cellStyle name="Input 2 2 2 2 3 5 10" xfId="24447" xr:uid="{00000000-0005-0000-0000-00000C3F0000}"/>
    <cellStyle name="Input 2 2 2 2 3 5 11" xfId="25446" xr:uid="{00000000-0005-0000-0000-00000D3F0000}"/>
    <cellStyle name="Input 2 2 2 2 3 5 12" xfId="28393" xr:uid="{00000000-0005-0000-0000-00000E3F0000}"/>
    <cellStyle name="Input 2 2 2 2 3 5 13" xfId="29360" xr:uid="{00000000-0005-0000-0000-00000F3F0000}"/>
    <cellStyle name="Input 2 2 2 2 3 5 14" xfId="30402" xr:uid="{00000000-0005-0000-0000-0000103F0000}"/>
    <cellStyle name="Input 2 2 2 2 3 5 15" xfId="31393" xr:uid="{00000000-0005-0000-0000-0000113F0000}"/>
    <cellStyle name="Input 2 2 2 2 3 5 16" xfId="32401" xr:uid="{00000000-0005-0000-0000-0000123F0000}"/>
    <cellStyle name="Input 2 2 2 2 3 5 17" xfId="33404" xr:uid="{00000000-0005-0000-0000-0000133F0000}"/>
    <cellStyle name="Input 2 2 2 2 3 5 18" xfId="34403" xr:uid="{00000000-0005-0000-0000-0000143F0000}"/>
    <cellStyle name="Input 2 2 2 2 3 5 19" xfId="36024" xr:uid="{00000000-0005-0000-0000-0000153F0000}"/>
    <cellStyle name="Input 2 2 2 2 3 5 2" xfId="16428" xr:uid="{00000000-0005-0000-0000-0000163F0000}"/>
    <cellStyle name="Input 2 2 2 2 3 5 20" xfId="36963" xr:uid="{00000000-0005-0000-0000-0000173F0000}"/>
    <cellStyle name="Input 2 2 2 2 3 5 3" xfId="17407" xr:uid="{00000000-0005-0000-0000-0000183F0000}"/>
    <cellStyle name="Input 2 2 2 2 3 5 4" xfId="18434" xr:uid="{00000000-0005-0000-0000-0000193F0000}"/>
    <cellStyle name="Input 2 2 2 2 3 5 5" xfId="19466" xr:uid="{00000000-0005-0000-0000-00001A3F0000}"/>
    <cellStyle name="Input 2 2 2 2 3 5 6" xfId="20488" xr:uid="{00000000-0005-0000-0000-00001B3F0000}"/>
    <cellStyle name="Input 2 2 2 2 3 5 7" xfId="21499" xr:uid="{00000000-0005-0000-0000-00001C3F0000}"/>
    <cellStyle name="Input 2 2 2 2 3 5 8" xfId="22470" xr:uid="{00000000-0005-0000-0000-00001D3F0000}"/>
    <cellStyle name="Input 2 2 2 2 3 5 9" xfId="23475" xr:uid="{00000000-0005-0000-0000-00001E3F0000}"/>
    <cellStyle name="Input 2 2 2 2 3 6" xfId="13776" xr:uid="{00000000-0005-0000-0000-00001F3F0000}"/>
    <cellStyle name="Input 2 2 2 2 3 7" xfId="14559" xr:uid="{00000000-0005-0000-0000-0000203F0000}"/>
    <cellStyle name="Input 2 2 2 2 3 8" xfId="15578" xr:uid="{00000000-0005-0000-0000-0000213F0000}"/>
    <cellStyle name="Input 2 2 2 2 3 9" xfId="14758" xr:uid="{00000000-0005-0000-0000-0000223F0000}"/>
    <cellStyle name="Input 2 2 2 2 4" xfId="4603" xr:uid="{00000000-0005-0000-0000-0000233F0000}"/>
    <cellStyle name="Input 2 2 2 2 4 10" xfId="14749" xr:uid="{00000000-0005-0000-0000-0000243F0000}"/>
    <cellStyle name="Input 2 2 2 2 4 11" xfId="15324" xr:uid="{00000000-0005-0000-0000-0000253F0000}"/>
    <cellStyle name="Input 2 2 2 2 4 12" xfId="26415" xr:uid="{00000000-0005-0000-0000-0000263F0000}"/>
    <cellStyle name="Input 2 2 2 2 4 13" xfId="27699" xr:uid="{00000000-0005-0000-0000-0000273F0000}"/>
    <cellStyle name="Input 2 2 2 2 4 14" xfId="26154" xr:uid="{00000000-0005-0000-0000-0000283F0000}"/>
    <cellStyle name="Input 2 2 2 2 4 15" xfId="26781" xr:uid="{00000000-0005-0000-0000-0000293F0000}"/>
    <cellStyle name="Input 2 2 2 2 4 16" xfId="27324" xr:uid="{00000000-0005-0000-0000-00002A3F0000}"/>
    <cellStyle name="Input 2 2 2 2 4 17" xfId="26684" xr:uid="{00000000-0005-0000-0000-00002B3F0000}"/>
    <cellStyle name="Input 2 2 2 2 4 18" xfId="35105" xr:uid="{00000000-0005-0000-0000-00002C3F0000}"/>
    <cellStyle name="Input 2 2 2 2 4 19" xfId="35266" xr:uid="{00000000-0005-0000-0000-00002D3F0000}"/>
    <cellStyle name="Input 2 2 2 2 4 2" xfId="4604" xr:uid="{00000000-0005-0000-0000-00002E3F0000}"/>
    <cellStyle name="Input 2 2 2 2 4 2 10" xfId="23476" xr:uid="{00000000-0005-0000-0000-00002F3F0000}"/>
    <cellStyle name="Input 2 2 2 2 4 2 11" xfId="24448" xr:uid="{00000000-0005-0000-0000-0000303F0000}"/>
    <cellStyle name="Input 2 2 2 2 4 2 12" xfId="25447" xr:uid="{00000000-0005-0000-0000-0000313F0000}"/>
    <cellStyle name="Input 2 2 2 2 4 2 13" xfId="28394" xr:uid="{00000000-0005-0000-0000-0000323F0000}"/>
    <cellStyle name="Input 2 2 2 2 4 2 14" xfId="29361" xr:uid="{00000000-0005-0000-0000-0000333F0000}"/>
    <cellStyle name="Input 2 2 2 2 4 2 15" xfId="30403" xr:uid="{00000000-0005-0000-0000-0000343F0000}"/>
    <cellStyle name="Input 2 2 2 2 4 2 16" xfId="31394" xr:uid="{00000000-0005-0000-0000-0000353F0000}"/>
    <cellStyle name="Input 2 2 2 2 4 2 17" xfId="32402" xr:uid="{00000000-0005-0000-0000-0000363F0000}"/>
    <cellStyle name="Input 2 2 2 2 4 2 18" xfId="33405" xr:uid="{00000000-0005-0000-0000-0000373F0000}"/>
    <cellStyle name="Input 2 2 2 2 4 2 19" xfId="34404" xr:uid="{00000000-0005-0000-0000-0000383F0000}"/>
    <cellStyle name="Input 2 2 2 2 4 2 2" xfId="4605" xr:uid="{00000000-0005-0000-0000-0000393F0000}"/>
    <cellStyle name="Input 2 2 2 2 4 2 2 10" xfId="24449" xr:uid="{00000000-0005-0000-0000-00003A3F0000}"/>
    <cellStyle name="Input 2 2 2 2 4 2 2 11" xfId="25448" xr:uid="{00000000-0005-0000-0000-00003B3F0000}"/>
    <cellStyle name="Input 2 2 2 2 4 2 2 12" xfId="28395" xr:uid="{00000000-0005-0000-0000-00003C3F0000}"/>
    <cellStyle name="Input 2 2 2 2 4 2 2 13" xfId="29362" xr:uid="{00000000-0005-0000-0000-00003D3F0000}"/>
    <cellStyle name="Input 2 2 2 2 4 2 2 14" xfId="30404" xr:uid="{00000000-0005-0000-0000-00003E3F0000}"/>
    <cellStyle name="Input 2 2 2 2 4 2 2 15" xfId="31395" xr:uid="{00000000-0005-0000-0000-00003F3F0000}"/>
    <cellStyle name="Input 2 2 2 2 4 2 2 16" xfId="32403" xr:uid="{00000000-0005-0000-0000-0000403F0000}"/>
    <cellStyle name="Input 2 2 2 2 4 2 2 17" xfId="33406" xr:uid="{00000000-0005-0000-0000-0000413F0000}"/>
    <cellStyle name="Input 2 2 2 2 4 2 2 18" xfId="34405" xr:uid="{00000000-0005-0000-0000-0000423F0000}"/>
    <cellStyle name="Input 2 2 2 2 4 2 2 19" xfId="36026" xr:uid="{00000000-0005-0000-0000-0000433F0000}"/>
    <cellStyle name="Input 2 2 2 2 4 2 2 2" xfId="16430" xr:uid="{00000000-0005-0000-0000-0000443F0000}"/>
    <cellStyle name="Input 2 2 2 2 4 2 2 20" xfId="36965" xr:uid="{00000000-0005-0000-0000-0000453F0000}"/>
    <cellStyle name="Input 2 2 2 2 4 2 2 3" xfId="17409" xr:uid="{00000000-0005-0000-0000-0000463F0000}"/>
    <cellStyle name="Input 2 2 2 2 4 2 2 4" xfId="18436" xr:uid="{00000000-0005-0000-0000-0000473F0000}"/>
    <cellStyle name="Input 2 2 2 2 4 2 2 5" xfId="19468" xr:uid="{00000000-0005-0000-0000-0000483F0000}"/>
    <cellStyle name="Input 2 2 2 2 4 2 2 6" xfId="20490" xr:uid="{00000000-0005-0000-0000-0000493F0000}"/>
    <cellStyle name="Input 2 2 2 2 4 2 2 7" xfId="21501" xr:uid="{00000000-0005-0000-0000-00004A3F0000}"/>
    <cellStyle name="Input 2 2 2 2 4 2 2 8" xfId="22472" xr:uid="{00000000-0005-0000-0000-00004B3F0000}"/>
    <cellStyle name="Input 2 2 2 2 4 2 2 9" xfId="23477" xr:uid="{00000000-0005-0000-0000-00004C3F0000}"/>
    <cellStyle name="Input 2 2 2 2 4 2 20" xfId="36025" xr:uid="{00000000-0005-0000-0000-00004D3F0000}"/>
    <cellStyle name="Input 2 2 2 2 4 2 21" xfId="36964" xr:uid="{00000000-0005-0000-0000-00004E3F0000}"/>
    <cellStyle name="Input 2 2 2 2 4 2 3" xfId="16429" xr:uid="{00000000-0005-0000-0000-00004F3F0000}"/>
    <cellStyle name="Input 2 2 2 2 4 2 4" xfId="17408" xr:uid="{00000000-0005-0000-0000-0000503F0000}"/>
    <cellStyle name="Input 2 2 2 2 4 2 5" xfId="18435" xr:uid="{00000000-0005-0000-0000-0000513F0000}"/>
    <cellStyle name="Input 2 2 2 2 4 2 6" xfId="19467" xr:uid="{00000000-0005-0000-0000-0000523F0000}"/>
    <cellStyle name="Input 2 2 2 2 4 2 7" xfId="20489" xr:uid="{00000000-0005-0000-0000-0000533F0000}"/>
    <cellStyle name="Input 2 2 2 2 4 2 8" xfId="21500" xr:uid="{00000000-0005-0000-0000-0000543F0000}"/>
    <cellStyle name="Input 2 2 2 2 4 2 9" xfId="22471" xr:uid="{00000000-0005-0000-0000-0000553F0000}"/>
    <cellStyle name="Input 2 2 2 2 4 3" xfId="4606" xr:uid="{00000000-0005-0000-0000-0000563F0000}"/>
    <cellStyle name="Input 2 2 2 2 4 3 10" xfId="23478" xr:uid="{00000000-0005-0000-0000-0000573F0000}"/>
    <cellStyle name="Input 2 2 2 2 4 3 11" xfId="24450" xr:uid="{00000000-0005-0000-0000-0000583F0000}"/>
    <cellStyle name="Input 2 2 2 2 4 3 12" xfId="25449" xr:uid="{00000000-0005-0000-0000-0000593F0000}"/>
    <cellStyle name="Input 2 2 2 2 4 3 13" xfId="28396" xr:uid="{00000000-0005-0000-0000-00005A3F0000}"/>
    <cellStyle name="Input 2 2 2 2 4 3 14" xfId="29363" xr:uid="{00000000-0005-0000-0000-00005B3F0000}"/>
    <cellStyle name="Input 2 2 2 2 4 3 15" xfId="30405" xr:uid="{00000000-0005-0000-0000-00005C3F0000}"/>
    <cellStyle name="Input 2 2 2 2 4 3 16" xfId="31396" xr:uid="{00000000-0005-0000-0000-00005D3F0000}"/>
    <cellStyle name="Input 2 2 2 2 4 3 17" xfId="32404" xr:uid="{00000000-0005-0000-0000-00005E3F0000}"/>
    <cellStyle name="Input 2 2 2 2 4 3 18" xfId="33407" xr:uid="{00000000-0005-0000-0000-00005F3F0000}"/>
    <cellStyle name="Input 2 2 2 2 4 3 19" xfId="34406" xr:uid="{00000000-0005-0000-0000-0000603F0000}"/>
    <cellStyle name="Input 2 2 2 2 4 3 2" xfId="4607" xr:uid="{00000000-0005-0000-0000-0000613F0000}"/>
    <cellStyle name="Input 2 2 2 2 4 3 2 10" xfId="24451" xr:uid="{00000000-0005-0000-0000-0000623F0000}"/>
    <cellStyle name="Input 2 2 2 2 4 3 2 11" xfId="25450" xr:uid="{00000000-0005-0000-0000-0000633F0000}"/>
    <cellStyle name="Input 2 2 2 2 4 3 2 12" xfId="28397" xr:uid="{00000000-0005-0000-0000-0000643F0000}"/>
    <cellStyle name="Input 2 2 2 2 4 3 2 13" xfId="29364" xr:uid="{00000000-0005-0000-0000-0000653F0000}"/>
    <cellStyle name="Input 2 2 2 2 4 3 2 14" xfId="30406" xr:uid="{00000000-0005-0000-0000-0000663F0000}"/>
    <cellStyle name="Input 2 2 2 2 4 3 2 15" xfId="31397" xr:uid="{00000000-0005-0000-0000-0000673F0000}"/>
    <cellStyle name="Input 2 2 2 2 4 3 2 16" xfId="32405" xr:uid="{00000000-0005-0000-0000-0000683F0000}"/>
    <cellStyle name="Input 2 2 2 2 4 3 2 17" xfId="33408" xr:uid="{00000000-0005-0000-0000-0000693F0000}"/>
    <cellStyle name="Input 2 2 2 2 4 3 2 18" xfId="34407" xr:uid="{00000000-0005-0000-0000-00006A3F0000}"/>
    <cellStyle name="Input 2 2 2 2 4 3 2 19" xfId="36028" xr:uid="{00000000-0005-0000-0000-00006B3F0000}"/>
    <cellStyle name="Input 2 2 2 2 4 3 2 2" xfId="16432" xr:uid="{00000000-0005-0000-0000-00006C3F0000}"/>
    <cellStyle name="Input 2 2 2 2 4 3 2 20" xfId="36967" xr:uid="{00000000-0005-0000-0000-00006D3F0000}"/>
    <cellStyle name="Input 2 2 2 2 4 3 2 3" xfId="17411" xr:uid="{00000000-0005-0000-0000-00006E3F0000}"/>
    <cellStyle name="Input 2 2 2 2 4 3 2 4" xfId="18438" xr:uid="{00000000-0005-0000-0000-00006F3F0000}"/>
    <cellStyle name="Input 2 2 2 2 4 3 2 5" xfId="19470" xr:uid="{00000000-0005-0000-0000-0000703F0000}"/>
    <cellStyle name="Input 2 2 2 2 4 3 2 6" xfId="20492" xr:uid="{00000000-0005-0000-0000-0000713F0000}"/>
    <cellStyle name="Input 2 2 2 2 4 3 2 7" xfId="21503" xr:uid="{00000000-0005-0000-0000-0000723F0000}"/>
    <cellStyle name="Input 2 2 2 2 4 3 2 8" xfId="22474" xr:uid="{00000000-0005-0000-0000-0000733F0000}"/>
    <cellStyle name="Input 2 2 2 2 4 3 2 9" xfId="23479" xr:uid="{00000000-0005-0000-0000-0000743F0000}"/>
    <cellStyle name="Input 2 2 2 2 4 3 20" xfId="36027" xr:uid="{00000000-0005-0000-0000-0000753F0000}"/>
    <cellStyle name="Input 2 2 2 2 4 3 21" xfId="36966" xr:uid="{00000000-0005-0000-0000-0000763F0000}"/>
    <cellStyle name="Input 2 2 2 2 4 3 3" xfId="16431" xr:uid="{00000000-0005-0000-0000-0000773F0000}"/>
    <cellStyle name="Input 2 2 2 2 4 3 4" xfId="17410" xr:uid="{00000000-0005-0000-0000-0000783F0000}"/>
    <cellStyle name="Input 2 2 2 2 4 3 5" xfId="18437" xr:uid="{00000000-0005-0000-0000-0000793F0000}"/>
    <cellStyle name="Input 2 2 2 2 4 3 6" xfId="19469" xr:uid="{00000000-0005-0000-0000-00007A3F0000}"/>
    <cellStyle name="Input 2 2 2 2 4 3 7" xfId="20491" xr:uid="{00000000-0005-0000-0000-00007B3F0000}"/>
    <cellStyle name="Input 2 2 2 2 4 3 8" xfId="21502" xr:uid="{00000000-0005-0000-0000-00007C3F0000}"/>
    <cellStyle name="Input 2 2 2 2 4 3 9" xfId="22473" xr:uid="{00000000-0005-0000-0000-00007D3F0000}"/>
    <cellStyle name="Input 2 2 2 2 4 4" xfId="4608" xr:uid="{00000000-0005-0000-0000-00007E3F0000}"/>
    <cellStyle name="Input 2 2 2 2 4 4 10" xfId="23480" xr:uid="{00000000-0005-0000-0000-00007F3F0000}"/>
    <cellStyle name="Input 2 2 2 2 4 4 11" xfId="24452" xr:uid="{00000000-0005-0000-0000-0000803F0000}"/>
    <cellStyle name="Input 2 2 2 2 4 4 12" xfId="25451" xr:uid="{00000000-0005-0000-0000-0000813F0000}"/>
    <cellStyle name="Input 2 2 2 2 4 4 13" xfId="28398" xr:uid="{00000000-0005-0000-0000-0000823F0000}"/>
    <cellStyle name="Input 2 2 2 2 4 4 14" xfId="29365" xr:uid="{00000000-0005-0000-0000-0000833F0000}"/>
    <cellStyle name="Input 2 2 2 2 4 4 15" xfId="30407" xr:uid="{00000000-0005-0000-0000-0000843F0000}"/>
    <cellStyle name="Input 2 2 2 2 4 4 16" xfId="31398" xr:uid="{00000000-0005-0000-0000-0000853F0000}"/>
    <cellStyle name="Input 2 2 2 2 4 4 17" xfId="32406" xr:uid="{00000000-0005-0000-0000-0000863F0000}"/>
    <cellStyle name="Input 2 2 2 2 4 4 18" xfId="33409" xr:uid="{00000000-0005-0000-0000-0000873F0000}"/>
    <cellStyle name="Input 2 2 2 2 4 4 19" xfId="34408" xr:uid="{00000000-0005-0000-0000-0000883F0000}"/>
    <cellStyle name="Input 2 2 2 2 4 4 2" xfId="4609" xr:uid="{00000000-0005-0000-0000-0000893F0000}"/>
    <cellStyle name="Input 2 2 2 2 4 4 2 10" xfId="24453" xr:uid="{00000000-0005-0000-0000-00008A3F0000}"/>
    <cellStyle name="Input 2 2 2 2 4 4 2 11" xfId="25452" xr:uid="{00000000-0005-0000-0000-00008B3F0000}"/>
    <cellStyle name="Input 2 2 2 2 4 4 2 12" xfId="28399" xr:uid="{00000000-0005-0000-0000-00008C3F0000}"/>
    <cellStyle name="Input 2 2 2 2 4 4 2 13" xfId="29366" xr:uid="{00000000-0005-0000-0000-00008D3F0000}"/>
    <cellStyle name="Input 2 2 2 2 4 4 2 14" xfId="30408" xr:uid="{00000000-0005-0000-0000-00008E3F0000}"/>
    <cellStyle name="Input 2 2 2 2 4 4 2 15" xfId="31399" xr:uid="{00000000-0005-0000-0000-00008F3F0000}"/>
    <cellStyle name="Input 2 2 2 2 4 4 2 16" xfId="32407" xr:uid="{00000000-0005-0000-0000-0000903F0000}"/>
    <cellStyle name="Input 2 2 2 2 4 4 2 17" xfId="33410" xr:uid="{00000000-0005-0000-0000-0000913F0000}"/>
    <cellStyle name="Input 2 2 2 2 4 4 2 18" xfId="34409" xr:uid="{00000000-0005-0000-0000-0000923F0000}"/>
    <cellStyle name="Input 2 2 2 2 4 4 2 19" xfId="36030" xr:uid="{00000000-0005-0000-0000-0000933F0000}"/>
    <cellStyle name="Input 2 2 2 2 4 4 2 2" xfId="16434" xr:uid="{00000000-0005-0000-0000-0000943F0000}"/>
    <cellStyle name="Input 2 2 2 2 4 4 2 20" xfId="36969" xr:uid="{00000000-0005-0000-0000-0000953F0000}"/>
    <cellStyle name="Input 2 2 2 2 4 4 2 3" xfId="17413" xr:uid="{00000000-0005-0000-0000-0000963F0000}"/>
    <cellStyle name="Input 2 2 2 2 4 4 2 4" xfId="18440" xr:uid="{00000000-0005-0000-0000-0000973F0000}"/>
    <cellStyle name="Input 2 2 2 2 4 4 2 5" xfId="19472" xr:uid="{00000000-0005-0000-0000-0000983F0000}"/>
    <cellStyle name="Input 2 2 2 2 4 4 2 6" xfId="20494" xr:uid="{00000000-0005-0000-0000-0000993F0000}"/>
    <cellStyle name="Input 2 2 2 2 4 4 2 7" xfId="21505" xr:uid="{00000000-0005-0000-0000-00009A3F0000}"/>
    <cellStyle name="Input 2 2 2 2 4 4 2 8" xfId="22476" xr:uid="{00000000-0005-0000-0000-00009B3F0000}"/>
    <cellStyle name="Input 2 2 2 2 4 4 2 9" xfId="23481" xr:uid="{00000000-0005-0000-0000-00009C3F0000}"/>
    <cellStyle name="Input 2 2 2 2 4 4 20" xfId="36029" xr:uid="{00000000-0005-0000-0000-00009D3F0000}"/>
    <cellStyle name="Input 2 2 2 2 4 4 21" xfId="36968" xr:uid="{00000000-0005-0000-0000-00009E3F0000}"/>
    <cellStyle name="Input 2 2 2 2 4 4 3" xfId="16433" xr:uid="{00000000-0005-0000-0000-00009F3F0000}"/>
    <cellStyle name="Input 2 2 2 2 4 4 4" xfId="17412" xr:uid="{00000000-0005-0000-0000-0000A03F0000}"/>
    <cellStyle name="Input 2 2 2 2 4 4 5" xfId="18439" xr:uid="{00000000-0005-0000-0000-0000A13F0000}"/>
    <cellStyle name="Input 2 2 2 2 4 4 6" xfId="19471" xr:uid="{00000000-0005-0000-0000-0000A23F0000}"/>
    <cellStyle name="Input 2 2 2 2 4 4 7" xfId="20493" xr:uid="{00000000-0005-0000-0000-0000A33F0000}"/>
    <cellStyle name="Input 2 2 2 2 4 4 8" xfId="21504" xr:uid="{00000000-0005-0000-0000-0000A43F0000}"/>
    <cellStyle name="Input 2 2 2 2 4 4 9" xfId="22475" xr:uid="{00000000-0005-0000-0000-0000A53F0000}"/>
    <cellStyle name="Input 2 2 2 2 4 5" xfId="4610" xr:uid="{00000000-0005-0000-0000-0000A63F0000}"/>
    <cellStyle name="Input 2 2 2 2 4 5 10" xfId="24454" xr:uid="{00000000-0005-0000-0000-0000A73F0000}"/>
    <cellStyle name="Input 2 2 2 2 4 5 11" xfId="25453" xr:uid="{00000000-0005-0000-0000-0000A83F0000}"/>
    <cellStyle name="Input 2 2 2 2 4 5 12" xfId="28400" xr:uid="{00000000-0005-0000-0000-0000A93F0000}"/>
    <cellStyle name="Input 2 2 2 2 4 5 13" xfId="29367" xr:uid="{00000000-0005-0000-0000-0000AA3F0000}"/>
    <cellStyle name="Input 2 2 2 2 4 5 14" xfId="30409" xr:uid="{00000000-0005-0000-0000-0000AB3F0000}"/>
    <cellStyle name="Input 2 2 2 2 4 5 15" xfId="31400" xr:uid="{00000000-0005-0000-0000-0000AC3F0000}"/>
    <cellStyle name="Input 2 2 2 2 4 5 16" xfId="32408" xr:uid="{00000000-0005-0000-0000-0000AD3F0000}"/>
    <cellStyle name="Input 2 2 2 2 4 5 17" xfId="33411" xr:uid="{00000000-0005-0000-0000-0000AE3F0000}"/>
    <cellStyle name="Input 2 2 2 2 4 5 18" xfId="34410" xr:uid="{00000000-0005-0000-0000-0000AF3F0000}"/>
    <cellStyle name="Input 2 2 2 2 4 5 19" xfId="36031" xr:uid="{00000000-0005-0000-0000-0000B03F0000}"/>
    <cellStyle name="Input 2 2 2 2 4 5 2" xfId="16435" xr:uid="{00000000-0005-0000-0000-0000B13F0000}"/>
    <cellStyle name="Input 2 2 2 2 4 5 20" xfId="36970" xr:uid="{00000000-0005-0000-0000-0000B23F0000}"/>
    <cellStyle name="Input 2 2 2 2 4 5 3" xfId="17414" xr:uid="{00000000-0005-0000-0000-0000B33F0000}"/>
    <cellStyle name="Input 2 2 2 2 4 5 4" xfId="18441" xr:uid="{00000000-0005-0000-0000-0000B43F0000}"/>
    <cellStyle name="Input 2 2 2 2 4 5 5" xfId="19473" xr:uid="{00000000-0005-0000-0000-0000B53F0000}"/>
    <cellStyle name="Input 2 2 2 2 4 5 6" xfId="20495" xr:uid="{00000000-0005-0000-0000-0000B63F0000}"/>
    <cellStyle name="Input 2 2 2 2 4 5 7" xfId="21506" xr:uid="{00000000-0005-0000-0000-0000B73F0000}"/>
    <cellStyle name="Input 2 2 2 2 4 5 8" xfId="22477" xr:uid="{00000000-0005-0000-0000-0000B83F0000}"/>
    <cellStyle name="Input 2 2 2 2 4 5 9" xfId="23482" xr:uid="{00000000-0005-0000-0000-0000B93F0000}"/>
    <cellStyle name="Input 2 2 2 2 4 6" xfId="13781" xr:uid="{00000000-0005-0000-0000-0000BA3F0000}"/>
    <cellStyle name="Input 2 2 2 2 4 7" xfId="14561" xr:uid="{00000000-0005-0000-0000-0000BB3F0000}"/>
    <cellStyle name="Input 2 2 2 2 4 8" xfId="14667" xr:uid="{00000000-0005-0000-0000-0000BC3F0000}"/>
    <cellStyle name="Input 2 2 2 2 4 9" xfId="15128" xr:uid="{00000000-0005-0000-0000-0000BD3F0000}"/>
    <cellStyle name="Input 2 2 2 2 5" xfId="4611" xr:uid="{00000000-0005-0000-0000-0000BE3F0000}"/>
    <cellStyle name="Input 2 2 2 2 5 10" xfId="14097" xr:uid="{00000000-0005-0000-0000-0000BF3F0000}"/>
    <cellStyle name="Input 2 2 2 2 5 11" xfId="14460" xr:uid="{00000000-0005-0000-0000-0000C03F0000}"/>
    <cellStyle name="Input 2 2 2 2 5 12" xfId="26442" xr:uid="{00000000-0005-0000-0000-0000C13F0000}"/>
    <cellStyle name="Input 2 2 2 2 5 13" xfId="27096" xr:uid="{00000000-0005-0000-0000-0000C23F0000}"/>
    <cellStyle name="Input 2 2 2 2 5 14" xfId="26163" xr:uid="{00000000-0005-0000-0000-0000C33F0000}"/>
    <cellStyle name="Input 2 2 2 2 5 15" xfId="27837" xr:uid="{00000000-0005-0000-0000-0000C43F0000}"/>
    <cellStyle name="Input 2 2 2 2 5 16" xfId="27602" xr:uid="{00000000-0005-0000-0000-0000C53F0000}"/>
    <cellStyle name="Input 2 2 2 2 5 17" xfId="27807" xr:uid="{00000000-0005-0000-0000-0000C63F0000}"/>
    <cellStyle name="Input 2 2 2 2 5 18" xfId="35126" xr:uid="{00000000-0005-0000-0000-0000C73F0000}"/>
    <cellStyle name="Input 2 2 2 2 5 19" xfId="35251" xr:uid="{00000000-0005-0000-0000-0000C83F0000}"/>
    <cellStyle name="Input 2 2 2 2 5 2" xfId="4612" xr:uid="{00000000-0005-0000-0000-0000C93F0000}"/>
    <cellStyle name="Input 2 2 2 2 5 2 10" xfId="23483" xr:uid="{00000000-0005-0000-0000-0000CA3F0000}"/>
    <cellStyle name="Input 2 2 2 2 5 2 11" xfId="24455" xr:uid="{00000000-0005-0000-0000-0000CB3F0000}"/>
    <cellStyle name="Input 2 2 2 2 5 2 12" xfId="25454" xr:uid="{00000000-0005-0000-0000-0000CC3F0000}"/>
    <cellStyle name="Input 2 2 2 2 5 2 13" xfId="28401" xr:uid="{00000000-0005-0000-0000-0000CD3F0000}"/>
    <cellStyle name="Input 2 2 2 2 5 2 14" xfId="29368" xr:uid="{00000000-0005-0000-0000-0000CE3F0000}"/>
    <cellStyle name="Input 2 2 2 2 5 2 15" xfId="30410" xr:uid="{00000000-0005-0000-0000-0000CF3F0000}"/>
    <cellStyle name="Input 2 2 2 2 5 2 16" xfId="31401" xr:uid="{00000000-0005-0000-0000-0000D03F0000}"/>
    <cellStyle name="Input 2 2 2 2 5 2 17" xfId="32409" xr:uid="{00000000-0005-0000-0000-0000D13F0000}"/>
    <cellStyle name="Input 2 2 2 2 5 2 18" xfId="33412" xr:uid="{00000000-0005-0000-0000-0000D23F0000}"/>
    <cellStyle name="Input 2 2 2 2 5 2 19" xfId="34411" xr:uid="{00000000-0005-0000-0000-0000D33F0000}"/>
    <cellStyle name="Input 2 2 2 2 5 2 2" xfId="4613" xr:uid="{00000000-0005-0000-0000-0000D43F0000}"/>
    <cellStyle name="Input 2 2 2 2 5 2 2 10" xfId="24456" xr:uid="{00000000-0005-0000-0000-0000D53F0000}"/>
    <cellStyle name="Input 2 2 2 2 5 2 2 11" xfId="25455" xr:uid="{00000000-0005-0000-0000-0000D63F0000}"/>
    <cellStyle name="Input 2 2 2 2 5 2 2 12" xfId="28402" xr:uid="{00000000-0005-0000-0000-0000D73F0000}"/>
    <cellStyle name="Input 2 2 2 2 5 2 2 13" xfId="29369" xr:uid="{00000000-0005-0000-0000-0000D83F0000}"/>
    <cellStyle name="Input 2 2 2 2 5 2 2 14" xfId="30411" xr:uid="{00000000-0005-0000-0000-0000D93F0000}"/>
    <cellStyle name="Input 2 2 2 2 5 2 2 15" xfId="31402" xr:uid="{00000000-0005-0000-0000-0000DA3F0000}"/>
    <cellStyle name="Input 2 2 2 2 5 2 2 16" xfId="32410" xr:uid="{00000000-0005-0000-0000-0000DB3F0000}"/>
    <cellStyle name="Input 2 2 2 2 5 2 2 17" xfId="33413" xr:uid="{00000000-0005-0000-0000-0000DC3F0000}"/>
    <cellStyle name="Input 2 2 2 2 5 2 2 18" xfId="34412" xr:uid="{00000000-0005-0000-0000-0000DD3F0000}"/>
    <cellStyle name="Input 2 2 2 2 5 2 2 19" xfId="36033" xr:uid="{00000000-0005-0000-0000-0000DE3F0000}"/>
    <cellStyle name="Input 2 2 2 2 5 2 2 2" xfId="16437" xr:uid="{00000000-0005-0000-0000-0000DF3F0000}"/>
    <cellStyle name="Input 2 2 2 2 5 2 2 20" xfId="36972" xr:uid="{00000000-0005-0000-0000-0000E03F0000}"/>
    <cellStyle name="Input 2 2 2 2 5 2 2 3" xfId="17416" xr:uid="{00000000-0005-0000-0000-0000E13F0000}"/>
    <cellStyle name="Input 2 2 2 2 5 2 2 4" xfId="18443" xr:uid="{00000000-0005-0000-0000-0000E23F0000}"/>
    <cellStyle name="Input 2 2 2 2 5 2 2 5" xfId="19475" xr:uid="{00000000-0005-0000-0000-0000E33F0000}"/>
    <cellStyle name="Input 2 2 2 2 5 2 2 6" xfId="20497" xr:uid="{00000000-0005-0000-0000-0000E43F0000}"/>
    <cellStyle name="Input 2 2 2 2 5 2 2 7" xfId="21508" xr:uid="{00000000-0005-0000-0000-0000E53F0000}"/>
    <cellStyle name="Input 2 2 2 2 5 2 2 8" xfId="22479" xr:uid="{00000000-0005-0000-0000-0000E63F0000}"/>
    <cellStyle name="Input 2 2 2 2 5 2 2 9" xfId="23484" xr:uid="{00000000-0005-0000-0000-0000E73F0000}"/>
    <cellStyle name="Input 2 2 2 2 5 2 20" xfId="36032" xr:uid="{00000000-0005-0000-0000-0000E83F0000}"/>
    <cellStyle name="Input 2 2 2 2 5 2 21" xfId="36971" xr:uid="{00000000-0005-0000-0000-0000E93F0000}"/>
    <cellStyle name="Input 2 2 2 2 5 2 3" xfId="16436" xr:uid="{00000000-0005-0000-0000-0000EA3F0000}"/>
    <cellStyle name="Input 2 2 2 2 5 2 4" xfId="17415" xr:uid="{00000000-0005-0000-0000-0000EB3F0000}"/>
    <cellStyle name="Input 2 2 2 2 5 2 5" xfId="18442" xr:uid="{00000000-0005-0000-0000-0000EC3F0000}"/>
    <cellStyle name="Input 2 2 2 2 5 2 6" xfId="19474" xr:uid="{00000000-0005-0000-0000-0000ED3F0000}"/>
    <cellStyle name="Input 2 2 2 2 5 2 7" xfId="20496" xr:uid="{00000000-0005-0000-0000-0000EE3F0000}"/>
    <cellStyle name="Input 2 2 2 2 5 2 8" xfId="21507" xr:uid="{00000000-0005-0000-0000-0000EF3F0000}"/>
    <cellStyle name="Input 2 2 2 2 5 2 9" xfId="22478" xr:uid="{00000000-0005-0000-0000-0000F03F0000}"/>
    <cellStyle name="Input 2 2 2 2 5 3" xfId="4614" xr:uid="{00000000-0005-0000-0000-0000F13F0000}"/>
    <cellStyle name="Input 2 2 2 2 5 3 10" xfId="23485" xr:uid="{00000000-0005-0000-0000-0000F23F0000}"/>
    <cellStyle name="Input 2 2 2 2 5 3 11" xfId="24457" xr:uid="{00000000-0005-0000-0000-0000F33F0000}"/>
    <cellStyle name="Input 2 2 2 2 5 3 12" xfId="25456" xr:uid="{00000000-0005-0000-0000-0000F43F0000}"/>
    <cellStyle name="Input 2 2 2 2 5 3 13" xfId="28403" xr:uid="{00000000-0005-0000-0000-0000F53F0000}"/>
    <cellStyle name="Input 2 2 2 2 5 3 14" xfId="29370" xr:uid="{00000000-0005-0000-0000-0000F63F0000}"/>
    <cellStyle name="Input 2 2 2 2 5 3 15" xfId="30412" xr:uid="{00000000-0005-0000-0000-0000F73F0000}"/>
    <cellStyle name="Input 2 2 2 2 5 3 16" xfId="31403" xr:uid="{00000000-0005-0000-0000-0000F83F0000}"/>
    <cellStyle name="Input 2 2 2 2 5 3 17" xfId="32411" xr:uid="{00000000-0005-0000-0000-0000F93F0000}"/>
    <cellStyle name="Input 2 2 2 2 5 3 18" xfId="33414" xr:uid="{00000000-0005-0000-0000-0000FA3F0000}"/>
    <cellStyle name="Input 2 2 2 2 5 3 19" xfId="34413" xr:uid="{00000000-0005-0000-0000-0000FB3F0000}"/>
    <cellStyle name="Input 2 2 2 2 5 3 2" xfId="4615" xr:uid="{00000000-0005-0000-0000-0000FC3F0000}"/>
    <cellStyle name="Input 2 2 2 2 5 3 2 10" xfId="24458" xr:uid="{00000000-0005-0000-0000-0000FD3F0000}"/>
    <cellStyle name="Input 2 2 2 2 5 3 2 11" xfId="25457" xr:uid="{00000000-0005-0000-0000-0000FE3F0000}"/>
    <cellStyle name="Input 2 2 2 2 5 3 2 12" xfId="28404" xr:uid="{00000000-0005-0000-0000-0000FF3F0000}"/>
    <cellStyle name="Input 2 2 2 2 5 3 2 13" xfId="29371" xr:uid="{00000000-0005-0000-0000-000000400000}"/>
    <cellStyle name="Input 2 2 2 2 5 3 2 14" xfId="30413" xr:uid="{00000000-0005-0000-0000-000001400000}"/>
    <cellStyle name="Input 2 2 2 2 5 3 2 15" xfId="31404" xr:uid="{00000000-0005-0000-0000-000002400000}"/>
    <cellStyle name="Input 2 2 2 2 5 3 2 16" xfId="32412" xr:uid="{00000000-0005-0000-0000-000003400000}"/>
    <cellStyle name="Input 2 2 2 2 5 3 2 17" xfId="33415" xr:uid="{00000000-0005-0000-0000-000004400000}"/>
    <cellStyle name="Input 2 2 2 2 5 3 2 18" xfId="34414" xr:uid="{00000000-0005-0000-0000-000005400000}"/>
    <cellStyle name="Input 2 2 2 2 5 3 2 19" xfId="36035" xr:uid="{00000000-0005-0000-0000-000006400000}"/>
    <cellStyle name="Input 2 2 2 2 5 3 2 2" xfId="16439" xr:uid="{00000000-0005-0000-0000-000007400000}"/>
    <cellStyle name="Input 2 2 2 2 5 3 2 20" xfId="36974" xr:uid="{00000000-0005-0000-0000-000008400000}"/>
    <cellStyle name="Input 2 2 2 2 5 3 2 3" xfId="17418" xr:uid="{00000000-0005-0000-0000-000009400000}"/>
    <cellStyle name="Input 2 2 2 2 5 3 2 4" xfId="18445" xr:uid="{00000000-0005-0000-0000-00000A400000}"/>
    <cellStyle name="Input 2 2 2 2 5 3 2 5" xfId="19477" xr:uid="{00000000-0005-0000-0000-00000B400000}"/>
    <cellStyle name="Input 2 2 2 2 5 3 2 6" xfId="20499" xr:uid="{00000000-0005-0000-0000-00000C400000}"/>
    <cellStyle name="Input 2 2 2 2 5 3 2 7" xfId="21510" xr:uid="{00000000-0005-0000-0000-00000D400000}"/>
    <cellStyle name="Input 2 2 2 2 5 3 2 8" xfId="22481" xr:uid="{00000000-0005-0000-0000-00000E400000}"/>
    <cellStyle name="Input 2 2 2 2 5 3 2 9" xfId="23486" xr:uid="{00000000-0005-0000-0000-00000F400000}"/>
    <cellStyle name="Input 2 2 2 2 5 3 20" xfId="36034" xr:uid="{00000000-0005-0000-0000-000010400000}"/>
    <cellStyle name="Input 2 2 2 2 5 3 21" xfId="36973" xr:uid="{00000000-0005-0000-0000-000011400000}"/>
    <cellStyle name="Input 2 2 2 2 5 3 3" xfId="16438" xr:uid="{00000000-0005-0000-0000-000012400000}"/>
    <cellStyle name="Input 2 2 2 2 5 3 4" xfId="17417" xr:uid="{00000000-0005-0000-0000-000013400000}"/>
    <cellStyle name="Input 2 2 2 2 5 3 5" xfId="18444" xr:uid="{00000000-0005-0000-0000-000014400000}"/>
    <cellStyle name="Input 2 2 2 2 5 3 6" xfId="19476" xr:uid="{00000000-0005-0000-0000-000015400000}"/>
    <cellStyle name="Input 2 2 2 2 5 3 7" xfId="20498" xr:uid="{00000000-0005-0000-0000-000016400000}"/>
    <cellStyle name="Input 2 2 2 2 5 3 8" xfId="21509" xr:uid="{00000000-0005-0000-0000-000017400000}"/>
    <cellStyle name="Input 2 2 2 2 5 3 9" xfId="22480" xr:uid="{00000000-0005-0000-0000-000018400000}"/>
    <cellStyle name="Input 2 2 2 2 5 4" xfId="4616" xr:uid="{00000000-0005-0000-0000-000019400000}"/>
    <cellStyle name="Input 2 2 2 2 5 4 10" xfId="23487" xr:uid="{00000000-0005-0000-0000-00001A400000}"/>
    <cellStyle name="Input 2 2 2 2 5 4 11" xfId="24459" xr:uid="{00000000-0005-0000-0000-00001B400000}"/>
    <cellStyle name="Input 2 2 2 2 5 4 12" xfId="25458" xr:uid="{00000000-0005-0000-0000-00001C400000}"/>
    <cellStyle name="Input 2 2 2 2 5 4 13" xfId="28405" xr:uid="{00000000-0005-0000-0000-00001D400000}"/>
    <cellStyle name="Input 2 2 2 2 5 4 14" xfId="29372" xr:uid="{00000000-0005-0000-0000-00001E400000}"/>
    <cellStyle name="Input 2 2 2 2 5 4 15" xfId="30414" xr:uid="{00000000-0005-0000-0000-00001F400000}"/>
    <cellStyle name="Input 2 2 2 2 5 4 16" xfId="31405" xr:uid="{00000000-0005-0000-0000-000020400000}"/>
    <cellStyle name="Input 2 2 2 2 5 4 17" xfId="32413" xr:uid="{00000000-0005-0000-0000-000021400000}"/>
    <cellStyle name="Input 2 2 2 2 5 4 18" xfId="33416" xr:uid="{00000000-0005-0000-0000-000022400000}"/>
    <cellStyle name="Input 2 2 2 2 5 4 19" xfId="34415" xr:uid="{00000000-0005-0000-0000-000023400000}"/>
    <cellStyle name="Input 2 2 2 2 5 4 2" xfId="4617" xr:uid="{00000000-0005-0000-0000-000024400000}"/>
    <cellStyle name="Input 2 2 2 2 5 4 2 10" xfId="24460" xr:uid="{00000000-0005-0000-0000-000025400000}"/>
    <cellStyle name="Input 2 2 2 2 5 4 2 11" xfId="25459" xr:uid="{00000000-0005-0000-0000-000026400000}"/>
    <cellStyle name="Input 2 2 2 2 5 4 2 12" xfId="28406" xr:uid="{00000000-0005-0000-0000-000027400000}"/>
    <cellStyle name="Input 2 2 2 2 5 4 2 13" xfId="29373" xr:uid="{00000000-0005-0000-0000-000028400000}"/>
    <cellStyle name="Input 2 2 2 2 5 4 2 14" xfId="30415" xr:uid="{00000000-0005-0000-0000-000029400000}"/>
    <cellStyle name="Input 2 2 2 2 5 4 2 15" xfId="31406" xr:uid="{00000000-0005-0000-0000-00002A400000}"/>
    <cellStyle name="Input 2 2 2 2 5 4 2 16" xfId="32414" xr:uid="{00000000-0005-0000-0000-00002B400000}"/>
    <cellStyle name="Input 2 2 2 2 5 4 2 17" xfId="33417" xr:uid="{00000000-0005-0000-0000-00002C400000}"/>
    <cellStyle name="Input 2 2 2 2 5 4 2 18" xfId="34416" xr:uid="{00000000-0005-0000-0000-00002D400000}"/>
    <cellStyle name="Input 2 2 2 2 5 4 2 19" xfId="36037" xr:uid="{00000000-0005-0000-0000-00002E400000}"/>
    <cellStyle name="Input 2 2 2 2 5 4 2 2" xfId="16441" xr:uid="{00000000-0005-0000-0000-00002F400000}"/>
    <cellStyle name="Input 2 2 2 2 5 4 2 20" xfId="36976" xr:uid="{00000000-0005-0000-0000-000030400000}"/>
    <cellStyle name="Input 2 2 2 2 5 4 2 3" xfId="17420" xr:uid="{00000000-0005-0000-0000-000031400000}"/>
    <cellStyle name="Input 2 2 2 2 5 4 2 4" xfId="18447" xr:uid="{00000000-0005-0000-0000-000032400000}"/>
    <cellStyle name="Input 2 2 2 2 5 4 2 5" xfId="19479" xr:uid="{00000000-0005-0000-0000-000033400000}"/>
    <cellStyle name="Input 2 2 2 2 5 4 2 6" xfId="20501" xr:uid="{00000000-0005-0000-0000-000034400000}"/>
    <cellStyle name="Input 2 2 2 2 5 4 2 7" xfId="21512" xr:uid="{00000000-0005-0000-0000-000035400000}"/>
    <cellStyle name="Input 2 2 2 2 5 4 2 8" xfId="22483" xr:uid="{00000000-0005-0000-0000-000036400000}"/>
    <cellStyle name="Input 2 2 2 2 5 4 2 9" xfId="23488" xr:uid="{00000000-0005-0000-0000-000037400000}"/>
    <cellStyle name="Input 2 2 2 2 5 4 20" xfId="36036" xr:uid="{00000000-0005-0000-0000-000038400000}"/>
    <cellStyle name="Input 2 2 2 2 5 4 21" xfId="36975" xr:uid="{00000000-0005-0000-0000-000039400000}"/>
    <cellStyle name="Input 2 2 2 2 5 4 3" xfId="16440" xr:uid="{00000000-0005-0000-0000-00003A400000}"/>
    <cellStyle name="Input 2 2 2 2 5 4 4" xfId="17419" xr:uid="{00000000-0005-0000-0000-00003B400000}"/>
    <cellStyle name="Input 2 2 2 2 5 4 5" xfId="18446" xr:uid="{00000000-0005-0000-0000-00003C400000}"/>
    <cellStyle name="Input 2 2 2 2 5 4 6" xfId="19478" xr:uid="{00000000-0005-0000-0000-00003D400000}"/>
    <cellStyle name="Input 2 2 2 2 5 4 7" xfId="20500" xr:uid="{00000000-0005-0000-0000-00003E400000}"/>
    <cellStyle name="Input 2 2 2 2 5 4 8" xfId="21511" xr:uid="{00000000-0005-0000-0000-00003F400000}"/>
    <cellStyle name="Input 2 2 2 2 5 4 9" xfId="22482" xr:uid="{00000000-0005-0000-0000-000040400000}"/>
    <cellStyle name="Input 2 2 2 2 5 5" xfId="4618" xr:uid="{00000000-0005-0000-0000-000041400000}"/>
    <cellStyle name="Input 2 2 2 2 5 5 10" xfId="24461" xr:uid="{00000000-0005-0000-0000-000042400000}"/>
    <cellStyle name="Input 2 2 2 2 5 5 11" xfId="25460" xr:uid="{00000000-0005-0000-0000-000043400000}"/>
    <cellStyle name="Input 2 2 2 2 5 5 12" xfId="28407" xr:uid="{00000000-0005-0000-0000-000044400000}"/>
    <cellStyle name="Input 2 2 2 2 5 5 13" xfId="29374" xr:uid="{00000000-0005-0000-0000-000045400000}"/>
    <cellStyle name="Input 2 2 2 2 5 5 14" xfId="30416" xr:uid="{00000000-0005-0000-0000-000046400000}"/>
    <cellStyle name="Input 2 2 2 2 5 5 15" xfId="31407" xr:uid="{00000000-0005-0000-0000-000047400000}"/>
    <cellStyle name="Input 2 2 2 2 5 5 16" xfId="32415" xr:uid="{00000000-0005-0000-0000-000048400000}"/>
    <cellStyle name="Input 2 2 2 2 5 5 17" xfId="33418" xr:uid="{00000000-0005-0000-0000-000049400000}"/>
    <cellStyle name="Input 2 2 2 2 5 5 18" xfId="34417" xr:uid="{00000000-0005-0000-0000-00004A400000}"/>
    <cellStyle name="Input 2 2 2 2 5 5 19" xfId="36038" xr:uid="{00000000-0005-0000-0000-00004B400000}"/>
    <cellStyle name="Input 2 2 2 2 5 5 2" xfId="16442" xr:uid="{00000000-0005-0000-0000-00004C400000}"/>
    <cellStyle name="Input 2 2 2 2 5 5 20" xfId="36977" xr:uid="{00000000-0005-0000-0000-00004D400000}"/>
    <cellStyle name="Input 2 2 2 2 5 5 3" xfId="17421" xr:uid="{00000000-0005-0000-0000-00004E400000}"/>
    <cellStyle name="Input 2 2 2 2 5 5 4" xfId="18448" xr:uid="{00000000-0005-0000-0000-00004F400000}"/>
    <cellStyle name="Input 2 2 2 2 5 5 5" xfId="19480" xr:uid="{00000000-0005-0000-0000-000050400000}"/>
    <cellStyle name="Input 2 2 2 2 5 5 6" xfId="20502" xr:uid="{00000000-0005-0000-0000-000051400000}"/>
    <cellStyle name="Input 2 2 2 2 5 5 7" xfId="21513" xr:uid="{00000000-0005-0000-0000-000052400000}"/>
    <cellStyle name="Input 2 2 2 2 5 5 8" xfId="22484" xr:uid="{00000000-0005-0000-0000-000053400000}"/>
    <cellStyle name="Input 2 2 2 2 5 5 9" xfId="23489" xr:uid="{00000000-0005-0000-0000-000054400000}"/>
    <cellStyle name="Input 2 2 2 2 5 6" xfId="13492" xr:uid="{00000000-0005-0000-0000-000055400000}"/>
    <cellStyle name="Input 2 2 2 2 5 7" xfId="13821" xr:uid="{00000000-0005-0000-0000-000056400000}"/>
    <cellStyle name="Input 2 2 2 2 5 8" xfId="15403" xr:uid="{00000000-0005-0000-0000-000057400000}"/>
    <cellStyle name="Input 2 2 2 2 5 9" xfId="14608" xr:uid="{00000000-0005-0000-0000-000058400000}"/>
    <cellStyle name="Input 2 2 2 2 6" xfId="4619" xr:uid="{00000000-0005-0000-0000-000059400000}"/>
    <cellStyle name="Input 2 2 2 2 6 10" xfId="23490" xr:uid="{00000000-0005-0000-0000-00005A400000}"/>
    <cellStyle name="Input 2 2 2 2 6 11" xfId="24462" xr:uid="{00000000-0005-0000-0000-00005B400000}"/>
    <cellStyle name="Input 2 2 2 2 6 12" xfId="25461" xr:uid="{00000000-0005-0000-0000-00005C400000}"/>
    <cellStyle name="Input 2 2 2 2 6 13" xfId="28408" xr:uid="{00000000-0005-0000-0000-00005D400000}"/>
    <cellStyle name="Input 2 2 2 2 6 14" xfId="29375" xr:uid="{00000000-0005-0000-0000-00005E400000}"/>
    <cellStyle name="Input 2 2 2 2 6 15" xfId="30417" xr:uid="{00000000-0005-0000-0000-00005F400000}"/>
    <cellStyle name="Input 2 2 2 2 6 16" xfId="31408" xr:uid="{00000000-0005-0000-0000-000060400000}"/>
    <cellStyle name="Input 2 2 2 2 6 17" xfId="32416" xr:uid="{00000000-0005-0000-0000-000061400000}"/>
    <cellStyle name="Input 2 2 2 2 6 18" xfId="33419" xr:uid="{00000000-0005-0000-0000-000062400000}"/>
    <cellStyle name="Input 2 2 2 2 6 19" xfId="34418" xr:uid="{00000000-0005-0000-0000-000063400000}"/>
    <cellStyle name="Input 2 2 2 2 6 2" xfId="4620" xr:uid="{00000000-0005-0000-0000-000064400000}"/>
    <cellStyle name="Input 2 2 2 2 6 2 10" xfId="24463" xr:uid="{00000000-0005-0000-0000-000065400000}"/>
    <cellStyle name="Input 2 2 2 2 6 2 11" xfId="25462" xr:uid="{00000000-0005-0000-0000-000066400000}"/>
    <cellStyle name="Input 2 2 2 2 6 2 12" xfId="28409" xr:uid="{00000000-0005-0000-0000-000067400000}"/>
    <cellStyle name="Input 2 2 2 2 6 2 13" xfId="29376" xr:uid="{00000000-0005-0000-0000-000068400000}"/>
    <cellStyle name="Input 2 2 2 2 6 2 14" xfId="30418" xr:uid="{00000000-0005-0000-0000-000069400000}"/>
    <cellStyle name="Input 2 2 2 2 6 2 15" xfId="31409" xr:uid="{00000000-0005-0000-0000-00006A400000}"/>
    <cellStyle name="Input 2 2 2 2 6 2 16" xfId="32417" xr:uid="{00000000-0005-0000-0000-00006B400000}"/>
    <cellStyle name="Input 2 2 2 2 6 2 17" xfId="33420" xr:uid="{00000000-0005-0000-0000-00006C400000}"/>
    <cellStyle name="Input 2 2 2 2 6 2 18" xfId="34419" xr:uid="{00000000-0005-0000-0000-00006D400000}"/>
    <cellStyle name="Input 2 2 2 2 6 2 19" xfId="36040" xr:uid="{00000000-0005-0000-0000-00006E400000}"/>
    <cellStyle name="Input 2 2 2 2 6 2 2" xfId="16444" xr:uid="{00000000-0005-0000-0000-00006F400000}"/>
    <cellStyle name="Input 2 2 2 2 6 2 20" xfId="36979" xr:uid="{00000000-0005-0000-0000-000070400000}"/>
    <cellStyle name="Input 2 2 2 2 6 2 3" xfId="17423" xr:uid="{00000000-0005-0000-0000-000071400000}"/>
    <cellStyle name="Input 2 2 2 2 6 2 4" xfId="18450" xr:uid="{00000000-0005-0000-0000-000072400000}"/>
    <cellStyle name="Input 2 2 2 2 6 2 5" xfId="19482" xr:uid="{00000000-0005-0000-0000-000073400000}"/>
    <cellStyle name="Input 2 2 2 2 6 2 6" xfId="20504" xr:uid="{00000000-0005-0000-0000-000074400000}"/>
    <cellStyle name="Input 2 2 2 2 6 2 7" xfId="21515" xr:uid="{00000000-0005-0000-0000-000075400000}"/>
    <cellStyle name="Input 2 2 2 2 6 2 8" xfId="22486" xr:uid="{00000000-0005-0000-0000-000076400000}"/>
    <cellStyle name="Input 2 2 2 2 6 2 9" xfId="23491" xr:uid="{00000000-0005-0000-0000-000077400000}"/>
    <cellStyle name="Input 2 2 2 2 6 20" xfId="36039" xr:uid="{00000000-0005-0000-0000-000078400000}"/>
    <cellStyle name="Input 2 2 2 2 6 21" xfId="36978" xr:uid="{00000000-0005-0000-0000-000079400000}"/>
    <cellStyle name="Input 2 2 2 2 6 3" xfId="16443" xr:uid="{00000000-0005-0000-0000-00007A400000}"/>
    <cellStyle name="Input 2 2 2 2 6 4" xfId="17422" xr:uid="{00000000-0005-0000-0000-00007B400000}"/>
    <cellStyle name="Input 2 2 2 2 6 5" xfId="18449" xr:uid="{00000000-0005-0000-0000-00007C400000}"/>
    <cellStyle name="Input 2 2 2 2 6 6" xfId="19481" xr:uid="{00000000-0005-0000-0000-00007D400000}"/>
    <cellStyle name="Input 2 2 2 2 6 7" xfId="20503" xr:uid="{00000000-0005-0000-0000-00007E400000}"/>
    <cellStyle name="Input 2 2 2 2 6 8" xfId="21514" xr:uid="{00000000-0005-0000-0000-00007F400000}"/>
    <cellStyle name="Input 2 2 2 2 6 9" xfId="22485" xr:uid="{00000000-0005-0000-0000-000080400000}"/>
    <cellStyle name="Input 2 2 2 2 7" xfId="4621" xr:uid="{00000000-0005-0000-0000-000081400000}"/>
    <cellStyle name="Input 2 2 2 2 7 10" xfId="23492" xr:uid="{00000000-0005-0000-0000-000082400000}"/>
    <cellStyle name="Input 2 2 2 2 7 11" xfId="24464" xr:uid="{00000000-0005-0000-0000-000083400000}"/>
    <cellStyle name="Input 2 2 2 2 7 12" xfId="25463" xr:uid="{00000000-0005-0000-0000-000084400000}"/>
    <cellStyle name="Input 2 2 2 2 7 13" xfId="28410" xr:uid="{00000000-0005-0000-0000-000085400000}"/>
    <cellStyle name="Input 2 2 2 2 7 14" xfId="29377" xr:uid="{00000000-0005-0000-0000-000086400000}"/>
    <cellStyle name="Input 2 2 2 2 7 15" xfId="30419" xr:uid="{00000000-0005-0000-0000-000087400000}"/>
    <cellStyle name="Input 2 2 2 2 7 16" xfId="31410" xr:uid="{00000000-0005-0000-0000-000088400000}"/>
    <cellStyle name="Input 2 2 2 2 7 17" xfId="32418" xr:uid="{00000000-0005-0000-0000-000089400000}"/>
    <cellStyle name="Input 2 2 2 2 7 18" xfId="33421" xr:uid="{00000000-0005-0000-0000-00008A400000}"/>
    <cellStyle name="Input 2 2 2 2 7 19" xfId="34420" xr:uid="{00000000-0005-0000-0000-00008B400000}"/>
    <cellStyle name="Input 2 2 2 2 7 2" xfId="4622" xr:uid="{00000000-0005-0000-0000-00008C400000}"/>
    <cellStyle name="Input 2 2 2 2 7 2 10" xfId="24465" xr:uid="{00000000-0005-0000-0000-00008D400000}"/>
    <cellStyle name="Input 2 2 2 2 7 2 11" xfId="25464" xr:uid="{00000000-0005-0000-0000-00008E400000}"/>
    <cellStyle name="Input 2 2 2 2 7 2 12" xfId="28411" xr:uid="{00000000-0005-0000-0000-00008F400000}"/>
    <cellStyle name="Input 2 2 2 2 7 2 13" xfId="29378" xr:uid="{00000000-0005-0000-0000-000090400000}"/>
    <cellStyle name="Input 2 2 2 2 7 2 14" xfId="30420" xr:uid="{00000000-0005-0000-0000-000091400000}"/>
    <cellStyle name="Input 2 2 2 2 7 2 15" xfId="31411" xr:uid="{00000000-0005-0000-0000-000092400000}"/>
    <cellStyle name="Input 2 2 2 2 7 2 16" xfId="32419" xr:uid="{00000000-0005-0000-0000-000093400000}"/>
    <cellStyle name="Input 2 2 2 2 7 2 17" xfId="33422" xr:uid="{00000000-0005-0000-0000-000094400000}"/>
    <cellStyle name="Input 2 2 2 2 7 2 18" xfId="34421" xr:uid="{00000000-0005-0000-0000-000095400000}"/>
    <cellStyle name="Input 2 2 2 2 7 2 19" xfId="36042" xr:uid="{00000000-0005-0000-0000-000096400000}"/>
    <cellStyle name="Input 2 2 2 2 7 2 2" xfId="16446" xr:uid="{00000000-0005-0000-0000-000097400000}"/>
    <cellStyle name="Input 2 2 2 2 7 2 20" xfId="36981" xr:uid="{00000000-0005-0000-0000-000098400000}"/>
    <cellStyle name="Input 2 2 2 2 7 2 3" xfId="17425" xr:uid="{00000000-0005-0000-0000-000099400000}"/>
    <cellStyle name="Input 2 2 2 2 7 2 4" xfId="18452" xr:uid="{00000000-0005-0000-0000-00009A400000}"/>
    <cellStyle name="Input 2 2 2 2 7 2 5" xfId="19484" xr:uid="{00000000-0005-0000-0000-00009B400000}"/>
    <cellStyle name="Input 2 2 2 2 7 2 6" xfId="20506" xr:uid="{00000000-0005-0000-0000-00009C400000}"/>
    <cellStyle name="Input 2 2 2 2 7 2 7" xfId="21517" xr:uid="{00000000-0005-0000-0000-00009D400000}"/>
    <cellStyle name="Input 2 2 2 2 7 2 8" xfId="22488" xr:uid="{00000000-0005-0000-0000-00009E400000}"/>
    <cellStyle name="Input 2 2 2 2 7 2 9" xfId="23493" xr:uid="{00000000-0005-0000-0000-00009F400000}"/>
    <cellStyle name="Input 2 2 2 2 7 20" xfId="36041" xr:uid="{00000000-0005-0000-0000-0000A0400000}"/>
    <cellStyle name="Input 2 2 2 2 7 21" xfId="36980" xr:uid="{00000000-0005-0000-0000-0000A1400000}"/>
    <cellStyle name="Input 2 2 2 2 7 3" xfId="16445" xr:uid="{00000000-0005-0000-0000-0000A2400000}"/>
    <cellStyle name="Input 2 2 2 2 7 4" xfId="17424" xr:uid="{00000000-0005-0000-0000-0000A3400000}"/>
    <cellStyle name="Input 2 2 2 2 7 5" xfId="18451" xr:uid="{00000000-0005-0000-0000-0000A4400000}"/>
    <cellStyle name="Input 2 2 2 2 7 6" xfId="19483" xr:uid="{00000000-0005-0000-0000-0000A5400000}"/>
    <cellStyle name="Input 2 2 2 2 7 7" xfId="20505" xr:uid="{00000000-0005-0000-0000-0000A6400000}"/>
    <cellStyle name="Input 2 2 2 2 7 8" xfId="21516" xr:uid="{00000000-0005-0000-0000-0000A7400000}"/>
    <cellStyle name="Input 2 2 2 2 7 9" xfId="22487" xr:uid="{00000000-0005-0000-0000-0000A8400000}"/>
    <cellStyle name="Input 2 2 2 2 8" xfId="4623" xr:uid="{00000000-0005-0000-0000-0000A9400000}"/>
    <cellStyle name="Input 2 2 2 2 8 10" xfId="23494" xr:uid="{00000000-0005-0000-0000-0000AA400000}"/>
    <cellStyle name="Input 2 2 2 2 8 11" xfId="24466" xr:uid="{00000000-0005-0000-0000-0000AB400000}"/>
    <cellStyle name="Input 2 2 2 2 8 12" xfId="25465" xr:uid="{00000000-0005-0000-0000-0000AC400000}"/>
    <cellStyle name="Input 2 2 2 2 8 13" xfId="28412" xr:uid="{00000000-0005-0000-0000-0000AD400000}"/>
    <cellStyle name="Input 2 2 2 2 8 14" xfId="29379" xr:uid="{00000000-0005-0000-0000-0000AE400000}"/>
    <cellStyle name="Input 2 2 2 2 8 15" xfId="30421" xr:uid="{00000000-0005-0000-0000-0000AF400000}"/>
    <cellStyle name="Input 2 2 2 2 8 16" xfId="31412" xr:uid="{00000000-0005-0000-0000-0000B0400000}"/>
    <cellStyle name="Input 2 2 2 2 8 17" xfId="32420" xr:uid="{00000000-0005-0000-0000-0000B1400000}"/>
    <cellStyle name="Input 2 2 2 2 8 18" xfId="33423" xr:uid="{00000000-0005-0000-0000-0000B2400000}"/>
    <cellStyle name="Input 2 2 2 2 8 19" xfId="34422" xr:uid="{00000000-0005-0000-0000-0000B3400000}"/>
    <cellStyle name="Input 2 2 2 2 8 2" xfId="4624" xr:uid="{00000000-0005-0000-0000-0000B4400000}"/>
    <cellStyle name="Input 2 2 2 2 8 2 10" xfId="24467" xr:uid="{00000000-0005-0000-0000-0000B5400000}"/>
    <cellStyle name="Input 2 2 2 2 8 2 11" xfId="25466" xr:uid="{00000000-0005-0000-0000-0000B6400000}"/>
    <cellStyle name="Input 2 2 2 2 8 2 12" xfId="28413" xr:uid="{00000000-0005-0000-0000-0000B7400000}"/>
    <cellStyle name="Input 2 2 2 2 8 2 13" xfId="29380" xr:uid="{00000000-0005-0000-0000-0000B8400000}"/>
    <cellStyle name="Input 2 2 2 2 8 2 14" xfId="30422" xr:uid="{00000000-0005-0000-0000-0000B9400000}"/>
    <cellStyle name="Input 2 2 2 2 8 2 15" xfId="31413" xr:uid="{00000000-0005-0000-0000-0000BA400000}"/>
    <cellStyle name="Input 2 2 2 2 8 2 16" xfId="32421" xr:uid="{00000000-0005-0000-0000-0000BB400000}"/>
    <cellStyle name="Input 2 2 2 2 8 2 17" xfId="33424" xr:uid="{00000000-0005-0000-0000-0000BC400000}"/>
    <cellStyle name="Input 2 2 2 2 8 2 18" xfId="34423" xr:uid="{00000000-0005-0000-0000-0000BD400000}"/>
    <cellStyle name="Input 2 2 2 2 8 2 19" xfId="36044" xr:uid="{00000000-0005-0000-0000-0000BE400000}"/>
    <cellStyle name="Input 2 2 2 2 8 2 2" xfId="16448" xr:uid="{00000000-0005-0000-0000-0000BF400000}"/>
    <cellStyle name="Input 2 2 2 2 8 2 20" xfId="36983" xr:uid="{00000000-0005-0000-0000-0000C0400000}"/>
    <cellStyle name="Input 2 2 2 2 8 2 3" xfId="17427" xr:uid="{00000000-0005-0000-0000-0000C1400000}"/>
    <cellStyle name="Input 2 2 2 2 8 2 4" xfId="18454" xr:uid="{00000000-0005-0000-0000-0000C2400000}"/>
    <cellStyle name="Input 2 2 2 2 8 2 5" xfId="19486" xr:uid="{00000000-0005-0000-0000-0000C3400000}"/>
    <cellStyle name="Input 2 2 2 2 8 2 6" xfId="20508" xr:uid="{00000000-0005-0000-0000-0000C4400000}"/>
    <cellStyle name="Input 2 2 2 2 8 2 7" xfId="21519" xr:uid="{00000000-0005-0000-0000-0000C5400000}"/>
    <cellStyle name="Input 2 2 2 2 8 2 8" xfId="22490" xr:uid="{00000000-0005-0000-0000-0000C6400000}"/>
    <cellStyle name="Input 2 2 2 2 8 2 9" xfId="23495" xr:uid="{00000000-0005-0000-0000-0000C7400000}"/>
    <cellStyle name="Input 2 2 2 2 8 20" xfId="36043" xr:uid="{00000000-0005-0000-0000-0000C8400000}"/>
    <cellStyle name="Input 2 2 2 2 8 21" xfId="36982" xr:uid="{00000000-0005-0000-0000-0000C9400000}"/>
    <cellStyle name="Input 2 2 2 2 8 3" xfId="16447" xr:uid="{00000000-0005-0000-0000-0000CA400000}"/>
    <cellStyle name="Input 2 2 2 2 8 4" xfId="17426" xr:uid="{00000000-0005-0000-0000-0000CB400000}"/>
    <cellStyle name="Input 2 2 2 2 8 5" xfId="18453" xr:uid="{00000000-0005-0000-0000-0000CC400000}"/>
    <cellStyle name="Input 2 2 2 2 8 6" xfId="19485" xr:uid="{00000000-0005-0000-0000-0000CD400000}"/>
    <cellStyle name="Input 2 2 2 2 8 7" xfId="20507" xr:uid="{00000000-0005-0000-0000-0000CE400000}"/>
    <cellStyle name="Input 2 2 2 2 8 8" xfId="21518" xr:uid="{00000000-0005-0000-0000-0000CF400000}"/>
    <cellStyle name="Input 2 2 2 2 8 9" xfId="22489" xr:uid="{00000000-0005-0000-0000-0000D0400000}"/>
    <cellStyle name="Input 2 2 2 2 9" xfId="4625" xr:uid="{00000000-0005-0000-0000-0000D1400000}"/>
    <cellStyle name="Input 2 2 2 2 9 10" xfId="24468" xr:uid="{00000000-0005-0000-0000-0000D2400000}"/>
    <cellStyle name="Input 2 2 2 2 9 11" xfId="25467" xr:uid="{00000000-0005-0000-0000-0000D3400000}"/>
    <cellStyle name="Input 2 2 2 2 9 12" xfId="28414" xr:uid="{00000000-0005-0000-0000-0000D4400000}"/>
    <cellStyle name="Input 2 2 2 2 9 13" xfId="29381" xr:uid="{00000000-0005-0000-0000-0000D5400000}"/>
    <cellStyle name="Input 2 2 2 2 9 14" xfId="30423" xr:uid="{00000000-0005-0000-0000-0000D6400000}"/>
    <cellStyle name="Input 2 2 2 2 9 15" xfId="31414" xr:uid="{00000000-0005-0000-0000-0000D7400000}"/>
    <cellStyle name="Input 2 2 2 2 9 16" xfId="32422" xr:uid="{00000000-0005-0000-0000-0000D8400000}"/>
    <cellStyle name="Input 2 2 2 2 9 17" xfId="33425" xr:uid="{00000000-0005-0000-0000-0000D9400000}"/>
    <cellStyle name="Input 2 2 2 2 9 18" xfId="34424" xr:uid="{00000000-0005-0000-0000-0000DA400000}"/>
    <cellStyle name="Input 2 2 2 2 9 19" xfId="36045" xr:uid="{00000000-0005-0000-0000-0000DB400000}"/>
    <cellStyle name="Input 2 2 2 2 9 2" xfId="16449" xr:uid="{00000000-0005-0000-0000-0000DC400000}"/>
    <cellStyle name="Input 2 2 2 2 9 20" xfId="36984" xr:uid="{00000000-0005-0000-0000-0000DD400000}"/>
    <cellStyle name="Input 2 2 2 2 9 3" xfId="17428" xr:uid="{00000000-0005-0000-0000-0000DE400000}"/>
    <cellStyle name="Input 2 2 2 2 9 4" xfId="18455" xr:uid="{00000000-0005-0000-0000-0000DF400000}"/>
    <cellStyle name="Input 2 2 2 2 9 5" xfId="19487" xr:uid="{00000000-0005-0000-0000-0000E0400000}"/>
    <cellStyle name="Input 2 2 2 2 9 6" xfId="20509" xr:uid="{00000000-0005-0000-0000-0000E1400000}"/>
    <cellStyle name="Input 2 2 2 2 9 7" xfId="21520" xr:uid="{00000000-0005-0000-0000-0000E2400000}"/>
    <cellStyle name="Input 2 2 2 2 9 8" xfId="22491" xr:uid="{00000000-0005-0000-0000-0000E3400000}"/>
    <cellStyle name="Input 2 2 2 2 9 9" xfId="23496" xr:uid="{00000000-0005-0000-0000-0000E4400000}"/>
    <cellStyle name="Input 2 2 2 20" xfId="34870" xr:uid="{00000000-0005-0000-0000-0000E5400000}"/>
    <cellStyle name="Input 2 2 2 21" xfId="34866" xr:uid="{00000000-0005-0000-0000-0000E6400000}"/>
    <cellStyle name="Input 2 2 2 22" xfId="35382" xr:uid="{00000000-0005-0000-0000-0000E7400000}"/>
    <cellStyle name="Input 2 2 2 3" xfId="4626" xr:uid="{00000000-0005-0000-0000-0000E8400000}"/>
    <cellStyle name="Input 2 2 2 3 10" xfId="14019" xr:uid="{00000000-0005-0000-0000-0000E9400000}"/>
    <cellStyle name="Input 2 2 2 3 11" xfId="14353" xr:uid="{00000000-0005-0000-0000-0000EA400000}"/>
    <cellStyle name="Input 2 2 2 3 12" xfId="13572" xr:uid="{00000000-0005-0000-0000-0000EB400000}"/>
    <cellStyle name="Input 2 2 2 3 13" xfId="14702" xr:uid="{00000000-0005-0000-0000-0000EC400000}"/>
    <cellStyle name="Input 2 2 2 3 14" xfId="15470" xr:uid="{00000000-0005-0000-0000-0000ED400000}"/>
    <cellStyle name="Input 2 2 2 3 15" xfId="15361" xr:uid="{00000000-0005-0000-0000-0000EE400000}"/>
    <cellStyle name="Input 2 2 2 3 16" xfId="26519" xr:uid="{00000000-0005-0000-0000-0000EF400000}"/>
    <cellStyle name="Input 2 2 2 3 17" xfId="27052" xr:uid="{00000000-0005-0000-0000-0000F0400000}"/>
    <cellStyle name="Input 2 2 2 3 18" xfId="26587" xr:uid="{00000000-0005-0000-0000-0000F1400000}"/>
    <cellStyle name="Input 2 2 2 3 19" xfId="27755" xr:uid="{00000000-0005-0000-0000-0000F2400000}"/>
    <cellStyle name="Input 2 2 2 3 2" xfId="4627" xr:uid="{00000000-0005-0000-0000-0000F3400000}"/>
    <cellStyle name="Input 2 2 2 3 2 10" xfId="23497" xr:uid="{00000000-0005-0000-0000-0000F4400000}"/>
    <cellStyle name="Input 2 2 2 3 2 11" xfId="24469" xr:uid="{00000000-0005-0000-0000-0000F5400000}"/>
    <cellStyle name="Input 2 2 2 3 2 12" xfId="25468" xr:uid="{00000000-0005-0000-0000-0000F6400000}"/>
    <cellStyle name="Input 2 2 2 3 2 13" xfId="28415" xr:uid="{00000000-0005-0000-0000-0000F7400000}"/>
    <cellStyle name="Input 2 2 2 3 2 14" xfId="29382" xr:uid="{00000000-0005-0000-0000-0000F8400000}"/>
    <cellStyle name="Input 2 2 2 3 2 15" xfId="30424" xr:uid="{00000000-0005-0000-0000-0000F9400000}"/>
    <cellStyle name="Input 2 2 2 3 2 16" xfId="31415" xr:uid="{00000000-0005-0000-0000-0000FA400000}"/>
    <cellStyle name="Input 2 2 2 3 2 17" xfId="32423" xr:uid="{00000000-0005-0000-0000-0000FB400000}"/>
    <cellStyle name="Input 2 2 2 3 2 18" xfId="33426" xr:uid="{00000000-0005-0000-0000-0000FC400000}"/>
    <cellStyle name="Input 2 2 2 3 2 19" xfId="34425" xr:uid="{00000000-0005-0000-0000-0000FD400000}"/>
    <cellStyle name="Input 2 2 2 3 2 2" xfId="4628" xr:uid="{00000000-0005-0000-0000-0000FE400000}"/>
    <cellStyle name="Input 2 2 2 3 2 2 10" xfId="24470" xr:uid="{00000000-0005-0000-0000-0000FF400000}"/>
    <cellStyle name="Input 2 2 2 3 2 2 11" xfId="25469" xr:uid="{00000000-0005-0000-0000-000000410000}"/>
    <cellStyle name="Input 2 2 2 3 2 2 12" xfId="28416" xr:uid="{00000000-0005-0000-0000-000001410000}"/>
    <cellStyle name="Input 2 2 2 3 2 2 13" xfId="29383" xr:uid="{00000000-0005-0000-0000-000002410000}"/>
    <cellStyle name="Input 2 2 2 3 2 2 14" xfId="30425" xr:uid="{00000000-0005-0000-0000-000003410000}"/>
    <cellStyle name="Input 2 2 2 3 2 2 15" xfId="31416" xr:uid="{00000000-0005-0000-0000-000004410000}"/>
    <cellStyle name="Input 2 2 2 3 2 2 16" xfId="32424" xr:uid="{00000000-0005-0000-0000-000005410000}"/>
    <cellStyle name="Input 2 2 2 3 2 2 17" xfId="33427" xr:uid="{00000000-0005-0000-0000-000006410000}"/>
    <cellStyle name="Input 2 2 2 3 2 2 18" xfId="34426" xr:uid="{00000000-0005-0000-0000-000007410000}"/>
    <cellStyle name="Input 2 2 2 3 2 2 19" xfId="36047" xr:uid="{00000000-0005-0000-0000-000008410000}"/>
    <cellStyle name="Input 2 2 2 3 2 2 2" xfId="16451" xr:uid="{00000000-0005-0000-0000-000009410000}"/>
    <cellStyle name="Input 2 2 2 3 2 2 20" xfId="36986" xr:uid="{00000000-0005-0000-0000-00000A410000}"/>
    <cellStyle name="Input 2 2 2 3 2 2 3" xfId="17430" xr:uid="{00000000-0005-0000-0000-00000B410000}"/>
    <cellStyle name="Input 2 2 2 3 2 2 4" xfId="18457" xr:uid="{00000000-0005-0000-0000-00000C410000}"/>
    <cellStyle name="Input 2 2 2 3 2 2 5" xfId="19489" xr:uid="{00000000-0005-0000-0000-00000D410000}"/>
    <cellStyle name="Input 2 2 2 3 2 2 6" xfId="20511" xr:uid="{00000000-0005-0000-0000-00000E410000}"/>
    <cellStyle name="Input 2 2 2 3 2 2 7" xfId="21522" xr:uid="{00000000-0005-0000-0000-00000F410000}"/>
    <cellStyle name="Input 2 2 2 3 2 2 8" xfId="22493" xr:uid="{00000000-0005-0000-0000-000010410000}"/>
    <cellStyle name="Input 2 2 2 3 2 2 9" xfId="23498" xr:uid="{00000000-0005-0000-0000-000011410000}"/>
    <cellStyle name="Input 2 2 2 3 2 20" xfId="36046" xr:uid="{00000000-0005-0000-0000-000012410000}"/>
    <cellStyle name="Input 2 2 2 3 2 21" xfId="36985" xr:uid="{00000000-0005-0000-0000-000013410000}"/>
    <cellStyle name="Input 2 2 2 3 2 3" xfId="16450" xr:uid="{00000000-0005-0000-0000-000014410000}"/>
    <cellStyle name="Input 2 2 2 3 2 4" xfId="17429" xr:uid="{00000000-0005-0000-0000-000015410000}"/>
    <cellStyle name="Input 2 2 2 3 2 5" xfId="18456" xr:uid="{00000000-0005-0000-0000-000016410000}"/>
    <cellStyle name="Input 2 2 2 3 2 6" xfId="19488" xr:uid="{00000000-0005-0000-0000-000017410000}"/>
    <cellStyle name="Input 2 2 2 3 2 7" xfId="20510" xr:uid="{00000000-0005-0000-0000-000018410000}"/>
    <cellStyle name="Input 2 2 2 3 2 8" xfId="21521" xr:uid="{00000000-0005-0000-0000-000019410000}"/>
    <cellStyle name="Input 2 2 2 3 2 9" xfId="22492" xr:uid="{00000000-0005-0000-0000-00001A410000}"/>
    <cellStyle name="Input 2 2 2 3 20" xfId="25954" xr:uid="{00000000-0005-0000-0000-00001B410000}"/>
    <cellStyle name="Input 2 2 2 3 21" xfId="26955" xr:uid="{00000000-0005-0000-0000-00001C410000}"/>
    <cellStyle name="Input 2 2 2 3 22" xfId="26871" xr:uid="{00000000-0005-0000-0000-00001D410000}"/>
    <cellStyle name="Input 2 2 2 3 23" xfId="35187" xr:uid="{00000000-0005-0000-0000-00001E410000}"/>
    <cellStyle name="Input 2 2 2 3 24" xfId="34855" xr:uid="{00000000-0005-0000-0000-00001F410000}"/>
    <cellStyle name="Input 2 2 2 3 3" xfId="4629" xr:uid="{00000000-0005-0000-0000-000020410000}"/>
    <cellStyle name="Input 2 2 2 3 3 10" xfId="23499" xr:uid="{00000000-0005-0000-0000-000021410000}"/>
    <cellStyle name="Input 2 2 2 3 3 11" xfId="24471" xr:uid="{00000000-0005-0000-0000-000022410000}"/>
    <cellStyle name="Input 2 2 2 3 3 12" xfId="25470" xr:uid="{00000000-0005-0000-0000-000023410000}"/>
    <cellStyle name="Input 2 2 2 3 3 13" xfId="28417" xr:uid="{00000000-0005-0000-0000-000024410000}"/>
    <cellStyle name="Input 2 2 2 3 3 14" xfId="29384" xr:uid="{00000000-0005-0000-0000-000025410000}"/>
    <cellStyle name="Input 2 2 2 3 3 15" xfId="30426" xr:uid="{00000000-0005-0000-0000-000026410000}"/>
    <cellStyle name="Input 2 2 2 3 3 16" xfId="31417" xr:uid="{00000000-0005-0000-0000-000027410000}"/>
    <cellStyle name="Input 2 2 2 3 3 17" xfId="32425" xr:uid="{00000000-0005-0000-0000-000028410000}"/>
    <cellStyle name="Input 2 2 2 3 3 18" xfId="33428" xr:uid="{00000000-0005-0000-0000-000029410000}"/>
    <cellStyle name="Input 2 2 2 3 3 19" xfId="34427" xr:uid="{00000000-0005-0000-0000-00002A410000}"/>
    <cellStyle name="Input 2 2 2 3 3 2" xfId="4630" xr:uid="{00000000-0005-0000-0000-00002B410000}"/>
    <cellStyle name="Input 2 2 2 3 3 2 10" xfId="24472" xr:uid="{00000000-0005-0000-0000-00002C410000}"/>
    <cellStyle name="Input 2 2 2 3 3 2 11" xfId="25471" xr:uid="{00000000-0005-0000-0000-00002D410000}"/>
    <cellStyle name="Input 2 2 2 3 3 2 12" xfId="28418" xr:uid="{00000000-0005-0000-0000-00002E410000}"/>
    <cellStyle name="Input 2 2 2 3 3 2 13" xfId="29385" xr:uid="{00000000-0005-0000-0000-00002F410000}"/>
    <cellStyle name="Input 2 2 2 3 3 2 14" xfId="30427" xr:uid="{00000000-0005-0000-0000-000030410000}"/>
    <cellStyle name="Input 2 2 2 3 3 2 15" xfId="31418" xr:uid="{00000000-0005-0000-0000-000031410000}"/>
    <cellStyle name="Input 2 2 2 3 3 2 16" xfId="32426" xr:uid="{00000000-0005-0000-0000-000032410000}"/>
    <cellStyle name="Input 2 2 2 3 3 2 17" xfId="33429" xr:uid="{00000000-0005-0000-0000-000033410000}"/>
    <cellStyle name="Input 2 2 2 3 3 2 18" xfId="34428" xr:uid="{00000000-0005-0000-0000-000034410000}"/>
    <cellStyle name="Input 2 2 2 3 3 2 19" xfId="36049" xr:uid="{00000000-0005-0000-0000-000035410000}"/>
    <cellStyle name="Input 2 2 2 3 3 2 2" xfId="16453" xr:uid="{00000000-0005-0000-0000-000036410000}"/>
    <cellStyle name="Input 2 2 2 3 3 2 20" xfId="36988" xr:uid="{00000000-0005-0000-0000-000037410000}"/>
    <cellStyle name="Input 2 2 2 3 3 2 3" xfId="17432" xr:uid="{00000000-0005-0000-0000-000038410000}"/>
    <cellStyle name="Input 2 2 2 3 3 2 4" xfId="18459" xr:uid="{00000000-0005-0000-0000-000039410000}"/>
    <cellStyle name="Input 2 2 2 3 3 2 5" xfId="19491" xr:uid="{00000000-0005-0000-0000-00003A410000}"/>
    <cellStyle name="Input 2 2 2 3 3 2 6" xfId="20513" xr:uid="{00000000-0005-0000-0000-00003B410000}"/>
    <cellStyle name="Input 2 2 2 3 3 2 7" xfId="21524" xr:uid="{00000000-0005-0000-0000-00003C410000}"/>
    <cellStyle name="Input 2 2 2 3 3 2 8" xfId="22495" xr:uid="{00000000-0005-0000-0000-00003D410000}"/>
    <cellStyle name="Input 2 2 2 3 3 2 9" xfId="23500" xr:uid="{00000000-0005-0000-0000-00003E410000}"/>
    <cellStyle name="Input 2 2 2 3 3 20" xfId="36048" xr:uid="{00000000-0005-0000-0000-00003F410000}"/>
    <cellStyle name="Input 2 2 2 3 3 21" xfId="36987" xr:uid="{00000000-0005-0000-0000-000040410000}"/>
    <cellStyle name="Input 2 2 2 3 3 3" xfId="16452" xr:uid="{00000000-0005-0000-0000-000041410000}"/>
    <cellStyle name="Input 2 2 2 3 3 4" xfId="17431" xr:uid="{00000000-0005-0000-0000-000042410000}"/>
    <cellStyle name="Input 2 2 2 3 3 5" xfId="18458" xr:uid="{00000000-0005-0000-0000-000043410000}"/>
    <cellStyle name="Input 2 2 2 3 3 6" xfId="19490" xr:uid="{00000000-0005-0000-0000-000044410000}"/>
    <cellStyle name="Input 2 2 2 3 3 7" xfId="20512" xr:uid="{00000000-0005-0000-0000-000045410000}"/>
    <cellStyle name="Input 2 2 2 3 3 8" xfId="21523" xr:uid="{00000000-0005-0000-0000-000046410000}"/>
    <cellStyle name="Input 2 2 2 3 3 9" xfId="22494" xr:uid="{00000000-0005-0000-0000-000047410000}"/>
    <cellStyle name="Input 2 2 2 3 4" xfId="4631" xr:uid="{00000000-0005-0000-0000-000048410000}"/>
    <cellStyle name="Input 2 2 2 3 4 10" xfId="23501" xr:uid="{00000000-0005-0000-0000-000049410000}"/>
    <cellStyle name="Input 2 2 2 3 4 11" xfId="24473" xr:uid="{00000000-0005-0000-0000-00004A410000}"/>
    <cellStyle name="Input 2 2 2 3 4 12" xfId="25472" xr:uid="{00000000-0005-0000-0000-00004B410000}"/>
    <cellStyle name="Input 2 2 2 3 4 13" xfId="28419" xr:uid="{00000000-0005-0000-0000-00004C410000}"/>
    <cellStyle name="Input 2 2 2 3 4 14" xfId="29386" xr:uid="{00000000-0005-0000-0000-00004D410000}"/>
    <cellStyle name="Input 2 2 2 3 4 15" xfId="30428" xr:uid="{00000000-0005-0000-0000-00004E410000}"/>
    <cellStyle name="Input 2 2 2 3 4 16" xfId="31419" xr:uid="{00000000-0005-0000-0000-00004F410000}"/>
    <cellStyle name="Input 2 2 2 3 4 17" xfId="32427" xr:uid="{00000000-0005-0000-0000-000050410000}"/>
    <cellStyle name="Input 2 2 2 3 4 18" xfId="33430" xr:uid="{00000000-0005-0000-0000-000051410000}"/>
    <cellStyle name="Input 2 2 2 3 4 19" xfId="34429" xr:uid="{00000000-0005-0000-0000-000052410000}"/>
    <cellStyle name="Input 2 2 2 3 4 2" xfId="4632" xr:uid="{00000000-0005-0000-0000-000053410000}"/>
    <cellStyle name="Input 2 2 2 3 4 2 10" xfId="24474" xr:uid="{00000000-0005-0000-0000-000054410000}"/>
    <cellStyle name="Input 2 2 2 3 4 2 11" xfId="25473" xr:uid="{00000000-0005-0000-0000-000055410000}"/>
    <cellStyle name="Input 2 2 2 3 4 2 12" xfId="28420" xr:uid="{00000000-0005-0000-0000-000056410000}"/>
    <cellStyle name="Input 2 2 2 3 4 2 13" xfId="29387" xr:uid="{00000000-0005-0000-0000-000057410000}"/>
    <cellStyle name="Input 2 2 2 3 4 2 14" xfId="30429" xr:uid="{00000000-0005-0000-0000-000058410000}"/>
    <cellStyle name="Input 2 2 2 3 4 2 15" xfId="31420" xr:uid="{00000000-0005-0000-0000-000059410000}"/>
    <cellStyle name="Input 2 2 2 3 4 2 16" xfId="32428" xr:uid="{00000000-0005-0000-0000-00005A410000}"/>
    <cellStyle name="Input 2 2 2 3 4 2 17" xfId="33431" xr:uid="{00000000-0005-0000-0000-00005B410000}"/>
    <cellStyle name="Input 2 2 2 3 4 2 18" xfId="34430" xr:uid="{00000000-0005-0000-0000-00005C410000}"/>
    <cellStyle name="Input 2 2 2 3 4 2 19" xfId="36051" xr:uid="{00000000-0005-0000-0000-00005D410000}"/>
    <cellStyle name="Input 2 2 2 3 4 2 2" xfId="16455" xr:uid="{00000000-0005-0000-0000-00005E410000}"/>
    <cellStyle name="Input 2 2 2 3 4 2 20" xfId="36990" xr:uid="{00000000-0005-0000-0000-00005F410000}"/>
    <cellStyle name="Input 2 2 2 3 4 2 3" xfId="17434" xr:uid="{00000000-0005-0000-0000-000060410000}"/>
    <cellStyle name="Input 2 2 2 3 4 2 4" xfId="18461" xr:uid="{00000000-0005-0000-0000-000061410000}"/>
    <cellStyle name="Input 2 2 2 3 4 2 5" xfId="19493" xr:uid="{00000000-0005-0000-0000-000062410000}"/>
    <cellStyle name="Input 2 2 2 3 4 2 6" xfId="20515" xr:uid="{00000000-0005-0000-0000-000063410000}"/>
    <cellStyle name="Input 2 2 2 3 4 2 7" xfId="21526" xr:uid="{00000000-0005-0000-0000-000064410000}"/>
    <cellStyle name="Input 2 2 2 3 4 2 8" xfId="22497" xr:uid="{00000000-0005-0000-0000-000065410000}"/>
    <cellStyle name="Input 2 2 2 3 4 2 9" xfId="23502" xr:uid="{00000000-0005-0000-0000-000066410000}"/>
    <cellStyle name="Input 2 2 2 3 4 20" xfId="36050" xr:uid="{00000000-0005-0000-0000-000067410000}"/>
    <cellStyle name="Input 2 2 2 3 4 21" xfId="36989" xr:uid="{00000000-0005-0000-0000-000068410000}"/>
    <cellStyle name="Input 2 2 2 3 4 3" xfId="16454" xr:uid="{00000000-0005-0000-0000-000069410000}"/>
    <cellStyle name="Input 2 2 2 3 4 4" xfId="17433" xr:uid="{00000000-0005-0000-0000-00006A410000}"/>
    <cellStyle name="Input 2 2 2 3 4 5" xfId="18460" xr:uid="{00000000-0005-0000-0000-00006B410000}"/>
    <cellStyle name="Input 2 2 2 3 4 6" xfId="19492" xr:uid="{00000000-0005-0000-0000-00006C410000}"/>
    <cellStyle name="Input 2 2 2 3 4 7" xfId="20514" xr:uid="{00000000-0005-0000-0000-00006D410000}"/>
    <cellStyle name="Input 2 2 2 3 4 8" xfId="21525" xr:uid="{00000000-0005-0000-0000-00006E410000}"/>
    <cellStyle name="Input 2 2 2 3 4 9" xfId="22496" xr:uid="{00000000-0005-0000-0000-00006F410000}"/>
    <cellStyle name="Input 2 2 2 3 5" xfId="4633" xr:uid="{00000000-0005-0000-0000-000070410000}"/>
    <cellStyle name="Input 2 2 2 3 5 10" xfId="24475" xr:uid="{00000000-0005-0000-0000-000071410000}"/>
    <cellStyle name="Input 2 2 2 3 5 11" xfId="25474" xr:uid="{00000000-0005-0000-0000-000072410000}"/>
    <cellStyle name="Input 2 2 2 3 5 12" xfId="28421" xr:uid="{00000000-0005-0000-0000-000073410000}"/>
    <cellStyle name="Input 2 2 2 3 5 13" xfId="29388" xr:uid="{00000000-0005-0000-0000-000074410000}"/>
    <cellStyle name="Input 2 2 2 3 5 14" xfId="30430" xr:uid="{00000000-0005-0000-0000-000075410000}"/>
    <cellStyle name="Input 2 2 2 3 5 15" xfId="31421" xr:uid="{00000000-0005-0000-0000-000076410000}"/>
    <cellStyle name="Input 2 2 2 3 5 16" xfId="32429" xr:uid="{00000000-0005-0000-0000-000077410000}"/>
    <cellStyle name="Input 2 2 2 3 5 17" xfId="33432" xr:uid="{00000000-0005-0000-0000-000078410000}"/>
    <cellStyle name="Input 2 2 2 3 5 18" xfId="34431" xr:uid="{00000000-0005-0000-0000-000079410000}"/>
    <cellStyle name="Input 2 2 2 3 5 19" xfId="36052" xr:uid="{00000000-0005-0000-0000-00007A410000}"/>
    <cellStyle name="Input 2 2 2 3 5 2" xfId="16456" xr:uid="{00000000-0005-0000-0000-00007B410000}"/>
    <cellStyle name="Input 2 2 2 3 5 20" xfId="36991" xr:uid="{00000000-0005-0000-0000-00007C410000}"/>
    <cellStyle name="Input 2 2 2 3 5 3" xfId="17435" xr:uid="{00000000-0005-0000-0000-00007D410000}"/>
    <cellStyle name="Input 2 2 2 3 5 4" xfId="18462" xr:uid="{00000000-0005-0000-0000-00007E410000}"/>
    <cellStyle name="Input 2 2 2 3 5 5" xfId="19494" xr:uid="{00000000-0005-0000-0000-00007F410000}"/>
    <cellStyle name="Input 2 2 2 3 5 6" xfId="20516" xr:uid="{00000000-0005-0000-0000-000080410000}"/>
    <cellStyle name="Input 2 2 2 3 5 7" xfId="21527" xr:uid="{00000000-0005-0000-0000-000081410000}"/>
    <cellStyle name="Input 2 2 2 3 5 8" xfId="22498" xr:uid="{00000000-0005-0000-0000-000082410000}"/>
    <cellStyle name="Input 2 2 2 3 5 9" xfId="23503" xr:uid="{00000000-0005-0000-0000-000083410000}"/>
    <cellStyle name="Input 2 2 2 3 6" xfId="13959" xr:uid="{00000000-0005-0000-0000-000084410000}"/>
    <cellStyle name="Input 2 2 2 3 7" xfId="15645" xr:uid="{00000000-0005-0000-0000-000085410000}"/>
    <cellStyle name="Input 2 2 2 3 8" xfId="14451" xr:uid="{00000000-0005-0000-0000-000086410000}"/>
    <cellStyle name="Input 2 2 2 3 9" xfId="15756" xr:uid="{00000000-0005-0000-0000-000087410000}"/>
    <cellStyle name="Input 2 2 2 4" xfId="4634" xr:uid="{00000000-0005-0000-0000-000088410000}"/>
    <cellStyle name="Input 2 2 2 4 10" xfId="23504" xr:uid="{00000000-0005-0000-0000-000089410000}"/>
    <cellStyle name="Input 2 2 2 4 11" xfId="24476" xr:uid="{00000000-0005-0000-0000-00008A410000}"/>
    <cellStyle name="Input 2 2 2 4 12" xfId="25475" xr:uid="{00000000-0005-0000-0000-00008B410000}"/>
    <cellStyle name="Input 2 2 2 4 13" xfId="28422" xr:uid="{00000000-0005-0000-0000-00008C410000}"/>
    <cellStyle name="Input 2 2 2 4 14" xfId="29389" xr:uid="{00000000-0005-0000-0000-00008D410000}"/>
    <cellStyle name="Input 2 2 2 4 15" xfId="30431" xr:uid="{00000000-0005-0000-0000-00008E410000}"/>
    <cellStyle name="Input 2 2 2 4 16" xfId="31422" xr:uid="{00000000-0005-0000-0000-00008F410000}"/>
    <cellStyle name="Input 2 2 2 4 17" xfId="32430" xr:uid="{00000000-0005-0000-0000-000090410000}"/>
    <cellStyle name="Input 2 2 2 4 18" xfId="33433" xr:uid="{00000000-0005-0000-0000-000091410000}"/>
    <cellStyle name="Input 2 2 2 4 19" xfId="34432" xr:uid="{00000000-0005-0000-0000-000092410000}"/>
    <cellStyle name="Input 2 2 2 4 2" xfId="4635" xr:uid="{00000000-0005-0000-0000-000093410000}"/>
    <cellStyle name="Input 2 2 2 4 2 10" xfId="24477" xr:uid="{00000000-0005-0000-0000-000094410000}"/>
    <cellStyle name="Input 2 2 2 4 2 11" xfId="25476" xr:uid="{00000000-0005-0000-0000-000095410000}"/>
    <cellStyle name="Input 2 2 2 4 2 12" xfId="28423" xr:uid="{00000000-0005-0000-0000-000096410000}"/>
    <cellStyle name="Input 2 2 2 4 2 13" xfId="29390" xr:uid="{00000000-0005-0000-0000-000097410000}"/>
    <cellStyle name="Input 2 2 2 4 2 14" xfId="30432" xr:uid="{00000000-0005-0000-0000-000098410000}"/>
    <cellStyle name="Input 2 2 2 4 2 15" xfId="31423" xr:uid="{00000000-0005-0000-0000-000099410000}"/>
    <cellStyle name="Input 2 2 2 4 2 16" xfId="32431" xr:uid="{00000000-0005-0000-0000-00009A410000}"/>
    <cellStyle name="Input 2 2 2 4 2 17" xfId="33434" xr:uid="{00000000-0005-0000-0000-00009B410000}"/>
    <cellStyle name="Input 2 2 2 4 2 18" xfId="34433" xr:uid="{00000000-0005-0000-0000-00009C410000}"/>
    <cellStyle name="Input 2 2 2 4 2 19" xfId="36054" xr:uid="{00000000-0005-0000-0000-00009D410000}"/>
    <cellStyle name="Input 2 2 2 4 2 2" xfId="16458" xr:uid="{00000000-0005-0000-0000-00009E410000}"/>
    <cellStyle name="Input 2 2 2 4 2 20" xfId="36993" xr:uid="{00000000-0005-0000-0000-00009F410000}"/>
    <cellStyle name="Input 2 2 2 4 2 3" xfId="17437" xr:uid="{00000000-0005-0000-0000-0000A0410000}"/>
    <cellStyle name="Input 2 2 2 4 2 4" xfId="18464" xr:uid="{00000000-0005-0000-0000-0000A1410000}"/>
    <cellStyle name="Input 2 2 2 4 2 5" xfId="19496" xr:uid="{00000000-0005-0000-0000-0000A2410000}"/>
    <cellStyle name="Input 2 2 2 4 2 6" xfId="20518" xr:uid="{00000000-0005-0000-0000-0000A3410000}"/>
    <cellStyle name="Input 2 2 2 4 2 7" xfId="21529" xr:uid="{00000000-0005-0000-0000-0000A4410000}"/>
    <cellStyle name="Input 2 2 2 4 2 8" xfId="22500" xr:uid="{00000000-0005-0000-0000-0000A5410000}"/>
    <cellStyle name="Input 2 2 2 4 2 9" xfId="23505" xr:uid="{00000000-0005-0000-0000-0000A6410000}"/>
    <cellStyle name="Input 2 2 2 4 20" xfId="36053" xr:uid="{00000000-0005-0000-0000-0000A7410000}"/>
    <cellStyle name="Input 2 2 2 4 21" xfId="36992" xr:uid="{00000000-0005-0000-0000-0000A8410000}"/>
    <cellStyle name="Input 2 2 2 4 3" xfId="16457" xr:uid="{00000000-0005-0000-0000-0000A9410000}"/>
    <cellStyle name="Input 2 2 2 4 4" xfId="17436" xr:uid="{00000000-0005-0000-0000-0000AA410000}"/>
    <cellStyle name="Input 2 2 2 4 5" xfId="18463" xr:uid="{00000000-0005-0000-0000-0000AB410000}"/>
    <cellStyle name="Input 2 2 2 4 6" xfId="19495" xr:uid="{00000000-0005-0000-0000-0000AC410000}"/>
    <cellStyle name="Input 2 2 2 4 7" xfId="20517" xr:uid="{00000000-0005-0000-0000-0000AD410000}"/>
    <cellStyle name="Input 2 2 2 4 8" xfId="21528" xr:uid="{00000000-0005-0000-0000-0000AE410000}"/>
    <cellStyle name="Input 2 2 2 4 9" xfId="22499" xr:uid="{00000000-0005-0000-0000-0000AF410000}"/>
    <cellStyle name="Input 2 2 2 5" xfId="4636" xr:uid="{00000000-0005-0000-0000-0000B0410000}"/>
    <cellStyle name="Input 2 2 2 5 10" xfId="23506" xr:uid="{00000000-0005-0000-0000-0000B1410000}"/>
    <cellStyle name="Input 2 2 2 5 11" xfId="24478" xr:uid="{00000000-0005-0000-0000-0000B2410000}"/>
    <cellStyle name="Input 2 2 2 5 12" xfId="25477" xr:uid="{00000000-0005-0000-0000-0000B3410000}"/>
    <cellStyle name="Input 2 2 2 5 13" xfId="28424" xr:uid="{00000000-0005-0000-0000-0000B4410000}"/>
    <cellStyle name="Input 2 2 2 5 14" xfId="29391" xr:uid="{00000000-0005-0000-0000-0000B5410000}"/>
    <cellStyle name="Input 2 2 2 5 15" xfId="30433" xr:uid="{00000000-0005-0000-0000-0000B6410000}"/>
    <cellStyle name="Input 2 2 2 5 16" xfId="31424" xr:uid="{00000000-0005-0000-0000-0000B7410000}"/>
    <cellStyle name="Input 2 2 2 5 17" xfId="32432" xr:uid="{00000000-0005-0000-0000-0000B8410000}"/>
    <cellStyle name="Input 2 2 2 5 18" xfId="33435" xr:uid="{00000000-0005-0000-0000-0000B9410000}"/>
    <cellStyle name="Input 2 2 2 5 19" xfId="34434" xr:uid="{00000000-0005-0000-0000-0000BA410000}"/>
    <cellStyle name="Input 2 2 2 5 2" xfId="4637" xr:uid="{00000000-0005-0000-0000-0000BB410000}"/>
    <cellStyle name="Input 2 2 2 5 2 10" xfId="24479" xr:uid="{00000000-0005-0000-0000-0000BC410000}"/>
    <cellStyle name="Input 2 2 2 5 2 11" xfId="25478" xr:uid="{00000000-0005-0000-0000-0000BD410000}"/>
    <cellStyle name="Input 2 2 2 5 2 12" xfId="28425" xr:uid="{00000000-0005-0000-0000-0000BE410000}"/>
    <cellStyle name="Input 2 2 2 5 2 13" xfId="29392" xr:uid="{00000000-0005-0000-0000-0000BF410000}"/>
    <cellStyle name="Input 2 2 2 5 2 14" xfId="30434" xr:uid="{00000000-0005-0000-0000-0000C0410000}"/>
    <cellStyle name="Input 2 2 2 5 2 15" xfId="31425" xr:uid="{00000000-0005-0000-0000-0000C1410000}"/>
    <cellStyle name="Input 2 2 2 5 2 16" xfId="32433" xr:uid="{00000000-0005-0000-0000-0000C2410000}"/>
    <cellStyle name="Input 2 2 2 5 2 17" xfId="33436" xr:uid="{00000000-0005-0000-0000-0000C3410000}"/>
    <cellStyle name="Input 2 2 2 5 2 18" xfId="34435" xr:uid="{00000000-0005-0000-0000-0000C4410000}"/>
    <cellStyle name="Input 2 2 2 5 2 19" xfId="36056" xr:uid="{00000000-0005-0000-0000-0000C5410000}"/>
    <cellStyle name="Input 2 2 2 5 2 2" xfId="16460" xr:uid="{00000000-0005-0000-0000-0000C6410000}"/>
    <cellStyle name="Input 2 2 2 5 2 20" xfId="36995" xr:uid="{00000000-0005-0000-0000-0000C7410000}"/>
    <cellStyle name="Input 2 2 2 5 2 3" xfId="17439" xr:uid="{00000000-0005-0000-0000-0000C8410000}"/>
    <cellStyle name="Input 2 2 2 5 2 4" xfId="18466" xr:uid="{00000000-0005-0000-0000-0000C9410000}"/>
    <cellStyle name="Input 2 2 2 5 2 5" xfId="19498" xr:uid="{00000000-0005-0000-0000-0000CA410000}"/>
    <cellStyle name="Input 2 2 2 5 2 6" xfId="20520" xr:uid="{00000000-0005-0000-0000-0000CB410000}"/>
    <cellStyle name="Input 2 2 2 5 2 7" xfId="21531" xr:uid="{00000000-0005-0000-0000-0000CC410000}"/>
    <cellStyle name="Input 2 2 2 5 2 8" xfId="22502" xr:uid="{00000000-0005-0000-0000-0000CD410000}"/>
    <cellStyle name="Input 2 2 2 5 2 9" xfId="23507" xr:uid="{00000000-0005-0000-0000-0000CE410000}"/>
    <cellStyle name="Input 2 2 2 5 20" xfId="36055" xr:uid="{00000000-0005-0000-0000-0000CF410000}"/>
    <cellStyle name="Input 2 2 2 5 21" xfId="36994" xr:uid="{00000000-0005-0000-0000-0000D0410000}"/>
    <cellStyle name="Input 2 2 2 5 3" xfId="16459" xr:uid="{00000000-0005-0000-0000-0000D1410000}"/>
    <cellStyle name="Input 2 2 2 5 4" xfId="17438" xr:uid="{00000000-0005-0000-0000-0000D2410000}"/>
    <cellStyle name="Input 2 2 2 5 5" xfId="18465" xr:uid="{00000000-0005-0000-0000-0000D3410000}"/>
    <cellStyle name="Input 2 2 2 5 6" xfId="19497" xr:uid="{00000000-0005-0000-0000-0000D4410000}"/>
    <cellStyle name="Input 2 2 2 5 7" xfId="20519" xr:uid="{00000000-0005-0000-0000-0000D5410000}"/>
    <cellStyle name="Input 2 2 2 5 8" xfId="21530" xr:uid="{00000000-0005-0000-0000-0000D6410000}"/>
    <cellStyle name="Input 2 2 2 5 9" xfId="22501" xr:uid="{00000000-0005-0000-0000-0000D7410000}"/>
    <cellStyle name="Input 2 2 2 6" xfId="4638" xr:uid="{00000000-0005-0000-0000-0000D8410000}"/>
    <cellStyle name="Input 2 2 2 6 10" xfId="23508" xr:uid="{00000000-0005-0000-0000-0000D9410000}"/>
    <cellStyle name="Input 2 2 2 6 11" xfId="24480" xr:uid="{00000000-0005-0000-0000-0000DA410000}"/>
    <cellStyle name="Input 2 2 2 6 12" xfId="25479" xr:uid="{00000000-0005-0000-0000-0000DB410000}"/>
    <cellStyle name="Input 2 2 2 6 13" xfId="28426" xr:uid="{00000000-0005-0000-0000-0000DC410000}"/>
    <cellStyle name="Input 2 2 2 6 14" xfId="29393" xr:uid="{00000000-0005-0000-0000-0000DD410000}"/>
    <cellStyle name="Input 2 2 2 6 15" xfId="30435" xr:uid="{00000000-0005-0000-0000-0000DE410000}"/>
    <cellStyle name="Input 2 2 2 6 16" xfId="31426" xr:uid="{00000000-0005-0000-0000-0000DF410000}"/>
    <cellStyle name="Input 2 2 2 6 17" xfId="32434" xr:uid="{00000000-0005-0000-0000-0000E0410000}"/>
    <cellStyle name="Input 2 2 2 6 18" xfId="33437" xr:uid="{00000000-0005-0000-0000-0000E1410000}"/>
    <cellStyle name="Input 2 2 2 6 19" xfId="34436" xr:uid="{00000000-0005-0000-0000-0000E2410000}"/>
    <cellStyle name="Input 2 2 2 6 2" xfId="4639" xr:uid="{00000000-0005-0000-0000-0000E3410000}"/>
    <cellStyle name="Input 2 2 2 6 2 10" xfId="24481" xr:uid="{00000000-0005-0000-0000-0000E4410000}"/>
    <cellStyle name="Input 2 2 2 6 2 11" xfId="25480" xr:uid="{00000000-0005-0000-0000-0000E5410000}"/>
    <cellStyle name="Input 2 2 2 6 2 12" xfId="28427" xr:uid="{00000000-0005-0000-0000-0000E6410000}"/>
    <cellStyle name="Input 2 2 2 6 2 13" xfId="29394" xr:uid="{00000000-0005-0000-0000-0000E7410000}"/>
    <cellStyle name="Input 2 2 2 6 2 14" xfId="30436" xr:uid="{00000000-0005-0000-0000-0000E8410000}"/>
    <cellStyle name="Input 2 2 2 6 2 15" xfId="31427" xr:uid="{00000000-0005-0000-0000-0000E9410000}"/>
    <cellStyle name="Input 2 2 2 6 2 16" xfId="32435" xr:uid="{00000000-0005-0000-0000-0000EA410000}"/>
    <cellStyle name="Input 2 2 2 6 2 17" xfId="33438" xr:uid="{00000000-0005-0000-0000-0000EB410000}"/>
    <cellStyle name="Input 2 2 2 6 2 18" xfId="34437" xr:uid="{00000000-0005-0000-0000-0000EC410000}"/>
    <cellStyle name="Input 2 2 2 6 2 19" xfId="36058" xr:uid="{00000000-0005-0000-0000-0000ED410000}"/>
    <cellStyle name="Input 2 2 2 6 2 2" xfId="16462" xr:uid="{00000000-0005-0000-0000-0000EE410000}"/>
    <cellStyle name="Input 2 2 2 6 2 20" xfId="36997" xr:uid="{00000000-0005-0000-0000-0000EF410000}"/>
    <cellStyle name="Input 2 2 2 6 2 3" xfId="17441" xr:uid="{00000000-0005-0000-0000-0000F0410000}"/>
    <cellStyle name="Input 2 2 2 6 2 4" xfId="18468" xr:uid="{00000000-0005-0000-0000-0000F1410000}"/>
    <cellStyle name="Input 2 2 2 6 2 5" xfId="19500" xr:uid="{00000000-0005-0000-0000-0000F2410000}"/>
    <cellStyle name="Input 2 2 2 6 2 6" xfId="20522" xr:uid="{00000000-0005-0000-0000-0000F3410000}"/>
    <cellStyle name="Input 2 2 2 6 2 7" xfId="21533" xr:uid="{00000000-0005-0000-0000-0000F4410000}"/>
    <cellStyle name="Input 2 2 2 6 2 8" xfId="22504" xr:uid="{00000000-0005-0000-0000-0000F5410000}"/>
    <cellStyle name="Input 2 2 2 6 2 9" xfId="23509" xr:uid="{00000000-0005-0000-0000-0000F6410000}"/>
    <cellStyle name="Input 2 2 2 6 20" xfId="36057" xr:uid="{00000000-0005-0000-0000-0000F7410000}"/>
    <cellStyle name="Input 2 2 2 6 21" xfId="36996" xr:uid="{00000000-0005-0000-0000-0000F8410000}"/>
    <cellStyle name="Input 2 2 2 6 3" xfId="16461" xr:uid="{00000000-0005-0000-0000-0000F9410000}"/>
    <cellStyle name="Input 2 2 2 6 4" xfId="17440" xr:uid="{00000000-0005-0000-0000-0000FA410000}"/>
    <cellStyle name="Input 2 2 2 6 5" xfId="18467" xr:uid="{00000000-0005-0000-0000-0000FB410000}"/>
    <cellStyle name="Input 2 2 2 6 6" xfId="19499" xr:uid="{00000000-0005-0000-0000-0000FC410000}"/>
    <cellStyle name="Input 2 2 2 6 7" xfId="20521" xr:uid="{00000000-0005-0000-0000-0000FD410000}"/>
    <cellStyle name="Input 2 2 2 6 8" xfId="21532" xr:uid="{00000000-0005-0000-0000-0000FE410000}"/>
    <cellStyle name="Input 2 2 2 6 9" xfId="22503" xr:uid="{00000000-0005-0000-0000-0000FF410000}"/>
    <cellStyle name="Input 2 2 2 7" xfId="4640" xr:uid="{00000000-0005-0000-0000-000000420000}"/>
    <cellStyle name="Input 2 2 2 7 10" xfId="24482" xr:uid="{00000000-0005-0000-0000-000001420000}"/>
    <cellStyle name="Input 2 2 2 7 11" xfId="25481" xr:uid="{00000000-0005-0000-0000-000002420000}"/>
    <cellStyle name="Input 2 2 2 7 12" xfId="28428" xr:uid="{00000000-0005-0000-0000-000003420000}"/>
    <cellStyle name="Input 2 2 2 7 13" xfId="29395" xr:uid="{00000000-0005-0000-0000-000004420000}"/>
    <cellStyle name="Input 2 2 2 7 14" xfId="30437" xr:uid="{00000000-0005-0000-0000-000005420000}"/>
    <cellStyle name="Input 2 2 2 7 15" xfId="31428" xr:uid="{00000000-0005-0000-0000-000006420000}"/>
    <cellStyle name="Input 2 2 2 7 16" xfId="32436" xr:uid="{00000000-0005-0000-0000-000007420000}"/>
    <cellStyle name="Input 2 2 2 7 17" xfId="33439" xr:uid="{00000000-0005-0000-0000-000008420000}"/>
    <cellStyle name="Input 2 2 2 7 18" xfId="34438" xr:uid="{00000000-0005-0000-0000-000009420000}"/>
    <cellStyle name="Input 2 2 2 7 19" xfId="36059" xr:uid="{00000000-0005-0000-0000-00000A420000}"/>
    <cellStyle name="Input 2 2 2 7 2" xfId="16463" xr:uid="{00000000-0005-0000-0000-00000B420000}"/>
    <cellStyle name="Input 2 2 2 7 20" xfId="36998" xr:uid="{00000000-0005-0000-0000-00000C420000}"/>
    <cellStyle name="Input 2 2 2 7 3" xfId="17442" xr:uid="{00000000-0005-0000-0000-00000D420000}"/>
    <cellStyle name="Input 2 2 2 7 4" xfId="18469" xr:uid="{00000000-0005-0000-0000-00000E420000}"/>
    <cellStyle name="Input 2 2 2 7 5" xfId="19501" xr:uid="{00000000-0005-0000-0000-00000F420000}"/>
    <cellStyle name="Input 2 2 2 7 6" xfId="20523" xr:uid="{00000000-0005-0000-0000-000010420000}"/>
    <cellStyle name="Input 2 2 2 7 7" xfId="21534" xr:uid="{00000000-0005-0000-0000-000011420000}"/>
    <cellStyle name="Input 2 2 2 7 8" xfId="22505" xr:uid="{00000000-0005-0000-0000-000012420000}"/>
    <cellStyle name="Input 2 2 2 7 9" xfId="23510" xr:uid="{00000000-0005-0000-0000-000013420000}"/>
    <cellStyle name="Input 2 2 2 8" xfId="13915" xr:uid="{00000000-0005-0000-0000-000014420000}"/>
    <cellStyle name="Input 2 2 2 9" xfId="14529" xr:uid="{00000000-0005-0000-0000-000015420000}"/>
    <cellStyle name="Input 2 2 20" xfId="26605" xr:uid="{00000000-0005-0000-0000-000016420000}"/>
    <cellStyle name="Input 2 2 21" xfId="34869" xr:uid="{00000000-0005-0000-0000-000017420000}"/>
    <cellStyle name="Input 2 2 22" xfId="34867" xr:uid="{00000000-0005-0000-0000-000018420000}"/>
    <cellStyle name="Input 2 2 23" xfId="35487" xr:uid="{00000000-0005-0000-0000-000019420000}"/>
    <cellStyle name="Input 2 2 3" xfId="4641" xr:uid="{00000000-0005-0000-0000-00001A420000}"/>
    <cellStyle name="Input 2 2 3 10" xfId="13995" xr:uid="{00000000-0005-0000-0000-00001B420000}"/>
    <cellStyle name="Input 2 2 3 11" xfId="14367" xr:uid="{00000000-0005-0000-0000-00001C420000}"/>
    <cellStyle name="Input 2 2 3 12" xfId="14723" xr:uid="{00000000-0005-0000-0000-00001D420000}"/>
    <cellStyle name="Input 2 2 3 13" xfId="15232" xr:uid="{00000000-0005-0000-0000-00001E420000}"/>
    <cellStyle name="Input 2 2 3 14" xfId="15471" xr:uid="{00000000-0005-0000-0000-00001F420000}"/>
    <cellStyle name="Input 2 2 3 15" xfId="15611" xr:uid="{00000000-0005-0000-0000-000020420000}"/>
    <cellStyle name="Input 2 2 3 16" xfId="26097" xr:uid="{00000000-0005-0000-0000-000021420000}"/>
    <cellStyle name="Input 2 2 3 17" xfId="27781" xr:uid="{00000000-0005-0000-0000-000022420000}"/>
    <cellStyle name="Input 2 2 3 18" xfId="27759" xr:uid="{00000000-0005-0000-0000-000023420000}"/>
    <cellStyle name="Input 2 2 3 19" xfId="29780" xr:uid="{00000000-0005-0000-0000-000024420000}"/>
    <cellStyle name="Input 2 2 3 2" xfId="4642" xr:uid="{00000000-0005-0000-0000-000025420000}"/>
    <cellStyle name="Input 2 2 3 2 10" xfId="14600" xr:uid="{00000000-0005-0000-0000-000026420000}"/>
    <cellStyle name="Input 2 2 3 2 11" xfId="14985" xr:uid="{00000000-0005-0000-0000-000027420000}"/>
    <cellStyle name="Input 2 2 3 2 12" xfId="26318" xr:uid="{00000000-0005-0000-0000-000028420000}"/>
    <cellStyle name="Input 2 2 3 2 13" xfId="27176" xr:uid="{00000000-0005-0000-0000-000029420000}"/>
    <cellStyle name="Input 2 2 3 2 14" xfId="26119" xr:uid="{00000000-0005-0000-0000-00002A420000}"/>
    <cellStyle name="Input 2 2 3 2 15" xfId="27366" xr:uid="{00000000-0005-0000-0000-00002B420000}"/>
    <cellStyle name="Input 2 2 3 2 16" xfId="27440" xr:uid="{00000000-0005-0000-0000-00002C420000}"/>
    <cellStyle name="Input 2 2 3 2 17" xfId="27513" xr:uid="{00000000-0005-0000-0000-00002D420000}"/>
    <cellStyle name="Input 2 2 3 2 18" xfId="35014" xr:uid="{00000000-0005-0000-0000-00002E420000}"/>
    <cellStyle name="Input 2 2 3 2 19" xfId="35330" xr:uid="{00000000-0005-0000-0000-00002F420000}"/>
    <cellStyle name="Input 2 2 3 2 2" xfId="4643" xr:uid="{00000000-0005-0000-0000-000030420000}"/>
    <cellStyle name="Input 2 2 3 2 2 10" xfId="23511" xr:uid="{00000000-0005-0000-0000-000031420000}"/>
    <cellStyle name="Input 2 2 3 2 2 11" xfId="24483" xr:uid="{00000000-0005-0000-0000-000032420000}"/>
    <cellStyle name="Input 2 2 3 2 2 12" xfId="25482" xr:uid="{00000000-0005-0000-0000-000033420000}"/>
    <cellStyle name="Input 2 2 3 2 2 13" xfId="28429" xr:uid="{00000000-0005-0000-0000-000034420000}"/>
    <cellStyle name="Input 2 2 3 2 2 14" xfId="29396" xr:uid="{00000000-0005-0000-0000-000035420000}"/>
    <cellStyle name="Input 2 2 3 2 2 15" xfId="30438" xr:uid="{00000000-0005-0000-0000-000036420000}"/>
    <cellStyle name="Input 2 2 3 2 2 16" xfId="31429" xr:uid="{00000000-0005-0000-0000-000037420000}"/>
    <cellStyle name="Input 2 2 3 2 2 17" xfId="32437" xr:uid="{00000000-0005-0000-0000-000038420000}"/>
    <cellStyle name="Input 2 2 3 2 2 18" xfId="33440" xr:uid="{00000000-0005-0000-0000-000039420000}"/>
    <cellStyle name="Input 2 2 3 2 2 19" xfId="34439" xr:uid="{00000000-0005-0000-0000-00003A420000}"/>
    <cellStyle name="Input 2 2 3 2 2 2" xfId="4644" xr:uid="{00000000-0005-0000-0000-00003B420000}"/>
    <cellStyle name="Input 2 2 3 2 2 2 10" xfId="24484" xr:uid="{00000000-0005-0000-0000-00003C420000}"/>
    <cellStyle name="Input 2 2 3 2 2 2 11" xfId="25483" xr:uid="{00000000-0005-0000-0000-00003D420000}"/>
    <cellStyle name="Input 2 2 3 2 2 2 12" xfId="28430" xr:uid="{00000000-0005-0000-0000-00003E420000}"/>
    <cellStyle name="Input 2 2 3 2 2 2 13" xfId="29397" xr:uid="{00000000-0005-0000-0000-00003F420000}"/>
    <cellStyle name="Input 2 2 3 2 2 2 14" xfId="30439" xr:uid="{00000000-0005-0000-0000-000040420000}"/>
    <cellStyle name="Input 2 2 3 2 2 2 15" xfId="31430" xr:uid="{00000000-0005-0000-0000-000041420000}"/>
    <cellStyle name="Input 2 2 3 2 2 2 16" xfId="32438" xr:uid="{00000000-0005-0000-0000-000042420000}"/>
    <cellStyle name="Input 2 2 3 2 2 2 17" xfId="33441" xr:uid="{00000000-0005-0000-0000-000043420000}"/>
    <cellStyle name="Input 2 2 3 2 2 2 18" xfId="34440" xr:uid="{00000000-0005-0000-0000-000044420000}"/>
    <cellStyle name="Input 2 2 3 2 2 2 19" xfId="36061" xr:uid="{00000000-0005-0000-0000-000045420000}"/>
    <cellStyle name="Input 2 2 3 2 2 2 2" xfId="16465" xr:uid="{00000000-0005-0000-0000-000046420000}"/>
    <cellStyle name="Input 2 2 3 2 2 2 20" xfId="37000" xr:uid="{00000000-0005-0000-0000-000047420000}"/>
    <cellStyle name="Input 2 2 3 2 2 2 3" xfId="17444" xr:uid="{00000000-0005-0000-0000-000048420000}"/>
    <cellStyle name="Input 2 2 3 2 2 2 4" xfId="18471" xr:uid="{00000000-0005-0000-0000-000049420000}"/>
    <cellStyle name="Input 2 2 3 2 2 2 5" xfId="19503" xr:uid="{00000000-0005-0000-0000-00004A420000}"/>
    <cellStyle name="Input 2 2 3 2 2 2 6" xfId="20525" xr:uid="{00000000-0005-0000-0000-00004B420000}"/>
    <cellStyle name="Input 2 2 3 2 2 2 7" xfId="21536" xr:uid="{00000000-0005-0000-0000-00004C420000}"/>
    <cellStyle name="Input 2 2 3 2 2 2 8" xfId="22507" xr:uid="{00000000-0005-0000-0000-00004D420000}"/>
    <cellStyle name="Input 2 2 3 2 2 2 9" xfId="23512" xr:uid="{00000000-0005-0000-0000-00004E420000}"/>
    <cellStyle name="Input 2 2 3 2 2 20" xfId="36060" xr:uid="{00000000-0005-0000-0000-00004F420000}"/>
    <cellStyle name="Input 2 2 3 2 2 21" xfId="36999" xr:uid="{00000000-0005-0000-0000-000050420000}"/>
    <cellStyle name="Input 2 2 3 2 2 3" xfId="16464" xr:uid="{00000000-0005-0000-0000-000051420000}"/>
    <cellStyle name="Input 2 2 3 2 2 4" xfId="17443" xr:uid="{00000000-0005-0000-0000-000052420000}"/>
    <cellStyle name="Input 2 2 3 2 2 5" xfId="18470" xr:uid="{00000000-0005-0000-0000-000053420000}"/>
    <cellStyle name="Input 2 2 3 2 2 6" xfId="19502" xr:uid="{00000000-0005-0000-0000-000054420000}"/>
    <cellStyle name="Input 2 2 3 2 2 7" xfId="20524" xr:uid="{00000000-0005-0000-0000-000055420000}"/>
    <cellStyle name="Input 2 2 3 2 2 8" xfId="21535" xr:uid="{00000000-0005-0000-0000-000056420000}"/>
    <cellStyle name="Input 2 2 3 2 2 9" xfId="22506" xr:uid="{00000000-0005-0000-0000-000057420000}"/>
    <cellStyle name="Input 2 2 3 2 3" xfId="4645" xr:uid="{00000000-0005-0000-0000-000058420000}"/>
    <cellStyle name="Input 2 2 3 2 3 10" xfId="23513" xr:uid="{00000000-0005-0000-0000-000059420000}"/>
    <cellStyle name="Input 2 2 3 2 3 11" xfId="24485" xr:uid="{00000000-0005-0000-0000-00005A420000}"/>
    <cellStyle name="Input 2 2 3 2 3 12" xfId="25484" xr:uid="{00000000-0005-0000-0000-00005B420000}"/>
    <cellStyle name="Input 2 2 3 2 3 13" xfId="28431" xr:uid="{00000000-0005-0000-0000-00005C420000}"/>
    <cellStyle name="Input 2 2 3 2 3 14" xfId="29398" xr:uid="{00000000-0005-0000-0000-00005D420000}"/>
    <cellStyle name="Input 2 2 3 2 3 15" xfId="30440" xr:uid="{00000000-0005-0000-0000-00005E420000}"/>
    <cellStyle name="Input 2 2 3 2 3 16" xfId="31431" xr:uid="{00000000-0005-0000-0000-00005F420000}"/>
    <cellStyle name="Input 2 2 3 2 3 17" xfId="32439" xr:uid="{00000000-0005-0000-0000-000060420000}"/>
    <cellStyle name="Input 2 2 3 2 3 18" xfId="33442" xr:uid="{00000000-0005-0000-0000-000061420000}"/>
    <cellStyle name="Input 2 2 3 2 3 19" xfId="34441" xr:uid="{00000000-0005-0000-0000-000062420000}"/>
    <cellStyle name="Input 2 2 3 2 3 2" xfId="4646" xr:uid="{00000000-0005-0000-0000-000063420000}"/>
    <cellStyle name="Input 2 2 3 2 3 2 10" xfId="24486" xr:uid="{00000000-0005-0000-0000-000064420000}"/>
    <cellStyle name="Input 2 2 3 2 3 2 11" xfId="25485" xr:uid="{00000000-0005-0000-0000-000065420000}"/>
    <cellStyle name="Input 2 2 3 2 3 2 12" xfId="28432" xr:uid="{00000000-0005-0000-0000-000066420000}"/>
    <cellStyle name="Input 2 2 3 2 3 2 13" xfId="29399" xr:uid="{00000000-0005-0000-0000-000067420000}"/>
    <cellStyle name="Input 2 2 3 2 3 2 14" xfId="30441" xr:uid="{00000000-0005-0000-0000-000068420000}"/>
    <cellStyle name="Input 2 2 3 2 3 2 15" xfId="31432" xr:uid="{00000000-0005-0000-0000-000069420000}"/>
    <cellStyle name="Input 2 2 3 2 3 2 16" xfId="32440" xr:uid="{00000000-0005-0000-0000-00006A420000}"/>
    <cellStyle name="Input 2 2 3 2 3 2 17" xfId="33443" xr:uid="{00000000-0005-0000-0000-00006B420000}"/>
    <cellStyle name="Input 2 2 3 2 3 2 18" xfId="34442" xr:uid="{00000000-0005-0000-0000-00006C420000}"/>
    <cellStyle name="Input 2 2 3 2 3 2 19" xfId="36063" xr:uid="{00000000-0005-0000-0000-00006D420000}"/>
    <cellStyle name="Input 2 2 3 2 3 2 2" xfId="16467" xr:uid="{00000000-0005-0000-0000-00006E420000}"/>
    <cellStyle name="Input 2 2 3 2 3 2 20" xfId="37002" xr:uid="{00000000-0005-0000-0000-00006F420000}"/>
    <cellStyle name="Input 2 2 3 2 3 2 3" xfId="17446" xr:uid="{00000000-0005-0000-0000-000070420000}"/>
    <cellStyle name="Input 2 2 3 2 3 2 4" xfId="18473" xr:uid="{00000000-0005-0000-0000-000071420000}"/>
    <cellStyle name="Input 2 2 3 2 3 2 5" xfId="19505" xr:uid="{00000000-0005-0000-0000-000072420000}"/>
    <cellStyle name="Input 2 2 3 2 3 2 6" xfId="20527" xr:uid="{00000000-0005-0000-0000-000073420000}"/>
    <cellStyle name="Input 2 2 3 2 3 2 7" xfId="21538" xr:uid="{00000000-0005-0000-0000-000074420000}"/>
    <cellStyle name="Input 2 2 3 2 3 2 8" xfId="22509" xr:uid="{00000000-0005-0000-0000-000075420000}"/>
    <cellStyle name="Input 2 2 3 2 3 2 9" xfId="23514" xr:uid="{00000000-0005-0000-0000-000076420000}"/>
    <cellStyle name="Input 2 2 3 2 3 20" xfId="36062" xr:uid="{00000000-0005-0000-0000-000077420000}"/>
    <cellStyle name="Input 2 2 3 2 3 21" xfId="37001" xr:uid="{00000000-0005-0000-0000-000078420000}"/>
    <cellStyle name="Input 2 2 3 2 3 3" xfId="16466" xr:uid="{00000000-0005-0000-0000-000079420000}"/>
    <cellStyle name="Input 2 2 3 2 3 4" xfId="17445" xr:uid="{00000000-0005-0000-0000-00007A420000}"/>
    <cellStyle name="Input 2 2 3 2 3 5" xfId="18472" xr:uid="{00000000-0005-0000-0000-00007B420000}"/>
    <cellStyle name="Input 2 2 3 2 3 6" xfId="19504" xr:uid="{00000000-0005-0000-0000-00007C420000}"/>
    <cellStyle name="Input 2 2 3 2 3 7" xfId="20526" xr:uid="{00000000-0005-0000-0000-00007D420000}"/>
    <cellStyle name="Input 2 2 3 2 3 8" xfId="21537" xr:uid="{00000000-0005-0000-0000-00007E420000}"/>
    <cellStyle name="Input 2 2 3 2 3 9" xfId="22508" xr:uid="{00000000-0005-0000-0000-00007F420000}"/>
    <cellStyle name="Input 2 2 3 2 4" xfId="4647" xr:uid="{00000000-0005-0000-0000-000080420000}"/>
    <cellStyle name="Input 2 2 3 2 4 10" xfId="23515" xr:uid="{00000000-0005-0000-0000-000081420000}"/>
    <cellStyle name="Input 2 2 3 2 4 11" xfId="24487" xr:uid="{00000000-0005-0000-0000-000082420000}"/>
    <cellStyle name="Input 2 2 3 2 4 12" xfId="25486" xr:uid="{00000000-0005-0000-0000-000083420000}"/>
    <cellStyle name="Input 2 2 3 2 4 13" xfId="28433" xr:uid="{00000000-0005-0000-0000-000084420000}"/>
    <cellStyle name="Input 2 2 3 2 4 14" xfId="29400" xr:uid="{00000000-0005-0000-0000-000085420000}"/>
    <cellStyle name="Input 2 2 3 2 4 15" xfId="30442" xr:uid="{00000000-0005-0000-0000-000086420000}"/>
    <cellStyle name="Input 2 2 3 2 4 16" xfId="31433" xr:uid="{00000000-0005-0000-0000-000087420000}"/>
    <cellStyle name="Input 2 2 3 2 4 17" xfId="32441" xr:uid="{00000000-0005-0000-0000-000088420000}"/>
    <cellStyle name="Input 2 2 3 2 4 18" xfId="33444" xr:uid="{00000000-0005-0000-0000-000089420000}"/>
    <cellStyle name="Input 2 2 3 2 4 19" xfId="34443" xr:uid="{00000000-0005-0000-0000-00008A420000}"/>
    <cellStyle name="Input 2 2 3 2 4 2" xfId="4648" xr:uid="{00000000-0005-0000-0000-00008B420000}"/>
    <cellStyle name="Input 2 2 3 2 4 2 10" xfId="24488" xr:uid="{00000000-0005-0000-0000-00008C420000}"/>
    <cellStyle name="Input 2 2 3 2 4 2 11" xfId="25487" xr:uid="{00000000-0005-0000-0000-00008D420000}"/>
    <cellStyle name="Input 2 2 3 2 4 2 12" xfId="28434" xr:uid="{00000000-0005-0000-0000-00008E420000}"/>
    <cellStyle name="Input 2 2 3 2 4 2 13" xfId="29401" xr:uid="{00000000-0005-0000-0000-00008F420000}"/>
    <cellStyle name="Input 2 2 3 2 4 2 14" xfId="30443" xr:uid="{00000000-0005-0000-0000-000090420000}"/>
    <cellStyle name="Input 2 2 3 2 4 2 15" xfId="31434" xr:uid="{00000000-0005-0000-0000-000091420000}"/>
    <cellStyle name="Input 2 2 3 2 4 2 16" xfId="32442" xr:uid="{00000000-0005-0000-0000-000092420000}"/>
    <cellStyle name="Input 2 2 3 2 4 2 17" xfId="33445" xr:uid="{00000000-0005-0000-0000-000093420000}"/>
    <cellStyle name="Input 2 2 3 2 4 2 18" xfId="34444" xr:uid="{00000000-0005-0000-0000-000094420000}"/>
    <cellStyle name="Input 2 2 3 2 4 2 19" xfId="36065" xr:uid="{00000000-0005-0000-0000-000095420000}"/>
    <cellStyle name="Input 2 2 3 2 4 2 2" xfId="16469" xr:uid="{00000000-0005-0000-0000-000096420000}"/>
    <cellStyle name="Input 2 2 3 2 4 2 20" xfId="37004" xr:uid="{00000000-0005-0000-0000-000097420000}"/>
    <cellStyle name="Input 2 2 3 2 4 2 3" xfId="17448" xr:uid="{00000000-0005-0000-0000-000098420000}"/>
    <cellStyle name="Input 2 2 3 2 4 2 4" xfId="18475" xr:uid="{00000000-0005-0000-0000-000099420000}"/>
    <cellStyle name="Input 2 2 3 2 4 2 5" xfId="19507" xr:uid="{00000000-0005-0000-0000-00009A420000}"/>
    <cellStyle name="Input 2 2 3 2 4 2 6" xfId="20529" xr:uid="{00000000-0005-0000-0000-00009B420000}"/>
    <cellStyle name="Input 2 2 3 2 4 2 7" xfId="21540" xr:uid="{00000000-0005-0000-0000-00009C420000}"/>
    <cellStyle name="Input 2 2 3 2 4 2 8" xfId="22511" xr:uid="{00000000-0005-0000-0000-00009D420000}"/>
    <cellStyle name="Input 2 2 3 2 4 2 9" xfId="23516" xr:uid="{00000000-0005-0000-0000-00009E420000}"/>
    <cellStyle name="Input 2 2 3 2 4 20" xfId="36064" xr:uid="{00000000-0005-0000-0000-00009F420000}"/>
    <cellStyle name="Input 2 2 3 2 4 21" xfId="37003" xr:uid="{00000000-0005-0000-0000-0000A0420000}"/>
    <cellStyle name="Input 2 2 3 2 4 3" xfId="16468" xr:uid="{00000000-0005-0000-0000-0000A1420000}"/>
    <cellStyle name="Input 2 2 3 2 4 4" xfId="17447" xr:uid="{00000000-0005-0000-0000-0000A2420000}"/>
    <cellStyle name="Input 2 2 3 2 4 5" xfId="18474" xr:uid="{00000000-0005-0000-0000-0000A3420000}"/>
    <cellStyle name="Input 2 2 3 2 4 6" xfId="19506" xr:uid="{00000000-0005-0000-0000-0000A4420000}"/>
    <cellStyle name="Input 2 2 3 2 4 7" xfId="20528" xr:uid="{00000000-0005-0000-0000-0000A5420000}"/>
    <cellStyle name="Input 2 2 3 2 4 8" xfId="21539" xr:uid="{00000000-0005-0000-0000-0000A6420000}"/>
    <cellStyle name="Input 2 2 3 2 4 9" xfId="22510" xr:uid="{00000000-0005-0000-0000-0000A7420000}"/>
    <cellStyle name="Input 2 2 3 2 5" xfId="4649" xr:uid="{00000000-0005-0000-0000-0000A8420000}"/>
    <cellStyle name="Input 2 2 3 2 5 10" xfId="24489" xr:uid="{00000000-0005-0000-0000-0000A9420000}"/>
    <cellStyle name="Input 2 2 3 2 5 11" xfId="25488" xr:uid="{00000000-0005-0000-0000-0000AA420000}"/>
    <cellStyle name="Input 2 2 3 2 5 12" xfId="28435" xr:uid="{00000000-0005-0000-0000-0000AB420000}"/>
    <cellStyle name="Input 2 2 3 2 5 13" xfId="29402" xr:uid="{00000000-0005-0000-0000-0000AC420000}"/>
    <cellStyle name="Input 2 2 3 2 5 14" xfId="30444" xr:uid="{00000000-0005-0000-0000-0000AD420000}"/>
    <cellStyle name="Input 2 2 3 2 5 15" xfId="31435" xr:uid="{00000000-0005-0000-0000-0000AE420000}"/>
    <cellStyle name="Input 2 2 3 2 5 16" xfId="32443" xr:uid="{00000000-0005-0000-0000-0000AF420000}"/>
    <cellStyle name="Input 2 2 3 2 5 17" xfId="33446" xr:uid="{00000000-0005-0000-0000-0000B0420000}"/>
    <cellStyle name="Input 2 2 3 2 5 18" xfId="34445" xr:uid="{00000000-0005-0000-0000-0000B1420000}"/>
    <cellStyle name="Input 2 2 3 2 5 19" xfId="36066" xr:uid="{00000000-0005-0000-0000-0000B2420000}"/>
    <cellStyle name="Input 2 2 3 2 5 2" xfId="16470" xr:uid="{00000000-0005-0000-0000-0000B3420000}"/>
    <cellStyle name="Input 2 2 3 2 5 20" xfId="37005" xr:uid="{00000000-0005-0000-0000-0000B4420000}"/>
    <cellStyle name="Input 2 2 3 2 5 3" xfId="17449" xr:uid="{00000000-0005-0000-0000-0000B5420000}"/>
    <cellStyle name="Input 2 2 3 2 5 4" xfId="18476" xr:uid="{00000000-0005-0000-0000-0000B6420000}"/>
    <cellStyle name="Input 2 2 3 2 5 5" xfId="19508" xr:uid="{00000000-0005-0000-0000-0000B7420000}"/>
    <cellStyle name="Input 2 2 3 2 5 6" xfId="20530" xr:uid="{00000000-0005-0000-0000-0000B8420000}"/>
    <cellStyle name="Input 2 2 3 2 5 7" xfId="21541" xr:uid="{00000000-0005-0000-0000-0000B9420000}"/>
    <cellStyle name="Input 2 2 3 2 5 8" xfId="22512" xr:uid="{00000000-0005-0000-0000-0000BA420000}"/>
    <cellStyle name="Input 2 2 3 2 5 9" xfId="23517" xr:uid="{00000000-0005-0000-0000-0000BB420000}"/>
    <cellStyle name="Input 2 2 3 2 6" xfId="13730" xr:uid="{00000000-0005-0000-0000-0000BC420000}"/>
    <cellStyle name="Input 2 2 3 2 7" xfId="14733" xr:uid="{00000000-0005-0000-0000-0000BD420000}"/>
    <cellStyle name="Input 2 2 3 2 8" xfId="15237" xr:uid="{00000000-0005-0000-0000-0000BE420000}"/>
    <cellStyle name="Input 2 2 3 2 9" xfId="15465" xr:uid="{00000000-0005-0000-0000-0000BF420000}"/>
    <cellStyle name="Input 2 2 3 20" xfId="26615" xr:uid="{00000000-0005-0000-0000-0000C0420000}"/>
    <cellStyle name="Input 2 2 3 21" xfId="27421" xr:uid="{00000000-0005-0000-0000-0000C1420000}"/>
    <cellStyle name="Input 2 2 3 22" xfId="34957" xr:uid="{00000000-0005-0000-0000-0000C2420000}"/>
    <cellStyle name="Input 2 2 3 23" xfId="35478" xr:uid="{00000000-0005-0000-0000-0000C3420000}"/>
    <cellStyle name="Input 2 2 3 3" xfId="4650" xr:uid="{00000000-0005-0000-0000-0000C4420000}"/>
    <cellStyle name="Input 2 2 3 3 10" xfId="14497" xr:uid="{00000000-0005-0000-0000-0000C5420000}"/>
    <cellStyle name="Input 2 2 3 3 11" xfId="18881" xr:uid="{00000000-0005-0000-0000-0000C6420000}"/>
    <cellStyle name="Input 2 2 3 3 12" xfId="26398" xr:uid="{00000000-0005-0000-0000-0000C7420000}"/>
    <cellStyle name="Input 2 2 3 3 13" xfId="27124" xr:uid="{00000000-0005-0000-0000-0000C8420000}"/>
    <cellStyle name="Input 2 2 3 3 14" xfId="27534" xr:uid="{00000000-0005-0000-0000-0000C9420000}"/>
    <cellStyle name="Input 2 2 3 3 15" xfId="26732" xr:uid="{00000000-0005-0000-0000-0000CA420000}"/>
    <cellStyle name="Input 2 2 3 3 16" xfId="26887" xr:uid="{00000000-0005-0000-0000-0000CB420000}"/>
    <cellStyle name="Input 2 2 3 3 17" xfId="27805" xr:uid="{00000000-0005-0000-0000-0000CC420000}"/>
    <cellStyle name="Input 2 2 3 3 18" xfId="35089" xr:uid="{00000000-0005-0000-0000-0000CD420000}"/>
    <cellStyle name="Input 2 2 3 3 19" xfId="35279" xr:uid="{00000000-0005-0000-0000-0000CE420000}"/>
    <cellStyle name="Input 2 2 3 3 2" xfId="4651" xr:uid="{00000000-0005-0000-0000-0000CF420000}"/>
    <cellStyle name="Input 2 2 3 3 2 10" xfId="23518" xr:uid="{00000000-0005-0000-0000-0000D0420000}"/>
    <cellStyle name="Input 2 2 3 3 2 11" xfId="24490" xr:uid="{00000000-0005-0000-0000-0000D1420000}"/>
    <cellStyle name="Input 2 2 3 3 2 12" xfId="25489" xr:uid="{00000000-0005-0000-0000-0000D2420000}"/>
    <cellStyle name="Input 2 2 3 3 2 13" xfId="28436" xr:uid="{00000000-0005-0000-0000-0000D3420000}"/>
    <cellStyle name="Input 2 2 3 3 2 14" xfId="29403" xr:uid="{00000000-0005-0000-0000-0000D4420000}"/>
    <cellStyle name="Input 2 2 3 3 2 15" xfId="30445" xr:uid="{00000000-0005-0000-0000-0000D5420000}"/>
    <cellStyle name="Input 2 2 3 3 2 16" xfId="31436" xr:uid="{00000000-0005-0000-0000-0000D6420000}"/>
    <cellStyle name="Input 2 2 3 3 2 17" xfId="32444" xr:uid="{00000000-0005-0000-0000-0000D7420000}"/>
    <cellStyle name="Input 2 2 3 3 2 18" xfId="33447" xr:uid="{00000000-0005-0000-0000-0000D8420000}"/>
    <cellStyle name="Input 2 2 3 3 2 19" xfId="34446" xr:uid="{00000000-0005-0000-0000-0000D9420000}"/>
    <cellStyle name="Input 2 2 3 3 2 2" xfId="4652" xr:uid="{00000000-0005-0000-0000-0000DA420000}"/>
    <cellStyle name="Input 2 2 3 3 2 2 10" xfId="24491" xr:uid="{00000000-0005-0000-0000-0000DB420000}"/>
    <cellStyle name="Input 2 2 3 3 2 2 11" xfId="25490" xr:uid="{00000000-0005-0000-0000-0000DC420000}"/>
    <cellStyle name="Input 2 2 3 3 2 2 12" xfId="28437" xr:uid="{00000000-0005-0000-0000-0000DD420000}"/>
    <cellStyle name="Input 2 2 3 3 2 2 13" xfId="29404" xr:uid="{00000000-0005-0000-0000-0000DE420000}"/>
    <cellStyle name="Input 2 2 3 3 2 2 14" xfId="30446" xr:uid="{00000000-0005-0000-0000-0000DF420000}"/>
    <cellStyle name="Input 2 2 3 3 2 2 15" xfId="31437" xr:uid="{00000000-0005-0000-0000-0000E0420000}"/>
    <cellStyle name="Input 2 2 3 3 2 2 16" xfId="32445" xr:uid="{00000000-0005-0000-0000-0000E1420000}"/>
    <cellStyle name="Input 2 2 3 3 2 2 17" xfId="33448" xr:uid="{00000000-0005-0000-0000-0000E2420000}"/>
    <cellStyle name="Input 2 2 3 3 2 2 18" xfId="34447" xr:uid="{00000000-0005-0000-0000-0000E3420000}"/>
    <cellStyle name="Input 2 2 3 3 2 2 19" xfId="36068" xr:uid="{00000000-0005-0000-0000-0000E4420000}"/>
    <cellStyle name="Input 2 2 3 3 2 2 2" xfId="16472" xr:uid="{00000000-0005-0000-0000-0000E5420000}"/>
    <cellStyle name="Input 2 2 3 3 2 2 20" xfId="37007" xr:uid="{00000000-0005-0000-0000-0000E6420000}"/>
    <cellStyle name="Input 2 2 3 3 2 2 3" xfId="17451" xr:uid="{00000000-0005-0000-0000-0000E7420000}"/>
    <cellStyle name="Input 2 2 3 3 2 2 4" xfId="18478" xr:uid="{00000000-0005-0000-0000-0000E8420000}"/>
    <cellStyle name="Input 2 2 3 3 2 2 5" xfId="19510" xr:uid="{00000000-0005-0000-0000-0000E9420000}"/>
    <cellStyle name="Input 2 2 3 3 2 2 6" xfId="20532" xr:uid="{00000000-0005-0000-0000-0000EA420000}"/>
    <cellStyle name="Input 2 2 3 3 2 2 7" xfId="21543" xr:uid="{00000000-0005-0000-0000-0000EB420000}"/>
    <cellStyle name="Input 2 2 3 3 2 2 8" xfId="22514" xr:uid="{00000000-0005-0000-0000-0000EC420000}"/>
    <cellStyle name="Input 2 2 3 3 2 2 9" xfId="23519" xr:uid="{00000000-0005-0000-0000-0000ED420000}"/>
    <cellStyle name="Input 2 2 3 3 2 20" xfId="36067" xr:uid="{00000000-0005-0000-0000-0000EE420000}"/>
    <cellStyle name="Input 2 2 3 3 2 21" xfId="37006" xr:uid="{00000000-0005-0000-0000-0000EF420000}"/>
    <cellStyle name="Input 2 2 3 3 2 3" xfId="16471" xr:uid="{00000000-0005-0000-0000-0000F0420000}"/>
    <cellStyle name="Input 2 2 3 3 2 4" xfId="17450" xr:uid="{00000000-0005-0000-0000-0000F1420000}"/>
    <cellStyle name="Input 2 2 3 3 2 5" xfId="18477" xr:uid="{00000000-0005-0000-0000-0000F2420000}"/>
    <cellStyle name="Input 2 2 3 3 2 6" xfId="19509" xr:uid="{00000000-0005-0000-0000-0000F3420000}"/>
    <cellStyle name="Input 2 2 3 3 2 7" xfId="20531" xr:uid="{00000000-0005-0000-0000-0000F4420000}"/>
    <cellStyle name="Input 2 2 3 3 2 8" xfId="21542" xr:uid="{00000000-0005-0000-0000-0000F5420000}"/>
    <cellStyle name="Input 2 2 3 3 2 9" xfId="22513" xr:uid="{00000000-0005-0000-0000-0000F6420000}"/>
    <cellStyle name="Input 2 2 3 3 3" xfId="4653" xr:uid="{00000000-0005-0000-0000-0000F7420000}"/>
    <cellStyle name="Input 2 2 3 3 3 10" xfId="23520" xr:uid="{00000000-0005-0000-0000-0000F8420000}"/>
    <cellStyle name="Input 2 2 3 3 3 11" xfId="24492" xr:uid="{00000000-0005-0000-0000-0000F9420000}"/>
    <cellStyle name="Input 2 2 3 3 3 12" xfId="25491" xr:uid="{00000000-0005-0000-0000-0000FA420000}"/>
    <cellStyle name="Input 2 2 3 3 3 13" xfId="28438" xr:uid="{00000000-0005-0000-0000-0000FB420000}"/>
    <cellStyle name="Input 2 2 3 3 3 14" xfId="29405" xr:uid="{00000000-0005-0000-0000-0000FC420000}"/>
    <cellStyle name="Input 2 2 3 3 3 15" xfId="30447" xr:uid="{00000000-0005-0000-0000-0000FD420000}"/>
    <cellStyle name="Input 2 2 3 3 3 16" xfId="31438" xr:uid="{00000000-0005-0000-0000-0000FE420000}"/>
    <cellStyle name="Input 2 2 3 3 3 17" xfId="32446" xr:uid="{00000000-0005-0000-0000-0000FF420000}"/>
    <cellStyle name="Input 2 2 3 3 3 18" xfId="33449" xr:uid="{00000000-0005-0000-0000-000000430000}"/>
    <cellStyle name="Input 2 2 3 3 3 19" xfId="34448" xr:uid="{00000000-0005-0000-0000-000001430000}"/>
    <cellStyle name="Input 2 2 3 3 3 2" xfId="4654" xr:uid="{00000000-0005-0000-0000-000002430000}"/>
    <cellStyle name="Input 2 2 3 3 3 2 10" xfId="24493" xr:uid="{00000000-0005-0000-0000-000003430000}"/>
    <cellStyle name="Input 2 2 3 3 3 2 11" xfId="25492" xr:uid="{00000000-0005-0000-0000-000004430000}"/>
    <cellStyle name="Input 2 2 3 3 3 2 12" xfId="28439" xr:uid="{00000000-0005-0000-0000-000005430000}"/>
    <cellStyle name="Input 2 2 3 3 3 2 13" xfId="29406" xr:uid="{00000000-0005-0000-0000-000006430000}"/>
    <cellStyle name="Input 2 2 3 3 3 2 14" xfId="30448" xr:uid="{00000000-0005-0000-0000-000007430000}"/>
    <cellStyle name="Input 2 2 3 3 3 2 15" xfId="31439" xr:uid="{00000000-0005-0000-0000-000008430000}"/>
    <cellStyle name="Input 2 2 3 3 3 2 16" xfId="32447" xr:uid="{00000000-0005-0000-0000-000009430000}"/>
    <cellStyle name="Input 2 2 3 3 3 2 17" xfId="33450" xr:uid="{00000000-0005-0000-0000-00000A430000}"/>
    <cellStyle name="Input 2 2 3 3 3 2 18" xfId="34449" xr:uid="{00000000-0005-0000-0000-00000B430000}"/>
    <cellStyle name="Input 2 2 3 3 3 2 19" xfId="36070" xr:uid="{00000000-0005-0000-0000-00000C430000}"/>
    <cellStyle name="Input 2 2 3 3 3 2 2" xfId="16474" xr:uid="{00000000-0005-0000-0000-00000D430000}"/>
    <cellStyle name="Input 2 2 3 3 3 2 20" xfId="37009" xr:uid="{00000000-0005-0000-0000-00000E430000}"/>
    <cellStyle name="Input 2 2 3 3 3 2 3" xfId="17453" xr:uid="{00000000-0005-0000-0000-00000F430000}"/>
    <cellStyle name="Input 2 2 3 3 3 2 4" xfId="18480" xr:uid="{00000000-0005-0000-0000-000010430000}"/>
    <cellStyle name="Input 2 2 3 3 3 2 5" xfId="19512" xr:uid="{00000000-0005-0000-0000-000011430000}"/>
    <cellStyle name="Input 2 2 3 3 3 2 6" xfId="20534" xr:uid="{00000000-0005-0000-0000-000012430000}"/>
    <cellStyle name="Input 2 2 3 3 3 2 7" xfId="21545" xr:uid="{00000000-0005-0000-0000-000013430000}"/>
    <cellStyle name="Input 2 2 3 3 3 2 8" xfId="22516" xr:uid="{00000000-0005-0000-0000-000014430000}"/>
    <cellStyle name="Input 2 2 3 3 3 2 9" xfId="23521" xr:uid="{00000000-0005-0000-0000-000015430000}"/>
    <cellStyle name="Input 2 2 3 3 3 20" xfId="36069" xr:uid="{00000000-0005-0000-0000-000016430000}"/>
    <cellStyle name="Input 2 2 3 3 3 21" xfId="37008" xr:uid="{00000000-0005-0000-0000-000017430000}"/>
    <cellStyle name="Input 2 2 3 3 3 3" xfId="16473" xr:uid="{00000000-0005-0000-0000-000018430000}"/>
    <cellStyle name="Input 2 2 3 3 3 4" xfId="17452" xr:uid="{00000000-0005-0000-0000-000019430000}"/>
    <cellStyle name="Input 2 2 3 3 3 5" xfId="18479" xr:uid="{00000000-0005-0000-0000-00001A430000}"/>
    <cellStyle name="Input 2 2 3 3 3 6" xfId="19511" xr:uid="{00000000-0005-0000-0000-00001B430000}"/>
    <cellStyle name="Input 2 2 3 3 3 7" xfId="20533" xr:uid="{00000000-0005-0000-0000-00001C430000}"/>
    <cellStyle name="Input 2 2 3 3 3 8" xfId="21544" xr:uid="{00000000-0005-0000-0000-00001D430000}"/>
    <cellStyle name="Input 2 2 3 3 3 9" xfId="22515" xr:uid="{00000000-0005-0000-0000-00001E430000}"/>
    <cellStyle name="Input 2 2 3 3 4" xfId="4655" xr:uid="{00000000-0005-0000-0000-00001F430000}"/>
    <cellStyle name="Input 2 2 3 3 4 10" xfId="23522" xr:uid="{00000000-0005-0000-0000-000020430000}"/>
    <cellStyle name="Input 2 2 3 3 4 11" xfId="24494" xr:uid="{00000000-0005-0000-0000-000021430000}"/>
    <cellStyle name="Input 2 2 3 3 4 12" xfId="25493" xr:uid="{00000000-0005-0000-0000-000022430000}"/>
    <cellStyle name="Input 2 2 3 3 4 13" xfId="28440" xr:uid="{00000000-0005-0000-0000-000023430000}"/>
    <cellStyle name="Input 2 2 3 3 4 14" xfId="29407" xr:uid="{00000000-0005-0000-0000-000024430000}"/>
    <cellStyle name="Input 2 2 3 3 4 15" xfId="30449" xr:uid="{00000000-0005-0000-0000-000025430000}"/>
    <cellStyle name="Input 2 2 3 3 4 16" xfId="31440" xr:uid="{00000000-0005-0000-0000-000026430000}"/>
    <cellStyle name="Input 2 2 3 3 4 17" xfId="32448" xr:uid="{00000000-0005-0000-0000-000027430000}"/>
    <cellStyle name="Input 2 2 3 3 4 18" xfId="33451" xr:uid="{00000000-0005-0000-0000-000028430000}"/>
    <cellStyle name="Input 2 2 3 3 4 19" xfId="34450" xr:uid="{00000000-0005-0000-0000-000029430000}"/>
    <cellStyle name="Input 2 2 3 3 4 2" xfId="4656" xr:uid="{00000000-0005-0000-0000-00002A430000}"/>
    <cellStyle name="Input 2 2 3 3 4 2 10" xfId="24495" xr:uid="{00000000-0005-0000-0000-00002B430000}"/>
    <cellStyle name="Input 2 2 3 3 4 2 11" xfId="25494" xr:uid="{00000000-0005-0000-0000-00002C430000}"/>
    <cellStyle name="Input 2 2 3 3 4 2 12" xfId="28441" xr:uid="{00000000-0005-0000-0000-00002D430000}"/>
    <cellStyle name="Input 2 2 3 3 4 2 13" xfId="29408" xr:uid="{00000000-0005-0000-0000-00002E430000}"/>
    <cellStyle name="Input 2 2 3 3 4 2 14" xfId="30450" xr:uid="{00000000-0005-0000-0000-00002F430000}"/>
    <cellStyle name="Input 2 2 3 3 4 2 15" xfId="31441" xr:uid="{00000000-0005-0000-0000-000030430000}"/>
    <cellStyle name="Input 2 2 3 3 4 2 16" xfId="32449" xr:uid="{00000000-0005-0000-0000-000031430000}"/>
    <cellStyle name="Input 2 2 3 3 4 2 17" xfId="33452" xr:uid="{00000000-0005-0000-0000-000032430000}"/>
    <cellStyle name="Input 2 2 3 3 4 2 18" xfId="34451" xr:uid="{00000000-0005-0000-0000-000033430000}"/>
    <cellStyle name="Input 2 2 3 3 4 2 19" xfId="36072" xr:uid="{00000000-0005-0000-0000-000034430000}"/>
    <cellStyle name="Input 2 2 3 3 4 2 2" xfId="16476" xr:uid="{00000000-0005-0000-0000-000035430000}"/>
    <cellStyle name="Input 2 2 3 3 4 2 20" xfId="37011" xr:uid="{00000000-0005-0000-0000-000036430000}"/>
    <cellStyle name="Input 2 2 3 3 4 2 3" xfId="17455" xr:uid="{00000000-0005-0000-0000-000037430000}"/>
    <cellStyle name="Input 2 2 3 3 4 2 4" xfId="18482" xr:uid="{00000000-0005-0000-0000-000038430000}"/>
    <cellStyle name="Input 2 2 3 3 4 2 5" xfId="19514" xr:uid="{00000000-0005-0000-0000-000039430000}"/>
    <cellStyle name="Input 2 2 3 3 4 2 6" xfId="20536" xr:uid="{00000000-0005-0000-0000-00003A430000}"/>
    <cellStyle name="Input 2 2 3 3 4 2 7" xfId="21547" xr:uid="{00000000-0005-0000-0000-00003B430000}"/>
    <cellStyle name="Input 2 2 3 3 4 2 8" xfId="22518" xr:uid="{00000000-0005-0000-0000-00003C430000}"/>
    <cellStyle name="Input 2 2 3 3 4 2 9" xfId="23523" xr:uid="{00000000-0005-0000-0000-00003D430000}"/>
    <cellStyle name="Input 2 2 3 3 4 20" xfId="36071" xr:uid="{00000000-0005-0000-0000-00003E430000}"/>
    <cellStyle name="Input 2 2 3 3 4 21" xfId="37010" xr:uid="{00000000-0005-0000-0000-00003F430000}"/>
    <cellStyle name="Input 2 2 3 3 4 3" xfId="16475" xr:uid="{00000000-0005-0000-0000-000040430000}"/>
    <cellStyle name="Input 2 2 3 3 4 4" xfId="17454" xr:uid="{00000000-0005-0000-0000-000041430000}"/>
    <cellStyle name="Input 2 2 3 3 4 5" xfId="18481" xr:uid="{00000000-0005-0000-0000-000042430000}"/>
    <cellStyle name="Input 2 2 3 3 4 6" xfId="19513" xr:uid="{00000000-0005-0000-0000-000043430000}"/>
    <cellStyle name="Input 2 2 3 3 4 7" xfId="20535" xr:uid="{00000000-0005-0000-0000-000044430000}"/>
    <cellStyle name="Input 2 2 3 3 4 8" xfId="21546" xr:uid="{00000000-0005-0000-0000-000045430000}"/>
    <cellStyle name="Input 2 2 3 3 4 9" xfId="22517" xr:uid="{00000000-0005-0000-0000-000046430000}"/>
    <cellStyle name="Input 2 2 3 3 5" xfId="4657" xr:uid="{00000000-0005-0000-0000-000047430000}"/>
    <cellStyle name="Input 2 2 3 3 5 10" xfId="24496" xr:uid="{00000000-0005-0000-0000-000048430000}"/>
    <cellStyle name="Input 2 2 3 3 5 11" xfId="25495" xr:uid="{00000000-0005-0000-0000-000049430000}"/>
    <cellStyle name="Input 2 2 3 3 5 12" xfId="28442" xr:uid="{00000000-0005-0000-0000-00004A430000}"/>
    <cellStyle name="Input 2 2 3 3 5 13" xfId="29409" xr:uid="{00000000-0005-0000-0000-00004B430000}"/>
    <cellStyle name="Input 2 2 3 3 5 14" xfId="30451" xr:uid="{00000000-0005-0000-0000-00004C430000}"/>
    <cellStyle name="Input 2 2 3 3 5 15" xfId="31442" xr:uid="{00000000-0005-0000-0000-00004D430000}"/>
    <cellStyle name="Input 2 2 3 3 5 16" xfId="32450" xr:uid="{00000000-0005-0000-0000-00004E430000}"/>
    <cellStyle name="Input 2 2 3 3 5 17" xfId="33453" xr:uid="{00000000-0005-0000-0000-00004F430000}"/>
    <cellStyle name="Input 2 2 3 3 5 18" xfId="34452" xr:uid="{00000000-0005-0000-0000-000050430000}"/>
    <cellStyle name="Input 2 2 3 3 5 19" xfId="36073" xr:uid="{00000000-0005-0000-0000-000051430000}"/>
    <cellStyle name="Input 2 2 3 3 5 2" xfId="16477" xr:uid="{00000000-0005-0000-0000-000052430000}"/>
    <cellStyle name="Input 2 2 3 3 5 20" xfId="37012" xr:uid="{00000000-0005-0000-0000-000053430000}"/>
    <cellStyle name="Input 2 2 3 3 5 3" xfId="17456" xr:uid="{00000000-0005-0000-0000-000054430000}"/>
    <cellStyle name="Input 2 2 3 3 5 4" xfId="18483" xr:uid="{00000000-0005-0000-0000-000055430000}"/>
    <cellStyle name="Input 2 2 3 3 5 5" xfId="19515" xr:uid="{00000000-0005-0000-0000-000056430000}"/>
    <cellStyle name="Input 2 2 3 3 5 6" xfId="20537" xr:uid="{00000000-0005-0000-0000-000057430000}"/>
    <cellStyle name="Input 2 2 3 3 5 7" xfId="21548" xr:uid="{00000000-0005-0000-0000-000058430000}"/>
    <cellStyle name="Input 2 2 3 3 5 8" xfId="22519" xr:uid="{00000000-0005-0000-0000-000059430000}"/>
    <cellStyle name="Input 2 2 3 3 5 9" xfId="23524" xr:uid="{00000000-0005-0000-0000-00005A430000}"/>
    <cellStyle name="Input 2 2 3 3 6" xfId="14056" xr:uid="{00000000-0005-0000-0000-00005B430000}"/>
    <cellStyle name="Input 2 2 3 3 7" xfId="15775" xr:uid="{00000000-0005-0000-0000-00005C430000}"/>
    <cellStyle name="Input 2 2 3 3 8" xfId="15509" xr:uid="{00000000-0005-0000-0000-00005D430000}"/>
    <cellStyle name="Input 2 2 3 3 9" xfId="13533" xr:uid="{00000000-0005-0000-0000-00005E430000}"/>
    <cellStyle name="Input 2 2 3 4" xfId="4658" xr:uid="{00000000-0005-0000-0000-00005F430000}"/>
    <cellStyle name="Input 2 2 3 4 10" xfId="15303" xr:uid="{00000000-0005-0000-0000-000060430000}"/>
    <cellStyle name="Input 2 2 3 4 11" xfId="14491" xr:uid="{00000000-0005-0000-0000-000061430000}"/>
    <cellStyle name="Input 2 2 3 4 12" xfId="26358" xr:uid="{00000000-0005-0000-0000-000062430000}"/>
    <cellStyle name="Input 2 2 3 4 13" xfId="26044" xr:uid="{00000000-0005-0000-0000-000063430000}"/>
    <cellStyle name="Input 2 2 3 4 14" xfId="27848" xr:uid="{00000000-0005-0000-0000-000064430000}"/>
    <cellStyle name="Input 2 2 3 4 15" xfId="30342" xr:uid="{00000000-0005-0000-0000-000065430000}"/>
    <cellStyle name="Input 2 2 3 4 16" xfId="27613" xr:uid="{00000000-0005-0000-0000-000066430000}"/>
    <cellStyle name="Input 2 2 3 4 17" xfId="27389" xr:uid="{00000000-0005-0000-0000-000067430000}"/>
    <cellStyle name="Input 2 2 3 4 18" xfId="35050" xr:uid="{00000000-0005-0000-0000-000068430000}"/>
    <cellStyle name="Input 2 2 3 4 19" xfId="35442" xr:uid="{00000000-0005-0000-0000-000069430000}"/>
    <cellStyle name="Input 2 2 3 4 2" xfId="4659" xr:uid="{00000000-0005-0000-0000-00006A430000}"/>
    <cellStyle name="Input 2 2 3 4 2 10" xfId="23525" xr:uid="{00000000-0005-0000-0000-00006B430000}"/>
    <cellStyle name="Input 2 2 3 4 2 11" xfId="24497" xr:uid="{00000000-0005-0000-0000-00006C430000}"/>
    <cellStyle name="Input 2 2 3 4 2 12" xfId="25496" xr:uid="{00000000-0005-0000-0000-00006D430000}"/>
    <cellStyle name="Input 2 2 3 4 2 13" xfId="28443" xr:uid="{00000000-0005-0000-0000-00006E430000}"/>
    <cellStyle name="Input 2 2 3 4 2 14" xfId="29410" xr:uid="{00000000-0005-0000-0000-00006F430000}"/>
    <cellStyle name="Input 2 2 3 4 2 15" xfId="30452" xr:uid="{00000000-0005-0000-0000-000070430000}"/>
    <cellStyle name="Input 2 2 3 4 2 16" xfId="31443" xr:uid="{00000000-0005-0000-0000-000071430000}"/>
    <cellStyle name="Input 2 2 3 4 2 17" xfId="32451" xr:uid="{00000000-0005-0000-0000-000072430000}"/>
    <cellStyle name="Input 2 2 3 4 2 18" xfId="33454" xr:uid="{00000000-0005-0000-0000-000073430000}"/>
    <cellStyle name="Input 2 2 3 4 2 19" xfId="34453" xr:uid="{00000000-0005-0000-0000-000074430000}"/>
    <cellStyle name="Input 2 2 3 4 2 2" xfId="4660" xr:uid="{00000000-0005-0000-0000-000075430000}"/>
    <cellStyle name="Input 2 2 3 4 2 2 10" xfId="24498" xr:uid="{00000000-0005-0000-0000-000076430000}"/>
    <cellStyle name="Input 2 2 3 4 2 2 11" xfId="25497" xr:uid="{00000000-0005-0000-0000-000077430000}"/>
    <cellStyle name="Input 2 2 3 4 2 2 12" xfId="28444" xr:uid="{00000000-0005-0000-0000-000078430000}"/>
    <cellStyle name="Input 2 2 3 4 2 2 13" xfId="29411" xr:uid="{00000000-0005-0000-0000-000079430000}"/>
    <cellStyle name="Input 2 2 3 4 2 2 14" xfId="30453" xr:uid="{00000000-0005-0000-0000-00007A430000}"/>
    <cellStyle name="Input 2 2 3 4 2 2 15" xfId="31444" xr:uid="{00000000-0005-0000-0000-00007B430000}"/>
    <cellStyle name="Input 2 2 3 4 2 2 16" xfId="32452" xr:uid="{00000000-0005-0000-0000-00007C430000}"/>
    <cellStyle name="Input 2 2 3 4 2 2 17" xfId="33455" xr:uid="{00000000-0005-0000-0000-00007D430000}"/>
    <cellStyle name="Input 2 2 3 4 2 2 18" xfId="34454" xr:uid="{00000000-0005-0000-0000-00007E430000}"/>
    <cellStyle name="Input 2 2 3 4 2 2 19" xfId="36075" xr:uid="{00000000-0005-0000-0000-00007F430000}"/>
    <cellStyle name="Input 2 2 3 4 2 2 2" xfId="16479" xr:uid="{00000000-0005-0000-0000-000080430000}"/>
    <cellStyle name="Input 2 2 3 4 2 2 20" xfId="37014" xr:uid="{00000000-0005-0000-0000-000081430000}"/>
    <cellStyle name="Input 2 2 3 4 2 2 3" xfId="17458" xr:uid="{00000000-0005-0000-0000-000082430000}"/>
    <cellStyle name="Input 2 2 3 4 2 2 4" xfId="18485" xr:uid="{00000000-0005-0000-0000-000083430000}"/>
    <cellStyle name="Input 2 2 3 4 2 2 5" xfId="19517" xr:uid="{00000000-0005-0000-0000-000084430000}"/>
    <cellStyle name="Input 2 2 3 4 2 2 6" xfId="20539" xr:uid="{00000000-0005-0000-0000-000085430000}"/>
    <cellStyle name="Input 2 2 3 4 2 2 7" xfId="21550" xr:uid="{00000000-0005-0000-0000-000086430000}"/>
    <cellStyle name="Input 2 2 3 4 2 2 8" xfId="22521" xr:uid="{00000000-0005-0000-0000-000087430000}"/>
    <cellStyle name="Input 2 2 3 4 2 2 9" xfId="23526" xr:uid="{00000000-0005-0000-0000-000088430000}"/>
    <cellStyle name="Input 2 2 3 4 2 20" xfId="36074" xr:uid="{00000000-0005-0000-0000-000089430000}"/>
    <cellStyle name="Input 2 2 3 4 2 21" xfId="37013" xr:uid="{00000000-0005-0000-0000-00008A430000}"/>
    <cellStyle name="Input 2 2 3 4 2 3" xfId="16478" xr:uid="{00000000-0005-0000-0000-00008B430000}"/>
    <cellStyle name="Input 2 2 3 4 2 4" xfId="17457" xr:uid="{00000000-0005-0000-0000-00008C430000}"/>
    <cellStyle name="Input 2 2 3 4 2 5" xfId="18484" xr:uid="{00000000-0005-0000-0000-00008D430000}"/>
    <cellStyle name="Input 2 2 3 4 2 6" xfId="19516" xr:uid="{00000000-0005-0000-0000-00008E430000}"/>
    <cellStyle name="Input 2 2 3 4 2 7" xfId="20538" xr:uid="{00000000-0005-0000-0000-00008F430000}"/>
    <cellStyle name="Input 2 2 3 4 2 8" xfId="21549" xr:uid="{00000000-0005-0000-0000-000090430000}"/>
    <cellStyle name="Input 2 2 3 4 2 9" xfId="22520" xr:uid="{00000000-0005-0000-0000-000091430000}"/>
    <cellStyle name="Input 2 2 3 4 3" xfId="4661" xr:uid="{00000000-0005-0000-0000-000092430000}"/>
    <cellStyle name="Input 2 2 3 4 3 10" xfId="23527" xr:uid="{00000000-0005-0000-0000-000093430000}"/>
    <cellStyle name="Input 2 2 3 4 3 11" xfId="24499" xr:uid="{00000000-0005-0000-0000-000094430000}"/>
    <cellStyle name="Input 2 2 3 4 3 12" xfId="25498" xr:uid="{00000000-0005-0000-0000-000095430000}"/>
    <cellStyle name="Input 2 2 3 4 3 13" xfId="28445" xr:uid="{00000000-0005-0000-0000-000096430000}"/>
    <cellStyle name="Input 2 2 3 4 3 14" xfId="29412" xr:uid="{00000000-0005-0000-0000-000097430000}"/>
    <cellStyle name="Input 2 2 3 4 3 15" xfId="30454" xr:uid="{00000000-0005-0000-0000-000098430000}"/>
    <cellStyle name="Input 2 2 3 4 3 16" xfId="31445" xr:uid="{00000000-0005-0000-0000-000099430000}"/>
    <cellStyle name="Input 2 2 3 4 3 17" xfId="32453" xr:uid="{00000000-0005-0000-0000-00009A430000}"/>
    <cellStyle name="Input 2 2 3 4 3 18" xfId="33456" xr:uid="{00000000-0005-0000-0000-00009B430000}"/>
    <cellStyle name="Input 2 2 3 4 3 19" xfId="34455" xr:uid="{00000000-0005-0000-0000-00009C430000}"/>
    <cellStyle name="Input 2 2 3 4 3 2" xfId="4662" xr:uid="{00000000-0005-0000-0000-00009D430000}"/>
    <cellStyle name="Input 2 2 3 4 3 2 10" xfId="24500" xr:uid="{00000000-0005-0000-0000-00009E430000}"/>
    <cellStyle name="Input 2 2 3 4 3 2 11" xfId="25499" xr:uid="{00000000-0005-0000-0000-00009F430000}"/>
    <cellStyle name="Input 2 2 3 4 3 2 12" xfId="28446" xr:uid="{00000000-0005-0000-0000-0000A0430000}"/>
    <cellStyle name="Input 2 2 3 4 3 2 13" xfId="29413" xr:uid="{00000000-0005-0000-0000-0000A1430000}"/>
    <cellStyle name="Input 2 2 3 4 3 2 14" xfId="30455" xr:uid="{00000000-0005-0000-0000-0000A2430000}"/>
    <cellStyle name="Input 2 2 3 4 3 2 15" xfId="31446" xr:uid="{00000000-0005-0000-0000-0000A3430000}"/>
    <cellStyle name="Input 2 2 3 4 3 2 16" xfId="32454" xr:uid="{00000000-0005-0000-0000-0000A4430000}"/>
    <cellStyle name="Input 2 2 3 4 3 2 17" xfId="33457" xr:uid="{00000000-0005-0000-0000-0000A5430000}"/>
    <cellStyle name="Input 2 2 3 4 3 2 18" xfId="34456" xr:uid="{00000000-0005-0000-0000-0000A6430000}"/>
    <cellStyle name="Input 2 2 3 4 3 2 19" xfId="36077" xr:uid="{00000000-0005-0000-0000-0000A7430000}"/>
    <cellStyle name="Input 2 2 3 4 3 2 2" xfId="16481" xr:uid="{00000000-0005-0000-0000-0000A8430000}"/>
    <cellStyle name="Input 2 2 3 4 3 2 20" xfId="37016" xr:uid="{00000000-0005-0000-0000-0000A9430000}"/>
    <cellStyle name="Input 2 2 3 4 3 2 3" xfId="17460" xr:uid="{00000000-0005-0000-0000-0000AA430000}"/>
    <cellStyle name="Input 2 2 3 4 3 2 4" xfId="18487" xr:uid="{00000000-0005-0000-0000-0000AB430000}"/>
    <cellStyle name="Input 2 2 3 4 3 2 5" xfId="19519" xr:uid="{00000000-0005-0000-0000-0000AC430000}"/>
    <cellStyle name="Input 2 2 3 4 3 2 6" xfId="20541" xr:uid="{00000000-0005-0000-0000-0000AD430000}"/>
    <cellStyle name="Input 2 2 3 4 3 2 7" xfId="21552" xr:uid="{00000000-0005-0000-0000-0000AE430000}"/>
    <cellStyle name="Input 2 2 3 4 3 2 8" xfId="22523" xr:uid="{00000000-0005-0000-0000-0000AF430000}"/>
    <cellStyle name="Input 2 2 3 4 3 2 9" xfId="23528" xr:uid="{00000000-0005-0000-0000-0000B0430000}"/>
    <cellStyle name="Input 2 2 3 4 3 20" xfId="36076" xr:uid="{00000000-0005-0000-0000-0000B1430000}"/>
    <cellStyle name="Input 2 2 3 4 3 21" xfId="37015" xr:uid="{00000000-0005-0000-0000-0000B2430000}"/>
    <cellStyle name="Input 2 2 3 4 3 3" xfId="16480" xr:uid="{00000000-0005-0000-0000-0000B3430000}"/>
    <cellStyle name="Input 2 2 3 4 3 4" xfId="17459" xr:uid="{00000000-0005-0000-0000-0000B4430000}"/>
    <cellStyle name="Input 2 2 3 4 3 5" xfId="18486" xr:uid="{00000000-0005-0000-0000-0000B5430000}"/>
    <cellStyle name="Input 2 2 3 4 3 6" xfId="19518" xr:uid="{00000000-0005-0000-0000-0000B6430000}"/>
    <cellStyle name="Input 2 2 3 4 3 7" xfId="20540" xr:uid="{00000000-0005-0000-0000-0000B7430000}"/>
    <cellStyle name="Input 2 2 3 4 3 8" xfId="21551" xr:uid="{00000000-0005-0000-0000-0000B8430000}"/>
    <cellStyle name="Input 2 2 3 4 3 9" xfId="22522" xr:uid="{00000000-0005-0000-0000-0000B9430000}"/>
    <cellStyle name="Input 2 2 3 4 4" xfId="4663" xr:uid="{00000000-0005-0000-0000-0000BA430000}"/>
    <cellStyle name="Input 2 2 3 4 4 10" xfId="23529" xr:uid="{00000000-0005-0000-0000-0000BB430000}"/>
    <cellStyle name="Input 2 2 3 4 4 11" xfId="24501" xr:uid="{00000000-0005-0000-0000-0000BC430000}"/>
    <cellStyle name="Input 2 2 3 4 4 12" xfId="25500" xr:uid="{00000000-0005-0000-0000-0000BD430000}"/>
    <cellStyle name="Input 2 2 3 4 4 13" xfId="28447" xr:uid="{00000000-0005-0000-0000-0000BE430000}"/>
    <cellStyle name="Input 2 2 3 4 4 14" xfId="29414" xr:uid="{00000000-0005-0000-0000-0000BF430000}"/>
    <cellStyle name="Input 2 2 3 4 4 15" xfId="30456" xr:uid="{00000000-0005-0000-0000-0000C0430000}"/>
    <cellStyle name="Input 2 2 3 4 4 16" xfId="31447" xr:uid="{00000000-0005-0000-0000-0000C1430000}"/>
    <cellStyle name="Input 2 2 3 4 4 17" xfId="32455" xr:uid="{00000000-0005-0000-0000-0000C2430000}"/>
    <cellStyle name="Input 2 2 3 4 4 18" xfId="33458" xr:uid="{00000000-0005-0000-0000-0000C3430000}"/>
    <cellStyle name="Input 2 2 3 4 4 19" xfId="34457" xr:uid="{00000000-0005-0000-0000-0000C4430000}"/>
    <cellStyle name="Input 2 2 3 4 4 2" xfId="4664" xr:uid="{00000000-0005-0000-0000-0000C5430000}"/>
    <cellStyle name="Input 2 2 3 4 4 2 10" xfId="24502" xr:uid="{00000000-0005-0000-0000-0000C6430000}"/>
    <cellStyle name="Input 2 2 3 4 4 2 11" xfId="25501" xr:uid="{00000000-0005-0000-0000-0000C7430000}"/>
    <cellStyle name="Input 2 2 3 4 4 2 12" xfId="28448" xr:uid="{00000000-0005-0000-0000-0000C8430000}"/>
    <cellStyle name="Input 2 2 3 4 4 2 13" xfId="29415" xr:uid="{00000000-0005-0000-0000-0000C9430000}"/>
    <cellStyle name="Input 2 2 3 4 4 2 14" xfId="30457" xr:uid="{00000000-0005-0000-0000-0000CA430000}"/>
    <cellStyle name="Input 2 2 3 4 4 2 15" xfId="31448" xr:uid="{00000000-0005-0000-0000-0000CB430000}"/>
    <cellStyle name="Input 2 2 3 4 4 2 16" xfId="32456" xr:uid="{00000000-0005-0000-0000-0000CC430000}"/>
    <cellStyle name="Input 2 2 3 4 4 2 17" xfId="33459" xr:uid="{00000000-0005-0000-0000-0000CD430000}"/>
    <cellStyle name="Input 2 2 3 4 4 2 18" xfId="34458" xr:uid="{00000000-0005-0000-0000-0000CE430000}"/>
    <cellStyle name="Input 2 2 3 4 4 2 19" xfId="36079" xr:uid="{00000000-0005-0000-0000-0000CF430000}"/>
    <cellStyle name="Input 2 2 3 4 4 2 2" xfId="16483" xr:uid="{00000000-0005-0000-0000-0000D0430000}"/>
    <cellStyle name="Input 2 2 3 4 4 2 20" xfId="37018" xr:uid="{00000000-0005-0000-0000-0000D1430000}"/>
    <cellStyle name="Input 2 2 3 4 4 2 3" xfId="17462" xr:uid="{00000000-0005-0000-0000-0000D2430000}"/>
    <cellStyle name="Input 2 2 3 4 4 2 4" xfId="18489" xr:uid="{00000000-0005-0000-0000-0000D3430000}"/>
    <cellStyle name="Input 2 2 3 4 4 2 5" xfId="19521" xr:uid="{00000000-0005-0000-0000-0000D4430000}"/>
    <cellStyle name="Input 2 2 3 4 4 2 6" xfId="20543" xr:uid="{00000000-0005-0000-0000-0000D5430000}"/>
    <cellStyle name="Input 2 2 3 4 4 2 7" xfId="21554" xr:uid="{00000000-0005-0000-0000-0000D6430000}"/>
    <cellStyle name="Input 2 2 3 4 4 2 8" xfId="22525" xr:uid="{00000000-0005-0000-0000-0000D7430000}"/>
    <cellStyle name="Input 2 2 3 4 4 2 9" xfId="23530" xr:uid="{00000000-0005-0000-0000-0000D8430000}"/>
    <cellStyle name="Input 2 2 3 4 4 20" xfId="36078" xr:uid="{00000000-0005-0000-0000-0000D9430000}"/>
    <cellStyle name="Input 2 2 3 4 4 21" xfId="37017" xr:uid="{00000000-0005-0000-0000-0000DA430000}"/>
    <cellStyle name="Input 2 2 3 4 4 3" xfId="16482" xr:uid="{00000000-0005-0000-0000-0000DB430000}"/>
    <cellStyle name="Input 2 2 3 4 4 4" xfId="17461" xr:uid="{00000000-0005-0000-0000-0000DC430000}"/>
    <cellStyle name="Input 2 2 3 4 4 5" xfId="18488" xr:uid="{00000000-0005-0000-0000-0000DD430000}"/>
    <cellStyle name="Input 2 2 3 4 4 6" xfId="19520" xr:uid="{00000000-0005-0000-0000-0000DE430000}"/>
    <cellStyle name="Input 2 2 3 4 4 7" xfId="20542" xr:uid="{00000000-0005-0000-0000-0000DF430000}"/>
    <cellStyle name="Input 2 2 3 4 4 8" xfId="21553" xr:uid="{00000000-0005-0000-0000-0000E0430000}"/>
    <cellStyle name="Input 2 2 3 4 4 9" xfId="22524" xr:uid="{00000000-0005-0000-0000-0000E1430000}"/>
    <cellStyle name="Input 2 2 3 4 5" xfId="4665" xr:uid="{00000000-0005-0000-0000-0000E2430000}"/>
    <cellStyle name="Input 2 2 3 4 5 10" xfId="24503" xr:uid="{00000000-0005-0000-0000-0000E3430000}"/>
    <cellStyle name="Input 2 2 3 4 5 11" xfId="25502" xr:uid="{00000000-0005-0000-0000-0000E4430000}"/>
    <cellStyle name="Input 2 2 3 4 5 12" xfId="28449" xr:uid="{00000000-0005-0000-0000-0000E5430000}"/>
    <cellStyle name="Input 2 2 3 4 5 13" xfId="29416" xr:uid="{00000000-0005-0000-0000-0000E6430000}"/>
    <cellStyle name="Input 2 2 3 4 5 14" xfId="30458" xr:uid="{00000000-0005-0000-0000-0000E7430000}"/>
    <cellStyle name="Input 2 2 3 4 5 15" xfId="31449" xr:uid="{00000000-0005-0000-0000-0000E8430000}"/>
    <cellStyle name="Input 2 2 3 4 5 16" xfId="32457" xr:uid="{00000000-0005-0000-0000-0000E9430000}"/>
    <cellStyle name="Input 2 2 3 4 5 17" xfId="33460" xr:uid="{00000000-0005-0000-0000-0000EA430000}"/>
    <cellStyle name="Input 2 2 3 4 5 18" xfId="34459" xr:uid="{00000000-0005-0000-0000-0000EB430000}"/>
    <cellStyle name="Input 2 2 3 4 5 19" xfId="36080" xr:uid="{00000000-0005-0000-0000-0000EC430000}"/>
    <cellStyle name="Input 2 2 3 4 5 2" xfId="16484" xr:uid="{00000000-0005-0000-0000-0000ED430000}"/>
    <cellStyle name="Input 2 2 3 4 5 20" xfId="37019" xr:uid="{00000000-0005-0000-0000-0000EE430000}"/>
    <cellStyle name="Input 2 2 3 4 5 3" xfId="17463" xr:uid="{00000000-0005-0000-0000-0000EF430000}"/>
    <cellStyle name="Input 2 2 3 4 5 4" xfId="18490" xr:uid="{00000000-0005-0000-0000-0000F0430000}"/>
    <cellStyle name="Input 2 2 3 4 5 5" xfId="19522" xr:uid="{00000000-0005-0000-0000-0000F1430000}"/>
    <cellStyle name="Input 2 2 3 4 5 6" xfId="20544" xr:uid="{00000000-0005-0000-0000-0000F2430000}"/>
    <cellStyle name="Input 2 2 3 4 5 7" xfId="21555" xr:uid="{00000000-0005-0000-0000-0000F3430000}"/>
    <cellStyle name="Input 2 2 3 4 5 8" xfId="22526" xr:uid="{00000000-0005-0000-0000-0000F4430000}"/>
    <cellStyle name="Input 2 2 3 4 5 9" xfId="23531" xr:uid="{00000000-0005-0000-0000-0000F5430000}"/>
    <cellStyle name="Input 2 2 3 4 6" xfId="13491" xr:uid="{00000000-0005-0000-0000-0000F6430000}"/>
    <cellStyle name="Input 2 2 3 4 7" xfId="13512" xr:uid="{00000000-0005-0000-0000-0000F7430000}"/>
    <cellStyle name="Input 2 2 3 4 8" xfId="15784" xr:uid="{00000000-0005-0000-0000-0000F8430000}"/>
    <cellStyle name="Input 2 2 3 4 9" xfId="15187" xr:uid="{00000000-0005-0000-0000-0000F9430000}"/>
    <cellStyle name="Input 2 2 3 5" xfId="4666" xr:uid="{00000000-0005-0000-0000-0000FA430000}"/>
    <cellStyle name="Input 2 2 3 5 10" xfId="18918" xr:uid="{00000000-0005-0000-0000-0000FB430000}"/>
    <cellStyle name="Input 2 2 3 5 11" xfId="15041" xr:uid="{00000000-0005-0000-0000-0000FC430000}"/>
    <cellStyle name="Input 2 2 3 5 12" xfId="26443" xr:uid="{00000000-0005-0000-0000-0000FD430000}"/>
    <cellStyle name="Input 2 2 3 5 13" xfId="27689" xr:uid="{00000000-0005-0000-0000-0000FE430000}"/>
    <cellStyle name="Input 2 2 3 5 14" xfId="26164" xr:uid="{00000000-0005-0000-0000-0000FF430000}"/>
    <cellStyle name="Input 2 2 3 5 15" xfId="27046" xr:uid="{00000000-0005-0000-0000-000000440000}"/>
    <cellStyle name="Input 2 2 3 5 16" xfId="26942" xr:uid="{00000000-0005-0000-0000-000001440000}"/>
    <cellStyle name="Input 2 2 3 5 17" xfId="27348" xr:uid="{00000000-0005-0000-0000-000002440000}"/>
    <cellStyle name="Input 2 2 3 5 18" xfId="35127" xr:uid="{00000000-0005-0000-0000-000003440000}"/>
    <cellStyle name="Input 2 2 3 5 19" xfId="35413" xr:uid="{00000000-0005-0000-0000-000004440000}"/>
    <cellStyle name="Input 2 2 3 5 2" xfId="4667" xr:uid="{00000000-0005-0000-0000-000005440000}"/>
    <cellStyle name="Input 2 2 3 5 2 10" xfId="23532" xr:uid="{00000000-0005-0000-0000-000006440000}"/>
    <cellStyle name="Input 2 2 3 5 2 11" xfId="24504" xr:uid="{00000000-0005-0000-0000-000007440000}"/>
    <cellStyle name="Input 2 2 3 5 2 12" xfId="25503" xr:uid="{00000000-0005-0000-0000-000008440000}"/>
    <cellStyle name="Input 2 2 3 5 2 13" xfId="28450" xr:uid="{00000000-0005-0000-0000-000009440000}"/>
    <cellStyle name="Input 2 2 3 5 2 14" xfId="29417" xr:uid="{00000000-0005-0000-0000-00000A440000}"/>
    <cellStyle name="Input 2 2 3 5 2 15" xfId="30459" xr:uid="{00000000-0005-0000-0000-00000B440000}"/>
    <cellStyle name="Input 2 2 3 5 2 16" xfId="31450" xr:uid="{00000000-0005-0000-0000-00000C440000}"/>
    <cellStyle name="Input 2 2 3 5 2 17" xfId="32458" xr:uid="{00000000-0005-0000-0000-00000D440000}"/>
    <cellStyle name="Input 2 2 3 5 2 18" xfId="33461" xr:uid="{00000000-0005-0000-0000-00000E440000}"/>
    <cellStyle name="Input 2 2 3 5 2 19" xfId="34460" xr:uid="{00000000-0005-0000-0000-00000F440000}"/>
    <cellStyle name="Input 2 2 3 5 2 2" xfId="4668" xr:uid="{00000000-0005-0000-0000-000010440000}"/>
    <cellStyle name="Input 2 2 3 5 2 2 10" xfId="24505" xr:uid="{00000000-0005-0000-0000-000011440000}"/>
    <cellStyle name="Input 2 2 3 5 2 2 11" xfId="25504" xr:uid="{00000000-0005-0000-0000-000012440000}"/>
    <cellStyle name="Input 2 2 3 5 2 2 12" xfId="28451" xr:uid="{00000000-0005-0000-0000-000013440000}"/>
    <cellStyle name="Input 2 2 3 5 2 2 13" xfId="29418" xr:uid="{00000000-0005-0000-0000-000014440000}"/>
    <cellStyle name="Input 2 2 3 5 2 2 14" xfId="30460" xr:uid="{00000000-0005-0000-0000-000015440000}"/>
    <cellStyle name="Input 2 2 3 5 2 2 15" xfId="31451" xr:uid="{00000000-0005-0000-0000-000016440000}"/>
    <cellStyle name="Input 2 2 3 5 2 2 16" xfId="32459" xr:uid="{00000000-0005-0000-0000-000017440000}"/>
    <cellStyle name="Input 2 2 3 5 2 2 17" xfId="33462" xr:uid="{00000000-0005-0000-0000-000018440000}"/>
    <cellStyle name="Input 2 2 3 5 2 2 18" xfId="34461" xr:uid="{00000000-0005-0000-0000-000019440000}"/>
    <cellStyle name="Input 2 2 3 5 2 2 19" xfId="36082" xr:uid="{00000000-0005-0000-0000-00001A440000}"/>
    <cellStyle name="Input 2 2 3 5 2 2 2" xfId="16486" xr:uid="{00000000-0005-0000-0000-00001B440000}"/>
    <cellStyle name="Input 2 2 3 5 2 2 20" xfId="37021" xr:uid="{00000000-0005-0000-0000-00001C440000}"/>
    <cellStyle name="Input 2 2 3 5 2 2 3" xfId="17465" xr:uid="{00000000-0005-0000-0000-00001D440000}"/>
    <cellStyle name="Input 2 2 3 5 2 2 4" xfId="18492" xr:uid="{00000000-0005-0000-0000-00001E440000}"/>
    <cellStyle name="Input 2 2 3 5 2 2 5" xfId="19524" xr:uid="{00000000-0005-0000-0000-00001F440000}"/>
    <cellStyle name="Input 2 2 3 5 2 2 6" xfId="20546" xr:uid="{00000000-0005-0000-0000-000020440000}"/>
    <cellStyle name="Input 2 2 3 5 2 2 7" xfId="21557" xr:uid="{00000000-0005-0000-0000-000021440000}"/>
    <cellStyle name="Input 2 2 3 5 2 2 8" xfId="22528" xr:uid="{00000000-0005-0000-0000-000022440000}"/>
    <cellStyle name="Input 2 2 3 5 2 2 9" xfId="23533" xr:uid="{00000000-0005-0000-0000-000023440000}"/>
    <cellStyle name="Input 2 2 3 5 2 20" xfId="36081" xr:uid="{00000000-0005-0000-0000-000024440000}"/>
    <cellStyle name="Input 2 2 3 5 2 21" xfId="37020" xr:uid="{00000000-0005-0000-0000-000025440000}"/>
    <cellStyle name="Input 2 2 3 5 2 3" xfId="16485" xr:uid="{00000000-0005-0000-0000-000026440000}"/>
    <cellStyle name="Input 2 2 3 5 2 4" xfId="17464" xr:uid="{00000000-0005-0000-0000-000027440000}"/>
    <cellStyle name="Input 2 2 3 5 2 5" xfId="18491" xr:uid="{00000000-0005-0000-0000-000028440000}"/>
    <cellStyle name="Input 2 2 3 5 2 6" xfId="19523" xr:uid="{00000000-0005-0000-0000-000029440000}"/>
    <cellStyle name="Input 2 2 3 5 2 7" xfId="20545" xr:uid="{00000000-0005-0000-0000-00002A440000}"/>
    <cellStyle name="Input 2 2 3 5 2 8" xfId="21556" xr:uid="{00000000-0005-0000-0000-00002B440000}"/>
    <cellStyle name="Input 2 2 3 5 2 9" xfId="22527" xr:uid="{00000000-0005-0000-0000-00002C440000}"/>
    <cellStyle name="Input 2 2 3 5 3" xfId="4669" xr:uid="{00000000-0005-0000-0000-00002D440000}"/>
    <cellStyle name="Input 2 2 3 5 3 10" xfId="23534" xr:uid="{00000000-0005-0000-0000-00002E440000}"/>
    <cellStyle name="Input 2 2 3 5 3 11" xfId="24506" xr:uid="{00000000-0005-0000-0000-00002F440000}"/>
    <cellStyle name="Input 2 2 3 5 3 12" xfId="25505" xr:uid="{00000000-0005-0000-0000-000030440000}"/>
    <cellStyle name="Input 2 2 3 5 3 13" xfId="28452" xr:uid="{00000000-0005-0000-0000-000031440000}"/>
    <cellStyle name="Input 2 2 3 5 3 14" xfId="29419" xr:uid="{00000000-0005-0000-0000-000032440000}"/>
    <cellStyle name="Input 2 2 3 5 3 15" xfId="30461" xr:uid="{00000000-0005-0000-0000-000033440000}"/>
    <cellStyle name="Input 2 2 3 5 3 16" xfId="31452" xr:uid="{00000000-0005-0000-0000-000034440000}"/>
    <cellStyle name="Input 2 2 3 5 3 17" xfId="32460" xr:uid="{00000000-0005-0000-0000-000035440000}"/>
    <cellStyle name="Input 2 2 3 5 3 18" xfId="33463" xr:uid="{00000000-0005-0000-0000-000036440000}"/>
    <cellStyle name="Input 2 2 3 5 3 19" xfId="34462" xr:uid="{00000000-0005-0000-0000-000037440000}"/>
    <cellStyle name="Input 2 2 3 5 3 2" xfId="4670" xr:uid="{00000000-0005-0000-0000-000038440000}"/>
    <cellStyle name="Input 2 2 3 5 3 2 10" xfId="24507" xr:uid="{00000000-0005-0000-0000-000039440000}"/>
    <cellStyle name="Input 2 2 3 5 3 2 11" xfId="25506" xr:uid="{00000000-0005-0000-0000-00003A440000}"/>
    <cellStyle name="Input 2 2 3 5 3 2 12" xfId="28453" xr:uid="{00000000-0005-0000-0000-00003B440000}"/>
    <cellStyle name="Input 2 2 3 5 3 2 13" xfId="29420" xr:uid="{00000000-0005-0000-0000-00003C440000}"/>
    <cellStyle name="Input 2 2 3 5 3 2 14" xfId="30462" xr:uid="{00000000-0005-0000-0000-00003D440000}"/>
    <cellStyle name="Input 2 2 3 5 3 2 15" xfId="31453" xr:uid="{00000000-0005-0000-0000-00003E440000}"/>
    <cellStyle name="Input 2 2 3 5 3 2 16" xfId="32461" xr:uid="{00000000-0005-0000-0000-00003F440000}"/>
    <cellStyle name="Input 2 2 3 5 3 2 17" xfId="33464" xr:uid="{00000000-0005-0000-0000-000040440000}"/>
    <cellStyle name="Input 2 2 3 5 3 2 18" xfId="34463" xr:uid="{00000000-0005-0000-0000-000041440000}"/>
    <cellStyle name="Input 2 2 3 5 3 2 19" xfId="36084" xr:uid="{00000000-0005-0000-0000-000042440000}"/>
    <cellStyle name="Input 2 2 3 5 3 2 2" xfId="16488" xr:uid="{00000000-0005-0000-0000-000043440000}"/>
    <cellStyle name="Input 2 2 3 5 3 2 20" xfId="37023" xr:uid="{00000000-0005-0000-0000-000044440000}"/>
    <cellStyle name="Input 2 2 3 5 3 2 3" xfId="17467" xr:uid="{00000000-0005-0000-0000-000045440000}"/>
    <cellStyle name="Input 2 2 3 5 3 2 4" xfId="18494" xr:uid="{00000000-0005-0000-0000-000046440000}"/>
    <cellStyle name="Input 2 2 3 5 3 2 5" xfId="19526" xr:uid="{00000000-0005-0000-0000-000047440000}"/>
    <cellStyle name="Input 2 2 3 5 3 2 6" xfId="20548" xr:uid="{00000000-0005-0000-0000-000048440000}"/>
    <cellStyle name="Input 2 2 3 5 3 2 7" xfId="21559" xr:uid="{00000000-0005-0000-0000-000049440000}"/>
    <cellStyle name="Input 2 2 3 5 3 2 8" xfId="22530" xr:uid="{00000000-0005-0000-0000-00004A440000}"/>
    <cellStyle name="Input 2 2 3 5 3 2 9" xfId="23535" xr:uid="{00000000-0005-0000-0000-00004B440000}"/>
    <cellStyle name="Input 2 2 3 5 3 20" xfId="36083" xr:uid="{00000000-0005-0000-0000-00004C440000}"/>
    <cellStyle name="Input 2 2 3 5 3 21" xfId="37022" xr:uid="{00000000-0005-0000-0000-00004D440000}"/>
    <cellStyle name="Input 2 2 3 5 3 3" xfId="16487" xr:uid="{00000000-0005-0000-0000-00004E440000}"/>
    <cellStyle name="Input 2 2 3 5 3 4" xfId="17466" xr:uid="{00000000-0005-0000-0000-00004F440000}"/>
    <cellStyle name="Input 2 2 3 5 3 5" xfId="18493" xr:uid="{00000000-0005-0000-0000-000050440000}"/>
    <cellStyle name="Input 2 2 3 5 3 6" xfId="19525" xr:uid="{00000000-0005-0000-0000-000051440000}"/>
    <cellStyle name="Input 2 2 3 5 3 7" xfId="20547" xr:uid="{00000000-0005-0000-0000-000052440000}"/>
    <cellStyle name="Input 2 2 3 5 3 8" xfId="21558" xr:uid="{00000000-0005-0000-0000-000053440000}"/>
    <cellStyle name="Input 2 2 3 5 3 9" xfId="22529" xr:uid="{00000000-0005-0000-0000-000054440000}"/>
    <cellStyle name="Input 2 2 3 5 4" xfId="4671" xr:uid="{00000000-0005-0000-0000-000055440000}"/>
    <cellStyle name="Input 2 2 3 5 4 10" xfId="23536" xr:uid="{00000000-0005-0000-0000-000056440000}"/>
    <cellStyle name="Input 2 2 3 5 4 11" xfId="24508" xr:uid="{00000000-0005-0000-0000-000057440000}"/>
    <cellStyle name="Input 2 2 3 5 4 12" xfId="25507" xr:uid="{00000000-0005-0000-0000-000058440000}"/>
    <cellStyle name="Input 2 2 3 5 4 13" xfId="28454" xr:uid="{00000000-0005-0000-0000-000059440000}"/>
    <cellStyle name="Input 2 2 3 5 4 14" xfId="29421" xr:uid="{00000000-0005-0000-0000-00005A440000}"/>
    <cellStyle name="Input 2 2 3 5 4 15" xfId="30463" xr:uid="{00000000-0005-0000-0000-00005B440000}"/>
    <cellStyle name="Input 2 2 3 5 4 16" xfId="31454" xr:uid="{00000000-0005-0000-0000-00005C440000}"/>
    <cellStyle name="Input 2 2 3 5 4 17" xfId="32462" xr:uid="{00000000-0005-0000-0000-00005D440000}"/>
    <cellStyle name="Input 2 2 3 5 4 18" xfId="33465" xr:uid="{00000000-0005-0000-0000-00005E440000}"/>
    <cellStyle name="Input 2 2 3 5 4 19" xfId="34464" xr:uid="{00000000-0005-0000-0000-00005F440000}"/>
    <cellStyle name="Input 2 2 3 5 4 2" xfId="4672" xr:uid="{00000000-0005-0000-0000-000060440000}"/>
    <cellStyle name="Input 2 2 3 5 4 2 10" xfId="24509" xr:uid="{00000000-0005-0000-0000-000061440000}"/>
    <cellStyle name="Input 2 2 3 5 4 2 11" xfId="25508" xr:uid="{00000000-0005-0000-0000-000062440000}"/>
    <cellStyle name="Input 2 2 3 5 4 2 12" xfId="28455" xr:uid="{00000000-0005-0000-0000-000063440000}"/>
    <cellStyle name="Input 2 2 3 5 4 2 13" xfId="29422" xr:uid="{00000000-0005-0000-0000-000064440000}"/>
    <cellStyle name="Input 2 2 3 5 4 2 14" xfId="30464" xr:uid="{00000000-0005-0000-0000-000065440000}"/>
    <cellStyle name="Input 2 2 3 5 4 2 15" xfId="31455" xr:uid="{00000000-0005-0000-0000-000066440000}"/>
    <cellStyle name="Input 2 2 3 5 4 2 16" xfId="32463" xr:uid="{00000000-0005-0000-0000-000067440000}"/>
    <cellStyle name="Input 2 2 3 5 4 2 17" xfId="33466" xr:uid="{00000000-0005-0000-0000-000068440000}"/>
    <cellStyle name="Input 2 2 3 5 4 2 18" xfId="34465" xr:uid="{00000000-0005-0000-0000-000069440000}"/>
    <cellStyle name="Input 2 2 3 5 4 2 19" xfId="36086" xr:uid="{00000000-0005-0000-0000-00006A440000}"/>
    <cellStyle name="Input 2 2 3 5 4 2 2" xfId="16490" xr:uid="{00000000-0005-0000-0000-00006B440000}"/>
    <cellStyle name="Input 2 2 3 5 4 2 20" xfId="37025" xr:uid="{00000000-0005-0000-0000-00006C440000}"/>
    <cellStyle name="Input 2 2 3 5 4 2 3" xfId="17469" xr:uid="{00000000-0005-0000-0000-00006D440000}"/>
    <cellStyle name="Input 2 2 3 5 4 2 4" xfId="18496" xr:uid="{00000000-0005-0000-0000-00006E440000}"/>
    <cellStyle name="Input 2 2 3 5 4 2 5" xfId="19528" xr:uid="{00000000-0005-0000-0000-00006F440000}"/>
    <cellStyle name="Input 2 2 3 5 4 2 6" xfId="20550" xr:uid="{00000000-0005-0000-0000-000070440000}"/>
    <cellStyle name="Input 2 2 3 5 4 2 7" xfId="21561" xr:uid="{00000000-0005-0000-0000-000071440000}"/>
    <cellStyle name="Input 2 2 3 5 4 2 8" xfId="22532" xr:uid="{00000000-0005-0000-0000-000072440000}"/>
    <cellStyle name="Input 2 2 3 5 4 2 9" xfId="23537" xr:uid="{00000000-0005-0000-0000-000073440000}"/>
    <cellStyle name="Input 2 2 3 5 4 20" xfId="36085" xr:uid="{00000000-0005-0000-0000-000074440000}"/>
    <cellStyle name="Input 2 2 3 5 4 21" xfId="37024" xr:uid="{00000000-0005-0000-0000-000075440000}"/>
    <cellStyle name="Input 2 2 3 5 4 3" xfId="16489" xr:uid="{00000000-0005-0000-0000-000076440000}"/>
    <cellStyle name="Input 2 2 3 5 4 4" xfId="17468" xr:uid="{00000000-0005-0000-0000-000077440000}"/>
    <cellStyle name="Input 2 2 3 5 4 5" xfId="18495" xr:uid="{00000000-0005-0000-0000-000078440000}"/>
    <cellStyle name="Input 2 2 3 5 4 6" xfId="19527" xr:uid="{00000000-0005-0000-0000-000079440000}"/>
    <cellStyle name="Input 2 2 3 5 4 7" xfId="20549" xr:uid="{00000000-0005-0000-0000-00007A440000}"/>
    <cellStyle name="Input 2 2 3 5 4 8" xfId="21560" xr:uid="{00000000-0005-0000-0000-00007B440000}"/>
    <cellStyle name="Input 2 2 3 5 4 9" xfId="22531" xr:uid="{00000000-0005-0000-0000-00007C440000}"/>
    <cellStyle name="Input 2 2 3 5 5" xfId="4673" xr:uid="{00000000-0005-0000-0000-00007D440000}"/>
    <cellStyle name="Input 2 2 3 5 5 10" xfId="24510" xr:uid="{00000000-0005-0000-0000-00007E440000}"/>
    <cellStyle name="Input 2 2 3 5 5 11" xfId="25509" xr:uid="{00000000-0005-0000-0000-00007F440000}"/>
    <cellStyle name="Input 2 2 3 5 5 12" xfId="28456" xr:uid="{00000000-0005-0000-0000-000080440000}"/>
    <cellStyle name="Input 2 2 3 5 5 13" xfId="29423" xr:uid="{00000000-0005-0000-0000-000081440000}"/>
    <cellStyle name="Input 2 2 3 5 5 14" xfId="30465" xr:uid="{00000000-0005-0000-0000-000082440000}"/>
    <cellStyle name="Input 2 2 3 5 5 15" xfId="31456" xr:uid="{00000000-0005-0000-0000-000083440000}"/>
    <cellStyle name="Input 2 2 3 5 5 16" xfId="32464" xr:uid="{00000000-0005-0000-0000-000084440000}"/>
    <cellStyle name="Input 2 2 3 5 5 17" xfId="33467" xr:uid="{00000000-0005-0000-0000-000085440000}"/>
    <cellStyle name="Input 2 2 3 5 5 18" xfId="34466" xr:uid="{00000000-0005-0000-0000-000086440000}"/>
    <cellStyle name="Input 2 2 3 5 5 19" xfId="36087" xr:uid="{00000000-0005-0000-0000-000087440000}"/>
    <cellStyle name="Input 2 2 3 5 5 2" xfId="16491" xr:uid="{00000000-0005-0000-0000-000088440000}"/>
    <cellStyle name="Input 2 2 3 5 5 20" xfId="37026" xr:uid="{00000000-0005-0000-0000-000089440000}"/>
    <cellStyle name="Input 2 2 3 5 5 3" xfId="17470" xr:uid="{00000000-0005-0000-0000-00008A440000}"/>
    <cellStyle name="Input 2 2 3 5 5 4" xfId="18497" xr:uid="{00000000-0005-0000-0000-00008B440000}"/>
    <cellStyle name="Input 2 2 3 5 5 5" xfId="19529" xr:uid="{00000000-0005-0000-0000-00008C440000}"/>
    <cellStyle name="Input 2 2 3 5 5 6" xfId="20551" xr:uid="{00000000-0005-0000-0000-00008D440000}"/>
    <cellStyle name="Input 2 2 3 5 5 7" xfId="21562" xr:uid="{00000000-0005-0000-0000-00008E440000}"/>
    <cellStyle name="Input 2 2 3 5 5 8" xfId="22533" xr:uid="{00000000-0005-0000-0000-00008F440000}"/>
    <cellStyle name="Input 2 2 3 5 5 9" xfId="23538" xr:uid="{00000000-0005-0000-0000-000090440000}"/>
    <cellStyle name="Input 2 2 3 5 6" xfId="13556" xr:uid="{00000000-0005-0000-0000-000091440000}"/>
    <cellStyle name="Input 2 2 3 5 7" xfId="17827" xr:uid="{00000000-0005-0000-0000-000092440000}"/>
    <cellStyle name="Input 2 2 3 5 8" xfId="15656" xr:uid="{00000000-0005-0000-0000-000093440000}"/>
    <cellStyle name="Input 2 2 3 5 9" xfId="15728" xr:uid="{00000000-0005-0000-0000-000094440000}"/>
    <cellStyle name="Input 2 2 3 6" xfId="4674" xr:uid="{00000000-0005-0000-0000-000095440000}"/>
    <cellStyle name="Input 2 2 3 6 10" xfId="23539" xr:uid="{00000000-0005-0000-0000-000096440000}"/>
    <cellStyle name="Input 2 2 3 6 11" xfId="24511" xr:uid="{00000000-0005-0000-0000-000097440000}"/>
    <cellStyle name="Input 2 2 3 6 12" xfId="25510" xr:uid="{00000000-0005-0000-0000-000098440000}"/>
    <cellStyle name="Input 2 2 3 6 13" xfId="28457" xr:uid="{00000000-0005-0000-0000-000099440000}"/>
    <cellStyle name="Input 2 2 3 6 14" xfId="29424" xr:uid="{00000000-0005-0000-0000-00009A440000}"/>
    <cellStyle name="Input 2 2 3 6 15" xfId="30466" xr:uid="{00000000-0005-0000-0000-00009B440000}"/>
    <cellStyle name="Input 2 2 3 6 16" xfId="31457" xr:uid="{00000000-0005-0000-0000-00009C440000}"/>
    <cellStyle name="Input 2 2 3 6 17" xfId="32465" xr:uid="{00000000-0005-0000-0000-00009D440000}"/>
    <cellStyle name="Input 2 2 3 6 18" xfId="33468" xr:uid="{00000000-0005-0000-0000-00009E440000}"/>
    <cellStyle name="Input 2 2 3 6 19" xfId="34467" xr:uid="{00000000-0005-0000-0000-00009F440000}"/>
    <cellStyle name="Input 2 2 3 6 2" xfId="4675" xr:uid="{00000000-0005-0000-0000-0000A0440000}"/>
    <cellStyle name="Input 2 2 3 6 2 10" xfId="24512" xr:uid="{00000000-0005-0000-0000-0000A1440000}"/>
    <cellStyle name="Input 2 2 3 6 2 11" xfId="25511" xr:uid="{00000000-0005-0000-0000-0000A2440000}"/>
    <cellStyle name="Input 2 2 3 6 2 12" xfId="28458" xr:uid="{00000000-0005-0000-0000-0000A3440000}"/>
    <cellStyle name="Input 2 2 3 6 2 13" xfId="29425" xr:uid="{00000000-0005-0000-0000-0000A4440000}"/>
    <cellStyle name="Input 2 2 3 6 2 14" xfId="30467" xr:uid="{00000000-0005-0000-0000-0000A5440000}"/>
    <cellStyle name="Input 2 2 3 6 2 15" xfId="31458" xr:uid="{00000000-0005-0000-0000-0000A6440000}"/>
    <cellStyle name="Input 2 2 3 6 2 16" xfId="32466" xr:uid="{00000000-0005-0000-0000-0000A7440000}"/>
    <cellStyle name="Input 2 2 3 6 2 17" xfId="33469" xr:uid="{00000000-0005-0000-0000-0000A8440000}"/>
    <cellStyle name="Input 2 2 3 6 2 18" xfId="34468" xr:uid="{00000000-0005-0000-0000-0000A9440000}"/>
    <cellStyle name="Input 2 2 3 6 2 19" xfId="36089" xr:uid="{00000000-0005-0000-0000-0000AA440000}"/>
    <cellStyle name="Input 2 2 3 6 2 2" xfId="16493" xr:uid="{00000000-0005-0000-0000-0000AB440000}"/>
    <cellStyle name="Input 2 2 3 6 2 20" xfId="37028" xr:uid="{00000000-0005-0000-0000-0000AC440000}"/>
    <cellStyle name="Input 2 2 3 6 2 3" xfId="17472" xr:uid="{00000000-0005-0000-0000-0000AD440000}"/>
    <cellStyle name="Input 2 2 3 6 2 4" xfId="18499" xr:uid="{00000000-0005-0000-0000-0000AE440000}"/>
    <cellStyle name="Input 2 2 3 6 2 5" xfId="19531" xr:uid="{00000000-0005-0000-0000-0000AF440000}"/>
    <cellStyle name="Input 2 2 3 6 2 6" xfId="20553" xr:uid="{00000000-0005-0000-0000-0000B0440000}"/>
    <cellStyle name="Input 2 2 3 6 2 7" xfId="21564" xr:uid="{00000000-0005-0000-0000-0000B1440000}"/>
    <cellStyle name="Input 2 2 3 6 2 8" xfId="22535" xr:uid="{00000000-0005-0000-0000-0000B2440000}"/>
    <cellStyle name="Input 2 2 3 6 2 9" xfId="23540" xr:uid="{00000000-0005-0000-0000-0000B3440000}"/>
    <cellStyle name="Input 2 2 3 6 20" xfId="36088" xr:uid="{00000000-0005-0000-0000-0000B4440000}"/>
    <cellStyle name="Input 2 2 3 6 21" xfId="37027" xr:uid="{00000000-0005-0000-0000-0000B5440000}"/>
    <cellStyle name="Input 2 2 3 6 3" xfId="16492" xr:uid="{00000000-0005-0000-0000-0000B6440000}"/>
    <cellStyle name="Input 2 2 3 6 4" xfId="17471" xr:uid="{00000000-0005-0000-0000-0000B7440000}"/>
    <cellStyle name="Input 2 2 3 6 5" xfId="18498" xr:uid="{00000000-0005-0000-0000-0000B8440000}"/>
    <cellStyle name="Input 2 2 3 6 6" xfId="19530" xr:uid="{00000000-0005-0000-0000-0000B9440000}"/>
    <cellStyle name="Input 2 2 3 6 7" xfId="20552" xr:uid="{00000000-0005-0000-0000-0000BA440000}"/>
    <cellStyle name="Input 2 2 3 6 8" xfId="21563" xr:uid="{00000000-0005-0000-0000-0000BB440000}"/>
    <cellStyle name="Input 2 2 3 6 9" xfId="22534" xr:uid="{00000000-0005-0000-0000-0000BC440000}"/>
    <cellStyle name="Input 2 2 3 7" xfId="4676" xr:uid="{00000000-0005-0000-0000-0000BD440000}"/>
    <cellStyle name="Input 2 2 3 7 10" xfId="23541" xr:uid="{00000000-0005-0000-0000-0000BE440000}"/>
    <cellStyle name="Input 2 2 3 7 11" xfId="24513" xr:uid="{00000000-0005-0000-0000-0000BF440000}"/>
    <cellStyle name="Input 2 2 3 7 12" xfId="25512" xr:uid="{00000000-0005-0000-0000-0000C0440000}"/>
    <cellStyle name="Input 2 2 3 7 13" xfId="28459" xr:uid="{00000000-0005-0000-0000-0000C1440000}"/>
    <cellStyle name="Input 2 2 3 7 14" xfId="29426" xr:uid="{00000000-0005-0000-0000-0000C2440000}"/>
    <cellStyle name="Input 2 2 3 7 15" xfId="30468" xr:uid="{00000000-0005-0000-0000-0000C3440000}"/>
    <cellStyle name="Input 2 2 3 7 16" xfId="31459" xr:uid="{00000000-0005-0000-0000-0000C4440000}"/>
    <cellStyle name="Input 2 2 3 7 17" xfId="32467" xr:uid="{00000000-0005-0000-0000-0000C5440000}"/>
    <cellStyle name="Input 2 2 3 7 18" xfId="33470" xr:uid="{00000000-0005-0000-0000-0000C6440000}"/>
    <cellStyle name="Input 2 2 3 7 19" xfId="34469" xr:uid="{00000000-0005-0000-0000-0000C7440000}"/>
    <cellStyle name="Input 2 2 3 7 2" xfId="4677" xr:uid="{00000000-0005-0000-0000-0000C8440000}"/>
    <cellStyle name="Input 2 2 3 7 2 10" xfId="24514" xr:uid="{00000000-0005-0000-0000-0000C9440000}"/>
    <cellStyle name="Input 2 2 3 7 2 11" xfId="25513" xr:uid="{00000000-0005-0000-0000-0000CA440000}"/>
    <cellStyle name="Input 2 2 3 7 2 12" xfId="28460" xr:uid="{00000000-0005-0000-0000-0000CB440000}"/>
    <cellStyle name="Input 2 2 3 7 2 13" xfId="29427" xr:uid="{00000000-0005-0000-0000-0000CC440000}"/>
    <cellStyle name="Input 2 2 3 7 2 14" xfId="30469" xr:uid="{00000000-0005-0000-0000-0000CD440000}"/>
    <cellStyle name="Input 2 2 3 7 2 15" xfId="31460" xr:uid="{00000000-0005-0000-0000-0000CE440000}"/>
    <cellStyle name="Input 2 2 3 7 2 16" xfId="32468" xr:uid="{00000000-0005-0000-0000-0000CF440000}"/>
    <cellStyle name="Input 2 2 3 7 2 17" xfId="33471" xr:uid="{00000000-0005-0000-0000-0000D0440000}"/>
    <cellStyle name="Input 2 2 3 7 2 18" xfId="34470" xr:uid="{00000000-0005-0000-0000-0000D1440000}"/>
    <cellStyle name="Input 2 2 3 7 2 19" xfId="36091" xr:uid="{00000000-0005-0000-0000-0000D2440000}"/>
    <cellStyle name="Input 2 2 3 7 2 2" xfId="16495" xr:uid="{00000000-0005-0000-0000-0000D3440000}"/>
    <cellStyle name="Input 2 2 3 7 2 20" xfId="37030" xr:uid="{00000000-0005-0000-0000-0000D4440000}"/>
    <cellStyle name="Input 2 2 3 7 2 3" xfId="17474" xr:uid="{00000000-0005-0000-0000-0000D5440000}"/>
    <cellStyle name="Input 2 2 3 7 2 4" xfId="18501" xr:uid="{00000000-0005-0000-0000-0000D6440000}"/>
    <cellStyle name="Input 2 2 3 7 2 5" xfId="19533" xr:uid="{00000000-0005-0000-0000-0000D7440000}"/>
    <cellStyle name="Input 2 2 3 7 2 6" xfId="20555" xr:uid="{00000000-0005-0000-0000-0000D8440000}"/>
    <cellStyle name="Input 2 2 3 7 2 7" xfId="21566" xr:uid="{00000000-0005-0000-0000-0000D9440000}"/>
    <cellStyle name="Input 2 2 3 7 2 8" xfId="22537" xr:uid="{00000000-0005-0000-0000-0000DA440000}"/>
    <cellStyle name="Input 2 2 3 7 2 9" xfId="23542" xr:uid="{00000000-0005-0000-0000-0000DB440000}"/>
    <cellStyle name="Input 2 2 3 7 20" xfId="36090" xr:uid="{00000000-0005-0000-0000-0000DC440000}"/>
    <cellStyle name="Input 2 2 3 7 21" xfId="37029" xr:uid="{00000000-0005-0000-0000-0000DD440000}"/>
    <cellStyle name="Input 2 2 3 7 3" xfId="16494" xr:uid="{00000000-0005-0000-0000-0000DE440000}"/>
    <cellStyle name="Input 2 2 3 7 4" xfId="17473" xr:uid="{00000000-0005-0000-0000-0000DF440000}"/>
    <cellStyle name="Input 2 2 3 7 5" xfId="18500" xr:uid="{00000000-0005-0000-0000-0000E0440000}"/>
    <cellStyle name="Input 2 2 3 7 6" xfId="19532" xr:uid="{00000000-0005-0000-0000-0000E1440000}"/>
    <cellStyle name="Input 2 2 3 7 7" xfId="20554" xr:uid="{00000000-0005-0000-0000-0000E2440000}"/>
    <cellStyle name="Input 2 2 3 7 8" xfId="21565" xr:uid="{00000000-0005-0000-0000-0000E3440000}"/>
    <cellStyle name="Input 2 2 3 7 9" xfId="22536" xr:uid="{00000000-0005-0000-0000-0000E4440000}"/>
    <cellStyle name="Input 2 2 3 8" xfId="4678" xr:uid="{00000000-0005-0000-0000-0000E5440000}"/>
    <cellStyle name="Input 2 2 3 8 10" xfId="23543" xr:uid="{00000000-0005-0000-0000-0000E6440000}"/>
    <cellStyle name="Input 2 2 3 8 11" xfId="24515" xr:uid="{00000000-0005-0000-0000-0000E7440000}"/>
    <cellStyle name="Input 2 2 3 8 12" xfId="25514" xr:uid="{00000000-0005-0000-0000-0000E8440000}"/>
    <cellStyle name="Input 2 2 3 8 13" xfId="28461" xr:uid="{00000000-0005-0000-0000-0000E9440000}"/>
    <cellStyle name="Input 2 2 3 8 14" xfId="29428" xr:uid="{00000000-0005-0000-0000-0000EA440000}"/>
    <cellStyle name="Input 2 2 3 8 15" xfId="30470" xr:uid="{00000000-0005-0000-0000-0000EB440000}"/>
    <cellStyle name="Input 2 2 3 8 16" xfId="31461" xr:uid="{00000000-0005-0000-0000-0000EC440000}"/>
    <cellStyle name="Input 2 2 3 8 17" xfId="32469" xr:uid="{00000000-0005-0000-0000-0000ED440000}"/>
    <cellStyle name="Input 2 2 3 8 18" xfId="33472" xr:uid="{00000000-0005-0000-0000-0000EE440000}"/>
    <cellStyle name="Input 2 2 3 8 19" xfId="34471" xr:uid="{00000000-0005-0000-0000-0000EF440000}"/>
    <cellStyle name="Input 2 2 3 8 2" xfId="4679" xr:uid="{00000000-0005-0000-0000-0000F0440000}"/>
    <cellStyle name="Input 2 2 3 8 2 10" xfId="24516" xr:uid="{00000000-0005-0000-0000-0000F1440000}"/>
    <cellStyle name="Input 2 2 3 8 2 11" xfId="25515" xr:uid="{00000000-0005-0000-0000-0000F2440000}"/>
    <cellStyle name="Input 2 2 3 8 2 12" xfId="28462" xr:uid="{00000000-0005-0000-0000-0000F3440000}"/>
    <cellStyle name="Input 2 2 3 8 2 13" xfId="29429" xr:uid="{00000000-0005-0000-0000-0000F4440000}"/>
    <cellStyle name="Input 2 2 3 8 2 14" xfId="30471" xr:uid="{00000000-0005-0000-0000-0000F5440000}"/>
    <cellStyle name="Input 2 2 3 8 2 15" xfId="31462" xr:uid="{00000000-0005-0000-0000-0000F6440000}"/>
    <cellStyle name="Input 2 2 3 8 2 16" xfId="32470" xr:uid="{00000000-0005-0000-0000-0000F7440000}"/>
    <cellStyle name="Input 2 2 3 8 2 17" xfId="33473" xr:uid="{00000000-0005-0000-0000-0000F8440000}"/>
    <cellStyle name="Input 2 2 3 8 2 18" xfId="34472" xr:uid="{00000000-0005-0000-0000-0000F9440000}"/>
    <cellStyle name="Input 2 2 3 8 2 19" xfId="36093" xr:uid="{00000000-0005-0000-0000-0000FA440000}"/>
    <cellStyle name="Input 2 2 3 8 2 2" xfId="16497" xr:uid="{00000000-0005-0000-0000-0000FB440000}"/>
    <cellStyle name="Input 2 2 3 8 2 20" xfId="37032" xr:uid="{00000000-0005-0000-0000-0000FC440000}"/>
    <cellStyle name="Input 2 2 3 8 2 3" xfId="17476" xr:uid="{00000000-0005-0000-0000-0000FD440000}"/>
    <cellStyle name="Input 2 2 3 8 2 4" xfId="18503" xr:uid="{00000000-0005-0000-0000-0000FE440000}"/>
    <cellStyle name="Input 2 2 3 8 2 5" xfId="19535" xr:uid="{00000000-0005-0000-0000-0000FF440000}"/>
    <cellStyle name="Input 2 2 3 8 2 6" xfId="20557" xr:uid="{00000000-0005-0000-0000-000000450000}"/>
    <cellStyle name="Input 2 2 3 8 2 7" xfId="21568" xr:uid="{00000000-0005-0000-0000-000001450000}"/>
    <cellStyle name="Input 2 2 3 8 2 8" xfId="22539" xr:uid="{00000000-0005-0000-0000-000002450000}"/>
    <cellStyle name="Input 2 2 3 8 2 9" xfId="23544" xr:uid="{00000000-0005-0000-0000-000003450000}"/>
    <cellStyle name="Input 2 2 3 8 20" xfId="36092" xr:uid="{00000000-0005-0000-0000-000004450000}"/>
    <cellStyle name="Input 2 2 3 8 21" xfId="37031" xr:uid="{00000000-0005-0000-0000-000005450000}"/>
    <cellStyle name="Input 2 2 3 8 3" xfId="16496" xr:uid="{00000000-0005-0000-0000-000006450000}"/>
    <cellStyle name="Input 2 2 3 8 4" xfId="17475" xr:uid="{00000000-0005-0000-0000-000007450000}"/>
    <cellStyle name="Input 2 2 3 8 5" xfId="18502" xr:uid="{00000000-0005-0000-0000-000008450000}"/>
    <cellStyle name="Input 2 2 3 8 6" xfId="19534" xr:uid="{00000000-0005-0000-0000-000009450000}"/>
    <cellStyle name="Input 2 2 3 8 7" xfId="20556" xr:uid="{00000000-0005-0000-0000-00000A450000}"/>
    <cellStyle name="Input 2 2 3 8 8" xfId="21567" xr:uid="{00000000-0005-0000-0000-00000B450000}"/>
    <cellStyle name="Input 2 2 3 8 9" xfId="22538" xr:uid="{00000000-0005-0000-0000-00000C450000}"/>
    <cellStyle name="Input 2 2 3 9" xfId="4680" xr:uid="{00000000-0005-0000-0000-00000D450000}"/>
    <cellStyle name="Input 2 2 3 9 10" xfId="24517" xr:uid="{00000000-0005-0000-0000-00000E450000}"/>
    <cellStyle name="Input 2 2 3 9 11" xfId="25516" xr:uid="{00000000-0005-0000-0000-00000F450000}"/>
    <cellStyle name="Input 2 2 3 9 12" xfId="28463" xr:uid="{00000000-0005-0000-0000-000010450000}"/>
    <cellStyle name="Input 2 2 3 9 13" xfId="29430" xr:uid="{00000000-0005-0000-0000-000011450000}"/>
    <cellStyle name="Input 2 2 3 9 14" xfId="30472" xr:uid="{00000000-0005-0000-0000-000012450000}"/>
    <cellStyle name="Input 2 2 3 9 15" xfId="31463" xr:uid="{00000000-0005-0000-0000-000013450000}"/>
    <cellStyle name="Input 2 2 3 9 16" xfId="32471" xr:uid="{00000000-0005-0000-0000-000014450000}"/>
    <cellStyle name="Input 2 2 3 9 17" xfId="33474" xr:uid="{00000000-0005-0000-0000-000015450000}"/>
    <cellStyle name="Input 2 2 3 9 18" xfId="34473" xr:uid="{00000000-0005-0000-0000-000016450000}"/>
    <cellStyle name="Input 2 2 3 9 19" xfId="36094" xr:uid="{00000000-0005-0000-0000-000017450000}"/>
    <cellStyle name="Input 2 2 3 9 2" xfId="16498" xr:uid="{00000000-0005-0000-0000-000018450000}"/>
    <cellStyle name="Input 2 2 3 9 20" xfId="37033" xr:uid="{00000000-0005-0000-0000-000019450000}"/>
    <cellStyle name="Input 2 2 3 9 3" xfId="17477" xr:uid="{00000000-0005-0000-0000-00001A450000}"/>
    <cellStyle name="Input 2 2 3 9 4" xfId="18504" xr:uid="{00000000-0005-0000-0000-00001B450000}"/>
    <cellStyle name="Input 2 2 3 9 5" xfId="19536" xr:uid="{00000000-0005-0000-0000-00001C450000}"/>
    <cellStyle name="Input 2 2 3 9 6" xfId="20558" xr:uid="{00000000-0005-0000-0000-00001D450000}"/>
    <cellStyle name="Input 2 2 3 9 7" xfId="21569" xr:uid="{00000000-0005-0000-0000-00001E450000}"/>
    <cellStyle name="Input 2 2 3 9 8" xfId="22540" xr:uid="{00000000-0005-0000-0000-00001F450000}"/>
    <cellStyle name="Input 2 2 3 9 9" xfId="23545" xr:uid="{00000000-0005-0000-0000-000020450000}"/>
    <cellStyle name="Input 2 2 4" xfId="4681" xr:uid="{00000000-0005-0000-0000-000021450000}"/>
    <cellStyle name="Input 2 2 4 10" xfId="13434" xr:uid="{00000000-0005-0000-0000-000022450000}"/>
    <cellStyle name="Input 2 2 4 11" xfId="15556" xr:uid="{00000000-0005-0000-0000-000023450000}"/>
    <cellStyle name="Input 2 2 4 12" xfId="13965" xr:uid="{00000000-0005-0000-0000-000024450000}"/>
    <cellStyle name="Input 2 2 4 13" xfId="15371" xr:uid="{00000000-0005-0000-0000-000025450000}"/>
    <cellStyle name="Input 2 2 4 14" xfId="18886" xr:uid="{00000000-0005-0000-0000-000026450000}"/>
    <cellStyle name="Input 2 2 4 15" xfId="16844" xr:uid="{00000000-0005-0000-0000-000027450000}"/>
    <cellStyle name="Input 2 2 4 16" xfId="26520" xr:uid="{00000000-0005-0000-0000-000028450000}"/>
    <cellStyle name="Input 2 2 4 17" xfId="27051" xr:uid="{00000000-0005-0000-0000-000029450000}"/>
    <cellStyle name="Input 2 2 4 18" xfId="26202" xr:uid="{00000000-0005-0000-0000-00002A450000}"/>
    <cellStyle name="Input 2 2 4 19" xfId="26724" xr:uid="{00000000-0005-0000-0000-00002B450000}"/>
    <cellStyle name="Input 2 2 4 2" xfId="4682" xr:uid="{00000000-0005-0000-0000-00002C450000}"/>
    <cellStyle name="Input 2 2 4 2 10" xfId="23546" xr:uid="{00000000-0005-0000-0000-00002D450000}"/>
    <cellStyle name="Input 2 2 4 2 11" xfId="24518" xr:uid="{00000000-0005-0000-0000-00002E450000}"/>
    <cellStyle name="Input 2 2 4 2 12" xfId="25517" xr:uid="{00000000-0005-0000-0000-00002F450000}"/>
    <cellStyle name="Input 2 2 4 2 13" xfId="28464" xr:uid="{00000000-0005-0000-0000-000030450000}"/>
    <cellStyle name="Input 2 2 4 2 14" xfId="29431" xr:uid="{00000000-0005-0000-0000-000031450000}"/>
    <cellStyle name="Input 2 2 4 2 15" xfId="30473" xr:uid="{00000000-0005-0000-0000-000032450000}"/>
    <cellStyle name="Input 2 2 4 2 16" xfId="31464" xr:uid="{00000000-0005-0000-0000-000033450000}"/>
    <cellStyle name="Input 2 2 4 2 17" xfId="32472" xr:uid="{00000000-0005-0000-0000-000034450000}"/>
    <cellStyle name="Input 2 2 4 2 18" xfId="33475" xr:uid="{00000000-0005-0000-0000-000035450000}"/>
    <cellStyle name="Input 2 2 4 2 19" xfId="34474" xr:uid="{00000000-0005-0000-0000-000036450000}"/>
    <cellStyle name="Input 2 2 4 2 2" xfId="4683" xr:uid="{00000000-0005-0000-0000-000037450000}"/>
    <cellStyle name="Input 2 2 4 2 2 10" xfId="24519" xr:uid="{00000000-0005-0000-0000-000038450000}"/>
    <cellStyle name="Input 2 2 4 2 2 11" xfId="25518" xr:uid="{00000000-0005-0000-0000-000039450000}"/>
    <cellStyle name="Input 2 2 4 2 2 12" xfId="28465" xr:uid="{00000000-0005-0000-0000-00003A450000}"/>
    <cellStyle name="Input 2 2 4 2 2 13" xfId="29432" xr:uid="{00000000-0005-0000-0000-00003B450000}"/>
    <cellStyle name="Input 2 2 4 2 2 14" xfId="30474" xr:uid="{00000000-0005-0000-0000-00003C450000}"/>
    <cellStyle name="Input 2 2 4 2 2 15" xfId="31465" xr:uid="{00000000-0005-0000-0000-00003D450000}"/>
    <cellStyle name="Input 2 2 4 2 2 16" xfId="32473" xr:uid="{00000000-0005-0000-0000-00003E450000}"/>
    <cellStyle name="Input 2 2 4 2 2 17" xfId="33476" xr:uid="{00000000-0005-0000-0000-00003F450000}"/>
    <cellStyle name="Input 2 2 4 2 2 18" xfId="34475" xr:uid="{00000000-0005-0000-0000-000040450000}"/>
    <cellStyle name="Input 2 2 4 2 2 19" xfId="36096" xr:uid="{00000000-0005-0000-0000-000041450000}"/>
    <cellStyle name="Input 2 2 4 2 2 2" xfId="16500" xr:uid="{00000000-0005-0000-0000-000042450000}"/>
    <cellStyle name="Input 2 2 4 2 2 20" xfId="37035" xr:uid="{00000000-0005-0000-0000-000043450000}"/>
    <cellStyle name="Input 2 2 4 2 2 3" xfId="17479" xr:uid="{00000000-0005-0000-0000-000044450000}"/>
    <cellStyle name="Input 2 2 4 2 2 4" xfId="18506" xr:uid="{00000000-0005-0000-0000-000045450000}"/>
    <cellStyle name="Input 2 2 4 2 2 5" xfId="19538" xr:uid="{00000000-0005-0000-0000-000046450000}"/>
    <cellStyle name="Input 2 2 4 2 2 6" xfId="20560" xr:uid="{00000000-0005-0000-0000-000047450000}"/>
    <cellStyle name="Input 2 2 4 2 2 7" xfId="21571" xr:uid="{00000000-0005-0000-0000-000048450000}"/>
    <cellStyle name="Input 2 2 4 2 2 8" xfId="22542" xr:uid="{00000000-0005-0000-0000-000049450000}"/>
    <cellStyle name="Input 2 2 4 2 2 9" xfId="23547" xr:uid="{00000000-0005-0000-0000-00004A450000}"/>
    <cellStyle name="Input 2 2 4 2 20" xfId="36095" xr:uid="{00000000-0005-0000-0000-00004B450000}"/>
    <cellStyle name="Input 2 2 4 2 21" xfId="37034" xr:uid="{00000000-0005-0000-0000-00004C450000}"/>
    <cellStyle name="Input 2 2 4 2 3" xfId="16499" xr:uid="{00000000-0005-0000-0000-00004D450000}"/>
    <cellStyle name="Input 2 2 4 2 4" xfId="17478" xr:uid="{00000000-0005-0000-0000-00004E450000}"/>
    <cellStyle name="Input 2 2 4 2 5" xfId="18505" xr:uid="{00000000-0005-0000-0000-00004F450000}"/>
    <cellStyle name="Input 2 2 4 2 6" xfId="19537" xr:uid="{00000000-0005-0000-0000-000050450000}"/>
    <cellStyle name="Input 2 2 4 2 7" xfId="20559" xr:uid="{00000000-0005-0000-0000-000051450000}"/>
    <cellStyle name="Input 2 2 4 2 8" xfId="21570" xr:uid="{00000000-0005-0000-0000-000052450000}"/>
    <cellStyle name="Input 2 2 4 2 9" xfId="22541" xr:uid="{00000000-0005-0000-0000-000053450000}"/>
    <cellStyle name="Input 2 2 4 20" xfId="26839" xr:uid="{00000000-0005-0000-0000-000054450000}"/>
    <cellStyle name="Input 2 2 4 21" xfId="27830" xr:uid="{00000000-0005-0000-0000-000055450000}"/>
    <cellStyle name="Input 2 2 4 22" xfId="26883" xr:uid="{00000000-0005-0000-0000-000056450000}"/>
    <cellStyle name="Input 2 2 4 23" xfId="35188" xr:uid="{00000000-0005-0000-0000-000057450000}"/>
    <cellStyle name="Input 2 2 4 24" xfId="34904" xr:uid="{00000000-0005-0000-0000-000058450000}"/>
    <cellStyle name="Input 2 2 4 3" xfId="4684" xr:uid="{00000000-0005-0000-0000-000059450000}"/>
    <cellStyle name="Input 2 2 4 3 10" xfId="23548" xr:uid="{00000000-0005-0000-0000-00005A450000}"/>
    <cellStyle name="Input 2 2 4 3 11" xfId="24520" xr:uid="{00000000-0005-0000-0000-00005B450000}"/>
    <cellStyle name="Input 2 2 4 3 12" xfId="25519" xr:uid="{00000000-0005-0000-0000-00005C450000}"/>
    <cellStyle name="Input 2 2 4 3 13" xfId="28466" xr:uid="{00000000-0005-0000-0000-00005D450000}"/>
    <cellStyle name="Input 2 2 4 3 14" xfId="29433" xr:uid="{00000000-0005-0000-0000-00005E450000}"/>
    <cellStyle name="Input 2 2 4 3 15" xfId="30475" xr:uid="{00000000-0005-0000-0000-00005F450000}"/>
    <cellStyle name="Input 2 2 4 3 16" xfId="31466" xr:uid="{00000000-0005-0000-0000-000060450000}"/>
    <cellStyle name="Input 2 2 4 3 17" xfId="32474" xr:uid="{00000000-0005-0000-0000-000061450000}"/>
    <cellStyle name="Input 2 2 4 3 18" xfId="33477" xr:uid="{00000000-0005-0000-0000-000062450000}"/>
    <cellStyle name="Input 2 2 4 3 19" xfId="34476" xr:uid="{00000000-0005-0000-0000-000063450000}"/>
    <cellStyle name="Input 2 2 4 3 2" xfId="4685" xr:uid="{00000000-0005-0000-0000-000064450000}"/>
    <cellStyle name="Input 2 2 4 3 2 10" xfId="24521" xr:uid="{00000000-0005-0000-0000-000065450000}"/>
    <cellStyle name="Input 2 2 4 3 2 11" xfId="25520" xr:uid="{00000000-0005-0000-0000-000066450000}"/>
    <cellStyle name="Input 2 2 4 3 2 12" xfId="28467" xr:uid="{00000000-0005-0000-0000-000067450000}"/>
    <cellStyle name="Input 2 2 4 3 2 13" xfId="29434" xr:uid="{00000000-0005-0000-0000-000068450000}"/>
    <cellStyle name="Input 2 2 4 3 2 14" xfId="30476" xr:uid="{00000000-0005-0000-0000-000069450000}"/>
    <cellStyle name="Input 2 2 4 3 2 15" xfId="31467" xr:uid="{00000000-0005-0000-0000-00006A450000}"/>
    <cellStyle name="Input 2 2 4 3 2 16" xfId="32475" xr:uid="{00000000-0005-0000-0000-00006B450000}"/>
    <cellStyle name="Input 2 2 4 3 2 17" xfId="33478" xr:uid="{00000000-0005-0000-0000-00006C450000}"/>
    <cellStyle name="Input 2 2 4 3 2 18" xfId="34477" xr:uid="{00000000-0005-0000-0000-00006D450000}"/>
    <cellStyle name="Input 2 2 4 3 2 19" xfId="36098" xr:uid="{00000000-0005-0000-0000-00006E450000}"/>
    <cellStyle name="Input 2 2 4 3 2 2" xfId="16502" xr:uid="{00000000-0005-0000-0000-00006F450000}"/>
    <cellStyle name="Input 2 2 4 3 2 20" xfId="37037" xr:uid="{00000000-0005-0000-0000-000070450000}"/>
    <cellStyle name="Input 2 2 4 3 2 3" xfId="17481" xr:uid="{00000000-0005-0000-0000-000071450000}"/>
    <cellStyle name="Input 2 2 4 3 2 4" xfId="18508" xr:uid="{00000000-0005-0000-0000-000072450000}"/>
    <cellStyle name="Input 2 2 4 3 2 5" xfId="19540" xr:uid="{00000000-0005-0000-0000-000073450000}"/>
    <cellStyle name="Input 2 2 4 3 2 6" xfId="20562" xr:uid="{00000000-0005-0000-0000-000074450000}"/>
    <cellStyle name="Input 2 2 4 3 2 7" xfId="21573" xr:uid="{00000000-0005-0000-0000-000075450000}"/>
    <cellStyle name="Input 2 2 4 3 2 8" xfId="22544" xr:uid="{00000000-0005-0000-0000-000076450000}"/>
    <cellStyle name="Input 2 2 4 3 2 9" xfId="23549" xr:uid="{00000000-0005-0000-0000-000077450000}"/>
    <cellStyle name="Input 2 2 4 3 20" xfId="36097" xr:uid="{00000000-0005-0000-0000-000078450000}"/>
    <cellStyle name="Input 2 2 4 3 21" xfId="37036" xr:uid="{00000000-0005-0000-0000-000079450000}"/>
    <cellStyle name="Input 2 2 4 3 3" xfId="16501" xr:uid="{00000000-0005-0000-0000-00007A450000}"/>
    <cellStyle name="Input 2 2 4 3 4" xfId="17480" xr:uid="{00000000-0005-0000-0000-00007B450000}"/>
    <cellStyle name="Input 2 2 4 3 5" xfId="18507" xr:uid="{00000000-0005-0000-0000-00007C450000}"/>
    <cellStyle name="Input 2 2 4 3 6" xfId="19539" xr:uid="{00000000-0005-0000-0000-00007D450000}"/>
    <cellStyle name="Input 2 2 4 3 7" xfId="20561" xr:uid="{00000000-0005-0000-0000-00007E450000}"/>
    <cellStyle name="Input 2 2 4 3 8" xfId="21572" xr:uid="{00000000-0005-0000-0000-00007F450000}"/>
    <cellStyle name="Input 2 2 4 3 9" xfId="22543" xr:uid="{00000000-0005-0000-0000-000080450000}"/>
    <cellStyle name="Input 2 2 4 4" xfId="4686" xr:uid="{00000000-0005-0000-0000-000081450000}"/>
    <cellStyle name="Input 2 2 4 4 10" xfId="23550" xr:uid="{00000000-0005-0000-0000-000082450000}"/>
    <cellStyle name="Input 2 2 4 4 11" xfId="24522" xr:uid="{00000000-0005-0000-0000-000083450000}"/>
    <cellStyle name="Input 2 2 4 4 12" xfId="25521" xr:uid="{00000000-0005-0000-0000-000084450000}"/>
    <cellStyle name="Input 2 2 4 4 13" xfId="28468" xr:uid="{00000000-0005-0000-0000-000085450000}"/>
    <cellStyle name="Input 2 2 4 4 14" xfId="29435" xr:uid="{00000000-0005-0000-0000-000086450000}"/>
    <cellStyle name="Input 2 2 4 4 15" xfId="30477" xr:uid="{00000000-0005-0000-0000-000087450000}"/>
    <cellStyle name="Input 2 2 4 4 16" xfId="31468" xr:uid="{00000000-0005-0000-0000-000088450000}"/>
    <cellStyle name="Input 2 2 4 4 17" xfId="32476" xr:uid="{00000000-0005-0000-0000-000089450000}"/>
    <cellStyle name="Input 2 2 4 4 18" xfId="33479" xr:uid="{00000000-0005-0000-0000-00008A450000}"/>
    <cellStyle name="Input 2 2 4 4 19" xfId="34478" xr:uid="{00000000-0005-0000-0000-00008B450000}"/>
    <cellStyle name="Input 2 2 4 4 2" xfId="4687" xr:uid="{00000000-0005-0000-0000-00008C450000}"/>
    <cellStyle name="Input 2 2 4 4 2 10" xfId="24523" xr:uid="{00000000-0005-0000-0000-00008D450000}"/>
    <cellStyle name="Input 2 2 4 4 2 11" xfId="25522" xr:uid="{00000000-0005-0000-0000-00008E450000}"/>
    <cellStyle name="Input 2 2 4 4 2 12" xfId="28469" xr:uid="{00000000-0005-0000-0000-00008F450000}"/>
    <cellStyle name="Input 2 2 4 4 2 13" xfId="29436" xr:uid="{00000000-0005-0000-0000-000090450000}"/>
    <cellStyle name="Input 2 2 4 4 2 14" xfId="30478" xr:uid="{00000000-0005-0000-0000-000091450000}"/>
    <cellStyle name="Input 2 2 4 4 2 15" xfId="31469" xr:uid="{00000000-0005-0000-0000-000092450000}"/>
    <cellStyle name="Input 2 2 4 4 2 16" xfId="32477" xr:uid="{00000000-0005-0000-0000-000093450000}"/>
    <cellStyle name="Input 2 2 4 4 2 17" xfId="33480" xr:uid="{00000000-0005-0000-0000-000094450000}"/>
    <cellStyle name="Input 2 2 4 4 2 18" xfId="34479" xr:uid="{00000000-0005-0000-0000-000095450000}"/>
    <cellStyle name="Input 2 2 4 4 2 19" xfId="36100" xr:uid="{00000000-0005-0000-0000-000096450000}"/>
    <cellStyle name="Input 2 2 4 4 2 2" xfId="16504" xr:uid="{00000000-0005-0000-0000-000097450000}"/>
    <cellStyle name="Input 2 2 4 4 2 20" xfId="37039" xr:uid="{00000000-0005-0000-0000-000098450000}"/>
    <cellStyle name="Input 2 2 4 4 2 3" xfId="17483" xr:uid="{00000000-0005-0000-0000-000099450000}"/>
    <cellStyle name="Input 2 2 4 4 2 4" xfId="18510" xr:uid="{00000000-0005-0000-0000-00009A450000}"/>
    <cellStyle name="Input 2 2 4 4 2 5" xfId="19542" xr:uid="{00000000-0005-0000-0000-00009B450000}"/>
    <cellStyle name="Input 2 2 4 4 2 6" xfId="20564" xr:uid="{00000000-0005-0000-0000-00009C450000}"/>
    <cellStyle name="Input 2 2 4 4 2 7" xfId="21575" xr:uid="{00000000-0005-0000-0000-00009D450000}"/>
    <cellStyle name="Input 2 2 4 4 2 8" xfId="22546" xr:uid="{00000000-0005-0000-0000-00009E450000}"/>
    <cellStyle name="Input 2 2 4 4 2 9" xfId="23551" xr:uid="{00000000-0005-0000-0000-00009F450000}"/>
    <cellStyle name="Input 2 2 4 4 20" xfId="36099" xr:uid="{00000000-0005-0000-0000-0000A0450000}"/>
    <cellStyle name="Input 2 2 4 4 21" xfId="37038" xr:uid="{00000000-0005-0000-0000-0000A1450000}"/>
    <cellStyle name="Input 2 2 4 4 3" xfId="16503" xr:uid="{00000000-0005-0000-0000-0000A2450000}"/>
    <cellStyle name="Input 2 2 4 4 4" xfId="17482" xr:uid="{00000000-0005-0000-0000-0000A3450000}"/>
    <cellStyle name="Input 2 2 4 4 5" xfId="18509" xr:uid="{00000000-0005-0000-0000-0000A4450000}"/>
    <cellStyle name="Input 2 2 4 4 6" xfId="19541" xr:uid="{00000000-0005-0000-0000-0000A5450000}"/>
    <cellStyle name="Input 2 2 4 4 7" xfId="20563" xr:uid="{00000000-0005-0000-0000-0000A6450000}"/>
    <cellStyle name="Input 2 2 4 4 8" xfId="21574" xr:uid="{00000000-0005-0000-0000-0000A7450000}"/>
    <cellStyle name="Input 2 2 4 4 9" xfId="22545" xr:uid="{00000000-0005-0000-0000-0000A8450000}"/>
    <cellStyle name="Input 2 2 4 5" xfId="4688" xr:uid="{00000000-0005-0000-0000-0000A9450000}"/>
    <cellStyle name="Input 2 2 4 5 10" xfId="24524" xr:uid="{00000000-0005-0000-0000-0000AA450000}"/>
    <cellStyle name="Input 2 2 4 5 11" xfId="25523" xr:uid="{00000000-0005-0000-0000-0000AB450000}"/>
    <cellStyle name="Input 2 2 4 5 12" xfId="28470" xr:uid="{00000000-0005-0000-0000-0000AC450000}"/>
    <cellStyle name="Input 2 2 4 5 13" xfId="29437" xr:uid="{00000000-0005-0000-0000-0000AD450000}"/>
    <cellStyle name="Input 2 2 4 5 14" xfId="30479" xr:uid="{00000000-0005-0000-0000-0000AE450000}"/>
    <cellStyle name="Input 2 2 4 5 15" xfId="31470" xr:uid="{00000000-0005-0000-0000-0000AF450000}"/>
    <cellStyle name="Input 2 2 4 5 16" xfId="32478" xr:uid="{00000000-0005-0000-0000-0000B0450000}"/>
    <cellStyle name="Input 2 2 4 5 17" xfId="33481" xr:uid="{00000000-0005-0000-0000-0000B1450000}"/>
    <cellStyle name="Input 2 2 4 5 18" xfId="34480" xr:uid="{00000000-0005-0000-0000-0000B2450000}"/>
    <cellStyle name="Input 2 2 4 5 19" xfId="36101" xr:uid="{00000000-0005-0000-0000-0000B3450000}"/>
    <cellStyle name="Input 2 2 4 5 2" xfId="16505" xr:uid="{00000000-0005-0000-0000-0000B4450000}"/>
    <cellStyle name="Input 2 2 4 5 20" xfId="37040" xr:uid="{00000000-0005-0000-0000-0000B5450000}"/>
    <cellStyle name="Input 2 2 4 5 3" xfId="17484" xr:uid="{00000000-0005-0000-0000-0000B6450000}"/>
    <cellStyle name="Input 2 2 4 5 4" xfId="18511" xr:uid="{00000000-0005-0000-0000-0000B7450000}"/>
    <cellStyle name="Input 2 2 4 5 5" xfId="19543" xr:uid="{00000000-0005-0000-0000-0000B8450000}"/>
    <cellStyle name="Input 2 2 4 5 6" xfId="20565" xr:uid="{00000000-0005-0000-0000-0000B9450000}"/>
    <cellStyle name="Input 2 2 4 5 7" xfId="21576" xr:uid="{00000000-0005-0000-0000-0000BA450000}"/>
    <cellStyle name="Input 2 2 4 5 8" xfId="22547" xr:uid="{00000000-0005-0000-0000-0000BB450000}"/>
    <cellStyle name="Input 2 2 4 5 9" xfId="23552" xr:uid="{00000000-0005-0000-0000-0000BC450000}"/>
    <cellStyle name="Input 2 2 4 6" xfId="13960" xr:uid="{00000000-0005-0000-0000-0000BD450000}"/>
    <cellStyle name="Input 2 2 4 7" xfId="14820" xr:uid="{00000000-0005-0000-0000-0000BE450000}"/>
    <cellStyle name="Input 2 2 4 8" xfId="14081" xr:uid="{00000000-0005-0000-0000-0000BF450000}"/>
    <cellStyle name="Input 2 2 4 9" xfId="15654" xr:uid="{00000000-0005-0000-0000-0000C0450000}"/>
    <cellStyle name="Input 2 2 5" xfId="4689" xr:uid="{00000000-0005-0000-0000-0000C1450000}"/>
    <cellStyle name="Input 2 2 5 10" xfId="23553" xr:uid="{00000000-0005-0000-0000-0000C2450000}"/>
    <cellStyle name="Input 2 2 5 11" xfId="24525" xr:uid="{00000000-0005-0000-0000-0000C3450000}"/>
    <cellStyle name="Input 2 2 5 12" xfId="25524" xr:uid="{00000000-0005-0000-0000-0000C4450000}"/>
    <cellStyle name="Input 2 2 5 13" xfId="28471" xr:uid="{00000000-0005-0000-0000-0000C5450000}"/>
    <cellStyle name="Input 2 2 5 14" xfId="29438" xr:uid="{00000000-0005-0000-0000-0000C6450000}"/>
    <cellStyle name="Input 2 2 5 15" xfId="30480" xr:uid="{00000000-0005-0000-0000-0000C7450000}"/>
    <cellStyle name="Input 2 2 5 16" xfId="31471" xr:uid="{00000000-0005-0000-0000-0000C8450000}"/>
    <cellStyle name="Input 2 2 5 17" xfId="32479" xr:uid="{00000000-0005-0000-0000-0000C9450000}"/>
    <cellStyle name="Input 2 2 5 18" xfId="33482" xr:uid="{00000000-0005-0000-0000-0000CA450000}"/>
    <cellStyle name="Input 2 2 5 19" xfId="34481" xr:uid="{00000000-0005-0000-0000-0000CB450000}"/>
    <cellStyle name="Input 2 2 5 2" xfId="4690" xr:uid="{00000000-0005-0000-0000-0000CC450000}"/>
    <cellStyle name="Input 2 2 5 2 10" xfId="24526" xr:uid="{00000000-0005-0000-0000-0000CD450000}"/>
    <cellStyle name="Input 2 2 5 2 11" xfId="25525" xr:uid="{00000000-0005-0000-0000-0000CE450000}"/>
    <cellStyle name="Input 2 2 5 2 12" xfId="28472" xr:uid="{00000000-0005-0000-0000-0000CF450000}"/>
    <cellStyle name="Input 2 2 5 2 13" xfId="29439" xr:uid="{00000000-0005-0000-0000-0000D0450000}"/>
    <cellStyle name="Input 2 2 5 2 14" xfId="30481" xr:uid="{00000000-0005-0000-0000-0000D1450000}"/>
    <cellStyle name="Input 2 2 5 2 15" xfId="31472" xr:uid="{00000000-0005-0000-0000-0000D2450000}"/>
    <cellStyle name="Input 2 2 5 2 16" xfId="32480" xr:uid="{00000000-0005-0000-0000-0000D3450000}"/>
    <cellStyle name="Input 2 2 5 2 17" xfId="33483" xr:uid="{00000000-0005-0000-0000-0000D4450000}"/>
    <cellStyle name="Input 2 2 5 2 18" xfId="34482" xr:uid="{00000000-0005-0000-0000-0000D5450000}"/>
    <cellStyle name="Input 2 2 5 2 19" xfId="36103" xr:uid="{00000000-0005-0000-0000-0000D6450000}"/>
    <cellStyle name="Input 2 2 5 2 2" xfId="16507" xr:uid="{00000000-0005-0000-0000-0000D7450000}"/>
    <cellStyle name="Input 2 2 5 2 20" xfId="37042" xr:uid="{00000000-0005-0000-0000-0000D8450000}"/>
    <cellStyle name="Input 2 2 5 2 3" xfId="17486" xr:uid="{00000000-0005-0000-0000-0000D9450000}"/>
    <cellStyle name="Input 2 2 5 2 4" xfId="18513" xr:uid="{00000000-0005-0000-0000-0000DA450000}"/>
    <cellStyle name="Input 2 2 5 2 5" xfId="19545" xr:uid="{00000000-0005-0000-0000-0000DB450000}"/>
    <cellStyle name="Input 2 2 5 2 6" xfId="20567" xr:uid="{00000000-0005-0000-0000-0000DC450000}"/>
    <cellStyle name="Input 2 2 5 2 7" xfId="21578" xr:uid="{00000000-0005-0000-0000-0000DD450000}"/>
    <cellStyle name="Input 2 2 5 2 8" xfId="22549" xr:uid="{00000000-0005-0000-0000-0000DE450000}"/>
    <cellStyle name="Input 2 2 5 2 9" xfId="23554" xr:uid="{00000000-0005-0000-0000-0000DF450000}"/>
    <cellStyle name="Input 2 2 5 20" xfId="36102" xr:uid="{00000000-0005-0000-0000-0000E0450000}"/>
    <cellStyle name="Input 2 2 5 21" xfId="37041" xr:uid="{00000000-0005-0000-0000-0000E1450000}"/>
    <cellStyle name="Input 2 2 5 3" xfId="16506" xr:uid="{00000000-0005-0000-0000-0000E2450000}"/>
    <cellStyle name="Input 2 2 5 4" xfId="17485" xr:uid="{00000000-0005-0000-0000-0000E3450000}"/>
    <cellStyle name="Input 2 2 5 5" xfId="18512" xr:uid="{00000000-0005-0000-0000-0000E4450000}"/>
    <cellStyle name="Input 2 2 5 6" xfId="19544" xr:uid="{00000000-0005-0000-0000-0000E5450000}"/>
    <cellStyle name="Input 2 2 5 7" xfId="20566" xr:uid="{00000000-0005-0000-0000-0000E6450000}"/>
    <cellStyle name="Input 2 2 5 8" xfId="21577" xr:uid="{00000000-0005-0000-0000-0000E7450000}"/>
    <cellStyle name="Input 2 2 5 9" xfId="22548" xr:uid="{00000000-0005-0000-0000-0000E8450000}"/>
    <cellStyle name="Input 2 2 6" xfId="4691" xr:uid="{00000000-0005-0000-0000-0000E9450000}"/>
    <cellStyle name="Input 2 2 6 10" xfId="23555" xr:uid="{00000000-0005-0000-0000-0000EA450000}"/>
    <cellStyle name="Input 2 2 6 11" xfId="24527" xr:uid="{00000000-0005-0000-0000-0000EB450000}"/>
    <cellStyle name="Input 2 2 6 12" xfId="25526" xr:uid="{00000000-0005-0000-0000-0000EC450000}"/>
    <cellStyle name="Input 2 2 6 13" xfId="28473" xr:uid="{00000000-0005-0000-0000-0000ED450000}"/>
    <cellStyle name="Input 2 2 6 14" xfId="29440" xr:uid="{00000000-0005-0000-0000-0000EE450000}"/>
    <cellStyle name="Input 2 2 6 15" xfId="30482" xr:uid="{00000000-0005-0000-0000-0000EF450000}"/>
    <cellStyle name="Input 2 2 6 16" xfId="31473" xr:uid="{00000000-0005-0000-0000-0000F0450000}"/>
    <cellStyle name="Input 2 2 6 17" xfId="32481" xr:uid="{00000000-0005-0000-0000-0000F1450000}"/>
    <cellStyle name="Input 2 2 6 18" xfId="33484" xr:uid="{00000000-0005-0000-0000-0000F2450000}"/>
    <cellStyle name="Input 2 2 6 19" xfId="34483" xr:uid="{00000000-0005-0000-0000-0000F3450000}"/>
    <cellStyle name="Input 2 2 6 2" xfId="4692" xr:uid="{00000000-0005-0000-0000-0000F4450000}"/>
    <cellStyle name="Input 2 2 6 2 10" xfId="24528" xr:uid="{00000000-0005-0000-0000-0000F5450000}"/>
    <cellStyle name="Input 2 2 6 2 11" xfId="25527" xr:uid="{00000000-0005-0000-0000-0000F6450000}"/>
    <cellStyle name="Input 2 2 6 2 12" xfId="28474" xr:uid="{00000000-0005-0000-0000-0000F7450000}"/>
    <cellStyle name="Input 2 2 6 2 13" xfId="29441" xr:uid="{00000000-0005-0000-0000-0000F8450000}"/>
    <cellStyle name="Input 2 2 6 2 14" xfId="30483" xr:uid="{00000000-0005-0000-0000-0000F9450000}"/>
    <cellStyle name="Input 2 2 6 2 15" xfId="31474" xr:uid="{00000000-0005-0000-0000-0000FA450000}"/>
    <cellStyle name="Input 2 2 6 2 16" xfId="32482" xr:uid="{00000000-0005-0000-0000-0000FB450000}"/>
    <cellStyle name="Input 2 2 6 2 17" xfId="33485" xr:uid="{00000000-0005-0000-0000-0000FC450000}"/>
    <cellStyle name="Input 2 2 6 2 18" xfId="34484" xr:uid="{00000000-0005-0000-0000-0000FD450000}"/>
    <cellStyle name="Input 2 2 6 2 19" xfId="36105" xr:uid="{00000000-0005-0000-0000-0000FE450000}"/>
    <cellStyle name="Input 2 2 6 2 2" xfId="16509" xr:uid="{00000000-0005-0000-0000-0000FF450000}"/>
    <cellStyle name="Input 2 2 6 2 20" xfId="37044" xr:uid="{00000000-0005-0000-0000-000000460000}"/>
    <cellStyle name="Input 2 2 6 2 3" xfId="17488" xr:uid="{00000000-0005-0000-0000-000001460000}"/>
    <cellStyle name="Input 2 2 6 2 4" xfId="18515" xr:uid="{00000000-0005-0000-0000-000002460000}"/>
    <cellStyle name="Input 2 2 6 2 5" xfId="19547" xr:uid="{00000000-0005-0000-0000-000003460000}"/>
    <cellStyle name="Input 2 2 6 2 6" xfId="20569" xr:uid="{00000000-0005-0000-0000-000004460000}"/>
    <cellStyle name="Input 2 2 6 2 7" xfId="21580" xr:uid="{00000000-0005-0000-0000-000005460000}"/>
    <cellStyle name="Input 2 2 6 2 8" xfId="22551" xr:uid="{00000000-0005-0000-0000-000006460000}"/>
    <cellStyle name="Input 2 2 6 2 9" xfId="23556" xr:uid="{00000000-0005-0000-0000-000007460000}"/>
    <cellStyle name="Input 2 2 6 20" xfId="36104" xr:uid="{00000000-0005-0000-0000-000008460000}"/>
    <cellStyle name="Input 2 2 6 21" xfId="37043" xr:uid="{00000000-0005-0000-0000-000009460000}"/>
    <cellStyle name="Input 2 2 6 3" xfId="16508" xr:uid="{00000000-0005-0000-0000-00000A460000}"/>
    <cellStyle name="Input 2 2 6 4" xfId="17487" xr:uid="{00000000-0005-0000-0000-00000B460000}"/>
    <cellStyle name="Input 2 2 6 5" xfId="18514" xr:uid="{00000000-0005-0000-0000-00000C460000}"/>
    <cellStyle name="Input 2 2 6 6" xfId="19546" xr:uid="{00000000-0005-0000-0000-00000D460000}"/>
    <cellStyle name="Input 2 2 6 7" xfId="20568" xr:uid="{00000000-0005-0000-0000-00000E460000}"/>
    <cellStyle name="Input 2 2 6 8" xfId="21579" xr:uid="{00000000-0005-0000-0000-00000F460000}"/>
    <cellStyle name="Input 2 2 6 9" xfId="22550" xr:uid="{00000000-0005-0000-0000-000010460000}"/>
    <cellStyle name="Input 2 2 7" xfId="4693" xr:uid="{00000000-0005-0000-0000-000011460000}"/>
    <cellStyle name="Input 2 2 7 10" xfId="23557" xr:uid="{00000000-0005-0000-0000-000012460000}"/>
    <cellStyle name="Input 2 2 7 11" xfId="24529" xr:uid="{00000000-0005-0000-0000-000013460000}"/>
    <cellStyle name="Input 2 2 7 12" xfId="25528" xr:uid="{00000000-0005-0000-0000-000014460000}"/>
    <cellStyle name="Input 2 2 7 13" xfId="28475" xr:uid="{00000000-0005-0000-0000-000015460000}"/>
    <cellStyle name="Input 2 2 7 14" xfId="29442" xr:uid="{00000000-0005-0000-0000-000016460000}"/>
    <cellStyle name="Input 2 2 7 15" xfId="30484" xr:uid="{00000000-0005-0000-0000-000017460000}"/>
    <cellStyle name="Input 2 2 7 16" xfId="31475" xr:uid="{00000000-0005-0000-0000-000018460000}"/>
    <cellStyle name="Input 2 2 7 17" xfId="32483" xr:uid="{00000000-0005-0000-0000-000019460000}"/>
    <cellStyle name="Input 2 2 7 18" xfId="33486" xr:uid="{00000000-0005-0000-0000-00001A460000}"/>
    <cellStyle name="Input 2 2 7 19" xfId="34485" xr:uid="{00000000-0005-0000-0000-00001B460000}"/>
    <cellStyle name="Input 2 2 7 2" xfId="4694" xr:uid="{00000000-0005-0000-0000-00001C460000}"/>
    <cellStyle name="Input 2 2 7 2 10" xfId="24530" xr:uid="{00000000-0005-0000-0000-00001D460000}"/>
    <cellStyle name="Input 2 2 7 2 11" xfId="25529" xr:uid="{00000000-0005-0000-0000-00001E460000}"/>
    <cellStyle name="Input 2 2 7 2 12" xfId="28476" xr:uid="{00000000-0005-0000-0000-00001F460000}"/>
    <cellStyle name="Input 2 2 7 2 13" xfId="29443" xr:uid="{00000000-0005-0000-0000-000020460000}"/>
    <cellStyle name="Input 2 2 7 2 14" xfId="30485" xr:uid="{00000000-0005-0000-0000-000021460000}"/>
    <cellStyle name="Input 2 2 7 2 15" xfId="31476" xr:uid="{00000000-0005-0000-0000-000022460000}"/>
    <cellStyle name="Input 2 2 7 2 16" xfId="32484" xr:uid="{00000000-0005-0000-0000-000023460000}"/>
    <cellStyle name="Input 2 2 7 2 17" xfId="33487" xr:uid="{00000000-0005-0000-0000-000024460000}"/>
    <cellStyle name="Input 2 2 7 2 18" xfId="34486" xr:uid="{00000000-0005-0000-0000-000025460000}"/>
    <cellStyle name="Input 2 2 7 2 19" xfId="36107" xr:uid="{00000000-0005-0000-0000-000026460000}"/>
    <cellStyle name="Input 2 2 7 2 2" xfId="16511" xr:uid="{00000000-0005-0000-0000-000027460000}"/>
    <cellStyle name="Input 2 2 7 2 20" xfId="37046" xr:uid="{00000000-0005-0000-0000-000028460000}"/>
    <cellStyle name="Input 2 2 7 2 3" xfId="17490" xr:uid="{00000000-0005-0000-0000-000029460000}"/>
    <cellStyle name="Input 2 2 7 2 4" xfId="18517" xr:uid="{00000000-0005-0000-0000-00002A460000}"/>
    <cellStyle name="Input 2 2 7 2 5" xfId="19549" xr:uid="{00000000-0005-0000-0000-00002B460000}"/>
    <cellStyle name="Input 2 2 7 2 6" xfId="20571" xr:uid="{00000000-0005-0000-0000-00002C460000}"/>
    <cellStyle name="Input 2 2 7 2 7" xfId="21582" xr:uid="{00000000-0005-0000-0000-00002D460000}"/>
    <cellStyle name="Input 2 2 7 2 8" xfId="22553" xr:uid="{00000000-0005-0000-0000-00002E460000}"/>
    <cellStyle name="Input 2 2 7 2 9" xfId="23558" xr:uid="{00000000-0005-0000-0000-00002F460000}"/>
    <cellStyle name="Input 2 2 7 20" xfId="36106" xr:uid="{00000000-0005-0000-0000-000030460000}"/>
    <cellStyle name="Input 2 2 7 21" xfId="37045" xr:uid="{00000000-0005-0000-0000-000031460000}"/>
    <cellStyle name="Input 2 2 7 3" xfId="16510" xr:uid="{00000000-0005-0000-0000-000032460000}"/>
    <cellStyle name="Input 2 2 7 4" xfId="17489" xr:uid="{00000000-0005-0000-0000-000033460000}"/>
    <cellStyle name="Input 2 2 7 5" xfId="18516" xr:uid="{00000000-0005-0000-0000-000034460000}"/>
    <cellStyle name="Input 2 2 7 6" xfId="19548" xr:uid="{00000000-0005-0000-0000-000035460000}"/>
    <cellStyle name="Input 2 2 7 7" xfId="20570" xr:uid="{00000000-0005-0000-0000-000036460000}"/>
    <cellStyle name="Input 2 2 7 8" xfId="21581" xr:uid="{00000000-0005-0000-0000-000037460000}"/>
    <cellStyle name="Input 2 2 7 9" xfId="22552" xr:uid="{00000000-0005-0000-0000-000038460000}"/>
    <cellStyle name="Input 2 2 8" xfId="4695" xr:uid="{00000000-0005-0000-0000-000039460000}"/>
    <cellStyle name="Input 2 2 8 10" xfId="24531" xr:uid="{00000000-0005-0000-0000-00003A460000}"/>
    <cellStyle name="Input 2 2 8 11" xfId="25530" xr:uid="{00000000-0005-0000-0000-00003B460000}"/>
    <cellStyle name="Input 2 2 8 12" xfId="28477" xr:uid="{00000000-0005-0000-0000-00003C460000}"/>
    <cellStyle name="Input 2 2 8 13" xfId="29444" xr:uid="{00000000-0005-0000-0000-00003D460000}"/>
    <cellStyle name="Input 2 2 8 14" xfId="30486" xr:uid="{00000000-0005-0000-0000-00003E460000}"/>
    <cellStyle name="Input 2 2 8 15" xfId="31477" xr:uid="{00000000-0005-0000-0000-00003F460000}"/>
    <cellStyle name="Input 2 2 8 16" xfId="32485" xr:uid="{00000000-0005-0000-0000-000040460000}"/>
    <cellStyle name="Input 2 2 8 17" xfId="33488" xr:uid="{00000000-0005-0000-0000-000041460000}"/>
    <cellStyle name="Input 2 2 8 18" xfId="34487" xr:uid="{00000000-0005-0000-0000-000042460000}"/>
    <cellStyle name="Input 2 2 8 19" xfId="36108" xr:uid="{00000000-0005-0000-0000-000043460000}"/>
    <cellStyle name="Input 2 2 8 2" xfId="16512" xr:uid="{00000000-0005-0000-0000-000044460000}"/>
    <cellStyle name="Input 2 2 8 20" xfId="37047" xr:uid="{00000000-0005-0000-0000-000045460000}"/>
    <cellStyle name="Input 2 2 8 3" xfId="17491" xr:uid="{00000000-0005-0000-0000-000046460000}"/>
    <cellStyle name="Input 2 2 8 4" xfId="18518" xr:uid="{00000000-0005-0000-0000-000047460000}"/>
    <cellStyle name="Input 2 2 8 5" xfId="19550" xr:uid="{00000000-0005-0000-0000-000048460000}"/>
    <cellStyle name="Input 2 2 8 6" xfId="20572" xr:uid="{00000000-0005-0000-0000-000049460000}"/>
    <cellStyle name="Input 2 2 8 7" xfId="21583" xr:uid="{00000000-0005-0000-0000-00004A460000}"/>
    <cellStyle name="Input 2 2 8 8" xfId="22554" xr:uid="{00000000-0005-0000-0000-00004B460000}"/>
    <cellStyle name="Input 2 2 8 9" xfId="23559" xr:uid="{00000000-0005-0000-0000-00004C460000}"/>
    <cellStyle name="Input 2 2 9" xfId="13918" xr:uid="{00000000-0005-0000-0000-00004D460000}"/>
    <cellStyle name="Input 2 3" xfId="4696" xr:uid="{00000000-0005-0000-0000-00004E460000}"/>
    <cellStyle name="Input 2 3 10" xfId="15552" xr:uid="{00000000-0005-0000-0000-00004F460000}"/>
    <cellStyle name="Input 2 3 11" xfId="15761" xr:uid="{00000000-0005-0000-0000-000050460000}"/>
    <cellStyle name="Input 2 3 12" xfId="18903" xr:uid="{00000000-0005-0000-0000-000051460000}"/>
    <cellStyle name="Input 2 3 13" xfId="13461" xr:uid="{00000000-0005-0000-0000-000052460000}"/>
    <cellStyle name="Input 2 3 14" xfId="25994" xr:uid="{00000000-0005-0000-0000-000053460000}"/>
    <cellStyle name="Input 2 3 15" xfId="27295" xr:uid="{00000000-0005-0000-0000-000054460000}"/>
    <cellStyle name="Input 2 3 16" xfId="26244" xr:uid="{00000000-0005-0000-0000-000055460000}"/>
    <cellStyle name="Input 2 3 17" xfId="27511" xr:uid="{00000000-0005-0000-0000-000056460000}"/>
    <cellStyle name="Input 2 3 18" xfId="26930" xr:uid="{00000000-0005-0000-0000-000057460000}"/>
    <cellStyle name="Input 2 3 19" xfId="32839" xr:uid="{00000000-0005-0000-0000-000058460000}"/>
    <cellStyle name="Input 2 3 2" xfId="4697" xr:uid="{00000000-0005-0000-0000-000059460000}"/>
    <cellStyle name="Input 2 3 2 10" xfId="14361" xr:uid="{00000000-0005-0000-0000-00005A460000}"/>
    <cellStyle name="Input 2 3 2 11" xfId="15851" xr:uid="{00000000-0005-0000-0000-00005B460000}"/>
    <cellStyle name="Input 2 3 2 12" xfId="13793" xr:uid="{00000000-0005-0000-0000-00005C460000}"/>
    <cellStyle name="Input 2 3 2 13" xfId="18914" xr:uid="{00000000-0005-0000-0000-00005D460000}"/>
    <cellStyle name="Input 2 3 2 14" xfId="21864" xr:uid="{00000000-0005-0000-0000-00005E460000}"/>
    <cellStyle name="Input 2 3 2 15" xfId="21902" xr:uid="{00000000-0005-0000-0000-00005F460000}"/>
    <cellStyle name="Input 2 3 2 16" xfId="26099" xr:uid="{00000000-0005-0000-0000-000060460000}"/>
    <cellStyle name="Input 2 3 2 17" xfId="27262" xr:uid="{00000000-0005-0000-0000-000061460000}"/>
    <cellStyle name="Input 2 3 2 18" xfId="28759" xr:uid="{00000000-0005-0000-0000-000062460000}"/>
    <cellStyle name="Input 2 3 2 19" xfId="27220" xr:uid="{00000000-0005-0000-0000-000063460000}"/>
    <cellStyle name="Input 2 3 2 2" xfId="4698" xr:uid="{00000000-0005-0000-0000-000064460000}"/>
    <cellStyle name="Input 2 3 2 2 10" xfId="15081" xr:uid="{00000000-0005-0000-0000-000065460000}"/>
    <cellStyle name="Input 2 3 2 2 11" xfId="20940" xr:uid="{00000000-0005-0000-0000-000066460000}"/>
    <cellStyle name="Input 2 3 2 2 12" xfId="26320" xr:uid="{00000000-0005-0000-0000-000067460000}"/>
    <cellStyle name="Input 2 3 2 2 13" xfId="27733" xr:uid="{00000000-0005-0000-0000-000068460000}"/>
    <cellStyle name="Input 2 3 2 2 14" xfId="26120" xr:uid="{00000000-0005-0000-0000-000069460000}"/>
    <cellStyle name="Input 2 3 2 2 15" xfId="26192" xr:uid="{00000000-0005-0000-0000-00006A460000}"/>
    <cellStyle name="Input 2 3 2 2 16" xfId="27814" xr:uid="{00000000-0005-0000-0000-00006B460000}"/>
    <cellStyle name="Input 2 3 2 2 17" xfId="26902" xr:uid="{00000000-0005-0000-0000-00006C460000}"/>
    <cellStyle name="Input 2 3 2 2 18" xfId="35016" xr:uid="{00000000-0005-0000-0000-00006D460000}"/>
    <cellStyle name="Input 2 3 2 2 19" xfId="35458" xr:uid="{00000000-0005-0000-0000-00006E460000}"/>
    <cellStyle name="Input 2 3 2 2 2" xfId="4699" xr:uid="{00000000-0005-0000-0000-00006F460000}"/>
    <cellStyle name="Input 2 3 2 2 2 10" xfId="23560" xr:uid="{00000000-0005-0000-0000-000070460000}"/>
    <cellStyle name="Input 2 3 2 2 2 11" xfId="24532" xr:uid="{00000000-0005-0000-0000-000071460000}"/>
    <cellStyle name="Input 2 3 2 2 2 12" xfId="25531" xr:uid="{00000000-0005-0000-0000-000072460000}"/>
    <cellStyle name="Input 2 3 2 2 2 13" xfId="28478" xr:uid="{00000000-0005-0000-0000-000073460000}"/>
    <cellStyle name="Input 2 3 2 2 2 14" xfId="29445" xr:uid="{00000000-0005-0000-0000-000074460000}"/>
    <cellStyle name="Input 2 3 2 2 2 15" xfId="30487" xr:uid="{00000000-0005-0000-0000-000075460000}"/>
    <cellStyle name="Input 2 3 2 2 2 16" xfId="31478" xr:uid="{00000000-0005-0000-0000-000076460000}"/>
    <cellStyle name="Input 2 3 2 2 2 17" xfId="32486" xr:uid="{00000000-0005-0000-0000-000077460000}"/>
    <cellStyle name="Input 2 3 2 2 2 18" xfId="33489" xr:uid="{00000000-0005-0000-0000-000078460000}"/>
    <cellStyle name="Input 2 3 2 2 2 19" xfId="34488" xr:uid="{00000000-0005-0000-0000-000079460000}"/>
    <cellStyle name="Input 2 3 2 2 2 2" xfId="4700" xr:uid="{00000000-0005-0000-0000-00007A460000}"/>
    <cellStyle name="Input 2 3 2 2 2 2 10" xfId="24533" xr:uid="{00000000-0005-0000-0000-00007B460000}"/>
    <cellStyle name="Input 2 3 2 2 2 2 11" xfId="25532" xr:uid="{00000000-0005-0000-0000-00007C460000}"/>
    <cellStyle name="Input 2 3 2 2 2 2 12" xfId="28479" xr:uid="{00000000-0005-0000-0000-00007D460000}"/>
    <cellStyle name="Input 2 3 2 2 2 2 13" xfId="29446" xr:uid="{00000000-0005-0000-0000-00007E460000}"/>
    <cellStyle name="Input 2 3 2 2 2 2 14" xfId="30488" xr:uid="{00000000-0005-0000-0000-00007F460000}"/>
    <cellStyle name="Input 2 3 2 2 2 2 15" xfId="31479" xr:uid="{00000000-0005-0000-0000-000080460000}"/>
    <cellStyle name="Input 2 3 2 2 2 2 16" xfId="32487" xr:uid="{00000000-0005-0000-0000-000081460000}"/>
    <cellStyle name="Input 2 3 2 2 2 2 17" xfId="33490" xr:uid="{00000000-0005-0000-0000-000082460000}"/>
    <cellStyle name="Input 2 3 2 2 2 2 18" xfId="34489" xr:uid="{00000000-0005-0000-0000-000083460000}"/>
    <cellStyle name="Input 2 3 2 2 2 2 19" xfId="36110" xr:uid="{00000000-0005-0000-0000-000084460000}"/>
    <cellStyle name="Input 2 3 2 2 2 2 2" xfId="16514" xr:uid="{00000000-0005-0000-0000-000085460000}"/>
    <cellStyle name="Input 2 3 2 2 2 2 20" xfId="37049" xr:uid="{00000000-0005-0000-0000-000086460000}"/>
    <cellStyle name="Input 2 3 2 2 2 2 3" xfId="17493" xr:uid="{00000000-0005-0000-0000-000087460000}"/>
    <cellStyle name="Input 2 3 2 2 2 2 4" xfId="18520" xr:uid="{00000000-0005-0000-0000-000088460000}"/>
    <cellStyle name="Input 2 3 2 2 2 2 5" xfId="19552" xr:uid="{00000000-0005-0000-0000-000089460000}"/>
    <cellStyle name="Input 2 3 2 2 2 2 6" xfId="20574" xr:uid="{00000000-0005-0000-0000-00008A460000}"/>
    <cellStyle name="Input 2 3 2 2 2 2 7" xfId="21585" xr:uid="{00000000-0005-0000-0000-00008B460000}"/>
    <cellStyle name="Input 2 3 2 2 2 2 8" xfId="22556" xr:uid="{00000000-0005-0000-0000-00008C460000}"/>
    <cellStyle name="Input 2 3 2 2 2 2 9" xfId="23561" xr:uid="{00000000-0005-0000-0000-00008D460000}"/>
    <cellStyle name="Input 2 3 2 2 2 20" xfId="36109" xr:uid="{00000000-0005-0000-0000-00008E460000}"/>
    <cellStyle name="Input 2 3 2 2 2 21" xfId="37048" xr:uid="{00000000-0005-0000-0000-00008F460000}"/>
    <cellStyle name="Input 2 3 2 2 2 3" xfId="16513" xr:uid="{00000000-0005-0000-0000-000090460000}"/>
    <cellStyle name="Input 2 3 2 2 2 4" xfId="17492" xr:uid="{00000000-0005-0000-0000-000091460000}"/>
    <cellStyle name="Input 2 3 2 2 2 5" xfId="18519" xr:uid="{00000000-0005-0000-0000-000092460000}"/>
    <cellStyle name="Input 2 3 2 2 2 6" xfId="19551" xr:uid="{00000000-0005-0000-0000-000093460000}"/>
    <cellStyle name="Input 2 3 2 2 2 7" xfId="20573" xr:uid="{00000000-0005-0000-0000-000094460000}"/>
    <cellStyle name="Input 2 3 2 2 2 8" xfId="21584" xr:uid="{00000000-0005-0000-0000-000095460000}"/>
    <cellStyle name="Input 2 3 2 2 2 9" xfId="22555" xr:uid="{00000000-0005-0000-0000-000096460000}"/>
    <cellStyle name="Input 2 3 2 2 3" xfId="4701" xr:uid="{00000000-0005-0000-0000-000097460000}"/>
    <cellStyle name="Input 2 3 2 2 3 10" xfId="23562" xr:uid="{00000000-0005-0000-0000-000098460000}"/>
    <cellStyle name="Input 2 3 2 2 3 11" xfId="24534" xr:uid="{00000000-0005-0000-0000-000099460000}"/>
    <cellStyle name="Input 2 3 2 2 3 12" xfId="25533" xr:uid="{00000000-0005-0000-0000-00009A460000}"/>
    <cellStyle name="Input 2 3 2 2 3 13" xfId="28480" xr:uid="{00000000-0005-0000-0000-00009B460000}"/>
    <cellStyle name="Input 2 3 2 2 3 14" xfId="29447" xr:uid="{00000000-0005-0000-0000-00009C460000}"/>
    <cellStyle name="Input 2 3 2 2 3 15" xfId="30489" xr:uid="{00000000-0005-0000-0000-00009D460000}"/>
    <cellStyle name="Input 2 3 2 2 3 16" xfId="31480" xr:uid="{00000000-0005-0000-0000-00009E460000}"/>
    <cellStyle name="Input 2 3 2 2 3 17" xfId="32488" xr:uid="{00000000-0005-0000-0000-00009F460000}"/>
    <cellStyle name="Input 2 3 2 2 3 18" xfId="33491" xr:uid="{00000000-0005-0000-0000-0000A0460000}"/>
    <cellStyle name="Input 2 3 2 2 3 19" xfId="34490" xr:uid="{00000000-0005-0000-0000-0000A1460000}"/>
    <cellStyle name="Input 2 3 2 2 3 2" xfId="4702" xr:uid="{00000000-0005-0000-0000-0000A2460000}"/>
    <cellStyle name="Input 2 3 2 2 3 2 10" xfId="24535" xr:uid="{00000000-0005-0000-0000-0000A3460000}"/>
    <cellStyle name="Input 2 3 2 2 3 2 11" xfId="25534" xr:uid="{00000000-0005-0000-0000-0000A4460000}"/>
    <cellStyle name="Input 2 3 2 2 3 2 12" xfId="28481" xr:uid="{00000000-0005-0000-0000-0000A5460000}"/>
    <cellStyle name="Input 2 3 2 2 3 2 13" xfId="29448" xr:uid="{00000000-0005-0000-0000-0000A6460000}"/>
    <cellStyle name="Input 2 3 2 2 3 2 14" xfId="30490" xr:uid="{00000000-0005-0000-0000-0000A7460000}"/>
    <cellStyle name="Input 2 3 2 2 3 2 15" xfId="31481" xr:uid="{00000000-0005-0000-0000-0000A8460000}"/>
    <cellStyle name="Input 2 3 2 2 3 2 16" xfId="32489" xr:uid="{00000000-0005-0000-0000-0000A9460000}"/>
    <cellStyle name="Input 2 3 2 2 3 2 17" xfId="33492" xr:uid="{00000000-0005-0000-0000-0000AA460000}"/>
    <cellStyle name="Input 2 3 2 2 3 2 18" xfId="34491" xr:uid="{00000000-0005-0000-0000-0000AB460000}"/>
    <cellStyle name="Input 2 3 2 2 3 2 19" xfId="36112" xr:uid="{00000000-0005-0000-0000-0000AC460000}"/>
    <cellStyle name="Input 2 3 2 2 3 2 2" xfId="16516" xr:uid="{00000000-0005-0000-0000-0000AD460000}"/>
    <cellStyle name="Input 2 3 2 2 3 2 20" xfId="37051" xr:uid="{00000000-0005-0000-0000-0000AE460000}"/>
    <cellStyle name="Input 2 3 2 2 3 2 3" xfId="17495" xr:uid="{00000000-0005-0000-0000-0000AF460000}"/>
    <cellStyle name="Input 2 3 2 2 3 2 4" xfId="18522" xr:uid="{00000000-0005-0000-0000-0000B0460000}"/>
    <cellStyle name="Input 2 3 2 2 3 2 5" xfId="19554" xr:uid="{00000000-0005-0000-0000-0000B1460000}"/>
    <cellStyle name="Input 2 3 2 2 3 2 6" xfId="20576" xr:uid="{00000000-0005-0000-0000-0000B2460000}"/>
    <cellStyle name="Input 2 3 2 2 3 2 7" xfId="21587" xr:uid="{00000000-0005-0000-0000-0000B3460000}"/>
    <cellStyle name="Input 2 3 2 2 3 2 8" xfId="22558" xr:uid="{00000000-0005-0000-0000-0000B4460000}"/>
    <cellStyle name="Input 2 3 2 2 3 2 9" xfId="23563" xr:uid="{00000000-0005-0000-0000-0000B5460000}"/>
    <cellStyle name="Input 2 3 2 2 3 20" xfId="36111" xr:uid="{00000000-0005-0000-0000-0000B6460000}"/>
    <cellStyle name="Input 2 3 2 2 3 21" xfId="37050" xr:uid="{00000000-0005-0000-0000-0000B7460000}"/>
    <cellStyle name="Input 2 3 2 2 3 3" xfId="16515" xr:uid="{00000000-0005-0000-0000-0000B8460000}"/>
    <cellStyle name="Input 2 3 2 2 3 4" xfId="17494" xr:uid="{00000000-0005-0000-0000-0000B9460000}"/>
    <cellStyle name="Input 2 3 2 2 3 5" xfId="18521" xr:uid="{00000000-0005-0000-0000-0000BA460000}"/>
    <cellStyle name="Input 2 3 2 2 3 6" xfId="19553" xr:uid="{00000000-0005-0000-0000-0000BB460000}"/>
    <cellStyle name="Input 2 3 2 2 3 7" xfId="20575" xr:uid="{00000000-0005-0000-0000-0000BC460000}"/>
    <cellStyle name="Input 2 3 2 2 3 8" xfId="21586" xr:uid="{00000000-0005-0000-0000-0000BD460000}"/>
    <cellStyle name="Input 2 3 2 2 3 9" xfId="22557" xr:uid="{00000000-0005-0000-0000-0000BE460000}"/>
    <cellStyle name="Input 2 3 2 2 4" xfId="4703" xr:uid="{00000000-0005-0000-0000-0000BF460000}"/>
    <cellStyle name="Input 2 3 2 2 4 10" xfId="23564" xr:uid="{00000000-0005-0000-0000-0000C0460000}"/>
    <cellStyle name="Input 2 3 2 2 4 11" xfId="24536" xr:uid="{00000000-0005-0000-0000-0000C1460000}"/>
    <cellStyle name="Input 2 3 2 2 4 12" xfId="25535" xr:uid="{00000000-0005-0000-0000-0000C2460000}"/>
    <cellStyle name="Input 2 3 2 2 4 13" xfId="28482" xr:uid="{00000000-0005-0000-0000-0000C3460000}"/>
    <cellStyle name="Input 2 3 2 2 4 14" xfId="29449" xr:uid="{00000000-0005-0000-0000-0000C4460000}"/>
    <cellStyle name="Input 2 3 2 2 4 15" xfId="30491" xr:uid="{00000000-0005-0000-0000-0000C5460000}"/>
    <cellStyle name="Input 2 3 2 2 4 16" xfId="31482" xr:uid="{00000000-0005-0000-0000-0000C6460000}"/>
    <cellStyle name="Input 2 3 2 2 4 17" xfId="32490" xr:uid="{00000000-0005-0000-0000-0000C7460000}"/>
    <cellStyle name="Input 2 3 2 2 4 18" xfId="33493" xr:uid="{00000000-0005-0000-0000-0000C8460000}"/>
    <cellStyle name="Input 2 3 2 2 4 19" xfId="34492" xr:uid="{00000000-0005-0000-0000-0000C9460000}"/>
    <cellStyle name="Input 2 3 2 2 4 2" xfId="4704" xr:uid="{00000000-0005-0000-0000-0000CA460000}"/>
    <cellStyle name="Input 2 3 2 2 4 2 10" xfId="24537" xr:uid="{00000000-0005-0000-0000-0000CB460000}"/>
    <cellStyle name="Input 2 3 2 2 4 2 11" xfId="25536" xr:uid="{00000000-0005-0000-0000-0000CC460000}"/>
    <cellStyle name="Input 2 3 2 2 4 2 12" xfId="28483" xr:uid="{00000000-0005-0000-0000-0000CD460000}"/>
    <cellStyle name="Input 2 3 2 2 4 2 13" xfId="29450" xr:uid="{00000000-0005-0000-0000-0000CE460000}"/>
    <cellStyle name="Input 2 3 2 2 4 2 14" xfId="30492" xr:uid="{00000000-0005-0000-0000-0000CF460000}"/>
    <cellStyle name="Input 2 3 2 2 4 2 15" xfId="31483" xr:uid="{00000000-0005-0000-0000-0000D0460000}"/>
    <cellStyle name="Input 2 3 2 2 4 2 16" xfId="32491" xr:uid="{00000000-0005-0000-0000-0000D1460000}"/>
    <cellStyle name="Input 2 3 2 2 4 2 17" xfId="33494" xr:uid="{00000000-0005-0000-0000-0000D2460000}"/>
    <cellStyle name="Input 2 3 2 2 4 2 18" xfId="34493" xr:uid="{00000000-0005-0000-0000-0000D3460000}"/>
    <cellStyle name="Input 2 3 2 2 4 2 19" xfId="36114" xr:uid="{00000000-0005-0000-0000-0000D4460000}"/>
    <cellStyle name="Input 2 3 2 2 4 2 2" xfId="16518" xr:uid="{00000000-0005-0000-0000-0000D5460000}"/>
    <cellStyle name="Input 2 3 2 2 4 2 20" xfId="37053" xr:uid="{00000000-0005-0000-0000-0000D6460000}"/>
    <cellStyle name="Input 2 3 2 2 4 2 3" xfId="17497" xr:uid="{00000000-0005-0000-0000-0000D7460000}"/>
    <cellStyle name="Input 2 3 2 2 4 2 4" xfId="18524" xr:uid="{00000000-0005-0000-0000-0000D8460000}"/>
    <cellStyle name="Input 2 3 2 2 4 2 5" xfId="19556" xr:uid="{00000000-0005-0000-0000-0000D9460000}"/>
    <cellStyle name="Input 2 3 2 2 4 2 6" xfId="20578" xr:uid="{00000000-0005-0000-0000-0000DA460000}"/>
    <cellStyle name="Input 2 3 2 2 4 2 7" xfId="21589" xr:uid="{00000000-0005-0000-0000-0000DB460000}"/>
    <cellStyle name="Input 2 3 2 2 4 2 8" xfId="22560" xr:uid="{00000000-0005-0000-0000-0000DC460000}"/>
    <cellStyle name="Input 2 3 2 2 4 2 9" xfId="23565" xr:uid="{00000000-0005-0000-0000-0000DD460000}"/>
    <cellStyle name="Input 2 3 2 2 4 20" xfId="36113" xr:uid="{00000000-0005-0000-0000-0000DE460000}"/>
    <cellStyle name="Input 2 3 2 2 4 21" xfId="37052" xr:uid="{00000000-0005-0000-0000-0000DF460000}"/>
    <cellStyle name="Input 2 3 2 2 4 3" xfId="16517" xr:uid="{00000000-0005-0000-0000-0000E0460000}"/>
    <cellStyle name="Input 2 3 2 2 4 4" xfId="17496" xr:uid="{00000000-0005-0000-0000-0000E1460000}"/>
    <cellStyle name="Input 2 3 2 2 4 5" xfId="18523" xr:uid="{00000000-0005-0000-0000-0000E2460000}"/>
    <cellStyle name="Input 2 3 2 2 4 6" xfId="19555" xr:uid="{00000000-0005-0000-0000-0000E3460000}"/>
    <cellStyle name="Input 2 3 2 2 4 7" xfId="20577" xr:uid="{00000000-0005-0000-0000-0000E4460000}"/>
    <cellStyle name="Input 2 3 2 2 4 8" xfId="21588" xr:uid="{00000000-0005-0000-0000-0000E5460000}"/>
    <cellStyle name="Input 2 3 2 2 4 9" xfId="22559" xr:uid="{00000000-0005-0000-0000-0000E6460000}"/>
    <cellStyle name="Input 2 3 2 2 5" xfId="4705" xr:uid="{00000000-0005-0000-0000-0000E7460000}"/>
    <cellStyle name="Input 2 3 2 2 5 10" xfId="24538" xr:uid="{00000000-0005-0000-0000-0000E8460000}"/>
    <cellStyle name="Input 2 3 2 2 5 11" xfId="25537" xr:uid="{00000000-0005-0000-0000-0000E9460000}"/>
    <cellStyle name="Input 2 3 2 2 5 12" xfId="28484" xr:uid="{00000000-0005-0000-0000-0000EA460000}"/>
    <cellStyle name="Input 2 3 2 2 5 13" xfId="29451" xr:uid="{00000000-0005-0000-0000-0000EB460000}"/>
    <cellStyle name="Input 2 3 2 2 5 14" xfId="30493" xr:uid="{00000000-0005-0000-0000-0000EC460000}"/>
    <cellStyle name="Input 2 3 2 2 5 15" xfId="31484" xr:uid="{00000000-0005-0000-0000-0000ED460000}"/>
    <cellStyle name="Input 2 3 2 2 5 16" xfId="32492" xr:uid="{00000000-0005-0000-0000-0000EE460000}"/>
    <cellStyle name="Input 2 3 2 2 5 17" xfId="33495" xr:uid="{00000000-0005-0000-0000-0000EF460000}"/>
    <cellStyle name="Input 2 3 2 2 5 18" xfId="34494" xr:uid="{00000000-0005-0000-0000-0000F0460000}"/>
    <cellStyle name="Input 2 3 2 2 5 19" xfId="36115" xr:uid="{00000000-0005-0000-0000-0000F1460000}"/>
    <cellStyle name="Input 2 3 2 2 5 2" xfId="16519" xr:uid="{00000000-0005-0000-0000-0000F2460000}"/>
    <cellStyle name="Input 2 3 2 2 5 20" xfId="37054" xr:uid="{00000000-0005-0000-0000-0000F3460000}"/>
    <cellStyle name="Input 2 3 2 2 5 3" xfId="17498" xr:uid="{00000000-0005-0000-0000-0000F4460000}"/>
    <cellStyle name="Input 2 3 2 2 5 4" xfId="18525" xr:uid="{00000000-0005-0000-0000-0000F5460000}"/>
    <cellStyle name="Input 2 3 2 2 5 5" xfId="19557" xr:uid="{00000000-0005-0000-0000-0000F6460000}"/>
    <cellStyle name="Input 2 3 2 2 5 6" xfId="20579" xr:uid="{00000000-0005-0000-0000-0000F7460000}"/>
    <cellStyle name="Input 2 3 2 2 5 7" xfId="21590" xr:uid="{00000000-0005-0000-0000-0000F8460000}"/>
    <cellStyle name="Input 2 3 2 2 5 8" xfId="22561" xr:uid="{00000000-0005-0000-0000-0000F9460000}"/>
    <cellStyle name="Input 2 3 2 2 5 9" xfId="23566" xr:uid="{00000000-0005-0000-0000-0000FA460000}"/>
    <cellStyle name="Input 2 3 2 2 6" xfId="15197" xr:uid="{00000000-0005-0000-0000-0000FB460000}"/>
    <cellStyle name="Input 2 3 2 2 7" xfId="13813" xr:uid="{00000000-0005-0000-0000-0000FC460000}"/>
    <cellStyle name="Input 2 3 2 2 8" xfId="14618" xr:uid="{00000000-0005-0000-0000-0000FD460000}"/>
    <cellStyle name="Input 2 3 2 2 9" xfId="15801" xr:uid="{00000000-0005-0000-0000-0000FE460000}"/>
    <cellStyle name="Input 2 3 2 20" xfId="29823" xr:uid="{00000000-0005-0000-0000-0000FF460000}"/>
    <cellStyle name="Input 2 3 2 21" xfId="26898" xr:uid="{00000000-0005-0000-0000-000000470000}"/>
    <cellStyle name="Input 2 3 2 22" xfId="34959" xr:uid="{00000000-0005-0000-0000-000001470000}"/>
    <cellStyle name="Input 2 3 2 23" xfId="35477" xr:uid="{00000000-0005-0000-0000-000002470000}"/>
    <cellStyle name="Input 2 3 2 3" xfId="4706" xr:uid="{00000000-0005-0000-0000-000003470000}"/>
    <cellStyle name="Input 2 3 2 3 10" xfId="15514" xr:uid="{00000000-0005-0000-0000-000004470000}"/>
    <cellStyle name="Input 2 3 2 3 11" xfId="20905" xr:uid="{00000000-0005-0000-0000-000005470000}"/>
    <cellStyle name="Input 2 3 2 3 12" xfId="26400" xr:uid="{00000000-0005-0000-0000-000006470000}"/>
    <cellStyle name="Input 2 3 2 3 13" xfId="27122" xr:uid="{00000000-0005-0000-0000-000007470000}"/>
    <cellStyle name="Input 2 3 2 3 14" xfId="25944" xr:uid="{00000000-0005-0000-0000-000008470000}"/>
    <cellStyle name="Input 2 3 2 3 15" xfId="27494" xr:uid="{00000000-0005-0000-0000-000009470000}"/>
    <cellStyle name="Input 2 3 2 3 16" xfId="27508" xr:uid="{00000000-0005-0000-0000-00000A470000}"/>
    <cellStyle name="Input 2 3 2 3 17" xfId="27409" xr:uid="{00000000-0005-0000-0000-00000B470000}"/>
    <cellStyle name="Input 2 3 2 3 18" xfId="35091" xr:uid="{00000000-0005-0000-0000-00000C470000}"/>
    <cellStyle name="Input 2 3 2 3 19" xfId="35278" xr:uid="{00000000-0005-0000-0000-00000D470000}"/>
    <cellStyle name="Input 2 3 2 3 2" xfId="4707" xr:uid="{00000000-0005-0000-0000-00000E470000}"/>
    <cellStyle name="Input 2 3 2 3 2 10" xfId="23567" xr:uid="{00000000-0005-0000-0000-00000F470000}"/>
    <cellStyle name="Input 2 3 2 3 2 11" xfId="24539" xr:uid="{00000000-0005-0000-0000-000010470000}"/>
    <cellStyle name="Input 2 3 2 3 2 12" xfId="25538" xr:uid="{00000000-0005-0000-0000-000011470000}"/>
    <cellStyle name="Input 2 3 2 3 2 13" xfId="28485" xr:uid="{00000000-0005-0000-0000-000012470000}"/>
    <cellStyle name="Input 2 3 2 3 2 14" xfId="29452" xr:uid="{00000000-0005-0000-0000-000013470000}"/>
    <cellStyle name="Input 2 3 2 3 2 15" xfId="30494" xr:uid="{00000000-0005-0000-0000-000014470000}"/>
    <cellStyle name="Input 2 3 2 3 2 16" xfId="31485" xr:uid="{00000000-0005-0000-0000-000015470000}"/>
    <cellStyle name="Input 2 3 2 3 2 17" xfId="32493" xr:uid="{00000000-0005-0000-0000-000016470000}"/>
    <cellStyle name="Input 2 3 2 3 2 18" xfId="33496" xr:uid="{00000000-0005-0000-0000-000017470000}"/>
    <cellStyle name="Input 2 3 2 3 2 19" xfId="34495" xr:uid="{00000000-0005-0000-0000-000018470000}"/>
    <cellStyle name="Input 2 3 2 3 2 2" xfId="4708" xr:uid="{00000000-0005-0000-0000-000019470000}"/>
    <cellStyle name="Input 2 3 2 3 2 2 10" xfId="24540" xr:uid="{00000000-0005-0000-0000-00001A470000}"/>
    <cellStyle name="Input 2 3 2 3 2 2 11" xfId="25539" xr:uid="{00000000-0005-0000-0000-00001B470000}"/>
    <cellStyle name="Input 2 3 2 3 2 2 12" xfId="28486" xr:uid="{00000000-0005-0000-0000-00001C470000}"/>
    <cellStyle name="Input 2 3 2 3 2 2 13" xfId="29453" xr:uid="{00000000-0005-0000-0000-00001D470000}"/>
    <cellStyle name="Input 2 3 2 3 2 2 14" xfId="30495" xr:uid="{00000000-0005-0000-0000-00001E470000}"/>
    <cellStyle name="Input 2 3 2 3 2 2 15" xfId="31486" xr:uid="{00000000-0005-0000-0000-00001F470000}"/>
    <cellStyle name="Input 2 3 2 3 2 2 16" xfId="32494" xr:uid="{00000000-0005-0000-0000-000020470000}"/>
    <cellStyle name="Input 2 3 2 3 2 2 17" xfId="33497" xr:uid="{00000000-0005-0000-0000-000021470000}"/>
    <cellStyle name="Input 2 3 2 3 2 2 18" xfId="34496" xr:uid="{00000000-0005-0000-0000-000022470000}"/>
    <cellStyle name="Input 2 3 2 3 2 2 19" xfId="36117" xr:uid="{00000000-0005-0000-0000-000023470000}"/>
    <cellStyle name="Input 2 3 2 3 2 2 2" xfId="16521" xr:uid="{00000000-0005-0000-0000-000024470000}"/>
    <cellStyle name="Input 2 3 2 3 2 2 20" xfId="37056" xr:uid="{00000000-0005-0000-0000-000025470000}"/>
    <cellStyle name="Input 2 3 2 3 2 2 3" xfId="17500" xr:uid="{00000000-0005-0000-0000-000026470000}"/>
    <cellStyle name="Input 2 3 2 3 2 2 4" xfId="18527" xr:uid="{00000000-0005-0000-0000-000027470000}"/>
    <cellStyle name="Input 2 3 2 3 2 2 5" xfId="19559" xr:uid="{00000000-0005-0000-0000-000028470000}"/>
    <cellStyle name="Input 2 3 2 3 2 2 6" xfId="20581" xr:uid="{00000000-0005-0000-0000-000029470000}"/>
    <cellStyle name="Input 2 3 2 3 2 2 7" xfId="21592" xr:uid="{00000000-0005-0000-0000-00002A470000}"/>
    <cellStyle name="Input 2 3 2 3 2 2 8" xfId="22563" xr:uid="{00000000-0005-0000-0000-00002B470000}"/>
    <cellStyle name="Input 2 3 2 3 2 2 9" xfId="23568" xr:uid="{00000000-0005-0000-0000-00002C470000}"/>
    <cellStyle name="Input 2 3 2 3 2 20" xfId="36116" xr:uid="{00000000-0005-0000-0000-00002D470000}"/>
    <cellStyle name="Input 2 3 2 3 2 21" xfId="37055" xr:uid="{00000000-0005-0000-0000-00002E470000}"/>
    <cellStyle name="Input 2 3 2 3 2 3" xfId="16520" xr:uid="{00000000-0005-0000-0000-00002F470000}"/>
    <cellStyle name="Input 2 3 2 3 2 4" xfId="17499" xr:uid="{00000000-0005-0000-0000-000030470000}"/>
    <cellStyle name="Input 2 3 2 3 2 5" xfId="18526" xr:uid="{00000000-0005-0000-0000-000031470000}"/>
    <cellStyle name="Input 2 3 2 3 2 6" xfId="19558" xr:uid="{00000000-0005-0000-0000-000032470000}"/>
    <cellStyle name="Input 2 3 2 3 2 7" xfId="20580" xr:uid="{00000000-0005-0000-0000-000033470000}"/>
    <cellStyle name="Input 2 3 2 3 2 8" xfId="21591" xr:uid="{00000000-0005-0000-0000-000034470000}"/>
    <cellStyle name="Input 2 3 2 3 2 9" xfId="22562" xr:uid="{00000000-0005-0000-0000-000035470000}"/>
    <cellStyle name="Input 2 3 2 3 3" xfId="4709" xr:uid="{00000000-0005-0000-0000-000036470000}"/>
    <cellStyle name="Input 2 3 2 3 3 10" xfId="23569" xr:uid="{00000000-0005-0000-0000-000037470000}"/>
    <cellStyle name="Input 2 3 2 3 3 11" xfId="24541" xr:uid="{00000000-0005-0000-0000-000038470000}"/>
    <cellStyle name="Input 2 3 2 3 3 12" xfId="25540" xr:uid="{00000000-0005-0000-0000-000039470000}"/>
    <cellStyle name="Input 2 3 2 3 3 13" xfId="28487" xr:uid="{00000000-0005-0000-0000-00003A470000}"/>
    <cellStyle name="Input 2 3 2 3 3 14" xfId="29454" xr:uid="{00000000-0005-0000-0000-00003B470000}"/>
    <cellStyle name="Input 2 3 2 3 3 15" xfId="30496" xr:uid="{00000000-0005-0000-0000-00003C470000}"/>
    <cellStyle name="Input 2 3 2 3 3 16" xfId="31487" xr:uid="{00000000-0005-0000-0000-00003D470000}"/>
    <cellStyle name="Input 2 3 2 3 3 17" xfId="32495" xr:uid="{00000000-0005-0000-0000-00003E470000}"/>
    <cellStyle name="Input 2 3 2 3 3 18" xfId="33498" xr:uid="{00000000-0005-0000-0000-00003F470000}"/>
    <cellStyle name="Input 2 3 2 3 3 19" xfId="34497" xr:uid="{00000000-0005-0000-0000-000040470000}"/>
    <cellStyle name="Input 2 3 2 3 3 2" xfId="4710" xr:uid="{00000000-0005-0000-0000-000041470000}"/>
    <cellStyle name="Input 2 3 2 3 3 2 10" xfId="24542" xr:uid="{00000000-0005-0000-0000-000042470000}"/>
    <cellStyle name="Input 2 3 2 3 3 2 11" xfId="25541" xr:uid="{00000000-0005-0000-0000-000043470000}"/>
    <cellStyle name="Input 2 3 2 3 3 2 12" xfId="28488" xr:uid="{00000000-0005-0000-0000-000044470000}"/>
    <cellStyle name="Input 2 3 2 3 3 2 13" xfId="29455" xr:uid="{00000000-0005-0000-0000-000045470000}"/>
    <cellStyle name="Input 2 3 2 3 3 2 14" xfId="30497" xr:uid="{00000000-0005-0000-0000-000046470000}"/>
    <cellStyle name="Input 2 3 2 3 3 2 15" xfId="31488" xr:uid="{00000000-0005-0000-0000-000047470000}"/>
    <cellStyle name="Input 2 3 2 3 3 2 16" xfId="32496" xr:uid="{00000000-0005-0000-0000-000048470000}"/>
    <cellStyle name="Input 2 3 2 3 3 2 17" xfId="33499" xr:uid="{00000000-0005-0000-0000-000049470000}"/>
    <cellStyle name="Input 2 3 2 3 3 2 18" xfId="34498" xr:uid="{00000000-0005-0000-0000-00004A470000}"/>
    <cellStyle name="Input 2 3 2 3 3 2 19" xfId="36119" xr:uid="{00000000-0005-0000-0000-00004B470000}"/>
    <cellStyle name="Input 2 3 2 3 3 2 2" xfId="16523" xr:uid="{00000000-0005-0000-0000-00004C470000}"/>
    <cellStyle name="Input 2 3 2 3 3 2 20" xfId="37058" xr:uid="{00000000-0005-0000-0000-00004D470000}"/>
    <cellStyle name="Input 2 3 2 3 3 2 3" xfId="17502" xr:uid="{00000000-0005-0000-0000-00004E470000}"/>
    <cellStyle name="Input 2 3 2 3 3 2 4" xfId="18529" xr:uid="{00000000-0005-0000-0000-00004F470000}"/>
    <cellStyle name="Input 2 3 2 3 3 2 5" xfId="19561" xr:uid="{00000000-0005-0000-0000-000050470000}"/>
    <cellStyle name="Input 2 3 2 3 3 2 6" xfId="20583" xr:uid="{00000000-0005-0000-0000-000051470000}"/>
    <cellStyle name="Input 2 3 2 3 3 2 7" xfId="21594" xr:uid="{00000000-0005-0000-0000-000052470000}"/>
    <cellStyle name="Input 2 3 2 3 3 2 8" xfId="22565" xr:uid="{00000000-0005-0000-0000-000053470000}"/>
    <cellStyle name="Input 2 3 2 3 3 2 9" xfId="23570" xr:uid="{00000000-0005-0000-0000-000054470000}"/>
    <cellStyle name="Input 2 3 2 3 3 20" xfId="36118" xr:uid="{00000000-0005-0000-0000-000055470000}"/>
    <cellStyle name="Input 2 3 2 3 3 21" xfId="37057" xr:uid="{00000000-0005-0000-0000-000056470000}"/>
    <cellStyle name="Input 2 3 2 3 3 3" xfId="16522" xr:uid="{00000000-0005-0000-0000-000057470000}"/>
    <cellStyle name="Input 2 3 2 3 3 4" xfId="17501" xr:uid="{00000000-0005-0000-0000-000058470000}"/>
    <cellStyle name="Input 2 3 2 3 3 5" xfId="18528" xr:uid="{00000000-0005-0000-0000-000059470000}"/>
    <cellStyle name="Input 2 3 2 3 3 6" xfId="19560" xr:uid="{00000000-0005-0000-0000-00005A470000}"/>
    <cellStyle name="Input 2 3 2 3 3 7" xfId="20582" xr:uid="{00000000-0005-0000-0000-00005B470000}"/>
    <cellStyle name="Input 2 3 2 3 3 8" xfId="21593" xr:uid="{00000000-0005-0000-0000-00005C470000}"/>
    <cellStyle name="Input 2 3 2 3 3 9" xfId="22564" xr:uid="{00000000-0005-0000-0000-00005D470000}"/>
    <cellStyle name="Input 2 3 2 3 4" xfId="4711" xr:uid="{00000000-0005-0000-0000-00005E470000}"/>
    <cellStyle name="Input 2 3 2 3 4 10" xfId="23571" xr:uid="{00000000-0005-0000-0000-00005F470000}"/>
    <cellStyle name="Input 2 3 2 3 4 11" xfId="24543" xr:uid="{00000000-0005-0000-0000-000060470000}"/>
    <cellStyle name="Input 2 3 2 3 4 12" xfId="25542" xr:uid="{00000000-0005-0000-0000-000061470000}"/>
    <cellStyle name="Input 2 3 2 3 4 13" xfId="28489" xr:uid="{00000000-0005-0000-0000-000062470000}"/>
    <cellStyle name="Input 2 3 2 3 4 14" xfId="29456" xr:uid="{00000000-0005-0000-0000-000063470000}"/>
    <cellStyle name="Input 2 3 2 3 4 15" xfId="30498" xr:uid="{00000000-0005-0000-0000-000064470000}"/>
    <cellStyle name="Input 2 3 2 3 4 16" xfId="31489" xr:uid="{00000000-0005-0000-0000-000065470000}"/>
    <cellStyle name="Input 2 3 2 3 4 17" xfId="32497" xr:uid="{00000000-0005-0000-0000-000066470000}"/>
    <cellStyle name="Input 2 3 2 3 4 18" xfId="33500" xr:uid="{00000000-0005-0000-0000-000067470000}"/>
    <cellStyle name="Input 2 3 2 3 4 19" xfId="34499" xr:uid="{00000000-0005-0000-0000-000068470000}"/>
    <cellStyle name="Input 2 3 2 3 4 2" xfId="4712" xr:uid="{00000000-0005-0000-0000-000069470000}"/>
    <cellStyle name="Input 2 3 2 3 4 2 10" xfId="24544" xr:uid="{00000000-0005-0000-0000-00006A470000}"/>
    <cellStyle name="Input 2 3 2 3 4 2 11" xfId="25543" xr:uid="{00000000-0005-0000-0000-00006B470000}"/>
    <cellStyle name="Input 2 3 2 3 4 2 12" xfId="28490" xr:uid="{00000000-0005-0000-0000-00006C470000}"/>
    <cellStyle name="Input 2 3 2 3 4 2 13" xfId="29457" xr:uid="{00000000-0005-0000-0000-00006D470000}"/>
    <cellStyle name="Input 2 3 2 3 4 2 14" xfId="30499" xr:uid="{00000000-0005-0000-0000-00006E470000}"/>
    <cellStyle name="Input 2 3 2 3 4 2 15" xfId="31490" xr:uid="{00000000-0005-0000-0000-00006F470000}"/>
    <cellStyle name="Input 2 3 2 3 4 2 16" xfId="32498" xr:uid="{00000000-0005-0000-0000-000070470000}"/>
    <cellStyle name="Input 2 3 2 3 4 2 17" xfId="33501" xr:uid="{00000000-0005-0000-0000-000071470000}"/>
    <cellStyle name="Input 2 3 2 3 4 2 18" xfId="34500" xr:uid="{00000000-0005-0000-0000-000072470000}"/>
    <cellStyle name="Input 2 3 2 3 4 2 19" xfId="36121" xr:uid="{00000000-0005-0000-0000-000073470000}"/>
    <cellStyle name="Input 2 3 2 3 4 2 2" xfId="16525" xr:uid="{00000000-0005-0000-0000-000074470000}"/>
    <cellStyle name="Input 2 3 2 3 4 2 20" xfId="37060" xr:uid="{00000000-0005-0000-0000-000075470000}"/>
    <cellStyle name="Input 2 3 2 3 4 2 3" xfId="17504" xr:uid="{00000000-0005-0000-0000-000076470000}"/>
    <cellStyle name="Input 2 3 2 3 4 2 4" xfId="18531" xr:uid="{00000000-0005-0000-0000-000077470000}"/>
    <cellStyle name="Input 2 3 2 3 4 2 5" xfId="19563" xr:uid="{00000000-0005-0000-0000-000078470000}"/>
    <cellStyle name="Input 2 3 2 3 4 2 6" xfId="20585" xr:uid="{00000000-0005-0000-0000-000079470000}"/>
    <cellStyle name="Input 2 3 2 3 4 2 7" xfId="21596" xr:uid="{00000000-0005-0000-0000-00007A470000}"/>
    <cellStyle name="Input 2 3 2 3 4 2 8" xfId="22567" xr:uid="{00000000-0005-0000-0000-00007B470000}"/>
    <cellStyle name="Input 2 3 2 3 4 2 9" xfId="23572" xr:uid="{00000000-0005-0000-0000-00007C470000}"/>
    <cellStyle name="Input 2 3 2 3 4 20" xfId="36120" xr:uid="{00000000-0005-0000-0000-00007D470000}"/>
    <cellStyle name="Input 2 3 2 3 4 21" xfId="37059" xr:uid="{00000000-0005-0000-0000-00007E470000}"/>
    <cellStyle name="Input 2 3 2 3 4 3" xfId="16524" xr:uid="{00000000-0005-0000-0000-00007F470000}"/>
    <cellStyle name="Input 2 3 2 3 4 4" xfId="17503" xr:uid="{00000000-0005-0000-0000-000080470000}"/>
    <cellStyle name="Input 2 3 2 3 4 5" xfId="18530" xr:uid="{00000000-0005-0000-0000-000081470000}"/>
    <cellStyle name="Input 2 3 2 3 4 6" xfId="19562" xr:uid="{00000000-0005-0000-0000-000082470000}"/>
    <cellStyle name="Input 2 3 2 3 4 7" xfId="20584" xr:uid="{00000000-0005-0000-0000-000083470000}"/>
    <cellStyle name="Input 2 3 2 3 4 8" xfId="21595" xr:uid="{00000000-0005-0000-0000-000084470000}"/>
    <cellStyle name="Input 2 3 2 3 4 9" xfId="22566" xr:uid="{00000000-0005-0000-0000-000085470000}"/>
    <cellStyle name="Input 2 3 2 3 5" xfId="4713" xr:uid="{00000000-0005-0000-0000-000086470000}"/>
    <cellStyle name="Input 2 3 2 3 5 10" xfId="24545" xr:uid="{00000000-0005-0000-0000-000087470000}"/>
    <cellStyle name="Input 2 3 2 3 5 11" xfId="25544" xr:uid="{00000000-0005-0000-0000-000088470000}"/>
    <cellStyle name="Input 2 3 2 3 5 12" xfId="28491" xr:uid="{00000000-0005-0000-0000-000089470000}"/>
    <cellStyle name="Input 2 3 2 3 5 13" xfId="29458" xr:uid="{00000000-0005-0000-0000-00008A470000}"/>
    <cellStyle name="Input 2 3 2 3 5 14" xfId="30500" xr:uid="{00000000-0005-0000-0000-00008B470000}"/>
    <cellStyle name="Input 2 3 2 3 5 15" xfId="31491" xr:uid="{00000000-0005-0000-0000-00008C470000}"/>
    <cellStyle name="Input 2 3 2 3 5 16" xfId="32499" xr:uid="{00000000-0005-0000-0000-00008D470000}"/>
    <cellStyle name="Input 2 3 2 3 5 17" xfId="33502" xr:uid="{00000000-0005-0000-0000-00008E470000}"/>
    <cellStyle name="Input 2 3 2 3 5 18" xfId="34501" xr:uid="{00000000-0005-0000-0000-00008F470000}"/>
    <cellStyle name="Input 2 3 2 3 5 19" xfId="36122" xr:uid="{00000000-0005-0000-0000-000090470000}"/>
    <cellStyle name="Input 2 3 2 3 5 2" xfId="16526" xr:uid="{00000000-0005-0000-0000-000091470000}"/>
    <cellStyle name="Input 2 3 2 3 5 20" xfId="37061" xr:uid="{00000000-0005-0000-0000-000092470000}"/>
    <cellStyle name="Input 2 3 2 3 5 3" xfId="17505" xr:uid="{00000000-0005-0000-0000-000093470000}"/>
    <cellStyle name="Input 2 3 2 3 5 4" xfId="18532" xr:uid="{00000000-0005-0000-0000-000094470000}"/>
    <cellStyle name="Input 2 3 2 3 5 5" xfId="19564" xr:uid="{00000000-0005-0000-0000-000095470000}"/>
    <cellStyle name="Input 2 3 2 3 5 6" xfId="20586" xr:uid="{00000000-0005-0000-0000-000096470000}"/>
    <cellStyle name="Input 2 3 2 3 5 7" xfId="21597" xr:uid="{00000000-0005-0000-0000-000097470000}"/>
    <cellStyle name="Input 2 3 2 3 5 8" xfId="22568" xr:uid="{00000000-0005-0000-0000-000098470000}"/>
    <cellStyle name="Input 2 3 2 3 5 9" xfId="23573" xr:uid="{00000000-0005-0000-0000-000099470000}"/>
    <cellStyle name="Input 2 3 2 3 6" xfId="14428" xr:uid="{00000000-0005-0000-0000-00009A470000}"/>
    <cellStyle name="Input 2 3 2 3 7" xfId="14141" xr:uid="{00000000-0005-0000-0000-00009B470000}"/>
    <cellStyle name="Input 2 3 2 3 8" xfId="13417" xr:uid="{00000000-0005-0000-0000-00009C470000}"/>
    <cellStyle name="Input 2 3 2 3 9" xfId="14566" xr:uid="{00000000-0005-0000-0000-00009D470000}"/>
    <cellStyle name="Input 2 3 2 4" xfId="4714" xr:uid="{00000000-0005-0000-0000-00009E470000}"/>
    <cellStyle name="Input 2 3 2 4 10" xfId="18904" xr:uid="{00000000-0005-0000-0000-00009F470000}"/>
    <cellStyle name="Input 2 3 2 4 11" xfId="13966" xr:uid="{00000000-0005-0000-0000-0000A0470000}"/>
    <cellStyle name="Input 2 3 2 4 12" xfId="26416" xr:uid="{00000000-0005-0000-0000-0000A1470000}"/>
    <cellStyle name="Input 2 3 2 4 13" xfId="27110" xr:uid="{00000000-0005-0000-0000-0000A2470000}"/>
    <cellStyle name="Input 2 3 2 4 14" xfId="25980" xr:uid="{00000000-0005-0000-0000-0000A3470000}"/>
    <cellStyle name="Input 2 3 2 4 15" xfId="26555" xr:uid="{00000000-0005-0000-0000-0000A4470000}"/>
    <cellStyle name="Input 2 3 2 4 16" xfId="27612" xr:uid="{00000000-0005-0000-0000-0000A5470000}"/>
    <cellStyle name="Input 2 3 2 4 17" xfId="27806" xr:uid="{00000000-0005-0000-0000-0000A6470000}"/>
    <cellStyle name="Input 2 3 2 4 18" xfId="35106" xr:uid="{00000000-0005-0000-0000-0000A7470000}"/>
    <cellStyle name="Input 2 3 2 4 19" xfId="35422" xr:uid="{00000000-0005-0000-0000-0000A8470000}"/>
    <cellStyle name="Input 2 3 2 4 2" xfId="4715" xr:uid="{00000000-0005-0000-0000-0000A9470000}"/>
    <cellStyle name="Input 2 3 2 4 2 10" xfId="23574" xr:uid="{00000000-0005-0000-0000-0000AA470000}"/>
    <cellStyle name="Input 2 3 2 4 2 11" xfId="24546" xr:uid="{00000000-0005-0000-0000-0000AB470000}"/>
    <cellStyle name="Input 2 3 2 4 2 12" xfId="25545" xr:uid="{00000000-0005-0000-0000-0000AC470000}"/>
    <cellStyle name="Input 2 3 2 4 2 13" xfId="28492" xr:uid="{00000000-0005-0000-0000-0000AD470000}"/>
    <cellStyle name="Input 2 3 2 4 2 14" xfId="29459" xr:uid="{00000000-0005-0000-0000-0000AE470000}"/>
    <cellStyle name="Input 2 3 2 4 2 15" xfId="30501" xr:uid="{00000000-0005-0000-0000-0000AF470000}"/>
    <cellStyle name="Input 2 3 2 4 2 16" xfId="31492" xr:uid="{00000000-0005-0000-0000-0000B0470000}"/>
    <cellStyle name="Input 2 3 2 4 2 17" xfId="32500" xr:uid="{00000000-0005-0000-0000-0000B1470000}"/>
    <cellStyle name="Input 2 3 2 4 2 18" xfId="33503" xr:uid="{00000000-0005-0000-0000-0000B2470000}"/>
    <cellStyle name="Input 2 3 2 4 2 19" xfId="34502" xr:uid="{00000000-0005-0000-0000-0000B3470000}"/>
    <cellStyle name="Input 2 3 2 4 2 2" xfId="4716" xr:uid="{00000000-0005-0000-0000-0000B4470000}"/>
    <cellStyle name="Input 2 3 2 4 2 2 10" xfId="24547" xr:uid="{00000000-0005-0000-0000-0000B5470000}"/>
    <cellStyle name="Input 2 3 2 4 2 2 11" xfId="25546" xr:uid="{00000000-0005-0000-0000-0000B6470000}"/>
    <cellStyle name="Input 2 3 2 4 2 2 12" xfId="28493" xr:uid="{00000000-0005-0000-0000-0000B7470000}"/>
    <cellStyle name="Input 2 3 2 4 2 2 13" xfId="29460" xr:uid="{00000000-0005-0000-0000-0000B8470000}"/>
    <cellStyle name="Input 2 3 2 4 2 2 14" xfId="30502" xr:uid="{00000000-0005-0000-0000-0000B9470000}"/>
    <cellStyle name="Input 2 3 2 4 2 2 15" xfId="31493" xr:uid="{00000000-0005-0000-0000-0000BA470000}"/>
    <cellStyle name="Input 2 3 2 4 2 2 16" xfId="32501" xr:uid="{00000000-0005-0000-0000-0000BB470000}"/>
    <cellStyle name="Input 2 3 2 4 2 2 17" xfId="33504" xr:uid="{00000000-0005-0000-0000-0000BC470000}"/>
    <cellStyle name="Input 2 3 2 4 2 2 18" xfId="34503" xr:uid="{00000000-0005-0000-0000-0000BD470000}"/>
    <cellStyle name="Input 2 3 2 4 2 2 19" xfId="36124" xr:uid="{00000000-0005-0000-0000-0000BE470000}"/>
    <cellStyle name="Input 2 3 2 4 2 2 2" xfId="16528" xr:uid="{00000000-0005-0000-0000-0000BF470000}"/>
    <cellStyle name="Input 2 3 2 4 2 2 20" xfId="37063" xr:uid="{00000000-0005-0000-0000-0000C0470000}"/>
    <cellStyle name="Input 2 3 2 4 2 2 3" xfId="17507" xr:uid="{00000000-0005-0000-0000-0000C1470000}"/>
    <cellStyle name="Input 2 3 2 4 2 2 4" xfId="18534" xr:uid="{00000000-0005-0000-0000-0000C2470000}"/>
    <cellStyle name="Input 2 3 2 4 2 2 5" xfId="19566" xr:uid="{00000000-0005-0000-0000-0000C3470000}"/>
    <cellStyle name="Input 2 3 2 4 2 2 6" xfId="20588" xr:uid="{00000000-0005-0000-0000-0000C4470000}"/>
    <cellStyle name="Input 2 3 2 4 2 2 7" xfId="21599" xr:uid="{00000000-0005-0000-0000-0000C5470000}"/>
    <cellStyle name="Input 2 3 2 4 2 2 8" xfId="22570" xr:uid="{00000000-0005-0000-0000-0000C6470000}"/>
    <cellStyle name="Input 2 3 2 4 2 2 9" xfId="23575" xr:uid="{00000000-0005-0000-0000-0000C7470000}"/>
    <cellStyle name="Input 2 3 2 4 2 20" xfId="36123" xr:uid="{00000000-0005-0000-0000-0000C8470000}"/>
    <cellStyle name="Input 2 3 2 4 2 21" xfId="37062" xr:uid="{00000000-0005-0000-0000-0000C9470000}"/>
    <cellStyle name="Input 2 3 2 4 2 3" xfId="16527" xr:uid="{00000000-0005-0000-0000-0000CA470000}"/>
    <cellStyle name="Input 2 3 2 4 2 4" xfId="17506" xr:uid="{00000000-0005-0000-0000-0000CB470000}"/>
    <cellStyle name="Input 2 3 2 4 2 5" xfId="18533" xr:uid="{00000000-0005-0000-0000-0000CC470000}"/>
    <cellStyle name="Input 2 3 2 4 2 6" xfId="19565" xr:uid="{00000000-0005-0000-0000-0000CD470000}"/>
    <cellStyle name="Input 2 3 2 4 2 7" xfId="20587" xr:uid="{00000000-0005-0000-0000-0000CE470000}"/>
    <cellStyle name="Input 2 3 2 4 2 8" xfId="21598" xr:uid="{00000000-0005-0000-0000-0000CF470000}"/>
    <cellStyle name="Input 2 3 2 4 2 9" xfId="22569" xr:uid="{00000000-0005-0000-0000-0000D0470000}"/>
    <cellStyle name="Input 2 3 2 4 3" xfId="4717" xr:uid="{00000000-0005-0000-0000-0000D1470000}"/>
    <cellStyle name="Input 2 3 2 4 3 10" xfId="23576" xr:uid="{00000000-0005-0000-0000-0000D2470000}"/>
    <cellStyle name="Input 2 3 2 4 3 11" xfId="24548" xr:uid="{00000000-0005-0000-0000-0000D3470000}"/>
    <cellStyle name="Input 2 3 2 4 3 12" xfId="25547" xr:uid="{00000000-0005-0000-0000-0000D4470000}"/>
    <cellStyle name="Input 2 3 2 4 3 13" xfId="28494" xr:uid="{00000000-0005-0000-0000-0000D5470000}"/>
    <cellStyle name="Input 2 3 2 4 3 14" xfId="29461" xr:uid="{00000000-0005-0000-0000-0000D6470000}"/>
    <cellStyle name="Input 2 3 2 4 3 15" xfId="30503" xr:uid="{00000000-0005-0000-0000-0000D7470000}"/>
    <cellStyle name="Input 2 3 2 4 3 16" xfId="31494" xr:uid="{00000000-0005-0000-0000-0000D8470000}"/>
    <cellStyle name="Input 2 3 2 4 3 17" xfId="32502" xr:uid="{00000000-0005-0000-0000-0000D9470000}"/>
    <cellStyle name="Input 2 3 2 4 3 18" xfId="33505" xr:uid="{00000000-0005-0000-0000-0000DA470000}"/>
    <cellStyle name="Input 2 3 2 4 3 19" xfId="34504" xr:uid="{00000000-0005-0000-0000-0000DB470000}"/>
    <cellStyle name="Input 2 3 2 4 3 2" xfId="4718" xr:uid="{00000000-0005-0000-0000-0000DC470000}"/>
    <cellStyle name="Input 2 3 2 4 3 2 10" xfId="24549" xr:uid="{00000000-0005-0000-0000-0000DD470000}"/>
    <cellStyle name="Input 2 3 2 4 3 2 11" xfId="25548" xr:uid="{00000000-0005-0000-0000-0000DE470000}"/>
    <cellStyle name="Input 2 3 2 4 3 2 12" xfId="28495" xr:uid="{00000000-0005-0000-0000-0000DF470000}"/>
    <cellStyle name="Input 2 3 2 4 3 2 13" xfId="29462" xr:uid="{00000000-0005-0000-0000-0000E0470000}"/>
    <cellStyle name="Input 2 3 2 4 3 2 14" xfId="30504" xr:uid="{00000000-0005-0000-0000-0000E1470000}"/>
    <cellStyle name="Input 2 3 2 4 3 2 15" xfId="31495" xr:uid="{00000000-0005-0000-0000-0000E2470000}"/>
    <cellStyle name="Input 2 3 2 4 3 2 16" xfId="32503" xr:uid="{00000000-0005-0000-0000-0000E3470000}"/>
    <cellStyle name="Input 2 3 2 4 3 2 17" xfId="33506" xr:uid="{00000000-0005-0000-0000-0000E4470000}"/>
    <cellStyle name="Input 2 3 2 4 3 2 18" xfId="34505" xr:uid="{00000000-0005-0000-0000-0000E5470000}"/>
    <cellStyle name="Input 2 3 2 4 3 2 19" xfId="36126" xr:uid="{00000000-0005-0000-0000-0000E6470000}"/>
    <cellStyle name="Input 2 3 2 4 3 2 2" xfId="16530" xr:uid="{00000000-0005-0000-0000-0000E7470000}"/>
    <cellStyle name="Input 2 3 2 4 3 2 20" xfId="37065" xr:uid="{00000000-0005-0000-0000-0000E8470000}"/>
    <cellStyle name="Input 2 3 2 4 3 2 3" xfId="17509" xr:uid="{00000000-0005-0000-0000-0000E9470000}"/>
    <cellStyle name="Input 2 3 2 4 3 2 4" xfId="18536" xr:uid="{00000000-0005-0000-0000-0000EA470000}"/>
    <cellStyle name="Input 2 3 2 4 3 2 5" xfId="19568" xr:uid="{00000000-0005-0000-0000-0000EB470000}"/>
    <cellStyle name="Input 2 3 2 4 3 2 6" xfId="20590" xr:uid="{00000000-0005-0000-0000-0000EC470000}"/>
    <cellStyle name="Input 2 3 2 4 3 2 7" xfId="21601" xr:uid="{00000000-0005-0000-0000-0000ED470000}"/>
    <cellStyle name="Input 2 3 2 4 3 2 8" xfId="22572" xr:uid="{00000000-0005-0000-0000-0000EE470000}"/>
    <cellStyle name="Input 2 3 2 4 3 2 9" xfId="23577" xr:uid="{00000000-0005-0000-0000-0000EF470000}"/>
    <cellStyle name="Input 2 3 2 4 3 20" xfId="36125" xr:uid="{00000000-0005-0000-0000-0000F0470000}"/>
    <cellStyle name="Input 2 3 2 4 3 21" xfId="37064" xr:uid="{00000000-0005-0000-0000-0000F1470000}"/>
    <cellStyle name="Input 2 3 2 4 3 3" xfId="16529" xr:uid="{00000000-0005-0000-0000-0000F2470000}"/>
    <cellStyle name="Input 2 3 2 4 3 4" xfId="17508" xr:uid="{00000000-0005-0000-0000-0000F3470000}"/>
    <cellStyle name="Input 2 3 2 4 3 5" xfId="18535" xr:uid="{00000000-0005-0000-0000-0000F4470000}"/>
    <cellStyle name="Input 2 3 2 4 3 6" xfId="19567" xr:uid="{00000000-0005-0000-0000-0000F5470000}"/>
    <cellStyle name="Input 2 3 2 4 3 7" xfId="20589" xr:uid="{00000000-0005-0000-0000-0000F6470000}"/>
    <cellStyle name="Input 2 3 2 4 3 8" xfId="21600" xr:uid="{00000000-0005-0000-0000-0000F7470000}"/>
    <cellStyle name="Input 2 3 2 4 3 9" xfId="22571" xr:uid="{00000000-0005-0000-0000-0000F8470000}"/>
    <cellStyle name="Input 2 3 2 4 4" xfId="4719" xr:uid="{00000000-0005-0000-0000-0000F9470000}"/>
    <cellStyle name="Input 2 3 2 4 4 10" xfId="23578" xr:uid="{00000000-0005-0000-0000-0000FA470000}"/>
    <cellStyle name="Input 2 3 2 4 4 11" xfId="24550" xr:uid="{00000000-0005-0000-0000-0000FB470000}"/>
    <cellStyle name="Input 2 3 2 4 4 12" xfId="25549" xr:uid="{00000000-0005-0000-0000-0000FC470000}"/>
    <cellStyle name="Input 2 3 2 4 4 13" xfId="28496" xr:uid="{00000000-0005-0000-0000-0000FD470000}"/>
    <cellStyle name="Input 2 3 2 4 4 14" xfId="29463" xr:uid="{00000000-0005-0000-0000-0000FE470000}"/>
    <cellStyle name="Input 2 3 2 4 4 15" xfId="30505" xr:uid="{00000000-0005-0000-0000-0000FF470000}"/>
    <cellStyle name="Input 2 3 2 4 4 16" xfId="31496" xr:uid="{00000000-0005-0000-0000-000000480000}"/>
    <cellStyle name="Input 2 3 2 4 4 17" xfId="32504" xr:uid="{00000000-0005-0000-0000-000001480000}"/>
    <cellStyle name="Input 2 3 2 4 4 18" xfId="33507" xr:uid="{00000000-0005-0000-0000-000002480000}"/>
    <cellStyle name="Input 2 3 2 4 4 19" xfId="34506" xr:uid="{00000000-0005-0000-0000-000003480000}"/>
    <cellStyle name="Input 2 3 2 4 4 2" xfId="4720" xr:uid="{00000000-0005-0000-0000-000004480000}"/>
    <cellStyle name="Input 2 3 2 4 4 2 10" xfId="24551" xr:uid="{00000000-0005-0000-0000-000005480000}"/>
    <cellStyle name="Input 2 3 2 4 4 2 11" xfId="25550" xr:uid="{00000000-0005-0000-0000-000006480000}"/>
    <cellStyle name="Input 2 3 2 4 4 2 12" xfId="28497" xr:uid="{00000000-0005-0000-0000-000007480000}"/>
    <cellStyle name="Input 2 3 2 4 4 2 13" xfId="29464" xr:uid="{00000000-0005-0000-0000-000008480000}"/>
    <cellStyle name="Input 2 3 2 4 4 2 14" xfId="30506" xr:uid="{00000000-0005-0000-0000-000009480000}"/>
    <cellStyle name="Input 2 3 2 4 4 2 15" xfId="31497" xr:uid="{00000000-0005-0000-0000-00000A480000}"/>
    <cellStyle name="Input 2 3 2 4 4 2 16" xfId="32505" xr:uid="{00000000-0005-0000-0000-00000B480000}"/>
    <cellStyle name="Input 2 3 2 4 4 2 17" xfId="33508" xr:uid="{00000000-0005-0000-0000-00000C480000}"/>
    <cellStyle name="Input 2 3 2 4 4 2 18" xfId="34507" xr:uid="{00000000-0005-0000-0000-00000D480000}"/>
    <cellStyle name="Input 2 3 2 4 4 2 19" xfId="36128" xr:uid="{00000000-0005-0000-0000-00000E480000}"/>
    <cellStyle name="Input 2 3 2 4 4 2 2" xfId="16532" xr:uid="{00000000-0005-0000-0000-00000F480000}"/>
    <cellStyle name="Input 2 3 2 4 4 2 20" xfId="37067" xr:uid="{00000000-0005-0000-0000-000010480000}"/>
    <cellStyle name="Input 2 3 2 4 4 2 3" xfId="17511" xr:uid="{00000000-0005-0000-0000-000011480000}"/>
    <cellStyle name="Input 2 3 2 4 4 2 4" xfId="18538" xr:uid="{00000000-0005-0000-0000-000012480000}"/>
    <cellStyle name="Input 2 3 2 4 4 2 5" xfId="19570" xr:uid="{00000000-0005-0000-0000-000013480000}"/>
    <cellStyle name="Input 2 3 2 4 4 2 6" xfId="20592" xr:uid="{00000000-0005-0000-0000-000014480000}"/>
    <cellStyle name="Input 2 3 2 4 4 2 7" xfId="21603" xr:uid="{00000000-0005-0000-0000-000015480000}"/>
    <cellStyle name="Input 2 3 2 4 4 2 8" xfId="22574" xr:uid="{00000000-0005-0000-0000-000016480000}"/>
    <cellStyle name="Input 2 3 2 4 4 2 9" xfId="23579" xr:uid="{00000000-0005-0000-0000-000017480000}"/>
    <cellStyle name="Input 2 3 2 4 4 20" xfId="36127" xr:uid="{00000000-0005-0000-0000-000018480000}"/>
    <cellStyle name="Input 2 3 2 4 4 21" xfId="37066" xr:uid="{00000000-0005-0000-0000-000019480000}"/>
    <cellStyle name="Input 2 3 2 4 4 3" xfId="16531" xr:uid="{00000000-0005-0000-0000-00001A480000}"/>
    <cellStyle name="Input 2 3 2 4 4 4" xfId="17510" xr:uid="{00000000-0005-0000-0000-00001B480000}"/>
    <cellStyle name="Input 2 3 2 4 4 5" xfId="18537" xr:uid="{00000000-0005-0000-0000-00001C480000}"/>
    <cellStyle name="Input 2 3 2 4 4 6" xfId="19569" xr:uid="{00000000-0005-0000-0000-00001D480000}"/>
    <cellStyle name="Input 2 3 2 4 4 7" xfId="20591" xr:uid="{00000000-0005-0000-0000-00001E480000}"/>
    <cellStyle name="Input 2 3 2 4 4 8" xfId="21602" xr:uid="{00000000-0005-0000-0000-00001F480000}"/>
    <cellStyle name="Input 2 3 2 4 4 9" xfId="22573" xr:uid="{00000000-0005-0000-0000-000020480000}"/>
    <cellStyle name="Input 2 3 2 4 5" xfId="4721" xr:uid="{00000000-0005-0000-0000-000021480000}"/>
    <cellStyle name="Input 2 3 2 4 5 10" xfId="24552" xr:uid="{00000000-0005-0000-0000-000022480000}"/>
    <cellStyle name="Input 2 3 2 4 5 11" xfId="25551" xr:uid="{00000000-0005-0000-0000-000023480000}"/>
    <cellStyle name="Input 2 3 2 4 5 12" xfId="28498" xr:uid="{00000000-0005-0000-0000-000024480000}"/>
    <cellStyle name="Input 2 3 2 4 5 13" xfId="29465" xr:uid="{00000000-0005-0000-0000-000025480000}"/>
    <cellStyle name="Input 2 3 2 4 5 14" xfId="30507" xr:uid="{00000000-0005-0000-0000-000026480000}"/>
    <cellStyle name="Input 2 3 2 4 5 15" xfId="31498" xr:uid="{00000000-0005-0000-0000-000027480000}"/>
    <cellStyle name="Input 2 3 2 4 5 16" xfId="32506" xr:uid="{00000000-0005-0000-0000-000028480000}"/>
    <cellStyle name="Input 2 3 2 4 5 17" xfId="33509" xr:uid="{00000000-0005-0000-0000-000029480000}"/>
    <cellStyle name="Input 2 3 2 4 5 18" xfId="34508" xr:uid="{00000000-0005-0000-0000-00002A480000}"/>
    <cellStyle name="Input 2 3 2 4 5 19" xfId="36129" xr:uid="{00000000-0005-0000-0000-00002B480000}"/>
    <cellStyle name="Input 2 3 2 4 5 2" xfId="16533" xr:uid="{00000000-0005-0000-0000-00002C480000}"/>
    <cellStyle name="Input 2 3 2 4 5 20" xfId="37068" xr:uid="{00000000-0005-0000-0000-00002D480000}"/>
    <cellStyle name="Input 2 3 2 4 5 3" xfId="17512" xr:uid="{00000000-0005-0000-0000-00002E480000}"/>
    <cellStyle name="Input 2 3 2 4 5 4" xfId="18539" xr:uid="{00000000-0005-0000-0000-00002F480000}"/>
    <cellStyle name="Input 2 3 2 4 5 5" xfId="19571" xr:uid="{00000000-0005-0000-0000-000030480000}"/>
    <cellStyle name="Input 2 3 2 4 5 6" xfId="20593" xr:uid="{00000000-0005-0000-0000-000031480000}"/>
    <cellStyle name="Input 2 3 2 4 5 7" xfId="21604" xr:uid="{00000000-0005-0000-0000-000032480000}"/>
    <cellStyle name="Input 2 3 2 4 5 8" xfId="22575" xr:uid="{00000000-0005-0000-0000-000033480000}"/>
    <cellStyle name="Input 2 3 2 4 5 9" xfId="23580" xr:uid="{00000000-0005-0000-0000-000034480000}"/>
    <cellStyle name="Input 2 3 2 4 6" xfId="13782" xr:uid="{00000000-0005-0000-0000-000035480000}"/>
    <cellStyle name="Input 2 3 2 4 7" xfId="14269" xr:uid="{00000000-0005-0000-0000-000036480000}"/>
    <cellStyle name="Input 2 3 2 4 8" xfId="15566" xr:uid="{00000000-0005-0000-0000-000037480000}"/>
    <cellStyle name="Input 2 3 2 4 9" xfId="15856" xr:uid="{00000000-0005-0000-0000-000038480000}"/>
    <cellStyle name="Input 2 3 2 5" xfId="4722" xr:uid="{00000000-0005-0000-0000-000039480000}"/>
    <cellStyle name="Input 2 3 2 5 10" xfId="15327" xr:uid="{00000000-0005-0000-0000-00003A480000}"/>
    <cellStyle name="Input 2 3 2 5 11" xfId="15576" xr:uid="{00000000-0005-0000-0000-00003B480000}"/>
    <cellStyle name="Input 2 3 2 5 12" xfId="26374" xr:uid="{00000000-0005-0000-0000-00003C480000}"/>
    <cellStyle name="Input 2 3 2 5 13" xfId="27142" xr:uid="{00000000-0005-0000-0000-00003D480000}"/>
    <cellStyle name="Input 2 3 2 5 14" xfId="26516" xr:uid="{00000000-0005-0000-0000-00003E480000}"/>
    <cellStyle name="Input 2 3 2 5 15" xfId="26251" xr:uid="{00000000-0005-0000-0000-00003F480000}"/>
    <cellStyle name="Input 2 3 2 5 16" xfId="26002" xr:uid="{00000000-0005-0000-0000-000040480000}"/>
    <cellStyle name="Input 2 3 2 5 17" xfId="26269" xr:uid="{00000000-0005-0000-0000-000041480000}"/>
    <cellStyle name="Input 2 3 2 5 18" xfId="35066" xr:uid="{00000000-0005-0000-0000-000042480000}"/>
    <cellStyle name="Input 2 3 2 5 19" xfId="34849" xr:uid="{00000000-0005-0000-0000-000043480000}"/>
    <cellStyle name="Input 2 3 2 5 2" xfId="4723" xr:uid="{00000000-0005-0000-0000-000044480000}"/>
    <cellStyle name="Input 2 3 2 5 2 10" xfId="23581" xr:uid="{00000000-0005-0000-0000-000045480000}"/>
    <cellStyle name="Input 2 3 2 5 2 11" xfId="24553" xr:uid="{00000000-0005-0000-0000-000046480000}"/>
    <cellStyle name="Input 2 3 2 5 2 12" xfId="25552" xr:uid="{00000000-0005-0000-0000-000047480000}"/>
    <cellStyle name="Input 2 3 2 5 2 13" xfId="28499" xr:uid="{00000000-0005-0000-0000-000048480000}"/>
    <cellStyle name="Input 2 3 2 5 2 14" xfId="29466" xr:uid="{00000000-0005-0000-0000-000049480000}"/>
    <cellStyle name="Input 2 3 2 5 2 15" xfId="30508" xr:uid="{00000000-0005-0000-0000-00004A480000}"/>
    <cellStyle name="Input 2 3 2 5 2 16" xfId="31499" xr:uid="{00000000-0005-0000-0000-00004B480000}"/>
    <cellStyle name="Input 2 3 2 5 2 17" xfId="32507" xr:uid="{00000000-0005-0000-0000-00004C480000}"/>
    <cellStyle name="Input 2 3 2 5 2 18" xfId="33510" xr:uid="{00000000-0005-0000-0000-00004D480000}"/>
    <cellStyle name="Input 2 3 2 5 2 19" xfId="34509" xr:uid="{00000000-0005-0000-0000-00004E480000}"/>
    <cellStyle name="Input 2 3 2 5 2 2" xfId="4724" xr:uid="{00000000-0005-0000-0000-00004F480000}"/>
    <cellStyle name="Input 2 3 2 5 2 2 10" xfId="24554" xr:uid="{00000000-0005-0000-0000-000050480000}"/>
    <cellStyle name="Input 2 3 2 5 2 2 11" xfId="25553" xr:uid="{00000000-0005-0000-0000-000051480000}"/>
    <cellStyle name="Input 2 3 2 5 2 2 12" xfId="28500" xr:uid="{00000000-0005-0000-0000-000052480000}"/>
    <cellStyle name="Input 2 3 2 5 2 2 13" xfId="29467" xr:uid="{00000000-0005-0000-0000-000053480000}"/>
    <cellStyle name="Input 2 3 2 5 2 2 14" xfId="30509" xr:uid="{00000000-0005-0000-0000-000054480000}"/>
    <cellStyle name="Input 2 3 2 5 2 2 15" xfId="31500" xr:uid="{00000000-0005-0000-0000-000055480000}"/>
    <cellStyle name="Input 2 3 2 5 2 2 16" xfId="32508" xr:uid="{00000000-0005-0000-0000-000056480000}"/>
    <cellStyle name="Input 2 3 2 5 2 2 17" xfId="33511" xr:uid="{00000000-0005-0000-0000-000057480000}"/>
    <cellStyle name="Input 2 3 2 5 2 2 18" xfId="34510" xr:uid="{00000000-0005-0000-0000-000058480000}"/>
    <cellStyle name="Input 2 3 2 5 2 2 19" xfId="36131" xr:uid="{00000000-0005-0000-0000-000059480000}"/>
    <cellStyle name="Input 2 3 2 5 2 2 2" xfId="16535" xr:uid="{00000000-0005-0000-0000-00005A480000}"/>
    <cellStyle name="Input 2 3 2 5 2 2 20" xfId="37070" xr:uid="{00000000-0005-0000-0000-00005B480000}"/>
    <cellStyle name="Input 2 3 2 5 2 2 3" xfId="17514" xr:uid="{00000000-0005-0000-0000-00005C480000}"/>
    <cellStyle name="Input 2 3 2 5 2 2 4" xfId="18541" xr:uid="{00000000-0005-0000-0000-00005D480000}"/>
    <cellStyle name="Input 2 3 2 5 2 2 5" xfId="19573" xr:uid="{00000000-0005-0000-0000-00005E480000}"/>
    <cellStyle name="Input 2 3 2 5 2 2 6" xfId="20595" xr:uid="{00000000-0005-0000-0000-00005F480000}"/>
    <cellStyle name="Input 2 3 2 5 2 2 7" xfId="21606" xr:uid="{00000000-0005-0000-0000-000060480000}"/>
    <cellStyle name="Input 2 3 2 5 2 2 8" xfId="22577" xr:uid="{00000000-0005-0000-0000-000061480000}"/>
    <cellStyle name="Input 2 3 2 5 2 2 9" xfId="23582" xr:uid="{00000000-0005-0000-0000-000062480000}"/>
    <cellStyle name="Input 2 3 2 5 2 20" xfId="36130" xr:uid="{00000000-0005-0000-0000-000063480000}"/>
    <cellStyle name="Input 2 3 2 5 2 21" xfId="37069" xr:uid="{00000000-0005-0000-0000-000064480000}"/>
    <cellStyle name="Input 2 3 2 5 2 3" xfId="16534" xr:uid="{00000000-0005-0000-0000-000065480000}"/>
    <cellStyle name="Input 2 3 2 5 2 4" xfId="17513" xr:uid="{00000000-0005-0000-0000-000066480000}"/>
    <cellStyle name="Input 2 3 2 5 2 5" xfId="18540" xr:uid="{00000000-0005-0000-0000-000067480000}"/>
    <cellStyle name="Input 2 3 2 5 2 6" xfId="19572" xr:uid="{00000000-0005-0000-0000-000068480000}"/>
    <cellStyle name="Input 2 3 2 5 2 7" xfId="20594" xr:uid="{00000000-0005-0000-0000-000069480000}"/>
    <cellStyle name="Input 2 3 2 5 2 8" xfId="21605" xr:uid="{00000000-0005-0000-0000-00006A480000}"/>
    <cellStyle name="Input 2 3 2 5 2 9" xfId="22576" xr:uid="{00000000-0005-0000-0000-00006B480000}"/>
    <cellStyle name="Input 2 3 2 5 3" xfId="4725" xr:uid="{00000000-0005-0000-0000-00006C480000}"/>
    <cellStyle name="Input 2 3 2 5 3 10" xfId="23583" xr:uid="{00000000-0005-0000-0000-00006D480000}"/>
    <cellStyle name="Input 2 3 2 5 3 11" xfId="24555" xr:uid="{00000000-0005-0000-0000-00006E480000}"/>
    <cellStyle name="Input 2 3 2 5 3 12" xfId="25554" xr:uid="{00000000-0005-0000-0000-00006F480000}"/>
    <cellStyle name="Input 2 3 2 5 3 13" xfId="28501" xr:uid="{00000000-0005-0000-0000-000070480000}"/>
    <cellStyle name="Input 2 3 2 5 3 14" xfId="29468" xr:uid="{00000000-0005-0000-0000-000071480000}"/>
    <cellStyle name="Input 2 3 2 5 3 15" xfId="30510" xr:uid="{00000000-0005-0000-0000-000072480000}"/>
    <cellStyle name="Input 2 3 2 5 3 16" xfId="31501" xr:uid="{00000000-0005-0000-0000-000073480000}"/>
    <cellStyle name="Input 2 3 2 5 3 17" xfId="32509" xr:uid="{00000000-0005-0000-0000-000074480000}"/>
    <cellStyle name="Input 2 3 2 5 3 18" xfId="33512" xr:uid="{00000000-0005-0000-0000-000075480000}"/>
    <cellStyle name="Input 2 3 2 5 3 19" xfId="34511" xr:uid="{00000000-0005-0000-0000-000076480000}"/>
    <cellStyle name="Input 2 3 2 5 3 2" xfId="4726" xr:uid="{00000000-0005-0000-0000-000077480000}"/>
    <cellStyle name="Input 2 3 2 5 3 2 10" xfId="24556" xr:uid="{00000000-0005-0000-0000-000078480000}"/>
    <cellStyle name="Input 2 3 2 5 3 2 11" xfId="25555" xr:uid="{00000000-0005-0000-0000-000079480000}"/>
    <cellStyle name="Input 2 3 2 5 3 2 12" xfId="28502" xr:uid="{00000000-0005-0000-0000-00007A480000}"/>
    <cellStyle name="Input 2 3 2 5 3 2 13" xfId="29469" xr:uid="{00000000-0005-0000-0000-00007B480000}"/>
    <cellStyle name="Input 2 3 2 5 3 2 14" xfId="30511" xr:uid="{00000000-0005-0000-0000-00007C480000}"/>
    <cellStyle name="Input 2 3 2 5 3 2 15" xfId="31502" xr:uid="{00000000-0005-0000-0000-00007D480000}"/>
    <cellStyle name="Input 2 3 2 5 3 2 16" xfId="32510" xr:uid="{00000000-0005-0000-0000-00007E480000}"/>
    <cellStyle name="Input 2 3 2 5 3 2 17" xfId="33513" xr:uid="{00000000-0005-0000-0000-00007F480000}"/>
    <cellStyle name="Input 2 3 2 5 3 2 18" xfId="34512" xr:uid="{00000000-0005-0000-0000-000080480000}"/>
    <cellStyle name="Input 2 3 2 5 3 2 19" xfId="36133" xr:uid="{00000000-0005-0000-0000-000081480000}"/>
    <cellStyle name="Input 2 3 2 5 3 2 2" xfId="16537" xr:uid="{00000000-0005-0000-0000-000082480000}"/>
    <cellStyle name="Input 2 3 2 5 3 2 20" xfId="37072" xr:uid="{00000000-0005-0000-0000-000083480000}"/>
    <cellStyle name="Input 2 3 2 5 3 2 3" xfId="17516" xr:uid="{00000000-0005-0000-0000-000084480000}"/>
    <cellStyle name="Input 2 3 2 5 3 2 4" xfId="18543" xr:uid="{00000000-0005-0000-0000-000085480000}"/>
    <cellStyle name="Input 2 3 2 5 3 2 5" xfId="19575" xr:uid="{00000000-0005-0000-0000-000086480000}"/>
    <cellStyle name="Input 2 3 2 5 3 2 6" xfId="20597" xr:uid="{00000000-0005-0000-0000-000087480000}"/>
    <cellStyle name="Input 2 3 2 5 3 2 7" xfId="21608" xr:uid="{00000000-0005-0000-0000-000088480000}"/>
    <cellStyle name="Input 2 3 2 5 3 2 8" xfId="22579" xr:uid="{00000000-0005-0000-0000-000089480000}"/>
    <cellStyle name="Input 2 3 2 5 3 2 9" xfId="23584" xr:uid="{00000000-0005-0000-0000-00008A480000}"/>
    <cellStyle name="Input 2 3 2 5 3 20" xfId="36132" xr:uid="{00000000-0005-0000-0000-00008B480000}"/>
    <cellStyle name="Input 2 3 2 5 3 21" xfId="37071" xr:uid="{00000000-0005-0000-0000-00008C480000}"/>
    <cellStyle name="Input 2 3 2 5 3 3" xfId="16536" xr:uid="{00000000-0005-0000-0000-00008D480000}"/>
    <cellStyle name="Input 2 3 2 5 3 4" xfId="17515" xr:uid="{00000000-0005-0000-0000-00008E480000}"/>
    <cellStyle name="Input 2 3 2 5 3 5" xfId="18542" xr:uid="{00000000-0005-0000-0000-00008F480000}"/>
    <cellStyle name="Input 2 3 2 5 3 6" xfId="19574" xr:uid="{00000000-0005-0000-0000-000090480000}"/>
    <cellStyle name="Input 2 3 2 5 3 7" xfId="20596" xr:uid="{00000000-0005-0000-0000-000091480000}"/>
    <cellStyle name="Input 2 3 2 5 3 8" xfId="21607" xr:uid="{00000000-0005-0000-0000-000092480000}"/>
    <cellStyle name="Input 2 3 2 5 3 9" xfId="22578" xr:uid="{00000000-0005-0000-0000-000093480000}"/>
    <cellStyle name="Input 2 3 2 5 4" xfId="4727" xr:uid="{00000000-0005-0000-0000-000094480000}"/>
    <cellStyle name="Input 2 3 2 5 4 10" xfId="23585" xr:uid="{00000000-0005-0000-0000-000095480000}"/>
    <cellStyle name="Input 2 3 2 5 4 11" xfId="24557" xr:uid="{00000000-0005-0000-0000-000096480000}"/>
    <cellStyle name="Input 2 3 2 5 4 12" xfId="25556" xr:uid="{00000000-0005-0000-0000-000097480000}"/>
    <cellStyle name="Input 2 3 2 5 4 13" xfId="28503" xr:uid="{00000000-0005-0000-0000-000098480000}"/>
    <cellStyle name="Input 2 3 2 5 4 14" xfId="29470" xr:uid="{00000000-0005-0000-0000-000099480000}"/>
    <cellStyle name="Input 2 3 2 5 4 15" xfId="30512" xr:uid="{00000000-0005-0000-0000-00009A480000}"/>
    <cellStyle name="Input 2 3 2 5 4 16" xfId="31503" xr:uid="{00000000-0005-0000-0000-00009B480000}"/>
    <cellStyle name="Input 2 3 2 5 4 17" xfId="32511" xr:uid="{00000000-0005-0000-0000-00009C480000}"/>
    <cellStyle name="Input 2 3 2 5 4 18" xfId="33514" xr:uid="{00000000-0005-0000-0000-00009D480000}"/>
    <cellStyle name="Input 2 3 2 5 4 19" xfId="34513" xr:uid="{00000000-0005-0000-0000-00009E480000}"/>
    <cellStyle name="Input 2 3 2 5 4 2" xfId="4728" xr:uid="{00000000-0005-0000-0000-00009F480000}"/>
    <cellStyle name="Input 2 3 2 5 4 2 10" xfId="24558" xr:uid="{00000000-0005-0000-0000-0000A0480000}"/>
    <cellStyle name="Input 2 3 2 5 4 2 11" xfId="25557" xr:uid="{00000000-0005-0000-0000-0000A1480000}"/>
    <cellStyle name="Input 2 3 2 5 4 2 12" xfId="28504" xr:uid="{00000000-0005-0000-0000-0000A2480000}"/>
    <cellStyle name="Input 2 3 2 5 4 2 13" xfId="29471" xr:uid="{00000000-0005-0000-0000-0000A3480000}"/>
    <cellStyle name="Input 2 3 2 5 4 2 14" xfId="30513" xr:uid="{00000000-0005-0000-0000-0000A4480000}"/>
    <cellStyle name="Input 2 3 2 5 4 2 15" xfId="31504" xr:uid="{00000000-0005-0000-0000-0000A5480000}"/>
    <cellStyle name="Input 2 3 2 5 4 2 16" xfId="32512" xr:uid="{00000000-0005-0000-0000-0000A6480000}"/>
    <cellStyle name="Input 2 3 2 5 4 2 17" xfId="33515" xr:uid="{00000000-0005-0000-0000-0000A7480000}"/>
    <cellStyle name="Input 2 3 2 5 4 2 18" xfId="34514" xr:uid="{00000000-0005-0000-0000-0000A8480000}"/>
    <cellStyle name="Input 2 3 2 5 4 2 19" xfId="36135" xr:uid="{00000000-0005-0000-0000-0000A9480000}"/>
    <cellStyle name="Input 2 3 2 5 4 2 2" xfId="16539" xr:uid="{00000000-0005-0000-0000-0000AA480000}"/>
    <cellStyle name="Input 2 3 2 5 4 2 20" xfId="37074" xr:uid="{00000000-0005-0000-0000-0000AB480000}"/>
    <cellStyle name="Input 2 3 2 5 4 2 3" xfId="17518" xr:uid="{00000000-0005-0000-0000-0000AC480000}"/>
    <cellStyle name="Input 2 3 2 5 4 2 4" xfId="18545" xr:uid="{00000000-0005-0000-0000-0000AD480000}"/>
    <cellStyle name="Input 2 3 2 5 4 2 5" xfId="19577" xr:uid="{00000000-0005-0000-0000-0000AE480000}"/>
    <cellStyle name="Input 2 3 2 5 4 2 6" xfId="20599" xr:uid="{00000000-0005-0000-0000-0000AF480000}"/>
    <cellStyle name="Input 2 3 2 5 4 2 7" xfId="21610" xr:uid="{00000000-0005-0000-0000-0000B0480000}"/>
    <cellStyle name="Input 2 3 2 5 4 2 8" xfId="22581" xr:uid="{00000000-0005-0000-0000-0000B1480000}"/>
    <cellStyle name="Input 2 3 2 5 4 2 9" xfId="23586" xr:uid="{00000000-0005-0000-0000-0000B2480000}"/>
    <cellStyle name="Input 2 3 2 5 4 20" xfId="36134" xr:uid="{00000000-0005-0000-0000-0000B3480000}"/>
    <cellStyle name="Input 2 3 2 5 4 21" xfId="37073" xr:uid="{00000000-0005-0000-0000-0000B4480000}"/>
    <cellStyle name="Input 2 3 2 5 4 3" xfId="16538" xr:uid="{00000000-0005-0000-0000-0000B5480000}"/>
    <cellStyle name="Input 2 3 2 5 4 4" xfId="17517" xr:uid="{00000000-0005-0000-0000-0000B6480000}"/>
    <cellStyle name="Input 2 3 2 5 4 5" xfId="18544" xr:uid="{00000000-0005-0000-0000-0000B7480000}"/>
    <cellStyle name="Input 2 3 2 5 4 6" xfId="19576" xr:uid="{00000000-0005-0000-0000-0000B8480000}"/>
    <cellStyle name="Input 2 3 2 5 4 7" xfId="20598" xr:uid="{00000000-0005-0000-0000-0000B9480000}"/>
    <cellStyle name="Input 2 3 2 5 4 8" xfId="21609" xr:uid="{00000000-0005-0000-0000-0000BA480000}"/>
    <cellStyle name="Input 2 3 2 5 4 9" xfId="22580" xr:uid="{00000000-0005-0000-0000-0000BB480000}"/>
    <cellStyle name="Input 2 3 2 5 5" xfId="4729" xr:uid="{00000000-0005-0000-0000-0000BC480000}"/>
    <cellStyle name="Input 2 3 2 5 5 10" xfId="24559" xr:uid="{00000000-0005-0000-0000-0000BD480000}"/>
    <cellStyle name="Input 2 3 2 5 5 11" xfId="25558" xr:uid="{00000000-0005-0000-0000-0000BE480000}"/>
    <cellStyle name="Input 2 3 2 5 5 12" xfId="28505" xr:uid="{00000000-0005-0000-0000-0000BF480000}"/>
    <cellStyle name="Input 2 3 2 5 5 13" xfId="29472" xr:uid="{00000000-0005-0000-0000-0000C0480000}"/>
    <cellStyle name="Input 2 3 2 5 5 14" xfId="30514" xr:uid="{00000000-0005-0000-0000-0000C1480000}"/>
    <cellStyle name="Input 2 3 2 5 5 15" xfId="31505" xr:uid="{00000000-0005-0000-0000-0000C2480000}"/>
    <cellStyle name="Input 2 3 2 5 5 16" xfId="32513" xr:uid="{00000000-0005-0000-0000-0000C3480000}"/>
    <cellStyle name="Input 2 3 2 5 5 17" xfId="33516" xr:uid="{00000000-0005-0000-0000-0000C4480000}"/>
    <cellStyle name="Input 2 3 2 5 5 18" xfId="34515" xr:uid="{00000000-0005-0000-0000-0000C5480000}"/>
    <cellStyle name="Input 2 3 2 5 5 19" xfId="36136" xr:uid="{00000000-0005-0000-0000-0000C6480000}"/>
    <cellStyle name="Input 2 3 2 5 5 2" xfId="16540" xr:uid="{00000000-0005-0000-0000-0000C7480000}"/>
    <cellStyle name="Input 2 3 2 5 5 20" xfId="37075" xr:uid="{00000000-0005-0000-0000-0000C8480000}"/>
    <cellStyle name="Input 2 3 2 5 5 3" xfId="17519" xr:uid="{00000000-0005-0000-0000-0000C9480000}"/>
    <cellStyle name="Input 2 3 2 5 5 4" xfId="18546" xr:uid="{00000000-0005-0000-0000-0000CA480000}"/>
    <cellStyle name="Input 2 3 2 5 5 5" xfId="19578" xr:uid="{00000000-0005-0000-0000-0000CB480000}"/>
    <cellStyle name="Input 2 3 2 5 5 6" xfId="20600" xr:uid="{00000000-0005-0000-0000-0000CC480000}"/>
    <cellStyle name="Input 2 3 2 5 5 7" xfId="21611" xr:uid="{00000000-0005-0000-0000-0000CD480000}"/>
    <cellStyle name="Input 2 3 2 5 5 8" xfId="22582" xr:uid="{00000000-0005-0000-0000-0000CE480000}"/>
    <cellStyle name="Input 2 3 2 5 5 9" xfId="23587" xr:uid="{00000000-0005-0000-0000-0000CF480000}"/>
    <cellStyle name="Input 2 3 2 5 6" xfId="13767" xr:uid="{00000000-0005-0000-0000-0000D0480000}"/>
    <cellStyle name="Input 2 3 2 5 7" xfId="14556" xr:uid="{00000000-0005-0000-0000-0000D1480000}"/>
    <cellStyle name="Input 2 3 2 5 8" xfId="13593" xr:uid="{00000000-0005-0000-0000-0000D2480000}"/>
    <cellStyle name="Input 2 3 2 5 9" xfId="15253" xr:uid="{00000000-0005-0000-0000-0000D3480000}"/>
    <cellStyle name="Input 2 3 2 6" xfId="4730" xr:uid="{00000000-0005-0000-0000-0000D4480000}"/>
    <cellStyle name="Input 2 3 2 6 10" xfId="23588" xr:uid="{00000000-0005-0000-0000-0000D5480000}"/>
    <cellStyle name="Input 2 3 2 6 11" xfId="24560" xr:uid="{00000000-0005-0000-0000-0000D6480000}"/>
    <cellStyle name="Input 2 3 2 6 12" xfId="25559" xr:uid="{00000000-0005-0000-0000-0000D7480000}"/>
    <cellStyle name="Input 2 3 2 6 13" xfId="28506" xr:uid="{00000000-0005-0000-0000-0000D8480000}"/>
    <cellStyle name="Input 2 3 2 6 14" xfId="29473" xr:uid="{00000000-0005-0000-0000-0000D9480000}"/>
    <cellStyle name="Input 2 3 2 6 15" xfId="30515" xr:uid="{00000000-0005-0000-0000-0000DA480000}"/>
    <cellStyle name="Input 2 3 2 6 16" xfId="31506" xr:uid="{00000000-0005-0000-0000-0000DB480000}"/>
    <cellStyle name="Input 2 3 2 6 17" xfId="32514" xr:uid="{00000000-0005-0000-0000-0000DC480000}"/>
    <cellStyle name="Input 2 3 2 6 18" xfId="33517" xr:uid="{00000000-0005-0000-0000-0000DD480000}"/>
    <cellStyle name="Input 2 3 2 6 19" xfId="34516" xr:uid="{00000000-0005-0000-0000-0000DE480000}"/>
    <cellStyle name="Input 2 3 2 6 2" xfId="4731" xr:uid="{00000000-0005-0000-0000-0000DF480000}"/>
    <cellStyle name="Input 2 3 2 6 2 10" xfId="24561" xr:uid="{00000000-0005-0000-0000-0000E0480000}"/>
    <cellStyle name="Input 2 3 2 6 2 11" xfId="25560" xr:uid="{00000000-0005-0000-0000-0000E1480000}"/>
    <cellStyle name="Input 2 3 2 6 2 12" xfId="28507" xr:uid="{00000000-0005-0000-0000-0000E2480000}"/>
    <cellStyle name="Input 2 3 2 6 2 13" xfId="29474" xr:uid="{00000000-0005-0000-0000-0000E3480000}"/>
    <cellStyle name="Input 2 3 2 6 2 14" xfId="30516" xr:uid="{00000000-0005-0000-0000-0000E4480000}"/>
    <cellStyle name="Input 2 3 2 6 2 15" xfId="31507" xr:uid="{00000000-0005-0000-0000-0000E5480000}"/>
    <cellStyle name="Input 2 3 2 6 2 16" xfId="32515" xr:uid="{00000000-0005-0000-0000-0000E6480000}"/>
    <cellStyle name="Input 2 3 2 6 2 17" xfId="33518" xr:uid="{00000000-0005-0000-0000-0000E7480000}"/>
    <cellStyle name="Input 2 3 2 6 2 18" xfId="34517" xr:uid="{00000000-0005-0000-0000-0000E8480000}"/>
    <cellStyle name="Input 2 3 2 6 2 19" xfId="36138" xr:uid="{00000000-0005-0000-0000-0000E9480000}"/>
    <cellStyle name="Input 2 3 2 6 2 2" xfId="16542" xr:uid="{00000000-0005-0000-0000-0000EA480000}"/>
    <cellStyle name="Input 2 3 2 6 2 20" xfId="37077" xr:uid="{00000000-0005-0000-0000-0000EB480000}"/>
    <cellStyle name="Input 2 3 2 6 2 3" xfId="17521" xr:uid="{00000000-0005-0000-0000-0000EC480000}"/>
    <cellStyle name="Input 2 3 2 6 2 4" xfId="18548" xr:uid="{00000000-0005-0000-0000-0000ED480000}"/>
    <cellStyle name="Input 2 3 2 6 2 5" xfId="19580" xr:uid="{00000000-0005-0000-0000-0000EE480000}"/>
    <cellStyle name="Input 2 3 2 6 2 6" xfId="20602" xr:uid="{00000000-0005-0000-0000-0000EF480000}"/>
    <cellStyle name="Input 2 3 2 6 2 7" xfId="21613" xr:uid="{00000000-0005-0000-0000-0000F0480000}"/>
    <cellStyle name="Input 2 3 2 6 2 8" xfId="22584" xr:uid="{00000000-0005-0000-0000-0000F1480000}"/>
    <cellStyle name="Input 2 3 2 6 2 9" xfId="23589" xr:uid="{00000000-0005-0000-0000-0000F2480000}"/>
    <cellStyle name="Input 2 3 2 6 20" xfId="36137" xr:uid="{00000000-0005-0000-0000-0000F3480000}"/>
    <cellStyle name="Input 2 3 2 6 21" xfId="37076" xr:uid="{00000000-0005-0000-0000-0000F4480000}"/>
    <cellStyle name="Input 2 3 2 6 3" xfId="16541" xr:uid="{00000000-0005-0000-0000-0000F5480000}"/>
    <cellStyle name="Input 2 3 2 6 4" xfId="17520" xr:uid="{00000000-0005-0000-0000-0000F6480000}"/>
    <cellStyle name="Input 2 3 2 6 5" xfId="18547" xr:uid="{00000000-0005-0000-0000-0000F7480000}"/>
    <cellStyle name="Input 2 3 2 6 6" xfId="19579" xr:uid="{00000000-0005-0000-0000-0000F8480000}"/>
    <cellStyle name="Input 2 3 2 6 7" xfId="20601" xr:uid="{00000000-0005-0000-0000-0000F9480000}"/>
    <cellStyle name="Input 2 3 2 6 8" xfId="21612" xr:uid="{00000000-0005-0000-0000-0000FA480000}"/>
    <cellStyle name="Input 2 3 2 6 9" xfId="22583" xr:uid="{00000000-0005-0000-0000-0000FB480000}"/>
    <cellStyle name="Input 2 3 2 7" xfId="4732" xr:uid="{00000000-0005-0000-0000-0000FC480000}"/>
    <cellStyle name="Input 2 3 2 7 10" xfId="23590" xr:uid="{00000000-0005-0000-0000-0000FD480000}"/>
    <cellStyle name="Input 2 3 2 7 11" xfId="24562" xr:uid="{00000000-0005-0000-0000-0000FE480000}"/>
    <cellStyle name="Input 2 3 2 7 12" xfId="25561" xr:uid="{00000000-0005-0000-0000-0000FF480000}"/>
    <cellStyle name="Input 2 3 2 7 13" xfId="28508" xr:uid="{00000000-0005-0000-0000-000000490000}"/>
    <cellStyle name="Input 2 3 2 7 14" xfId="29475" xr:uid="{00000000-0005-0000-0000-000001490000}"/>
    <cellStyle name="Input 2 3 2 7 15" xfId="30517" xr:uid="{00000000-0005-0000-0000-000002490000}"/>
    <cellStyle name="Input 2 3 2 7 16" xfId="31508" xr:uid="{00000000-0005-0000-0000-000003490000}"/>
    <cellStyle name="Input 2 3 2 7 17" xfId="32516" xr:uid="{00000000-0005-0000-0000-000004490000}"/>
    <cellStyle name="Input 2 3 2 7 18" xfId="33519" xr:uid="{00000000-0005-0000-0000-000005490000}"/>
    <cellStyle name="Input 2 3 2 7 19" xfId="34518" xr:uid="{00000000-0005-0000-0000-000006490000}"/>
    <cellStyle name="Input 2 3 2 7 2" xfId="4733" xr:uid="{00000000-0005-0000-0000-000007490000}"/>
    <cellStyle name="Input 2 3 2 7 2 10" xfId="24563" xr:uid="{00000000-0005-0000-0000-000008490000}"/>
    <cellStyle name="Input 2 3 2 7 2 11" xfId="25562" xr:uid="{00000000-0005-0000-0000-000009490000}"/>
    <cellStyle name="Input 2 3 2 7 2 12" xfId="28509" xr:uid="{00000000-0005-0000-0000-00000A490000}"/>
    <cellStyle name="Input 2 3 2 7 2 13" xfId="29476" xr:uid="{00000000-0005-0000-0000-00000B490000}"/>
    <cellStyle name="Input 2 3 2 7 2 14" xfId="30518" xr:uid="{00000000-0005-0000-0000-00000C490000}"/>
    <cellStyle name="Input 2 3 2 7 2 15" xfId="31509" xr:uid="{00000000-0005-0000-0000-00000D490000}"/>
    <cellStyle name="Input 2 3 2 7 2 16" xfId="32517" xr:uid="{00000000-0005-0000-0000-00000E490000}"/>
    <cellStyle name="Input 2 3 2 7 2 17" xfId="33520" xr:uid="{00000000-0005-0000-0000-00000F490000}"/>
    <cellStyle name="Input 2 3 2 7 2 18" xfId="34519" xr:uid="{00000000-0005-0000-0000-000010490000}"/>
    <cellStyle name="Input 2 3 2 7 2 19" xfId="36140" xr:uid="{00000000-0005-0000-0000-000011490000}"/>
    <cellStyle name="Input 2 3 2 7 2 2" xfId="16544" xr:uid="{00000000-0005-0000-0000-000012490000}"/>
    <cellStyle name="Input 2 3 2 7 2 20" xfId="37079" xr:uid="{00000000-0005-0000-0000-000013490000}"/>
    <cellStyle name="Input 2 3 2 7 2 3" xfId="17523" xr:uid="{00000000-0005-0000-0000-000014490000}"/>
    <cellStyle name="Input 2 3 2 7 2 4" xfId="18550" xr:uid="{00000000-0005-0000-0000-000015490000}"/>
    <cellStyle name="Input 2 3 2 7 2 5" xfId="19582" xr:uid="{00000000-0005-0000-0000-000016490000}"/>
    <cellStyle name="Input 2 3 2 7 2 6" xfId="20604" xr:uid="{00000000-0005-0000-0000-000017490000}"/>
    <cellStyle name="Input 2 3 2 7 2 7" xfId="21615" xr:uid="{00000000-0005-0000-0000-000018490000}"/>
    <cellStyle name="Input 2 3 2 7 2 8" xfId="22586" xr:uid="{00000000-0005-0000-0000-000019490000}"/>
    <cellStyle name="Input 2 3 2 7 2 9" xfId="23591" xr:uid="{00000000-0005-0000-0000-00001A490000}"/>
    <cellStyle name="Input 2 3 2 7 20" xfId="36139" xr:uid="{00000000-0005-0000-0000-00001B490000}"/>
    <cellStyle name="Input 2 3 2 7 21" xfId="37078" xr:uid="{00000000-0005-0000-0000-00001C490000}"/>
    <cellStyle name="Input 2 3 2 7 3" xfId="16543" xr:uid="{00000000-0005-0000-0000-00001D490000}"/>
    <cellStyle name="Input 2 3 2 7 4" xfId="17522" xr:uid="{00000000-0005-0000-0000-00001E490000}"/>
    <cellStyle name="Input 2 3 2 7 5" xfId="18549" xr:uid="{00000000-0005-0000-0000-00001F490000}"/>
    <cellStyle name="Input 2 3 2 7 6" xfId="19581" xr:uid="{00000000-0005-0000-0000-000020490000}"/>
    <cellStyle name="Input 2 3 2 7 7" xfId="20603" xr:uid="{00000000-0005-0000-0000-000021490000}"/>
    <cellStyle name="Input 2 3 2 7 8" xfId="21614" xr:uid="{00000000-0005-0000-0000-000022490000}"/>
    <cellStyle name="Input 2 3 2 7 9" xfId="22585" xr:uid="{00000000-0005-0000-0000-000023490000}"/>
    <cellStyle name="Input 2 3 2 8" xfId="4734" xr:uid="{00000000-0005-0000-0000-000024490000}"/>
    <cellStyle name="Input 2 3 2 8 10" xfId="23592" xr:uid="{00000000-0005-0000-0000-000025490000}"/>
    <cellStyle name="Input 2 3 2 8 11" xfId="24564" xr:uid="{00000000-0005-0000-0000-000026490000}"/>
    <cellStyle name="Input 2 3 2 8 12" xfId="25563" xr:uid="{00000000-0005-0000-0000-000027490000}"/>
    <cellStyle name="Input 2 3 2 8 13" xfId="28510" xr:uid="{00000000-0005-0000-0000-000028490000}"/>
    <cellStyle name="Input 2 3 2 8 14" xfId="29477" xr:uid="{00000000-0005-0000-0000-000029490000}"/>
    <cellStyle name="Input 2 3 2 8 15" xfId="30519" xr:uid="{00000000-0005-0000-0000-00002A490000}"/>
    <cellStyle name="Input 2 3 2 8 16" xfId="31510" xr:uid="{00000000-0005-0000-0000-00002B490000}"/>
    <cellStyle name="Input 2 3 2 8 17" xfId="32518" xr:uid="{00000000-0005-0000-0000-00002C490000}"/>
    <cellStyle name="Input 2 3 2 8 18" xfId="33521" xr:uid="{00000000-0005-0000-0000-00002D490000}"/>
    <cellStyle name="Input 2 3 2 8 19" xfId="34520" xr:uid="{00000000-0005-0000-0000-00002E490000}"/>
    <cellStyle name="Input 2 3 2 8 2" xfId="4735" xr:uid="{00000000-0005-0000-0000-00002F490000}"/>
    <cellStyle name="Input 2 3 2 8 2 10" xfId="24565" xr:uid="{00000000-0005-0000-0000-000030490000}"/>
    <cellStyle name="Input 2 3 2 8 2 11" xfId="25564" xr:uid="{00000000-0005-0000-0000-000031490000}"/>
    <cellStyle name="Input 2 3 2 8 2 12" xfId="28511" xr:uid="{00000000-0005-0000-0000-000032490000}"/>
    <cellStyle name="Input 2 3 2 8 2 13" xfId="29478" xr:uid="{00000000-0005-0000-0000-000033490000}"/>
    <cellStyle name="Input 2 3 2 8 2 14" xfId="30520" xr:uid="{00000000-0005-0000-0000-000034490000}"/>
    <cellStyle name="Input 2 3 2 8 2 15" xfId="31511" xr:uid="{00000000-0005-0000-0000-000035490000}"/>
    <cellStyle name="Input 2 3 2 8 2 16" xfId="32519" xr:uid="{00000000-0005-0000-0000-000036490000}"/>
    <cellStyle name="Input 2 3 2 8 2 17" xfId="33522" xr:uid="{00000000-0005-0000-0000-000037490000}"/>
    <cellStyle name="Input 2 3 2 8 2 18" xfId="34521" xr:uid="{00000000-0005-0000-0000-000038490000}"/>
    <cellStyle name="Input 2 3 2 8 2 19" xfId="36142" xr:uid="{00000000-0005-0000-0000-000039490000}"/>
    <cellStyle name="Input 2 3 2 8 2 2" xfId="16546" xr:uid="{00000000-0005-0000-0000-00003A490000}"/>
    <cellStyle name="Input 2 3 2 8 2 20" xfId="37081" xr:uid="{00000000-0005-0000-0000-00003B490000}"/>
    <cellStyle name="Input 2 3 2 8 2 3" xfId="17525" xr:uid="{00000000-0005-0000-0000-00003C490000}"/>
    <cellStyle name="Input 2 3 2 8 2 4" xfId="18552" xr:uid="{00000000-0005-0000-0000-00003D490000}"/>
    <cellStyle name="Input 2 3 2 8 2 5" xfId="19584" xr:uid="{00000000-0005-0000-0000-00003E490000}"/>
    <cellStyle name="Input 2 3 2 8 2 6" xfId="20606" xr:uid="{00000000-0005-0000-0000-00003F490000}"/>
    <cellStyle name="Input 2 3 2 8 2 7" xfId="21617" xr:uid="{00000000-0005-0000-0000-000040490000}"/>
    <cellStyle name="Input 2 3 2 8 2 8" xfId="22588" xr:uid="{00000000-0005-0000-0000-000041490000}"/>
    <cellStyle name="Input 2 3 2 8 2 9" xfId="23593" xr:uid="{00000000-0005-0000-0000-000042490000}"/>
    <cellStyle name="Input 2 3 2 8 20" xfId="36141" xr:uid="{00000000-0005-0000-0000-000043490000}"/>
    <cellStyle name="Input 2 3 2 8 21" xfId="37080" xr:uid="{00000000-0005-0000-0000-000044490000}"/>
    <cellStyle name="Input 2 3 2 8 3" xfId="16545" xr:uid="{00000000-0005-0000-0000-000045490000}"/>
    <cellStyle name="Input 2 3 2 8 4" xfId="17524" xr:uid="{00000000-0005-0000-0000-000046490000}"/>
    <cellStyle name="Input 2 3 2 8 5" xfId="18551" xr:uid="{00000000-0005-0000-0000-000047490000}"/>
    <cellStyle name="Input 2 3 2 8 6" xfId="19583" xr:uid="{00000000-0005-0000-0000-000048490000}"/>
    <cellStyle name="Input 2 3 2 8 7" xfId="20605" xr:uid="{00000000-0005-0000-0000-000049490000}"/>
    <cellStyle name="Input 2 3 2 8 8" xfId="21616" xr:uid="{00000000-0005-0000-0000-00004A490000}"/>
    <cellStyle name="Input 2 3 2 8 9" xfId="22587" xr:uid="{00000000-0005-0000-0000-00004B490000}"/>
    <cellStyle name="Input 2 3 2 9" xfId="4736" xr:uid="{00000000-0005-0000-0000-00004C490000}"/>
    <cellStyle name="Input 2 3 2 9 10" xfId="24566" xr:uid="{00000000-0005-0000-0000-00004D490000}"/>
    <cellStyle name="Input 2 3 2 9 11" xfId="25565" xr:uid="{00000000-0005-0000-0000-00004E490000}"/>
    <cellStyle name="Input 2 3 2 9 12" xfId="28512" xr:uid="{00000000-0005-0000-0000-00004F490000}"/>
    <cellStyle name="Input 2 3 2 9 13" xfId="29479" xr:uid="{00000000-0005-0000-0000-000050490000}"/>
    <cellStyle name="Input 2 3 2 9 14" xfId="30521" xr:uid="{00000000-0005-0000-0000-000051490000}"/>
    <cellStyle name="Input 2 3 2 9 15" xfId="31512" xr:uid="{00000000-0005-0000-0000-000052490000}"/>
    <cellStyle name="Input 2 3 2 9 16" xfId="32520" xr:uid="{00000000-0005-0000-0000-000053490000}"/>
    <cellStyle name="Input 2 3 2 9 17" xfId="33523" xr:uid="{00000000-0005-0000-0000-000054490000}"/>
    <cellStyle name="Input 2 3 2 9 18" xfId="34522" xr:uid="{00000000-0005-0000-0000-000055490000}"/>
    <cellStyle name="Input 2 3 2 9 19" xfId="36143" xr:uid="{00000000-0005-0000-0000-000056490000}"/>
    <cellStyle name="Input 2 3 2 9 2" xfId="16547" xr:uid="{00000000-0005-0000-0000-000057490000}"/>
    <cellStyle name="Input 2 3 2 9 20" xfId="37082" xr:uid="{00000000-0005-0000-0000-000058490000}"/>
    <cellStyle name="Input 2 3 2 9 3" xfId="17526" xr:uid="{00000000-0005-0000-0000-000059490000}"/>
    <cellStyle name="Input 2 3 2 9 4" xfId="18553" xr:uid="{00000000-0005-0000-0000-00005A490000}"/>
    <cellStyle name="Input 2 3 2 9 5" xfId="19585" xr:uid="{00000000-0005-0000-0000-00005B490000}"/>
    <cellStyle name="Input 2 3 2 9 6" xfId="20607" xr:uid="{00000000-0005-0000-0000-00005C490000}"/>
    <cellStyle name="Input 2 3 2 9 7" xfId="21618" xr:uid="{00000000-0005-0000-0000-00005D490000}"/>
    <cellStyle name="Input 2 3 2 9 8" xfId="22589" xr:uid="{00000000-0005-0000-0000-00005E490000}"/>
    <cellStyle name="Input 2 3 2 9 9" xfId="23594" xr:uid="{00000000-0005-0000-0000-00005F490000}"/>
    <cellStyle name="Input 2 3 20" xfId="34871" xr:uid="{00000000-0005-0000-0000-000060490000}"/>
    <cellStyle name="Input 2 3 21" xfId="34865" xr:uid="{00000000-0005-0000-0000-000061490000}"/>
    <cellStyle name="Input 2 3 22" xfId="35381" xr:uid="{00000000-0005-0000-0000-000062490000}"/>
    <cellStyle name="Input 2 3 3" xfId="4737" xr:uid="{00000000-0005-0000-0000-000063490000}"/>
    <cellStyle name="Input 2 3 3 10" xfId="15398" xr:uid="{00000000-0005-0000-0000-000064490000}"/>
    <cellStyle name="Input 2 3 3 11" xfId="15170" xr:uid="{00000000-0005-0000-0000-000065490000}"/>
    <cellStyle name="Input 2 3 3 12" xfId="15130" xr:uid="{00000000-0005-0000-0000-000066490000}"/>
    <cellStyle name="Input 2 3 3 13" xfId="20957" xr:uid="{00000000-0005-0000-0000-000067490000}"/>
    <cellStyle name="Input 2 3 3 14" xfId="13448" xr:uid="{00000000-0005-0000-0000-000068490000}"/>
    <cellStyle name="Input 2 3 3 15" xfId="15467" xr:uid="{00000000-0005-0000-0000-000069490000}"/>
    <cellStyle name="Input 2 3 3 16" xfId="26521" xr:uid="{00000000-0005-0000-0000-00006A490000}"/>
    <cellStyle name="Input 2 3 3 17" xfId="27668" xr:uid="{00000000-0005-0000-0000-00006B490000}"/>
    <cellStyle name="Input 2 3 3 18" xfId="26588" xr:uid="{00000000-0005-0000-0000-00006C490000}"/>
    <cellStyle name="Input 2 3 3 19" xfId="27012" xr:uid="{00000000-0005-0000-0000-00006D490000}"/>
    <cellStyle name="Input 2 3 3 2" xfId="4738" xr:uid="{00000000-0005-0000-0000-00006E490000}"/>
    <cellStyle name="Input 2 3 3 2 10" xfId="23595" xr:uid="{00000000-0005-0000-0000-00006F490000}"/>
    <cellStyle name="Input 2 3 3 2 11" xfId="24567" xr:uid="{00000000-0005-0000-0000-000070490000}"/>
    <cellStyle name="Input 2 3 3 2 12" xfId="25566" xr:uid="{00000000-0005-0000-0000-000071490000}"/>
    <cellStyle name="Input 2 3 3 2 13" xfId="28513" xr:uid="{00000000-0005-0000-0000-000072490000}"/>
    <cellStyle name="Input 2 3 3 2 14" xfId="29480" xr:uid="{00000000-0005-0000-0000-000073490000}"/>
    <cellStyle name="Input 2 3 3 2 15" xfId="30522" xr:uid="{00000000-0005-0000-0000-000074490000}"/>
    <cellStyle name="Input 2 3 3 2 16" xfId="31513" xr:uid="{00000000-0005-0000-0000-000075490000}"/>
    <cellStyle name="Input 2 3 3 2 17" xfId="32521" xr:uid="{00000000-0005-0000-0000-000076490000}"/>
    <cellStyle name="Input 2 3 3 2 18" xfId="33524" xr:uid="{00000000-0005-0000-0000-000077490000}"/>
    <cellStyle name="Input 2 3 3 2 19" xfId="34523" xr:uid="{00000000-0005-0000-0000-000078490000}"/>
    <cellStyle name="Input 2 3 3 2 2" xfId="4739" xr:uid="{00000000-0005-0000-0000-000079490000}"/>
    <cellStyle name="Input 2 3 3 2 2 10" xfId="24568" xr:uid="{00000000-0005-0000-0000-00007A490000}"/>
    <cellStyle name="Input 2 3 3 2 2 11" xfId="25567" xr:uid="{00000000-0005-0000-0000-00007B490000}"/>
    <cellStyle name="Input 2 3 3 2 2 12" xfId="28514" xr:uid="{00000000-0005-0000-0000-00007C490000}"/>
    <cellStyle name="Input 2 3 3 2 2 13" xfId="29481" xr:uid="{00000000-0005-0000-0000-00007D490000}"/>
    <cellStyle name="Input 2 3 3 2 2 14" xfId="30523" xr:uid="{00000000-0005-0000-0000-00007E490000}"/>
    <cellStyle name="Input 2 3 3 2 2 15" xfId="31514" xr:uid="{00000000-0005-0000-0000-00007F490000}"/>
    <cellStyle name="Input 2 3 3 2 2 16" xfId="32522" xr:uid="{00000000-0005-0000-0000-000080490000}"/>
    <cellStyle name="Input 2 3 3 2 2 17" xfId="33525" xr:uid="{00000000-0005-0000-0000-000081490000}"/>
    <cellStyle name="Input 2 3 3 2 2 18" xfId="34524" xr:uid="{00000000-0005-0000-0000-000082490000}"/>
    <cellStyle name="Input 2 3 3 2 2 19" xfId="36145" xr:uid="{00000000-0005-0000-0000-000083490000}"/>
    <cellStyle name="Input 2 3 3 2 2 2" xfId="16549" xr:uid="{00000000-0005-0000-0000-000084490000}"/>
    <cellStyle name="Input 2 3 3 2 2 20" xfId="37084" xr:uid="{00000000-0005-0000-0000-000085490000}"/>
    <cellStyle name="Input 2 3 3 2 2 3" xfId="17528" xr:uid="{00000000-0005-0000-0000-000086490000}"/>
    <cellStyle name="Input 2 3 3 2 2 4" xfId="18555" xr:uid="{00000000-0005-0000-0000-000087490000}"/>
    <cellStyle name="Input 2 3 3 2 2 5" xfId="19587" xr:uid="{00000000-0005-0000-0000-000088490000}"/>
    <cellStyle name="Input 2 3 3 2 2 6" xfId="20609" xr:uid="{00000000-0005-0000-0000-000089490000}"/>
    <cellStyle name="Input 2 3 3 2 2 7" xfId="21620" xr:uid="{00000000-0005-0000-0000-00008A490000}"/>
    <cellStyle name="Input 2 3 3 2 2 8" xfId="22591" xr:uid="{00000000-0005-0000-0000-00008B490000}"/>
    <cellStyle name="Input 2 3 3 2 2 9" xfId="23596" xr:uid="{00000000-0005-0000-0000-00008C490000}"/>
    <cellStyle name="Input 2 3 3 2 20" xfId="36144" xr:uid="{00000000-0005-0000-0000-00008D490000}"/>
    <cellStyle name="Input 2 3 3 2 21" xfId="37083" xr:uid="{00000000-0005-0000-0000-00008E490000}"/>
    <cellStyle name="Input 2 3 3 2 3" xfId="16548" xr:uid="{00000000-0005-0000-0000-00008F490000}"/>
    <cellStyle name="Input 2 3 3 2 4" xfId="17527" xr:uid="{00000000-0005-0000-0000-000090490000}"/>
    <cellStyle name="Input 2 3 3 2 5" xfId="18554" xr:uid="{00000000-0005-0000-0000-000091490000}"/>
    <cellStyle name="Input 2 3 3 2 6" xfId="19586" xr:uid="{00000000-0005-0000-0000-000092490000}"/>
    <cellStyle name="Input 2 3 3 2 7" xfId="20608" xr:uid="{00000000-0005-0000-0000-000093490000}"/>
    <cellStyle name="Input 2 3 3 2 8" xfId="21619" xr:uid="{00000000-0005-0000-0000-000094490000}"/>
    <cellStyle name="Input 2 3 3 2 9" xfId="22590" xr:uid="{00000000-0005-0000-0000-000095490000}"/>
    <cellStyle name="Input 2 3 3 20" xfId="26356" xr:uid="{00000000-0005-0000-0000-000096490000}"/>
    <cellStyle name="Input 2 3 3 21" xfId="26954" xr:uid="{00000000-0005-0000-0000-000097490000}"/>
    <cellStyle name="Input 2 3 3 22" xfId="26990" xr:uid="{00000000-0005-0000-0000-000098490000}"/>
    <cellStyle name="Input 2 3 3 23" xfId="35189" xr:uid="{00000000-0005-0000-0000-000099490000}"/>
    <cellStyle name="Input 2 3 3 24" xfId="35390" xr:uid="{00000000-0005-0000-0000-00009A490000}"/>
    <cellStyle name="Input 2 3 3 3" xfId="4740" xr:uid="{00000000-0005-0000-0000-00009B490000}"/>
    <cellStyle name="Input 2 3 3 3 10" xfId="23597" xr:uid="{00000000-0005-0000-0000-00009C490000}"/>
    <cellStyle name="Input 2 3 3 3 11" xfId="24569" xr:uid="{00000000-0005-0000-0000-00009D490000}"/>
    <cellStyle name="Input 2 3 3 3 12" xfId="25568" xr:uid="{00000000-0005-0000-0000-00009E490000}"/>
    <cellStyle name="Input 2 3 3 3 13" xfId="28515" xr:uid="{00000000-0005-0000-0000-00009F490000}"/>
    <cellStyle name="Input 2 3 3 3 14" xfId="29482" xr:uid="{00000000-0005-0000-0000-0000A0490000}"/>
    <cellStyle name="Input 2 3 3 3 15" xfId="30524" xr:uid="{00000000-0005-0000-0000-0000A1490000}"/>
    <cellStyle name="Input 2 3 3 3 16" xfId="31515" xr:uid="{00000000-0005-0000-0000-0000A2490000}"/>
    <cellStyle name="Input 2 3 3 3 17" xfId="32523" xr:uid="{00000000-0005-0000-0000-0000A3490000}"/>
    <cellStyle name="Input 2 3 3 3 18" xfId="33526" xr:uid="{00000000-0005-0000-0000-0000A4490000}"/>
    <cellStyle name="Input 2 3 3 3 19" xfId="34525" xr:uid="{00000000-0005-0000-0000-0000A5490000}"/>
    <cellStyle name="Input 2 3 3 3 2" xfId="4741" xr:uid="{00000000-0005-0000-0000-0000A6490000}"/>
    <cellStyle name="Input 2 3 3 3 2 10" xfId="24570" xr:uid="{00000000-0005-0000-0000-0000A7490000}"/>
    <cellStyle name="Input 2 3 3 3 2 11" xfId="25569" xr:uid="{00000000-0005-0000-0000-0000A8490000}"/>
    <cellStyle name="Input 2 3 3 3 2 12" xfId="28516" xr:uid="{00000000-0005-0000-0000-0000A9490000}"/>
    <cellStyle name="Input 2 3 3 3 2 13" xfId="29483" xr:uid="{00000000-0005-0000-0000-0000AA490000}"/>
    <cellStyle name="Input 2 3 3 3 2 14" xfId="30525" xr:uid="{00000000-0005-0000-0000-0000AB490000}"/>
    <cellStyle name="Input 2 3 3 3 2 15" xfId="31516" xr:uid="{00000000-0005-0000-0000-0000AC490000}"/>
    <cellStyle name="Input 2 3 3 3 2 16" xfId="32524" xr:uid="{00000000-0005-0000-0000-0000AD490000}"/>
    <cellStyle name="Input 2 3 3 3 2 17" xfId="33527" xr:uid="{00000000-0005-0000-0000-0000AE490000}"/>
    <cellStyle name="Input 2 3 3 3 2 18" xfId="34526" xr:uid="{00000000-0005-0000-0000-0000AF490000}"/>
    <cellStyle name="Input 2 3 3 3 2 19" xfId="36147" xr:uid="{00000000-0005-0000-0000-0000B0490000}"/>
    <cellStyle name="Input 2 3 3 3 2 2" xfId="16551" xr:uid="{00000000-0005-0000-0000-0000B1490000}"/>
    <cellStyle name="Input 2 3 3 3 2 20" xfId="37086" xr:uid="{00000000-0005-0000-0000-0000B2490000}"/>
    <cellStyle name="Input 2 3 3 3 2 3" xfId="17530" xr:uid="{00000000-0005-0000-0000-0000B3490000}"/>
    <cellStyle name="Input 2 3 3 3 2 4" xfId="18557" xr:uid="{00000000-0005-0000-0000-0000B4490000}"/>
    <cellStyle name="Input 2 3 3 3 2 5" xfId="19589" xr:uid="{00000000-0005-0000-0000-0000B5490000}"/>
    <cellStyle name="Input 2 3 3 3 2 6" xfId="20611" xr:uid="{00000000-0005-0000-0000-0000B6490000}"/>
    <cellStyle name="Input 2 3 3 3 2 7" xfId="21622" xr:uid="{00000000-0005-0000-0000-0000B7490000}"/>
    <cellStyle name="Input 2 3 3 3 2 8" xfId="22593" xr:uid="{00000000-0005-0000-0000-0000B8490000}"/>
    <cellStyle name="Input 2 3 3 3 2 9" xfId="23598" xr:uid="{00000000-0005-0000-0000-0000B9490000}"/>
    <cellStyle name="Input 2 3 3 3 20" xfId="36146" xr:uid="{00000000-0005-0000-0000-0000BA490000}"/>
    <cellStyle name="Input 2 3 3 3 21" xfId="37085" xr:uid="{00000000-0005-0000-0000-0000BB490000}"/>
    <cellStyle name="Input 2 3 3 3 3" xfId="16550" xr:uid="{00000000-0005-0000-0000-0000BC490000}"/>
    <cellStyle name="Input 2 3 3 3 4" xfId="17529" xr:uid="{00000000-0005-0000-0000-0000BD490000}"/>
    <cellStyle name="Input 2 3 3 3 5" xfId="18556" xr:uid="{00000000-0005-0000-0000-0000BE490000}"/>
    <cellStyle name="Input 2 3 3 3 6" xfId="19588" xr:uid="{00000000-0005-0000-0000-0000BF490000}"/>
    <cellStyle name="Input 2 3 3 3 7" xfId="20610" xr:uid="{00000000-0005-0000-0000-0000C0490000}"/>
    <cellStyle name="Input 2 3 3 3 8" xfId="21621" xr:uid="{00000000-0005-0000-0000-0000C1490000}"/>
    <cellStyle name="Input 2 3 3 3 9" xfId="22592" xr:uid="{00000000-0005-0000-0000-0000C2490000}"/>
    <cellStyle name="Input 2 3 3 4" xfId="4742" xr:uid="{00000000-0005-0000-0000-0000C3490000}"/>
    <cellStyle name="Input 2 3 3 4 10" xfId="23599" xr:uid="{00000000-0005-0000-0000-0000C4490000}"/>
    <cellStyle name="Input 2 3 3 4 11" xfId="24571" xr:uid="{00000000-0005-0000-0000-0000C5490000}"/>
    <cellStyle name="Input 2 3 3 4 12" xfId="25570" xr:uid="{00000000-0005-0000-0000-0000C6490000}"/>
    <cellStyle name="Input 2 3 3 4 13" xfId="28517" xr:uid="{00000000-0005-0000-0000-0000C7490000}"/>
    <cellStyle name="Input 2 3 3 4 14" xfId="29484" xr:uid="{00000000-0005-0000-0000-0000C8490000}"/>
    <cellStyle name="Input 2 3 3 4 15" xfId="30526" xr:uid="{00000000-0005-0000-0000-0000C9490000}"/>
    <cellStyle name="Input 2 3 3 4 16" xfId="31517" xr:uid="{00000000-0005-0000-0000-0000CA490000}"/>
    <cellStyle name="Input 2 3 3 4 17" xfId="32525" xr:uid="{00000000-0005-0000-0000-0000CB490000}"/>
    <cellStyle name="Input 2 3 3 4 18" xfId="33528" xr:uid="{00000000-0005-0000-0000-0000CC490000}"/>
    <cellStyle name="Input 2 3 3 4 19" xfId="34527" xr:uid="{00000000-0005-0000-0000-0000CD490000}"/>
    <cellStyle name="Input 2 3 3 4 2" xfId="4743" xr:uid="{00000000-0005-0000-0000-0000CE490000}"/>
    <cellStyle name="Input 2 3 3 4 2 10" xfId="24572" xr:uid="{00000000-0005-0000-0000-0000CF490000}"/>
    <cellStyle name="Input 2 3 3 4 2 11" xfId="25571" xr:uid="{00000000-0005-0000-0000-0000D0490000}"/>
    <cellStyle name="Input 2 3 3 4 2 12" xfId="28518" xr:uid="{00000000-0005-0000-0000-0000D1490000}"/>
    <cellStyle name="Input 2 3 3 4 2 13" xfId="29485" xr:uid="{00000000-0005-0000-0000-0000D2490000}"/>
    <cellStyle name="Input 2 3 3 4 2 14" xfId="30527" xr:uid="{00000000-0005-0000-0000-0000D3490000}"/>
    <cellStyle name="Input 2 3 3 4 2 15" xfId="31518" xr:uid="{00000000-0005-0000-0000-0000D4490000}"/>
    <cellStyle name="Input 2 3 3 4 2 16" xfId="32526" xr:uid="{00000000-0005-0000-0000-0000D5490000}"/>
    <cellStyle name="Input 2 3 3 4 2 17" xfId="33529" xr:uid="{00000000-0005-0000-0000-0000D6490000}"/>
    <cellStyle name="Input 2 3 3 4 2 18" xfId="34528" xr:uid="{00000000-0005-0000-0000-0000D7490000}"/>
    <cellStyle name="Input 2 3 3 4 2 19" xfId="36149" xr:uid="{00000000-0005-0000-0000-0000D8490000}"/>
    <cellStyle name="Input 2 3 3 4 2 2" xfId="16553" xr:uid="{00000000-0005-0000-0000-0000D9490000}"/>
    <cellStyle name="Input 2 3 3 4 2 20" xfId="37088" xr:uid="{00000000-0005-0000-0000-0000DA490000}"/>
    <cellStyle name="Input 2 3 3 4 2 3" xfId="17532" xr:uid="{00000000-0005-0000-0000-0000DB490000}"/>
    <cellStyle name="Input 2 3 3 4 2 4" xfId="18559" xr:uid="{00000000-0005-0000-0000-0000DC490000}"/>
    <cellStyle name="Input 2 3 3 4 2 5" xfId="19591" xr:uid="{00000000-0005-0000-0000-0000DD490000}"/>
    <cellStyle name="Input 2 3 3 4 2 6" xfId="20613" xr:uid="{00000000-0005-0000-0000-0000DE490000}"/>
    <cellStyle name="Input 2 3 3 4 2 7" xfId="21624" xr:uid="{00000000-0005-0000-0000-0000DF490000}"/>
    <cellStyle name="Input 2 3 3 4 2 8" xfId="22595" xr:uid="{00000000-0005-0000-0000-0000E0490000}"/>
    <cellStyle name="Input 2 3 3 4 2 9" xfId="23600" xr:uid="{00000000-0005-0000-0000-0000E1490000}"/>
    <cellStyle name="Input 2 3 3 4 20" xfId="36148" xr:uid="{00000000-0005-0000-0000-0000E2490000}"/>
    <cellStyle name="Input 2 3 3 4 21" xfId="37087" xr:uid="{00000000-0005-0000-0000-0000E3490000}"/>
    <cellStyle name="Input 2 3 3 4 3" xfId="16552" xr:uid="{00000000-0005-0000-0000-0000E4490000}"/>
    <cellStyle name="Input 2 3 3 4 4" xfId="17531" xr:uid="{00000000-0005-0000-0000-0000E5490000}"/>
    <cellStyle name="Input 2 3 3 4 5" xfId="18558" xr:uid="{00000000-0005-0000-0000-0000E6490000}"/>
    <cellStyle name="Input 2 3 3 4 6" xfId="19590" xr:uid="{00000000-0005-0000-0000-0000E7490000}"/>
    <cellStyle name="Input 2 3 3 4 7" xfId="20612" xr:uid="{00000000-0005-0000-0000-0000E8490000}"/>
    <cellStyle name="Input 2 3 3 4 8" xfId="21623" xr:uid="{00000000-0005-0000-0000-0000E9490000}"/>
    <cellStyle name="Input 2 3 3 4 9" xfId="22594" xr:uid="{00000000-0005-0000-0000-0000EA490000}"/>
    <cellStyle name="Input 2 3 3 5" xfId="4744" xr:uid="{00000000-0005-0000-0000-0000EB490000}"/>
    <cellStyle name="Input 2 3 3 5 10" xfId="24573" xr:uid="{00000000-0005-0000-0000-0000EC490000}"/>
    <cellStyle name="Input 2 3 3 5 11" xfId="25572" xr:uid="{00000000-0005-0000-0000-0000ED490000}"/>
    <cellStyle name="Input 2 3 3 5 12" xfId="28519" xr:uid="{00000000-0005-0000-0000-0000EE490000}"/>
    <cellStyle name="Input 2 3 3 5 13" xfId="29486" xr:uid="{00000000-0005-0000-0000-0000EF490000}"/>
    <cellStyle name="Input 2 3 3 5 14" xfId="30528" xr:uid="{00000000-0005-0000-0000-0000F0490000}"/>
    <cellStyle name="Input 2 3 3 5 15" xfId="31519" xr:uid="{00000000-0005-0000-0000-0000F1490000}"/>
    <cellStyle name="Input 2 3 3 5 16" xfId="32527" xr:uid="{00000000-0005-0000-0000-0000F2490000}"/>
    <cellStyle name="Input 2 3 3 5 17" xfId="33530" xr:uid="{00000000-0005-0000-0000-0000F3490000}"/>
    <cellStyle name="Input 2 3 3 5 18" xfId="34529" xr:uid="{00000000-0005-0000-0000-0000F4490000}"/>
    <cellStyle name="Input 2 3 3 5 19" xfId="36150" xr:uid="{00000000-0005-0000-0000-0000F5490000}"/>
    <cellStyle name="Input 2 3 3 5 2" xfId="16554" xr:uid="{00000000-0005-0000-0000-0000F6490000}"/>
    <cellStyle name="Input 2 3 3 5 20" xfId="37089" xr:uid="{00000000-0005-0000-0000-0000F7490000}"/>
    <cellStyle name="Input 2 3 3 5 3" xfId="17533" xr:uid="{00000000-0005-0000-0000-0000F8490000}"/>
    <cellStyle name="Input 2 3 3 5 4" xfId="18560" xr:uid="{00000000-0005-0000-0000-0000F9490000}"/>
    <cellStyle name="Input 2 3 3 5 5" xfId="19592" xr:uid="{00000000-0005-0000-0000-0000FA490000}"/>
    <cellStyle name="Input 2 3 3 5 6" xfId="20614" xr:uid="{00000000-0005-0000-0000-0000FB490000}"/>
    <cellStyle name="Input 2 3 3 5 7" xfId="21625" xr:uid="{00000000-0005-0000-0000-0000FC490000}"/>
    <cellStyle name="Input 2 3 3 5 8" xfId="22596" xr:uid="{00000000-0005-0000-0000-0000FD490000}"/>
    <cellStyle name="Input 2 3 3 5 9" xfId="23601" xr:uid="{00000000-0005-0000-0000-0000FE490000}"/>
    <cellStyle name="Input 2 3 3 6" xfId="13961" xr:uid="{00000000-0005-0000-0000-0000FF490000}"/>
    <cellStyle name="Input 2 3 3 7" xfId="14819" xr:uid="{00000000-0005-0000-0000-0000004A0000}"/>
    <cellStyle name="Input 2 3 3 8" xfId="14452" xr:uid="{00000000-0005-0000-0000-0000014A0000}"/>
    <cellStyle name="Input 2 3 3 9" xfId="15003" xr:uid="{00000000-0005-0000-0000-0000024A0000}"/>
    <cellStyle name="Input 2 3 4" xfId="4745" xr:uid="{00000000-0005-0000-0000-0000034A0000}"/>
    <cellStyle name="Input 2 3 4 10" xfId="23602" xr:uid="{00000000-0005-0000-0000-0000044A0000}"/>
    <cellStyle name="Input 2 3 4 11" xfId="24574" xr:uid="{00000000-0005-0000-0000-0000054A0000}"/>
    <cellStyle name="Input 2 3 4 12" xfId="25573" xr:uid="{00000000-0005-0000-0000-0000064A0000}"/>
    <cellStyle name="Input 2 3 4 13" xfId="28520" xr:uid="{00000000-0005-0000-0000-0000074A0000}"/>
    <cellStyle name="Input 2 3 4 14" xfId="29487" xr:uid="{00000000-0005-0000-0000-0000084A0000}"/>
    <cellStyle name="Input 2 3 4 15" xfId="30529" xr:uid="{00000000-0005-0000-0000-0000094A0000}"/>
    <cellStyle name="Input 2 3 4 16" xfId="31520" xr:uid="{00000000-0005-0000-0000-00000A4A0000}"/>
    <cellStyle name="Input 2 3 4 17" xfId="32528" xr:uid="{00000000-0005-0000-0000-00000B4A0000}"/>
    <cellStyle name="Input 2 3 4 18" xfId="33531" xr:uid="{00000000-0005-0000-0000-00000C4A0000}"/>
    <cellStyle name="Input 2 3 4 19" xfId="34530" xr:uid="{00000000-0005-0000-0000-00000D4A0000}"/>
    <cellStyle name="Input 2 3 4 2" xfId="4746" xr:uid="{00000000-0005-0000-0000-00000E4A0000}"/>
    <cellStyle name="Input 2 3 4 2 10" xfId="24575" xr:uid="{00000000-0005-0000-0000-00000F4A0000}"/>
    <cellStyle name="Input 2 3 4 2 11" xfId="25574" xr:uid="{00000000-0005-0000-0000-0000104A0000}"/>
    <cellStyle name="Input 2 3 4 2 12" xfId="28521" xr:uid="{00000000-0005-0000-0000-0000114A0000}"/>
    <cellStyle name="Input 2 3 4 2 13" xfId="29488" xr:uid="{00000000-0005-0000-0000-0000124A0000}"/>
    <cellStyle name="Input 2 3 4 2 14" xfId="30530" xr:uid="{00000000-0005-0000-0000-0000134A0000}"/>
    <cellStyle name="Input 2 3 4 2 15" xfId="31521" xr:uid="{00000000-0005-0000-0000-0000144A0000}"/>
    <cellStyle name="Input 2 3 4 2 16" xfId="32529" xr:uid="{00000000-0005-0000-0000-0000154A0000}"/>
    <cellStyle name="Input 2 3 4 2 17" xfId="33532" xr:uid="{00000000-0005-0000-0000-0000164A0000}"/>
    <cellStyle name="Input 2 3 4 2 18" xfId="34531" xr:uid="{00000000-0005-0000-0000-0000174A0000}"/>
    <cellStyle name="Input 2 3 4 2 19" xfId="36152" xr:uid="{00000000-0005-0000-0000-0000184A0000}"/>
    <cellStyle name="Input 2 3 4 2 2" xfId="16556" xr:uid="{00000000-0005-0000-0000-0000194A0000}"/>
    <cellStyle name="Input 2 3 4 2 20" xfId="37091" xr:uid="{00000000-0005-0000-0000-00001A4A0000}"/>
    <cellStyle name="Input 2 3 4 2 3" xfId="17535" xr:uid="{00000000-0005-0000-0000-00001B4A0000}"/>
    <cellStyle name="Input 2 3 4 2 4" xfId="18562" xr:uid="{00000000-0005-0000-0000-00001C4A0000}"/>
    <cellStyle name="Input 2 3 4 2 5" xfId="19594" xr:uid="{00000000-0005-0000-0000-00001D4A0000}"/>
    <cellStyle name="Input 2 3 4 2 6" xfId="20616" xr:uid="{00000000-0005-0000-0000-00001E4A0000}"/>
    <cellStyle name="Input 2 3 4 2 7" xfId="21627" xr:uid="{00000000-0005-0000-0000-00001F4A0000}"/>
    <cellStyle name="Input 2 3 4 2 8" xfId="22598" xr:uid="{00000000-0005-0000-0000-0000204A0000}"/>
    <cellStyle name="Input 2 3 4 2 9" xfId="23603" xr:uid="{00000000-0005-0000-0000-0000214A0000}"/>
    <cellStyle name="Input 2 3 4 20" xfId="36151" xr:uid="{00000000-0005-0000-0000-0000224A0000}"/>
    <cellStyle name="Input 2 3 4 21" xfId="37090" xr:uid="{00000000-0005-0000-0000-0000234A0000}"/>
    <cellStyle name="Input 2 3 4 3" xfId="16555" xr:uid="{00000000-0005-0000-0000-0000244A0000}"/>
    <cellStyle name="Input 2 3 4 4" xfId="17534" xr:uid="{00000000-0005-0000-0000-0000254A0000}"/>
    <cellStyle name="Input 2 3 4 5" xfId="18561" xr:uid="{00000000-0005-0000-0000-0000264A0000}"/>
    <cellStyle name="Input 2 3 4 6" xfId="19593" xr:uid="{00000000-0005-0000-0000-0000274A0000}"/>
    <cellStyle name="Input 2 3 4 7" xfId="20615" xr:uid="{00000000-0005-0000-0000-0000284A0000}"/>
    <cellStyle name="Input 2 3 4 8" xfId="21626" xr:uid="{00000000-0005-0000-0000-0000294A0000}"/>
    <cellStyle name="Input 2 3 4 9" xfId="22597" xr:uid="{00000000-0005-0000-0000-00002A4A0000}"/>
    <cellStyle name="Input 2 3 5" xfId="4747" xr:uid="{00000000-0005-0000-0000-00002B4A0000}"/>
    <cellStyle name="Input 2 3 5 10" xfId="23604" xr:uid="{00000000-0005-0000-0000-00002C4A0000}"/>
    <cellStyle name="Input 2 3 5 11" xfId="24576" xr:uid="{00000000-0005-0000-0000-00002D4A0000}"/>
    <cellStyle name="Input 2 3 5 12" xfId="25575" xr:uid="{00000000-0005-0000-0000-00002E4A0000}"/>
    <cellStyle name="Input 2 3 5 13" xfId="28522" xr:uid="{00000000-0005-0000-0000-00002F4A0000}"/>
    <cellStyle name="Input 2 3 5 14" xfId="29489" xr:uid="{00000000-0005-0000-0000-0000304A0000}"/>
    <cellStyle name="Input 2 3 5 15" xfId="30531" xr:uid="{00000000-0005-0000-0000-0000314A0000}"/>
    <cellStyle name="Input 2 3 5 16" xfId="31522" xr:uid="{00000000-0005-0000-0000-0000324A0000}"/>
    <cellStyle name="Input 2 3 5 17" xfId="32530" xr:uid="{00000000-0005-0000-0000-0000334A0000}"/>
    <cellStyle name="Input 2 3 5 18" xfId="33533" xr:uid="{00000000-0005-0000-0000-0000344A0000}"/>
    <cellStyle name="Input 2 3 5 19" xfId="34532" xr:uid="{00000000-0005-0000-0000-0000354A0000}"/>
    <cellStyle name="Input 2 3 5 2" xfId="4748" xr:uid="{00000000-0005-0000-0000-0000364A0000}"/>
    <cellStyle name="Input 2 3 5 2 10" xfId="24577" xr:uid="{00000000-0005-0000-0000-0000374A0000}"/>
    <cellStyle name="Input 2 3 5 2 11" xfId="25576" xr:uid="{00000000-0005-0000-0000-0000384A0000}"/>
    <cellStyle name="Input 2 3 5 2 12" xfId="28523" xr:uid="{00000000-0005-0000-0000-0000394A0000}"/>
    <cellStyle name="Input 2 3 5 2 13" xfId="29490" xr:uid="{00000000-0005-0000-0000-00003A4A0000}"/>
    <cellStyle name="Input 2 3 5 2 14" xfId="30532" xr:uid="{00000000-0005-0000-0000-00003B4A0000}"/>
    <cellStyle name="Input 2 3 5 2 15" xfId="31523" xr:uid="{00000000-0005-0000-0000-00003C4A0000}"/>
    <cellStyle name="Input 2 3 5 2 16" xfId="32531" xr:uid="{00000000-0005-0000-0000-00003D4A0000}"/>
    <cellStyle name="Input 2 3 5 2 17" xfId="33534" xr:uid="{00000000-0005-0000-0000-00003E4A0000}"/>
    <cellStyle name="Input 2 3 5 2 18" xfId="34533" xr:uid="{00000000-0005-0000-0000-00003F4A0000}"/>
    <cellStyle name="Input 2 3 5 2 19" xfId="36154" xr:uid="{00000000-0005-0000-0000-0000404A0000}"/>
    <cellStyle name="Input 2 3 5 2 2" xfId="16558" xr:uid="{00000000-0005-0000-0000-0000414A0000}"/>
    <cellStyle name="Input 2 3 5 2 20" xfId="37093" xr:uid="{00000000-0005-0000-0000-0000424A0000}"/>
    <cellStyle name="Input 2 3 5 2 3" xfId="17537" xr:uid="{00000000-0005-0000-0000-0000434A0000}"/>
    <cellStyle name="Input 2 3 5 2 4" xfId="18564" xr:uid="{00000000-0005-0000-0000-0000444A0000}"/>
    <cellStyle name="Input 2 3 5 2 5" xfId="19596" xr:uid="{00000000-0005-0000-0000-0000454A0000}"/>
    <cellStyle name="Input 2 3 5 2 6" xfId="20618" xr:uid="{00000000-0005-0000-0000-0000464A0000}"/>
    <cellStyle name="Input 2 3 5 2 7" xfId="21629" xr:uid="{00000000-0005-0000-0000-0000474A0000}"/>
    <cellStyle name="Input 2 3 5 2 8" xfId="22600" xr:uid="{00000000-0005-0000-0000-0000484A0000}"/>
    <cellStyle name="Input 2 3 5 2 9" xfId="23605" xr:uid="{00000000-0005-0000-0000-0000494A0000}"/>
    <cellStyle name="Input 2 3 5 20" xfId="36153" xr:uid="{00000000-0005-0000-0000-00004A4A0000}"/>
    <cellStyle name="Input 2 3 5 21" xfId="37092" xr:uid="{00000000-0005-0000-0000-00004B4A0000}"/>
    <cellStyle name="Input 2 3 5 3" xfId="16557" xr:uid="{00000000-0005-0000-0000-00004C4A0000}"/>
    <cellStyle name="Input 2 3 5 4" xfId="17536" xr:uid="{00000000-0005-0000-0000-00004D4A0000}"/>
    <cellStyle name="Input 2 3 5 5" xfId="18563" xr:uid="{00000000-0005-0000-0000-00004E4A0000}"/>
    <cellStyle name="Input 2 3 5 6" xfId="19595" xr:uid="{00000000-0005-0000-0000-00004F4A0000}"/>
    <cellStyle name="Input 2 3 5 7" xfId="20617" xr:uid="{00000000-0005-0000-0000-0000504A0000}"/>
    <cellStyle name="Input 2 3 5 8" xfId="21628" xr:uid="{00000000-0005-0000-0000-0000514A0000}"/>
    <cellStyle name="Input 2 3 5 9" xfId="22599" xr:uid="{00000000-0005-0000-0000-0000524A0000}"/>
    <cellStyle name="Input 2 3 6" xfId="4749" xr:uid="{00000000-0005-0000-0000-0000534A0000}"/>
    <cellStyle name="Input 2 3 6 10" xfId="23606" xr:uid="{00000000-0005-0000-0000-0000544A0000}"/>
    <cellStyle name="Input 2 3 6 11" xfId="24578" xr:uid="{00000000-0005-0000-0000-0000554A0000}"/>
    <cellStyle name="Input 2 3 6 12" xfId="25577" xr:uid="{00000000-0005-0000-0000-0000564A0000}"/>
    <cellStyle name="Input 2 3 6 13" xfId="28524" xr:uid="{00000000-0005-0000-0000-0000574A0000}"/>
    <cellStyle name="Input 2 3 6 14" xfId="29491" xr:uid="{00000000-0005-0000-0000-0000584A0000}"/>
    <cellStyle name="Input 2 3 6 15" xfId="30533" xr:uid="{00000000-0005-0000-0000-0000594A0000}"/>
    <cellStyle name="Input 2 3 6 16" xfId="31524" xr:uid="{00000000-0005-0000-0000-00005A4A0000}"/>
    <cellStyle name="Input 2 3 6 17" xfId="32532" xr:uid="{00000000-0005-0000-0000-00005B4A0000}"/>
    <cellStyle name="Input 2 3 6 18" xfId="33535" xr:uid="{00000000-0005-0000-0000-00005C4A0000}"/>
    <cellStyle name="Input 2 3 6 19" xfId="34534" xr:uid="{00000000-0005-0000-0000-00005D4A0000}"/>
    <cellStyle name="Input 2 3 6 2" xfId="4750" xr:uid="{00000000-0005-0000-0000-00005E4A0000}"/>
    <cellStyle name="Input 2 3 6 2 10" xfId="24579" xr:uid="{00000000-0005-0000-0000-00005F4A0000}"/>
    <cellStyle name="Input 2 3 6 2 11" xfId="25578" xr:uid="{00000000-0005-0000-0000-0000604A0000}"/>
    <cellStyle name="Input 2 3 6 2 12" xfId="28525" xr:uid="{00000000-0005-0000-0000-0000614A0000}"/>
    <cellStyle name="Input 2 3 6 2 13" xfId="29492" xr:uid="{00000000-0005-0000-0000-0000624A0000}"/>
    <cellStyle name="Input 2 3 6 2 14" xfId="30534" xr:uid="{00000000-0005-0000-0000-0000634A0000}"/>
    <cellStyle name="Input 2 3 6 2 15" xfId="31525" xr:uid="{00000000-0005-0000-0000-0000644A0000}"/>
    <cellStyle name="Input 2 3 6 2 16" xfId="32533" xr:uid="{00000000-0005-0000-0000-0000654A0000}"/>
    <cellStyle name="Input 2 3 6 2 17" xfId="33536" xr:uid="{00000000-0005-0000-0000-0000664A0000}"/>
    <cellStyle name="Input 2 3 6 2 18" xfId="34535" xr:uid="{00000000-0005-0000-0000-0000674A0000}"/>
    <cellStyle name="Input 2 3 6 2 19" xfId="36156" xr:uid="{00000000-0005-0000-0000-0000684A0000}"/>
    <cellStyle name="Input 2 3 6 2 2" xfId="16560" xr:uid="{00000000-0005-0000-0000-0000694A0000}"/>
    <cellStyle name="Input 2 3 6 2 20" xfId="37095" xr:uid="{00000000-0005-0000-0000-00006A4A0000}"/>
    <cellStyle name="Input 2 3 6 2 3" xfId="17539" xr:uid="{00000000-0005-0000-0000-00006B4A0000}"/>
    <cellStyle name="Input 2 3 6 2 4" xfId="18566" xr:uid="{00000000-0005-0000-0000-00006C4A0000}"/>
    <cellStyle name="Input 2 3 6 2 5" xfId="19598" xr:uid="{00000000-0005-0000-0000-00006D4A0000}"/>
    <cellStyle name="Input 2 3 6 2 6" xfId="20620" xr:uid="{00000000-0005-0000-0000-00006E4A0000}"/>
    <cellStyle name="Input 2 3 6 2 7" xfId="21631" xr:uid="{00000000-0005-0000-0000-00006F4A0000}"/>
    <cellStyle name="Input 2 3 6 2 8" xfId="22602" xr:uid="{00000000-0005-0000-0000-0000704A0000}"/>
    <cellStyle name="Input 2 3 6 2 9" xfId="23607" xr:uid="{00000000-0005-0000-0000-0000714A0000}"/>
    <cellStyle name="Input 2 3 6 20" xfId="36155" xr:uid="{00000000-0005-0000-0000-0000724A0000}"/>
    <cellStyle name="Input 2 3 6 21" xfId="37094" xr:uid="{00000000-0005-0000-0000-0000734A0000}"/>
    <cellStyle name="Input 2 3 6 3" xfId="16559" xr:uid="{00000000-0005-0000-0000-0000744A0000}"/>
    <cellStyle name="Input 2 3 6 4" xfId="17538" xr:uid="{00000000-0005-0000-0000-0000754A0000}"/>
    <cellStyle name="Input 2 3 6 5" xfId="18565" xr:uid="{00000000-0005-0000-0000-0000764A0000}"/>
    <cellStyle name="Input 2 3 6 6" xfId="19597" xr:uid="{00000000-0005-0000-0000-0000774A0000}"/>
    <cellStyle name="Input 2 3 6 7" xfId="20619" xr:uid="{00000000-0005-0000-0000-0000784A0000}"/>
    <cellStyle name="Input 2 3 6 8" xfId="21630" xr:uid="{00000000-0005-0000-0000-0000794A0000}"/>
    <cellStyle name="Input 2 3 6 9" xfId="22601" xr:uid="{00000000-0005-0000-0000-00007A4A0000}"/>
    <cellStyle name="Input 2 3 7" xfId="4751" xr:uid="{00000000-0005-0000-0000-00007B4A0000}"/>
    <cellStyle name="Input 2 3 7 10" xfId="24580" xr:uid="{00000000-0005-0000-0000-00007C4A0000}"/>
    <cellStyle name="Input 2 3 7 11" xfId="25579" xr:uid="{00000000-0005-0000-0000-00007D4A0000}"/>
    <cellStyle name="Input 2 3 7 12" xfId="28526" xr:uid="{00000000-0005-0000-0000-00007E4A0000}"/>
    <cellStyle name="Input 2 3 7 13" xfId="29493" xr:uid="{00000000-0005-0000-0000-00007F4A0000}"/>
    <cellStyle name="Input 2 3 7 14" xfId="30535" xr:uid="{00000000-0005-0000-0000-0000804A0000}"/>
    <cellStyle name="Input 2 3 7 15" xfId="31526" xr:uid="{00000000-0005-0000-0000-0000814A0000}"/>
    <cellStyle name="Input 2 3 7 16" xfId="32534" xr:uid="{00000000-0005-0000-0000-0000824A0000}"/>
    <cellStyle name="Input 2 3 7 17" xfId="33537" xr:uid="{00000000-0005-0000-0000-0000834A0000}"/>
    <cellStyle name="Input 2 3 7 18" xfId="34536" xr:uid="{00000000-0005-0000-0000-0000844A0000}"/>
    <cellStyle name="Input 2 3 7 19" xfId="36157" xr:uid="{00000000-0005-0000-0000-0000854A0000}"/>
    <cellStyle name="Input 2 3 7 2" xfId="16561" xr:uid="{00000000-0005-0000-0000-0000864A0000}"/>
    <cellStyle name="Input 2 3 7 20" xfId="37096" xr:uid="{00000000-0005-0000-0000-0000874A0000}"/>
    <cellStyle name="Input 2 3 7 3" xfId="17540" xr:uid="{00000000-0005-0000-0000-0000884A0000}"/>
    <cellStyle name="Input 2 3 7 4" xfId="18567" xr:uid="{00000000-0005-0000-0000-0000894A0000}"/>
    <cellStyle name="Input 2 3 7 5" xfId="19599" xr:uid="{00000000-0005-0000-0000-00008A4A0000}"/>
    <cellStyle name="Input 2 3 7 6" xfId="20621" xr:uid="{00000000-0005-0000-0000-00008B4A0000}"/>
    <cellStyle name="Input 2 3 7 7" xfId="21632" xr:uid="{00000000-0005-0000-0000-00008C4A0000}"/>
    <cellStyle name="Input 2 3 7 8" xfId="22603" xr:uid="{00000000-0005-0000-0000-00008D4A0000}"/>
    <cellStyle name="Input 2 3 7 9" xfId="23608" xr:uid="{00000000-0005-0000-0000-00008E4A0000}"/>
    <cellStyle name="Input 2 3 8" xfId="15062" xr:uid="{00000000-0005-0000-0000-00008F4A0000}"/>
    <cellStyle name="Input 2 3 9" xfId="14415" xr:uid="{00000000-0005-0000-0000-0000904A0000}"/>
    <cellStyle name="Input 2 4" xfId="4752" xr:uid="{00000000-0005-0000-0000-0000914A0000}"/>
    <cellStyle name="Input 2 4 10" xfId="14355" xr:uid="{00000000-0005-0000-0000-0000924A0000}"/>
    <cellStyle name="Input 2 4 11" xfId="15795" xr:uid="{00000000-0005-0000-0000-0000934A0000}"/>
    <cellStyle name="Input 2 4 12" xfId="13676" xr:uid="{00000000-0005-0000-0000-0000944A0000}"/>
    <cellStyle name="Input 2 4 13" xfId="18911" xr:uid="{00000000-0005-0000-0000-0000954A0000}"/>
    <cellStyle name="Input 2 4 14" xfId="21854" xr:uid="{00000000-0005-0000-0000-0000964A0000}"/>
    <cellStyle name="Input 2 4 15" xfId="13826" xr:uid="{00000000-0005-0000-0000-0000974A0000}"/>
    <cellStyle name="Input 2 4 16" xfId="26080" xr:uid="{00000000-0005-0000-0000-0000984A0000}"/>
    <cellStyle name="Input 2 4 17" xfId="26240" xr:uid="{00000000-0005-0000-0000-0000994A0000}"/>
    <cellStyle name="Input 2 4 18" xfId="28753" xr:uid="{00000000-0005-0000-0000-00009A4A0000}"/>
    <cellStyle name="Input 2 4 19" xfId="28763" xr:uid="{00000000-0005-0000-0000-00009B4A0000}"/>
    <cellStyle name="Input 2 4 2" xfId="4753" xr:uid="{00000000-0005-0000-0000-00009C4A0000}"/>
    <cellStyle name="Input 2 4 2 10" xfId="14001" xr:uid="{00000000-0005-0000-0000-00009D4A0000}"/>
    <cellStyle name="Input 2 4 2 11" xfId="14689" xr:uid="{00000000-0005-0000-0000-00009E4A0000}"/>
    <cellStyle name="Input 2 4 2 12" xfId="26302" xr:uid="{00000000-0005-0000-0000-00009F4A0000}"/>
    <cellStyle name="Input 2 4 2 13" xfId="27186" xr:uid="{00000000-0005-0000-0000-0000A04A0000}"/>
    <cellStyle name="Input 2 4 2 14" xfId="27518" xr:uid="{00000000-0005-0000-0000-0000A14A0000}"/>
    <cellStyle name="Input 2 4 2 15" xfId="27835" xr:uid="{00000000-0005-0000-0000-0000A24A0000}"/>
    <cellStyle name="Input 2 4 2 16" xfId="26128" xr:uid="{00000000-0005-0000-0000-0000A34A0000}"/>
    <cellStyle name="Input 2 4 2 17" xfId="27629" xr:uid="{00000000-0005-0000-0000-0000A44A0000}"/>
    <cellStyle name="Input 2 4 2 18" xfId="34998" xr:uid="{00000000-0005-0000-0000-0000A54A0000}"/>
    <cellStyle name="Input 2 4 2 19" xfId="34838" xr:uid="{00000000-0005-0000-0000-0000A64A0000}"/>
    <cellStyle name="Input 2 4 2 2" xfId="4754" xr:uid="{00000000-0005-0000-0000-0000A74A0000}"/>
    <cellStyle name="Input 2 4 2 2 10" xfId="23609" xr:uid="{00000000-0005-0000-0000-0000A84A0000}"/>
    <cellStyle name="Input 2 4 2 2 11" xfId="24581" xr:uid="{00000000-0005-0000-0000-0000A94A0000}"/>
    <cellStyle name="Input 2 4 2 2 12" xfId="25580" xr:uid="{00000000-0005-0000-0000-0000AA4A0000}"/>
    <cellStyle name="Input 2 4 2 2 13" xfId="28527" xr:uid="{00000000-0005-0000-0000-0000AB4A0000}"/>
    <cellStyle name="Input 2 4 2 2 14" xfId="29494" xr:uid="{00000000-0005-0000-0000-0000AC4A0000}"/>
    <cellStyle name="Input 2 4 2 2 15" xfId="30536" xr:uid="{00000000-0005-0000-0000-0000AD4A0000}"/>
    <cellStyle name="Input 2 4 2 2 16" xfId="31527" xr:uid="{00000000-0005-0000-0000-0000AE4A0000}"/>
    <cellStyle name="Input 2 4 2 2 17" xfId="32535" xr:uid="{00000000-0005-0000-0000-0000AF4A0000}"/>
    <cellStyle name="Input 2 4 2 2 18" xfId="33538" xr:uid="{00000000-0005-0000-0000-0000B04A0000}"/>
    <cellStyle name="Input 2 4 2 2 19" xfId="34537" xr:uid="{00000000-0005-0000-0000-0000B14A0000}"/>
    <cellStyle name="Input 2 4 2 2 2" xfId="4755" xr:uid="{00000000-0005-0000-0000-0000B24A0000}"/>
    <cellStyle name="Input 2 4 2 2 2 10" xfId="24582" xr:uid="{00000000-0005-0000-0000-0000B34A0000}"/>
    <cellStyle name="Input 2 4 2 2 2 11" xfId="25581" xr:uid="{00000000-0005-0000-0000-0000B44A0000}"/>
    <cellStyle name="Input 2 4 2 2 2 12" xfId="28528" xr:uid="{00000000-0005-0000-0000-0000B54A0000}"/>
    <cellStyle name="Input 2 4 2 2 2 13" xfId="29495" xr:uid="{00000000-0005-0000-0000-0000B64A0000}"/>
    <cellStyle name="Input 2 4 2 2 2 14" xfId="30537" xr:uid="{00000000-0005-0000-0000-0000B74A0000}"/>
    <cellStyle name="Input 2 4 2 2 2 15" xfId="31528" xr:uid="{00000000-0005-0000-0000-0000B84A0000}"/>
    <cellStyle name="Input 2 4 2 2 2 16" xfId="32536" xr:uid="{00000000-0005-0000-0000-0000B94A0000}"/>
    <cellStyle name="Input 2 4 2 2 2 17" xfId="33539" xr:uid="{00000000-0005-0000-0000-0000BA4A0000}"/>
    <cellStyle name="Input 2 4 2 2 2 18" xfId="34538" xr:uid="{00000000-0005-0000-0000-0000BB4A0000}"/>
    <cellStyle name="Input 2 4 2 2 2 19" xfId="36159" xr:uid="{00000000-0005-0000-0000-0000BC4A0000}"/>
    <cellStyle name="Input 2 4 2 2 2 2" xfId="16563" xr:uid="{00000000-0005-0000-0000-0000BD4A0000}"/>
    <cellStyle name="Input 2 4 2 2 2 20" xfId="37098" xr:uid="{00000000-0005-0000-0000-0000BE4A0000}"/>
    <cellStyle name="Input 2 4 2 2 2 3" xfId="17542" xr:uid="{00000000-0005-0000-0000-0000BF4A0000}"/>
    <cellStyle name="Input 2 4 2 2 2 4" xfId="18569" xr:uid="{00000000-0005-0000-0000-0000C04A0000}"/>
    <cellStyle name="Input 2 4 2 2 2 5" xfId="19601" xr:uid="{00000000-0005-0000-0000-0000C14A0000}"/>
    <cellStyle name="Input 2 4 2 2 2 6" xfId="20623" xr:uid="{00000000-0005-0000-0000-0000C24A0000}"/>
    <cellStyle name="Input 2 4 2 2 2 7" xfId="21634" xr:uid="{00000000-0005-0000-0000-0000C34A0000}"/>
    <cellStyle name="Input 2 4 2 2 2 8" xfId="22605" xr:uid="{00000000-0005-0000-0000-0000C44A0000}"/>
    <cellStyle name="Input 2 4 2 2 2 9" xfId="23610" xr:uid="{00000000-0005-0000-0000-0000C54A0000}"/>
    <cellStyle name="Input 2 4 2 2 20" xfId="36158" xr:uid="{00000000-0005-0000-0000-0000C64A0000}"/>
    <cellStyle name="Input 2 4 2 2 21" xfId="37097" xr:uid="{00000000-0005-0000-0000-0000C74A0000}"/>
    <cellStyle name="Input 2 4 2 2 3" xfId="16562" xr:uid="{00000000-0005-0000-0000-0000C84A0000}"/>
    <cellStyle name="Input 2 4 2 2 4" xfId="17541" xr:uid="{00000000-0005-0000-0000-0000C94A0000}"/>
    <cellStyle name="Input 2 4 2 2 5" xfId="18568" xr:uid="{00000000-0005-0000-0000-0000CA4A0000}"/>
    <cellStyle name="Input 2 4 2 2 6" xfId="19600" xr:uid="{00000000-0005-0000-0000-0000CB4A0000}"/>
    <cellStyle name="Input 2 4 2 2 7" xfId="20622" xr:uid="{00000000-0005-0000-0000-0000CC4A0000}"/>
    <cellStyle name="Input 2 4 2 2 8" xfId="21633" xr:uid="{00000000-0005-0000-0000-0000CD4A0000}"/>
    <cellStyle name="Input 2 4 2 2 9" xfId="22604" xr:uid="{00000000-0005-0000-0000-0000CE4A0000}"/>
    <cellStyle name="Input 2 4 2 3" xfId="4756" xr:uid="{00000000-0005-0000-0000-0000CF4A0000}"/>
    <cellStyle name="Input 2 4 2 3 10" xfId="23611" xr:uid="{00000000-0005-0000-0000-0000D04A0000}"/>
    <cellStyle name="Input 2 4 2 3 11" xfId="24583" xr:uid="{00000000-0005-0000-0000-0000D14A0000}"/>
    <cellStyle name="Input 2 4 2 3 12" xfId="25582" xr:uid="{00000000-0005-0000-0000-0000D24A0000}"/>
    <cellStyle name="Input 2 4 2 3 13" xfId="28529" xr:uid="{00000000-0005-0000-0000-0000D34A0000}"/>
    <cellStyle name="Input 2 4 2 3 14" xfId="29496" xr:uid="{00000000-0005-0000-0000-0000D44A0000}"/>
    <cellStyle name="Input 2 4 2 3 15" xfId="30538" xr:uid="{00000000-0005-0000-0000-0000D54A0000}"/>
    <cellStyle name="Input 2 4 2 3 16" xfId="31529" xr:uid="{00000000-0005-0000-0000-0000D64A0000}"/>
    <cellStyle name="Input 2 4 2 3 17" xfId="32537" xr:uid="{00000000-0005-0000-0000-0000D74A0000}"/>
    <cellStyle name="Input 2 4 2 3 18" xfId="33540" xr:uid="{00000000-0005-0000-0000-0000D84A0000}"/>
    <cellStyle name="Input 2 4 2 3 19" xfId="34539" xr:uid="{00000000-0005-0000-0000-0000D94A0000}"/>
    <cellStyle name="Input 2 4 2 3 2" xfId="4757" xr:uid="{00000000-0005-0000-0000-0000DA4A0000}"/>
    <cellStyle name="Input 2 4 2 3 2 10" xfId="24584" xr:uid="{00000000-0005-0000-0000-0000DB4A0000}"/>
    <cellStyle name="Input 2 4 2 3 2 11" xfId="25583" xr:uid="{00000000-0005-0000-0000-0000DC4A0000}"/>
    <cellStyle name="Input 2 4 2 3 2 12" xfId="28530" xr:uid="{00000000-0005-0000-0000-0000DD4A0000}"/>
    <cellStyle name="Input 2 4 2 3 2 13" xfId="29497" xr:uid="{00000000-0005-0000-0000-0000DE4A0000}"/>
    <cellStyle name="Input 2 4 2 3 2 14" xfId="30539" xr:uid="{00000000-0005-0000-0000-0000DF4A0000}"/>
    <cellStyle name="Input 2 4 2 3 2 15" xfId="31530" xr:uid="{00000000-0005-0000-0000-0000E04A0000}"/>
    <cellStyle name="Input 2 4 2 3 2 16" xfId="32538" xr:uid="{00000000-0005-0000-0000-0000E14A0000}"/>
    <cellStyle name="Input 2 4 2 3 2 17" xfId="33541" xr:uid="{00000000-0005-0000-0000-0000E24A0000}"/>
    <cellStyle name="Input 2 4 2 3 2 18" xfId="34540" xr:uid="{00000000-0005-0000-0000-0000E34A0000}"/>
    <cellStyle name="Input 2 4 2 3 2 19" xfId="36161" xr:uid="{00000000-0005-0000-0000-0000E44A0000}"/>
    <cellStyle name="Input 2 4 2 3 2 2" xfId="16565" xr:uid="{00000000-0005-0000-0000-0000E54A0000}"/>
    <cellStyle name="Input 2 4 2 3 2 20" xfId="37100" xr:uid="{00000000-0005-0000-0000-0000E64A0000}"/>
    <cellStyle name="Input 2 4 2 3 2 3" xfId="17544" xr:uid="{00000000-0005-0000-0000-0000E74A0000}"/>
    <cellStyle name="Input 2 4 2 3 2 4" xfId="18571" xr:uid="{00000000-0005-0000-0000-0000E84A0000}"/>
    <cellStyle name="Input 2 4 2 3 2 5" xfId="19603" xr:uid="{00000000-0005-0000-0000-0000E94A0000}"/>
    <cellStyle name="Input 2 4 2 3 2 6" xfId="20625" xr:uid="{00000000-0005-0000-0000-0000EA4A0000}"/>
    <cellStyle name="Input 2 4 2 3 2 7" xfId="21636" xr:uid="{00000000-0005-0000-0000-0000EB4A0000}"/>
    <cellStyle name="Input 2 4 2 3 2 8" xfId="22607" xr:uid="{00000000-0005-0000-0000-0000EC4A0000}"/>
    <cellStyle name="Input 2 4 2 3 2 9" xfId="23612" xr:uid="{00000000-0005-0000-0000-0000ED4A0000}"/>
    <cellStyle name="Input 2 4 2 3 20" xfId="36160" xr:uid="{00000000-0005-0000-0000-0000EE4A0000}"/>
    <cellStyle name="Input 2 4 2 3 21" xfId="37099" xr:uid="{00000000-0005-0000-0000-0000EF4A0000}"/>
    <cellStyle name="Input 2 4 2 3 3" xfId="16564" xr:uid="{00000000-0005-0000-0000-0000F04A0000}"/>
    <cellStyle name="Input 2 4 2 3 4" xfId="17543" xr:uid="{00000000-0005-0000-0000-0000F14A0000}"/>
    <cellStyle name="Input 2 4 2 3 5" xfId="18570" xr:uid="{00000000-0005-0000-0000-0000F24A0000}"/>
    <cellStyle name="Input 2 4 2 3 6" xfId="19602" xr:uid="{00000000-0005-0000-0000-0000F34A0000}"/>
    <cellStyle name="Input 2 4 2 3 7" xfId="20624" xr:uid="{00000000-0005-0000-0000-0000F44A0000}"/>
    <cellStyle name="Input 2 4 2 3 8" xfId="21635" xr:uid="{00000000-0005-0000-0000-0000F54A0000}"/>
    <cellStyle name="Input 2 4 2 3 9" xfId="22606" xr:uid="{00000000-0005-0000-0000-0000F64A0000}"/>
    <cellStyle name="Input 2 4 2 4" xfId="4758" xr:uid="{00000000-0005-0000-0000-0000F74A0000}"/>
    <cellStyle name="Input 2 4 2 4 10" xfId="23613" xr:uid="{00000000-0005-0000-0000-0000F84A0000}"/>
    <cellStyle name="Input 2 4 2 4 11" xfId="24585" xr:uid="{00000000-0005-0000-0000-0000F94A0000}"/>
    <cellStyle name="Input 2 4 2 4 12" xfId="25584" xr:uid="{00000000-0005-0000-0000-0000FA4A0000}"/>
    <cellStyle name="Input 2 4 2 4 13" xfId="28531" xr:uid="{00000000-0005-0000-0000-0000FB4A0000}"/>
    <cellStyle name="Input 2 4 2 4 14" xfId="29498" xr:uid="{00000000-0005-0000-0000-0000FC4A0000}"/>
    <cellStyle name="Input 2 4 2 4 15" xfId="30540" xr:uid="{00000000-0005-0000-0000-0000FD4A0000}"/>
    <cellStyle name="Input 2 4 2 4 16" xfId="31531" xr:uid="{00000000-0005-0000-0000-0000FE4A0000}"/>
    <cellStyle name="Input 2 4 2 4 17" xfId="32539" xr:uid="{00000000-0005-0000-0000-0000FF4A0000}"/>
    <cellStyle name="Input 2 4 2 4 18" xfId="33542" xr:uid="{00000000-0005-0000-0000-0000004B0000}"/>
    <cellStyle name="Input 2 4 2 4 19" xfId="34541" xr:uid="{00000000-0005-0000-0000-0000014B0000}"/>
    <cellStyle name="Input 2 4 2 4 2" xfId="4759" xr:uid="{00000000-0005-0000-0000-0000024B0000}"/>
    <cellStyle name="Input 2 4 2 4 2 10" xfId="24586" xr:uid="{00000000-0005-0000-0000-0000034B0000}"/>
    <cellStyle name="Input 2 4 2 4 2 11" xfId="25585" xr:uid="{00000000-0005-0000-0000-0000044B0000}"/>
    <cellStyle name="Input 2 4 2 4 2 12" xfId="28532" xr:uid="{00000000-0005-0000-0000-0000054B0000}"/>
    <cellStyle name="Input 2 4 2 4 2 13" xfId="29499" xr:uid="{00000000-0005-0000-0000-0000064B0000}"/>
    <cellStyle name="Input 2 4 2 4 2 14" xfId="30541" xr:uid="{00000000-0005-0000-0000-0000074B0000}"/>
    <cellStyle name="Input 2 4 2 4 2 15" xfId="31532" xr:uid="{00000000-0005-0000-0000-0000084B0000}"/>
    <cellStyle name="Input 2 4 2 4 2 16" xfId="32540" xr:uid="{00000000-0005-0000-0000-0000094B0000}"/>
    <cellStyle name="Input 2 4 2 4 2 17" xfId="33543" xr:uid="{00000000-0005-0000-0000-00000A4B0000}"/>
    <cellStyle name="Input 2 4 2 4 2 18" xfId="34542" xr:uid="{00000000-0005-0000-0000-00000B4B0000}"/>
    <cellStyle name="Input 2 4 2 4 2 19" xfId="36163" xr:uid="{00000000-0005-0000-0000-00000C4B0000}"/>
    <cellStyle name="Input 2 4 2 4 2 2" xfId="16567" xr:uid="{00000000-0005-0000-0000-00000D4B0000}"/>
    <cellStyle name="Input 2 4 2 4 2 20" xfId="37102" xr:uid="{00000000-0005-0000-0000-00000E4B0000}"/>
    <cellStyle name="Input 2 4 2 4 2 3" xfId="17546" xr:uid="{00000000-0005-0000-0000-00000F4B0000}"/>
    <cellStyle name="Input 2 4 2 4 2 4" xfId="18573" xr:uid="{00000000-0005-0000-0000-0000104B0000}"/>
    <cellStyle name="Input 2 4 2 4 2 5" xfId="19605" xr:uid="{00000000-0005-0000-0000-0000114B0000}"/>
    <cellStyle name="Input 2 4 2 4 2 6" xfId="20627" xr:uid="{00000000-0005-0000-0000-0000124B0000}"/>
    <cellStyle name="Input 2 4 2 4 2 7" xfId="21638" xr:uid="{00000000-0005-0000-0000-0000134B0000}"/>
    <cellStyle name="Input 2 4 2 4 2 8" xfId="22609" xr:uid="{00000000-0005-0000-0000-0000144B0000}"/>
    <cellStyle name="Input 2 4 2 4 2 9" xfId="23614" xr:uid="{00000000-0005-0000-0000-0000154B0000}"/>
    <cellStyle name="Input 2 4 2 4 20" xfId="36162" xr:uid="{00000000-0005-0000-0000-0000164B0000}"/>
    <cellStyle name="Input 2 4 2 4 21" xfId="37101" xr:uid="{00000000-0005-0000-0000-0000174B0000}"/>
    <cellStyle name="Input 2 4 2 4 3" xfId="16566" xr:uid="{00000000-0005-0000-0000-0000184B0000}"/>
    <cellStyle name="Input 2 4 2 4 4" xfId="17545" xr:uid="{00000000-0005-0000-0000-0000194B0000}"/>
    <cellStyle name="Input 2 4 2 4 5" xfId="18572" xr:uid="{00000000-0005-0000-0000-00001A4B0000}"/>
    <cellStyle name="Input 2 4 2 4 6" xfId="19604" xr:uid="{00000000-0005-0000-0000-00001B4B0000}"/>
    <cellStyle name="Input 2 4 2 4 7" xfId="20626" xr:uid="{00000000-0005-0000-0000-00001C4B0000}"/>
    <cellStyle name="Input 2 4 2 4 8" xfId="21637" xr:uid="{00000000-0005-0000-0000-00001D4B0000}"/>
    <cellStyle name="Input 2 4 2 4 9" xfId="22608" xr:uid="{00000000-0005-0000-0000-00001E4B0000}"/>
    <cellStyle name="Input 2 4 2 5" xfId="4760" xr:uid="{00000000-0005-0000-0000-00001F4B0000}"/>
    <cellStyle name="Input 2 4 2 5 10" xfId="24587" xr:uid="{00000000-0005-0000-0000-0000204B0000}"/>
    <cellStyle name="Input 2 4 2 5 11" xfId="25586" xr:uid="{00000000-0005-0000-0000-0000214B0000}"/>
    <cellStyle name="Input 2 4 2 5 12" xfId="28533" xr:uid="{00000000-0005-0000-0000-0000224B0000}"/>
    <cellStyle name="Input 2 4 2 5 13" xfId="29500" xr:uid="{00000000-0005-0000-0000-0000234B0000}"/>
    <cellStyle name="Input 2 4 2 5 14" xfId="30542" xr:uid="{00000000-0005-0000-0000-0000244B0000}"/>
    <cellStyle name="Input 2 4 2 5 15" xfId="31533" xr:uid="{00000000-0005-0000-0000-0000254B0000}"/>
    <cellStyle name="Input 2 4 2 5 16" xfId="32541" xr:uid="{00000000-0005-0000-0000-0000264B0000}"/>
    <cellStyle name="Input 2 4 2 5 17" xfId="33544" xr:uid="{00000000-0005-0000-0000-0000274B0000}"/>
    <cellStyle name="Input 2 4 2 5 18" xfId="34543" xr:uid="{00000000-0005-0000-0000-0000284B0000}"/>
    <cellStyle name="Input 2 4 2 5 19" xfId="36164" xr:uid="{00000000-0005-0000-0000-0000294B0000}"/>
    <cellStyle name="Input 2 4 2 5 2" xfId="16568" xr:uid="{00000000-0005-0000-0000-00002A4B0000}"/>
    <cellStyle name="Input 2 4 2 5 20" xfId="37103" xr:uid="{00000000-0005-0000-0000-00002B4B0000}"/>
    <cellStyle name="Input 2 4 2 5 3" xfId="17547" xr:uid="{00000000-0005-0000-0000-00002C4B0000}"/>
    <cellStyle name="Input 2 4 2 5 4" xfId="18574" xr:uid="{00000000-0005-0000-0000-00002D4B0000}"/>
    <cellStyle name="Input 2 4 2 5 5" xfId="19606" xr:uid="{00000000-0005-0000-0000-00002E4B0000}"/>
    <cellStyle name="Input 2 4 2 5 6" xfId="20628" xr:uid="{00000000-0005-0000-0000-00002F4B0000}"/>
    <cellStyle name="Input 2 4 2 5 7" xfId="21639" xr:uid="{00000000-0005-0000-0000-0000304B0000}"/>
    <cellStyle name="Input 2 4 2 5 8" xfId="22610" xr:uid="{00000000-0005-0000-0000-0000314B0000}"/>
    <cellStyle name="Input 2 4 2 5 9" xfId="23615" xr:uid="{00000000-0005-0000-0000-0000324B0000}"/>
    <cellStyle name="Input 2 4 2 6" xfId="14034" xr:uid="{00000000-0005-0000-0000-0000334B0000}"/>
    <cellStyle name="Input 2 4 2 7" xfId="17828" xr:uid="{00000000-0005-0000-0000-0000344B0000}"/>
    <cellStyle name="Input 2 4 2 8" xfId="14508" xr:uid="{00000000-0005-0000-0000-0000354B0000}"/>
    <cellStyle name="Input 2 4 2 9" xfId="15043" xr:uid="{00000000-0005-0000-0000-0000364B0000}"/>
    <cellStyle name="Input 2 4 20" xfId="27796" xr:uid="{00000000-0005-0000-0000-0000374B0000}"/>
    <cellStyle name="Input 2 4 21" xfId="26982" xr:uid="{00000000-0005-0000-0000-0000384B0000}"/>
    <cellStyle name="Input 2 4 22" xfId="34941" xr:uid="{00000000-0005-0000-0000-0000394B0000}"/>
    <cellStyle name="Input 2 4 23" xfId="34972" xr:uid="{00000000-0005-0000-0000-00003A4B0000}"/>
    <cellStyle name="Input 2 4 3" xfId="4761" xr:uid="{00000000-0005-0000-0000-00003B4B0000}"/>
    <cellStyle name="Input 2 4 3 10" xfId="14620" xr:uid="{00000000-0005-0000-0000-00003C4B0000}"/>
    <cellStyle name="Input 2 4 3 11" xfId="14782" xr:uid="{00000000-0005-0000-0000-00003D4B0000}"/>
    <cellStyle name="Input 2 4 3 12" xfId="26382" xr:uid="{00000000-0005-0000-0000-00003E4B0000}"/>
    <cellStyle name="Input 2 4 3 13" xfId="27134" xr:uid="{00000000-0005-0000-0000-00003F4B0000}"/>
    <cellStyle name="Input 2 4 3 14" xfId="27530" xr:uid="{00000000-0005-0000-0000-0000404B0000}"/>
    <cellStyle name="Input 2 4 3 15" xfId="27491" xr:uid="{00000000-0005-0000-0000-0000414B0000}"/>
    <cellStyle name="Input 2 4 3 16" xfId="26628" xr:uid="{00000000-0005-0000-0000-0000424B0000}"/>
    <cellStyle name="Input 2 4 3 17" xfId="27813" xr:uid="{00000000-0005-0000-0000-0000434B0000}"/>
    <cellStyle name="Input 2 4 3 18" xfId="35073" xr:uid="{00000000-0005-0000-0000-0000444B0000}"/>
    <cellStyle name="Input 2 4 3 19" xfId="35435" xr:uid="{00000000-0005-0000-0000-0000454B0000}"/>
    <cellStyle name="Input 2 4 3 2" xfId="4762" xr:uid="{00000000-0005-0000-0000-0000464B0000}"/>
    <cellStyle name="Input 2 4 3 2 10" xfId="23616" xr:uid="{00000000-0005-0000-0000-0000474B0000}"/>
    <cellStyle name="Input 2 4 3 2 11" xfId="24588" xr:uid="{00000000-0005-0000-0000-0000484B0000}"/>
    <cellStyle name="Input 2 4 3 2 12" xfId="25587" xr:uid="{00000000-0005-0000-0000-0000494B0000}"/>
    <cellStyle name="Input 2 4 3 2 13" xfId="28534" xr:uid="{00000000-0005-0000-0000-00004A4B0000}"/>
    <cellStyle name="Input 2 4 3 2 14" xfId="29501" xr:uid="{00000000-0005-0000-0000-00004B4B0000}"/>
    <cellStyle name="Input 2 4 3 2 15" xfId="30543" xr:uid="{00000000-0005-0000-0000-00004C4B0000}"/>
    <cellStyle name="Input 2 4 3 2 16" xfId="31534" xr:uid="{00000000-0005-0000-0000-00004D4B0000}"/>
    <cellStyle name="Input 2 4 3 2 17" xfId="32542" xr:uid="{00000000-0005-0000-0000-00004E4B0000}"/>
    <cellStyle name="Input 2 4 3 2 18" xfId="33545" xr:uid="{00000000-0005-0000-0000-00004F4B0000}"/>
    <cellStyle name="Input 2 4 3 2 19" xfId="34544" xr:uid="{00000000-0005-0000-0000-0000504B0000}"/>
    <cellStyle name="Input 2 4 3 2 2" xfId="4763" xr:uid="{00000000-0005-0000-0000-0000514B0000}"/>
    <cellStyle name="Input 2 4 3 2 2 10" xfId="24589" xr:uid="{00000000-0005-0000-0000-0000524B0000}"/>
    <cellStyle name="Input 2 4 3 2 2 11" xfId="25588" xr:uid="{00000000-0005-0000-0000-0000534B0000}"/>
    <cellStyle name="Input 2 4 3 2 2 12" xfId="28535" xr:uid="{00000000-0005-0000-0000-0000544B0000}"/>
    <cellStyle name="Input 2 4 3 2 2 13" xfId="29502" xr:uid="{00000000-0005-0000-0000-0000554B0000}"/>
    <cellStyle name="Input 2 4 3 2 2 14" xfId="30544" xr:uid="{00000000-0005-0000-0000-0000564B0000}"/>
    <cellStyle name="Input 2 4 3 2 2 15" xfId="31535" xr:uid="{00000000-0005-0000-0000-0000574B0000}"/>
    <cellStyle name="Input 2 4 3 2 2 16" xfId="32543" xr:uid="{00000000-0005-0000-0000-0000584B0000}"/>
    <cellStyle name="Input 2 4 3 2 2 17" xfId="33546" xr:uid="{00000000-0005-0000-0000-0000594B0000}"/>
    <cellStyle name="Input 2 4 3 2 2 18" xfId="34545" xr:uid="{00000000-0005-0000-0000-00005A4B0000}"/>
    <cellStyle name="Input 2 4 3 2 2 19" xfId="36166" xr:uid="{00000000-0005-0000-0000-00005B4B0000}"/>
    <cellStyle name="Input 2 4 3 2 2 2" xfId="16570" xr:uid="{00000000-0005-0000-0000-00005C4B0000}"/>
    <cellStyle name="Input 2 4 3 2 2 20" xfId="37105" xr:uid="{00000000-0005-0000-0000-00005D4B0000}"/>
    <cellStyle name="Input 2 4 3 2 2 3" xfId="17549" xr:uid="{00000000-0005-0000-0000-00005E4B0000}"/>
    <cellStyle name="Input 2 4 3 2 2 4" xfId="18576" xr:uid="{00000000-0005-0000-0000-00005F4B0000}"/>
    <cellStyle name="Input 2 4 3 2 2 5" xfId="19608" xr:uid="{00000000-0005-0000-0000-0000604B0000}"/>
    <cellStyle name="Input 2 4 3 2 2 6" xfId="20630" xr:uid="{00000000-0005-0000-0000-0000614B0000}"/>
    <cellStyle name="Input 2 4 3 2 2 7" xfId="21641" xr:uid="{00000000-0005-0000-0000-0000624B0000}"/>
    <cellStyle name="Input 2 4 3 2 2 8" xfId="22612" xr:uid="{00000000-0005-0000-0000-0000634B0000}"/>
    <cellStyle name="Input 2 4 3 2 2 9" xfId="23617" xr:uid="{00000000-0005-0000-0000-0000644B0000}"/>
    <cellStyle name="Input 2 4 3 2 20" xfId="36165" xr:uid="{00000000-0005-0000-0000-0000654B0000}"/>
    <cellStyle name="Input 2 4 3 2 21" xfId="37104" xr:uid="{00000000-0005-0000-0000-0000664B0000}"/>
    <cellStyle name="Input 2 4 3 2 3" xfId="16569" xr:uid="{00000000-0005-0000-0000-0000674B0000}"/>
    <cellStyle name="Input 2 4 3 2 4" xfId="17548" xr:uid="{00000000-0005-0000-0000-0000684B0000}"/>
    <cellStyle name="Input 2 4 3 2 5" xfId="18575" xr:uid="{00000000-0005-0000-0000-0000694B0000}"/>
    <cellStyle name="Input 2 4 3 2 6" xfId="19607" xr:uid="{00000000-0005-0000-0000-00006A4B0000}"/>
    <cellStyle name="Input 2 4 3 2 7" xfId="20629" xr:uid="{00000000-0005-0000-0000-00006B4B0000}"/>
    <cellStyle name="Input 2 4 3 2 8" xfId="21640" xr:uid="{00000000-0005-0000-0000-00006C4B0000}"/>
    <cellStyle name="Input 2 4 3 2 9" xfId="22611" xr:uid="{00000000-0005-0000-0000-00006D4B0000}"/>
    <cellStyle name="Input 2 4 3 3" xfId="4764" xr:uid="{00000000-0005-0000-0000-00006E4B0000}"/>
    <cellStyle name="Input 2 4 3 3 10" xfId="23618" xr:uid="{00000000-0005-0000-0000-00006F4B0000}"/>
    <cellStyle name="Input 2 4 3 3 11" xfId="24590" xr:uid="{00000000-0005-0000-0000-0000704B0000}"/>
    <cellStyle name="Input 2 4 3 3 12" xfId="25589" xr:uid="{00000000-0005-0000-0000-0000714B0000}"/>
    <cellStyle name="Input 2 4 3 3 13" xfId="28536" xr:uid="{00000000-0005-0000-0000-0000724B0000}"/>
    <cellStyle name="Input 2 4 3 3 14" xfId="29503" xr:uid="{00000000-0005-0000-0000-0000734B0000}"/>
    <cellStyle name="Input 2 4 3 3 15" xfId="30545" xr:uid="{00000000-0005-0000-0000-0000744B0000}"/>
    <cellStyle name="Input 2 4 3 3 16" xfId="31536" xr:uid="{00000000-0005-0000-0000-0000754B0000}"/>
    <cellStyle name="Input 2 4 3 3 17" xfId="32544" xr:uid="{00000000-0005-0000-0000-0000764B0000}"/>
    <cellStyle name="Input 2 4 3 3 18" xfId="33547" xr:uid="{00000000-0005-0000-0000-0000774B0000}"/>
    <cellStyle name="Input 2 4 3 3 19" xfId="34546" xr:uid="{00000000-0005-0000-0000-0000784B0000}"/>
    <cellStyle name="Input 2 4 3 3 2" xfId="4765" xr:uid="{00000000-0005-0000-0000-0000794B0000}"/>
    <cellStyle name="Input 2 4 3 3 2 10" xfId="24591" xr:uid="{00000000-0005-0000-0000-00007A4B0000}"/>
    <cellStyle name="Input 2 4 3 3 2 11" xfId="25590" xr:uid="{00000000-0005-0000-0000-00007B4B0000}"/>
    <cellStyle name="Input 2 4 3 3 2 12" xfId="28537" xr:uid="{00000000-0005-0000-0000-00007C4B0000}"/>
    <cellStyle name="Input 2 4 3 3 2 13" xfId="29504" xr:uid="{00000000-0005-0000-0000-00007D4B0000}"/>
    <cellStyle name="Input 2 4 3 3 2 14" xfId="30546" xr:uid="{00000000-0005-0000-0000-00007E4B0000}"/>
    <cellStyle name="Input 2 4 3 3 2 15" xfId="31537" xr:uid="{00000000-0005-0000-0000-00007F4B0000}"/>
    <cellStyle name="Input 2 4 3 3 2 16" xfId="32545" xr:uid="{00000000-0005-0000-0000-0000804B0000}"/>
    <cellStyle name="Input 2 4 3 3 2 17" xfId="33548" xr:uid="{00000000-0005-0000-0000-0000814B0000}"/>
    <cellStyle name="Input 2 4 3 3 2 18" xfId="34547" xr:uid="{00000000-0005-0000-0000-0000824B0000}"/>
    <cellStyle name="Input 2 4 3 3 2 19" xfId="36168" xr:uid="{00000000-0005-0000-0000-0000834B0000}"/>
    <cellStyle name="Input 2 4 3 3 2 2" xfId="16572" xr:uid="{00000000-0005-0000-0000-0000844B0000}"/>
    <cellStyle name="Input 2 4 3 3 2 20" xfId="37107" xr:uid="{00000000-0005-0000-0000-0000854B0000}"/>
    <cellStyle name="Input 2 4 3 3 2 3" xfId="17551" xr:uid="{00000000-0005-0000-0000-0000864B0000}"/>
    <cellStyle name="Input 2 4 3 3 2 4" xfId="18578" xr:uid="{00000000-0005-0000-0000-0000874B0000}"/>
    <cellStyle name="Input 2 4 3 3 2 5" xfId="19610" xr:uid="{00000000-0005-0000-0000-0000884B0000}"/>
    <cellStyle name="Input 2 4 3 3 2 6" xfId="20632" xr:uid="{00000000-0005-0000-0000-0000894B0000}"/>
    <cellStyle name="Input 2 4 3 3 2 7" xfId="21643" xr:uid="{00000000-0005-0000-0000-00008A4B0000}"/>
    <cellStyle name="Input 2 4 3 3 2 8" xfId="22614" xr:uid="{00000000-0005-0000-0000-00008B4B0000}"/>
    <cellStyle name="Input 2 4 3 3 2 9" xfId="23619" xr:uid="{00000000-0005-0000-0000-00008C4B0000}"/>
    <cellStyle name="Input 2 4 3 3 20" xfId="36167" xr:uid="{00000000-0005-0000-0000-00008D4B0000}"/>
    <cellStyle name="Input 2 4 3 3 21" xfId="37106" xr:uid="{00000000-0005-0000-0000-00008E4B0000}"/>
    <cellStyle name="Input 2 4 3 3 3" xfId="16571" xr:uid="{00000000-0005-0000-0000-00008F4B0000}"/>
    <cellStyle name="Input 2 4 3 3 4" xfId="17550" xr:uid="{00000000-0005-0000-0000-0000904B0000}"/>
    <cellStyle name="Input 2 4 3 3 5" xfId="18577" xr:uid="{00000000-0005-0000-0000-0000914B0000}"/>
    <cellStyle name="Input 2 4 3 3 6" xfId="19609" xr:uid="{00000000-0005-0000-0000-0000924B0000}"/>
    <cellStyle name="Input 2 4 3 3 7" xfId="20631" xr:uid="{00000000-0005-0000-0000-0000934B0000}"/>
    <cellStyle name="Input 2 4 3 3 8" xfId="21642" xr:uid="{00000000-0005-0000-0000-0000944B0000}"/>
    <cellStyle name="Input 2 4 3 3 9" xfId="22613" xr:uid="{00000000-0005-0000-0000-0000954B0000}"/>
    <cellStyle name="Input 2 4 3 4" xfId="4766" xr:uid="{00000000-0005-0000-0000-0000964B0000}"/>
    <cellStyle name="Input 2 4 3 4 10" xfId="23620" xr:uid="{00000000-0005-0000-0000-0000974B0000}"/>
    <cellStyle name="Input 2 4 3 4 11" xfId="24592" xr:uid="{00000000-0005-0000-0000-0000984B0000}"/>
    <cellStyle name="Input 2 4 3 4 12" xfId="25591" xr:uid="{00000000-0005-0000-0000-0000994B0000}"/>
    <cellStyle name="Input 2 4 3 4 13" xfId="28538" xr:uid="{00000000-0005-0000-0000-00009A4B0000}"/>
    <cellStyle name="Input 2 4 3 4 14" xfId="29505" xr:uid="{00000000-0005-0000-0000-00009B4B0000}"/>
    <cellStyle name="Input 2 4 3 4 15" xfId="30547" xr:uid="{00000000-0005-0000-0000-00009C4B0000}"/>
    <cellStyle name="Input 2 4 3 4 16" xfId="31538" xr:uid="{00000000-0005-0000-0000-00009D4B0000}"/>
    <cellStyle name="Input 2 4 3 4 17" xfId="32546" xr:uid="{00000000-0005-0000-0000-00009E4B0000}"/>
    <cellStyle name="Input 2 4 3 4 18" xfId="33549" xr:uid="{00000000-0005-0000-0000-00009F4B0000}"/>
    <cellStyle name="Input 2 4 3 4 19" xfId="34548" xr:uid="{00000000-0005-0000-0000-0000A04B0000}"/>
    <cellStyle name="Input 2 4 3 4 2" xfId="4767" xr:uid="{00000000-0005-0000-0000-0000A14B0000}"/>
    <cellStyle name="Input 2 4 3 4 2 10" xfId="24593" xr:uid="{00000000-0005-0000-0000-0000A24B0000}"/>
    <cellStyle name="Input 2 4 3 4 2 11" xfId="25592" xr:uid="{00000000-0005-0000-0000-0000A34B0000}"/>
    <cellStyle name="Input 2 4 3 4 2 12" xfId="28539" xr:uid="{00000000-0005-0000-0000-0000A44B0000}"/>
    <cellStyle name="Input 2 4 3 4 2 13" xfId="29506" xr:uid="{00000000-0005-0000-0000-0000A54B0000}"/>
    <cellStyle name="Input 2 4 3 4 2 14" xfId="30548" xr:uid="{00000000-0005-0000-0000-0000A64B0000}"/>
    <cellStyle name="Input 2 4 3 4 2 15" xfId="31539" xr:uid="{00000000-0005-0000-0000-0000A74B0000}"/>
    <cellStyle name="Input 2 4 3 4 2 16" xfId="32547" xr:uid="{00000000-0005-0000-0000-0000A84B0000}"/>
    <cellStyle name="Input 2 4 3 4 2 17" xfId="33550" xr:uid="{00000000-0005-0000-0000-0000A94B0000}"/>
    <cellStyle name="Input 2 4 3 4 2 18" xfId="34549" xr:uid="{00000000-0005-0000-0000-0000AA4B0000}"/>
    <cellStyle name="Input 2 4 3 4 2 19" xfId="36170" xr:uid="{00000000-0005-0000-0000-0000AB4B0000}"/>
    <cellStyle name="Input 2 4 3 4 2 2" xfId="16574" xr:uid="{00000000-0005-0000-0000-0000AC4B0000}"/>
    <cellStyle name="Input 2 4 3 4 2 20" xfId="37109" xr:uid="{00000000-0005-0000-0000-0000AD4B0000}"/>
    <cellStyle name="Input 2 4 3 4 2 3" xfId="17553" xr:uid="{00000000-0005-0000-0000-0000AE4B0000}"/>
    <cellStyle name="Input 2 4 3 4 2 4" xfId="18580" xr:uid="{00000000-0005-0000-0000-0000AF4B0000}"/>
    <cellStyle name="Input 2 4 3 4 2 5" xfId="19612" xr:uid="{00000000-0005-0000-0000-0000B04B0000}"/>
    <cellStyle name="Input 2 4 3 4 2 6" xfId="20634" xr:uid="{00000000-0005-0000-0000-0000B14B0000}"/>
    <cellStyle name="Input 2 4 3 4 2 7" xfId="21645" xr:uid="{00000000-0005-0000-0000-0000B24B0000}"/>
    <cellStyle name="Input 2 4 3 4 2 8" xfId="22616" xr:uid="{00000000-0005-0000-0000-0000B34B0000}"/>
    <cellStyle name="Input 2 4 3 4 2 9" xfId="23621" xr:uid="{00000000-0005-0000-0000-0000B44B0000}"/>
    <cellStyle name="Input 2 4 3 4 20" xfId="36169" xr:uid="{00000000-0005-0000-0000-0000B54B0000}"/>
    <cellStyle name="Input 2 4 3 4 21" xfId="37108" xr:uid="{00000000-0005-0000-0000-0000B64B0000}"/>
    <cellStyle name="Input 2 4 3 4 3" xfId="16573" xr:uid="{00000000-0005-0000-0000-0000B74B0000}"/>
    <cellStyle name="Input 2 4 3 4 4" xfId="17552" xr:uid="{00000000-0005-0000-0000-0000B84B0000}"/>
    <cellStyle name="Input 2 4 3 4 5" xfId="18579" xr:uid="{00000000-0005-0000-0000-0000B94B0000}"/>
    <cellStyle name="Input 2 4 3 4 6" xfId="19611" xr:uid="{00000000-0005-0000-0000-0000BA4B0000}"/>
    <cellStyle name="Input 2 4 3 4 7" xfId="20633" xr:uid="{00000000-0005-0000-0000-0000BB4B0000}"/>
    <cellStyle name="Input 2 4 3 4 8" xfId="21644" xr:uid="{00000000-0005-0000-0000-0000BC4B0000}"/>
    <cellStyle name="Input 2 4 3 4 9" xfId="22615" xr:uid="{00000000-0005-0000-0000-0000BD4B0000}"/>
    <cellStyle name="Input 2 4 3 5" xfId="4768" xr:uid="{00000000-0005-0000-0000-0000BE4B0000}"/>
    <cellStyle name="Input 2 4 3 5 10" xfId="24594" xr:uid="{00000000-0005-0000-0000-0000BF4B0000}"/>
    <cellStyle name="Input 2 4 3 5 11" xfId="25593" xr:uid="{00000000-0005-0000-0000-0000C04B0000}"/>
    <cellStyle name="Input 2 4 3 5 12" xfId="28540" xr:uid="{00000000-0005-0000-0000-0000C14B0000}"/>
    <cellStyle name="Input 2 4 3 5 13" xfId="29507" xr:uid="{00000000-0005-0000-0000-0000C24B0000}"/>
    <cellStyle name="Input 2 4 3 5 14" xfId="30549" xr:uid="{00000000-0005-0000-0000-0000C34B0000}"/>
    <cellStyle name="Input 2 4 3 5 15" xfId="31540" xr:uid="{00000000-0005-0000-0000-0000C44B0000}"/>
    <cellStyle name="Input 2 4 3 5 16" xfId="32548" xr:uid="{00000000-0005-0000-0000-0000C54B0000}"/>
    <cellStyle name="Input 2 4 3 5 17" xfId="33551" xr:uid="{00000000-0005-0000-0000-0000C64B0000}"/>
    <cellStyle name="Input 2 4 3 5 18" xfId="34550" xr:uid="{00000000-0005-0000-0000-0000C74B0000}"/>
    <cellStyle name="Input 2 4 3 5 19" xfId="36171" xr:uid="{00000000-0005-0000-0000-0000C84B0000}"/>
    <cellStyle name="Input 2 4 3 5 2" xfId="16575" xr:uid="{00000000-0005-0000-0000-0000C94B0000}"/>
    <cellStyle name="Input 2 4 3 5 20" xfId="37110" xr:uid="{00000000-0005-0000-0000-0000CA4B0000}"/>
    <cellStyle name="Input 2 4 3 5 3" xfId="17554" xr:uid="{00000000-0005-0000-0000-0000CB4B0000}"/>
    <cellStyle name="Input 2 4 3 5 4" xfId="18581" xr:uid="{00000000-0005-0000-0000-0000CC4B0000}"/>
    <cellStyle name="Input 2 4 3 5 5" xfId="19613" xr:uid="{00000000-0005-0000-0000-0000CD4B0000}"/>
    <cellStyle name="Input 2 4 3 5 6" xfId="20635" xr:uid="{00000000-0005-0000-0000-0000CE4B0000}"/>
    <cellStyle name="Input 2 4 3 5 7" xfId="21646" xr:uid="{00000000-0005-0000-0000-0000CF4B0000}"/>
    <cellStyle name="Input 2 4 3 5 8" xfId="22617" xr:uid="{00000000-0005-0000-0000-0000D04B0000}"/>
    <cellStyle name="Input 2 4 3 5 9" xfId="23622" xr:uid="{00000000-0005-0000-0000-0000D14B0000}"/>
    <cellStyle name="Input 2 4 3 6" xfId="14426" xr:uid="{00000000-0005-0000-0000-0000D24B0000}"/>
    <cellStyle name="Input 2 4 3 7" xfId="14268" xr:uid="{00000000-0005-0000-0000-0000D34B0000}"/>
    <cellStyle name="Input 2 4 3 8" xfId="14576" xr:uid="{00000000-0005-0000-0000-0000D44B0000}"/>
    <cellStyle name="Input 2 4 3 9" xfId="14531" xr:uid="{00000000-0005-0000-0000-0000D54B0000}"/>
    <cellStyle name="Input 2 4 4" xfId="4769" xr:uid="{00000000-0005-0000-0000-0000D64B0000}"/>
    <cellStyle name="Input 2 4 4 10" xfId="13534" xr:uid="{00000000-0005-0000-0000-0000D74B0000}"/>
    <cellStyle name="Input 2 4 4 11" xfId="13644" xr:uid="{00000000-0005-0000-0000-0000D84B0000}"/>
    <cellStyle name="Input 2 4 4 12" xfId="26360" xr:uid="{00000000-0005-0000-0000-0000D94B0000}"/>
    <cellStyle name="Input 2 4 4 13" xfId="26041" xr:uid="{00000000-0005-0000-0000-0000DA4B0000}"/>
    <cellStyle name="Input 2 4 4 14" xfId="27526" xr:uid="{00000000-0005-0000-0000-0000DB4B0000}"/>
    <cellStyle name="Input 2 4 4 15" xfId="25999" xr:uid="{00000000-0005-0000-0000-0000DC4B0000}"/>
    <cellStyle name="Input 2 4 4 16" xfId="26890" xr:uid="{00000000-0005-0000-0000-0000DD4B0000}"/>
    <cellStyle name="Input 2 4 4 17" xfId="26507" xr:uid="{00000000-0005-0000-0000-0000DE4B0000}"/>
    <cellStyle name="Input 2 4 4 18" xfId="35052" xr:uid="{00000000-0005-0000-0000-0000DF4B0000}"/>
    <cellStyle name="Input 2 4 4 19" xfId="35298" xr:uid="{00000000-0005-0000-0000-0000E04B0000}"/>
    <cellStyle name="Input 2 4 4 2" xfId="4770" xr:uid="{00000000-0005-0000-0000-0000E14B0000}"/>
    <cellStyle name="Input 2 4 4 2 10" xfId="23623" xr:uid="{00000000-0005-0000-0000-0000E24B0000}"/>
    <cellStyle name="Input 2 4 4 2 11" xfId="24595" xr:uid="{00000000-0005-0000-0000-0000E34B0000}"/>
    <cellStyle name="Input 2 4 4 2 12" xfId="25594" xr:uid="{00000000-0005-0000-0000-0000E44B0000}"/>
    <cellStyle name="Input 2 4 4 2 13" xfId="28541" xr:uid="{00000000-0005-0000-0000-0000E54B0000}"/>
    <cellStyle name="Input 2 4 4 2 14" xfId="29508" xr:uid="{00000000-0005-0000-0000-0000E64B0000}"/>
    <cellStyle name="Input 2 4 4 2 15" xfId="30550" xr:uid="{00000000-0005-0000-0000-0000E74B0000}"/>
    <cellStyle name="Input 2 4 4 2 16" xfId="31541" xr:uid="{00000000-0005-0000-0000-0000E84B0000}"/>
    <cellStyle name="Input 2 4 4 2 17" xfId="32549" xr:uid="{00000000-0005-0000-0000-0000E94B0000}"/>
    <cellStyle name="Input 2 4 4 2 18" xfId="33552" xr:uid="{00000000-0005-0000-0000-0000EA4B0000}"/>
    <cellStyle name="Input 2 4 4 2 19" xfId="34551" xr:uid="{00000000-0005-0000-0000-0000EB4B0000}"/>
    <cellStyle name="Input 2 4 4 2 2" xfId="4771" xr:uid="{00000000-0005-0000-0000-0000EC4B0000}"/>
    <cellStyle name="Input 2 4 4 2 2 10" xfId="24596" xr:uid="{00000000-0005-0000-0000-0000ED4B0000}"/>
    <cellStyle name="Input 2 4 4 2 2 11" xfId="25595" xr:uid="{00000000-0005-0000-0000-0000EE4B0000}"/>
    <cellStyle name="Input 2 4 4 2 2 12" xfId="28542" xr:uid="{00000000-0005-0000-0000-0000EF4B0000}"/>
    <cellStyle name="Input 2 4 4 2 2 13" xfId="29509" xr:uid="{00000000-0005-0000-0000-0000F04B0000}"/>
    <cellStyle name="Input 2 4 4 2 2 14" xfId="30551" xr:uid="{00000000-0005-0000-0000-0000F14B0000}"/>
    <cellStyle name="Input 2 4 4 2 2 15" xfId="31542" xr:uid="{00000000-0005-0000-0000-0000F24B0000}"/>
    <cellStyle name="Input 2 4 4 2 2 16" xfId="32550" xr:uid="{00000000-0005-0000-0000-0000F34B0000}"/>
    <cellStyle name="Input 2 4 4 2 2 17" xfId="33553" xr:uid="{00000000-0005-0000-0000-0000F44B0000}"/>
    <cellStyle name="Input 2 4 4 2 2 18" xfId="34552" xr:uid="{00000000-0005-0000-0000-0000F54B0000}"/>
    <cellStyle name="Input 2 4 4 2 2 19" xfId="36173" xr:uid="{00000000-0005-0000-0000-0000F64B0000}"/>
    <cellStyle name="Input 2 4 4 2 2 2" xfId="16577" xr:uid="{00000000-0005-0000-0000-0000F74B0000}"/>
    <cellStyle name="Input 2 4 4 2 2 20" xfId="37112" xr:uid="{00000000-0005-0000-0000-0000F84B0000}"/>
    <cellStyle name="Input 2 4 4 2 2 3" xfId="17556" xr:uid="{00000000-0005-0000-0000-0000F94B0000}"/>
    <cellStyle name="Input 2 4 4 2 2 4" xfId="18583" xr:uid="{00000000-0005-0000-0000-0000FA4B0000}"/>
    <cellStyle name="Input 2 4 4 2 2 5" xfId="19615" xr:uid="{00000000-0005-0000-0000-0000FB4B0000}"/>
    <cellStyle name="Input 2 4 4 2 2 6" xfId="20637" xr:uid="{00000000-0005-0000-0000-0000FC4B0000}"/>
    <cellStyle name="Input 2 4 4 2 2 7" xfId="21648" xr:uid="{00000000-0005-0000-0000-0000FD4B0000}"/>
    <cellStyle name="Input 2 4 4 2 2 8" xfId="22619" xr:uid="{00000000-0005-0000-0000-0000FE4B0000}"/>
    <cellStyle name="Input 2 4 4 2 2 9" xfId="23624" xr:uid="{00000000-0005-0000-0000-0000FF4B0000}"/>
    <cellStyle name="Input 2 4 4 2 20" xfId="36172" xr:uid="{00000000-0005-0000-0000-0000004C0000}"/>
    <cellStyle name="Input 2 4 4 2 21" xfId="37111" xr:uid="{00000000-0005-0000-0000-0000014C0000}"/>
    <cellStyle name="Input 2 4 4 2 3" xfId="16576" xr:uid="{00000000-0005-0000-0000-0000024C0000}"/>
    <cellStyle name="Input 2 4 4 2 4" xfId="17555" xr:uid="{00000000-0005-0000-0000-0000034C0000}"/>
    <cellStyle name="Input 2 4 4 2 5" xfId="18582" xr:uid="{00000000-0005-0000-0000-0000044C0000}"/>
    <cellStyle name="Input 2 4 4 2 6" xfId="19614" xr:uid="{00000000-0005-0000-0000-0000054C0000}"/>
    <cellStyle name="Input 2 4 4 2 7" xfId="20636" xr:uid="{00000000-0005-0000-0000-0000064C0000}"/>
    <cellStyle name="Input 2 4 4 2 8" xfId="21647" xr:uid="{00000000-0005-0000-0000-0000074C0000}"/>
    <cellStyle name="Input 2 4 4 2 9" xfId="22618" xr:uid="{00000000-0005-0000-0000-0000084C0000}"/>
    <cellStyle name="Input 2 4 4 3" xfId="4772" xr:uid="{00000000-0005-0000-0000-0000094C0000}"/>
    <cellStyle name="Input 2 4 4 3 10" xfId="23625" xr:uid="{00000000-0005-0000-0000-00000A4C0000}"/>
    <cellStyle name="Input 2 4 4 3 11" xfId="24597" xr:uid="{00000000-0005-0000-0000-00000B4C0000}"/>
    <cellStyle name="Input 2 4 4 3 12" xfId="25596" xr:uid="{00000000-0005-0000-0000-00000C4C0000}"/>
    <cellStyle name="Input 2 4 4 3 13" xfId="28543" xr:uid="{00000000-0005-0000-0000-00000D4C0000}"/>
    <cellStyle name="Input 2 4 4 3 14" xfId="29510" xr:uid="{00000000-0005-0000-0000-00000E4C0000}"/>
    <cellStyle name="Input 2 4 4 3 15" xfId="30552" xr:uid="{00000000-0005-0000-0000-00000F4C0000}"/>
    <cellStyle name="Input 2 4 4 3 16" xfId="31543" xr:uid="{00000000-0005-0000-0000-0000104C0000}"/>
    <cellStyle name="Input 2 4 4 3 17" xfId="32551" xr:uid="{00000000-0005-0000-0000-0000114C0000}"/>
    <cellStyle name="Input 2 4 4 3 18" xfId="33554" xr:uid="{00000000-0005-0000-0000-0000124C0000}"/>
    <cellStyle name="Input 2 4 4 3 19" xfId="34553" xr:uid="{00000000-0005-0000-0000-0000134C0000}"/>
    <cellStyle name="Input 2 4 4 3 2" xfId="4773" xr:uid="{00000000-0005-0000-0000-0000144C0000}"/>
    <cellStyle name="Input 2 4 4 3 2 10" xfId="24598" xr:uid="{00000000-0005-0000-0000-0000154C0000}"/>
    <cellStyle name="Input 2 4 4 3 2 11" xfId="25597" xr:uid="{00000000-0005-0000-0000-0000164C0000}"/>
    <cellStyle name="Input 2 4 4 3 2 12" xfId="28544" xr:uid="{00000000-0005-0000-0000-0000174C0000}"/>
    <cellStyle name="Input 2 4 4 3 2 13" xfId="29511" xr:uid="{00000000-0005-0000-0000-0000184C0000}"/>
    <cellStyle name="Input 2 4 4 3 2 14" xfId="30553" xr:uid="{00000000-0005-0000-0000-0000194C0000}"/>
    <cellStyle name="Input 2 4 4 3 2 15" xfId="31544" xr:uid="{00000000-0005-0000-0000-00001A4C0000}"/>
    <cellStyle name="Input 2 4 4 3 2 16" xfId="32552" xr:uid="{00000000-0005-0000-0000-00001B4C0000}"/>
    <cellStyle name="Input 2 4 4 3 2 17" xfId="33555" xr:uid="{00000000-0005-0000-0000-00001C4C0000}"/>
    <cellStyle name="Input 2 4 4 3 2 18" xfId="34554" xr:uid="{00000000-0005-0000-0000-00001D4C0000}"/>
    <cellStyle name="Input 2 4 4 3 2 19" xfId="36175" xr:uid="{00000000-0005-0000-0000-00001E4C0000}"/>
    <cellStyle name="Input 2 4 4 3 2 2" xfId="16579" xr:uid="{00000000-0005-0000-0000-00001F4C0000}"/>
    <cellStyle name="Input 2 4 4 3 2 20" xfId="37114" xr:uid="{00000000-0005-0000-0000-0000204C0000}"/>
    <cellStyle name="Input 2 4 4 3 2 3" xfId="17558" xr:uid="{00000000-0005-0000-0000-0000214C0000}"/>
    <cellStyle name="Input 2 4 4 3 2 4" xfId="18585" xr:uid="{00000000-0005-0000-0000-0000224C0000}"/>
    <cellStyle name="Input 2 4 4 3 2 5" xfId="19617" xr:uid="{00000000-0005-0000-0000-0000234C0000}"/>
    <cellStyle name="Input 2 4 4 3 2 6" xfId="20639" xr:uid="{00000000-0005-0000-0000-0000244C0000}"/>
    <cellStyle name="Input 2 4 4 3 2 7" xfId="21650" xr:uid="{00000000-0005-0000-0000-0000254C0000}"/>
    <cellStyle name="Input 2 4 4 3 2 8" xfId="22621" xr:uid="{00000000-0005-0000-0000-0000264C0000}"/>
    <cellStyle name="Input 2 4 4 3 2 9" xfId="23626" xr:uid="{00000000-0005-0000-0000-0000274C0000}"/>
    <cellStyle name="Input 2 4 4 3 20" xfId="36174" xr:uid="{00000000-0005-0000-0000-0000284C0000}"/>
    <cellStyle name="Input 2 4 4 3 21" xfId="37113" xr:uid="{00000000-0005-0000-0000-0000294C0000}"/>
    <cellStyle name="Input 2 4 4 3 3" xfId="16578" xr:uid="{00000000-0005-0000-0000-00002A4C0000}"/>
    <cellStyle name="Input 2 4 4 3 4" xfId="17557" xr:uid="{00000000-0005-0000-0000-00002B4C0000}"/>
    <cellStyle name="Input 2 4 4 3 5" xfId="18584" xr:uid="{00000000-0005-0000-0000-00002C4C0000}"/>
    <cellStyle name="Input 2 4 4 3 6" xfId="19616" xr:uid="{00000000-0005-0000-0000-00002D4C0000}"/>
    <cellStyle name="Input 2 4 4 3 7" xfId="20638" xr:uid="{00000000-0005-0000-0000-00002E4C0000}"/>
    <cellStyle name="Input 2 4 4 3 8" xfId="21649" xr:uid="{00000000-0005-0000-0000-00002F4C0000}"/>
    <cellStyle name="Input 2 4 4 3 9" xfId="22620" xr:uid="{00000000-0005-0000-0000-0000304C0000}"/>
    <cellStyle name="Input 2 4 4 4" xfId="4774" xr:uid="{00000000-0005-0000-0000-0000314C0000}"/>
    <cellStyle name="Input 2 4 4 4 10" xfId="23627" xr:uid="{00000000-0005-0000-0000-0000324C0000}"/>
    <cellStyle name="Input 2 4 4 4 11" xfId="24599" xr:uid="{00000000-0005-0000-0000-0000334C0000}"/>
    <cellStyle name="Input 2 4 4 4 12" xfId="25598" xr:uid="{00000000-0005-0000-0000-0000344C0000}"/>
    <cellStyle name="Input 2 4 4 4 13" xfId="28545" xr:uid="{00000000-0005-0000-0000-0000354C0000}"/>
    <cellStyle name="Input 2 4 4 4 14" xfId="29512" xr:uid="{00000000-0005-0000-0000-0000364C0000}"/>
    <cellStyle name="Input 2 4 4 4 15" xfId="30554" xr:uid="{00000000-0005-0000-0000-0000374C0000}"/>
    <cellStyle name="Input 2 4 4 4 16" xfId="31545" xr:uid="{00000000-0005-0000-0000-0000384C0000}"/>
    <cellStyle name="Input 2 4 4 4 17" xfId="32553" xr:uid="{00000000-0005-0000-0000-0000394C0000}"/>
    <cellStyle name="Input 2 4 4 4 18" xfId="33556" xr:uid="{00000000-0005-0000-0000-00003A4C0000}"/>
    <cellStyle name="Input 2 4 4 4 19" xfId="34555" xr:uid="{00000000-0005-0000-0000-00003B4C0000}"/>
    <cellStyle name="Input 2 4 4 4 2" xfId="4775" xr:uid="{00000000-0005-0000-0000-00003C4C0000}"/>
    <cellStyle name="Input 2 4 4 4 2 10" xfId="24600" xr:uid="{00000000-0005-0000-0000-00003D4C0000}"/>
    <cellStyle name="Input 2 4 4 4 2 11" xfId="25599" xr:uid="{00000000-0005-0000-0000-00003E4C0000}"/>
    <cellStyle name="Input 2 4 4 4 2 12" xfId="28546" xr:uid="{00000000-0005-0000-0000-00003F4C0000}"/>
    <cellStyle name="Input 2 4 4 4 2 13" xfId="29513" xr:uid="{00000000-0005-0000-0000-0000404C0000}"/>
    <cellStyle name="Input 2 4 4 4 2 14" xfId="30555" xr:uid="{00000000-0005-0000-0000-0000414C0000}"/>
    <cellStyle name="Input 2 4 4 4 2 15" xfId="31546" xr:uid="{00000000-0005-0000-0000-0000424C0000}"/>
    <cellStyle name="Input 2 4 4 4 2 16" xfId="32554" xr:uid="{00000000-0005-0000-0000-0000434C0000}"/>
    <cellStyle name="Input 2 4 4 4 2 17" xfId="33557" xr:uid="{00000000-0005-0000-0000-0000444C0000}"/>
    <cellStyle name="Input 2 4 4 4 2 18" xfId="34556" xr:uid="{00000000-0005-0000-0000-0000454C0000}"/>
    <cellStyle name="Input 2 4 4 4 2 19" xfId="36177" xr:uid="{00000000-0005-0000-0000-0000464C0000}"/>
    <cellStyle name="Input 2 4 4 4 2 2" xfId="16581" xr:uid="{00000000-0005-0000-0000-0000474C0000}"/>
    <cellStyle name="Input 2 4 4 4 2 20" xfId="37116" xr:uid="{00000000-0005-0000-0000-0000484C0000}"/>
    <cellStyle name="Input 2 4 4 4 2 3" xfId="17560" xr:uid="{00000000-0005-0000-0000-0000494C0000}"/>
    <cellStyle name="Input 2 4 4 4 2 4" xfId="18587" xr:uid="{00000000-0005-0000-0000-00004A4C0000}"/>
    <cellStyle name="Input 2 4 4 4 2 5" xfId="19619" xr:uid="{00000000-0005-0000-0000-00004B4C0000}"/>
    <cellStyle name="Input 2 4 4 4 2 6" xfId="20641" xr:uid="{00000000-0005-0000-0000-00004C4C0000}"/>
    <cellStyle name="Input 2 4 4 4 2 7" xfId="21652" xr:uid="{00000000-0005-0000-0000-00004D4C0000}"/>
    <cellStyle name="Input 2 4 4 4 2 8" xfId="22623" xr:uid="{00000000-0005-0000-0000-00004E4C0000}"/>
    <cellStyle name="Input 2 4 4 4 2 9" xfId="23628" xr:uid="{00000000-0005-0000-0000-00004F4C0000}"/>
    <cellStyle name="Input 2 4 4 4 20" xfId="36176" xr:uid="{00000000-0005-0000-0000-0000504C0000}"/>
    <cellStyle name="Input 2 4 4 4 21" xfId="37115" xr:uid="{00000000-0005-0000-0000-0000514C0000}"/>
    <cellStyle name="Input 2 4 4 4 3" xfId="16580" xr:uid="{00000000-0005-0000-0000-0000524C0000}"/>
    <cellStyle name="Input 2 4 4 4 4" xfId="17559" xr:uid="{00000000-0005-0000-0000-0000534C0000}"/>
    <cellStyle name="Input 2 4 4 4 5" xfId="18586" xr:uid="{00000000-0005-0000-0000-0000544C0000}"/>
    <cellStyle name="Input 2 4 4 4 6" xfId="19618" xr:uid="{00000000-0005-0000-0000-0000554C0000}"/>
    <cellStyle name="Input 2 4 4 4 7" xfId="20640" xr:uid="{00000000-0005-0000-0000-0000564C0000}"/>
    <cellStyle name="Input 2 4 4 4 8" xfId="21651" xr:uid="{00000000-0005-0000-0000-0000574C0000}"/>
    <cellStyle name="Input 2 4 4 4 9" xfId="22622" xr:uid="{00000000-0005-0000-0000-0000584C0000}"/>
    <cellStyle name="Input 2 4 4 5" xfId="4776" xr:uid="{00000000-0005-0000-0000-0000594C0000}"/>
    <cellStyle name="Input 2 4 4 5 10" xfId="24601" xr:uid="{00000000-0005-0000-0000-00005A4C0000}"/>
    <cellStyle name="Input 2 4 4 5 11" xfId="25600" xr:uid="{00000000-0005-0000-0000-00005B4C0000}"/>
    <cellStyle name="Input 2 4 4 5 12" xfId="28547" xr:uid="{00000000-0005-0000-0000-00005C4C0000}"/>
    <cellStyle name="Input 2 4 4 5 13" xfId="29514" xr:uid="{00000000-0005-0000-0000-00005D4C0000}"/>
    <cellStyle name="Input 2 4 4 5 14" xfId="30556" xr:uid="{00000000-0005-0000-0000-00005E4C0000}"/>
    <cellStyle name="Input 2 4 4 5 15" xfId="31547" xr:uid="{00000000-0005-0000-0000-00005F4C0000}"/>
    <cellStyle name="Input 2 4 4 5 16" xfId="32555" xr:uid="{00000000-0005-0000-0000-0000604C0000}"/>
    <cellStyle name="Input 2 4 4 5 17" xfId="33558" xr:uid="{00000000-0005-0000-0000-0000614C0000}"/>
    <cellStyle name="Input 2 4 4 5 18" xfId="34557" xr:uid="{00000000-0005-0000-0000-0000624C0000}"/>
    <cellStyle name="Input 2 4 4 5 19" xfId="36178" xr:uid="{00000000-0005-0000-0000-0000634C0000}"/>
    <cellStyle name="Input 2 4 4 5 2" xfId="16582" xr:uid="{00000000-0005-0000-0000-0000644C0000}"/>
    <cellStyle name="Input 2 4 4 5 20" xfId="37117" xr:uid="{00000000-0005-0000-0000-0000654C0000}"/>
    <cellStyle name="Input 2 4 4 5 3" xfId="17561" xr:uid="{00000000-0005-0000-0000-0000664C0000}"/>
    <cellStyle name="Input 2 4 4 5 4" xfId="18588" xr:uid="{00000000-0005-0000-0000-0000674C0000}"/>
    <cellStyle name="Input 2 4 4 5 5" xfId="19620" xr:uid="{00000000-0005-0000-0000-0000684C0000}"/>
    <cellStyle name="Input 2 4 4 5 6" xfId="20642" xr:uid="{00000000-0005-0000-0000-0000694C0000}"/>
    <cellStyle name="Input 2 4 4 5 7" xfId="21653" xr:uid="{00000000-0005-0000-0000-00006A4C0000}"/>
    <cellStyle name="Input 2 4 4 5 8" xfId="22624" xr:uid="{00000000-0005-0000-0000-00006B4C0000}"/>
    <cellStyle name="Input 2 4 4 5 9" xfId="23629" xr:uid="{00000000-0005-0000-0000-00006C4C0000}"/>
    <cellStyle name="Input 2 4 4 6" xfId="13757" xr:uid="{00000000-0005-0000-0000-00006D4C0000}"/>
    <cellStyle name="Input 2 4 4 7" xfId="14737" xr:uid="{00000000-0005-0000-0000-00006E4C0000}"/>
    <cellStyle name="Input 2 4 4 8" xfId="14281" xr:uid="{00000000-0005-0000-0000-00006F4C0000}"/>
    <cellStyle name="Input 2 4 4 9" xfId="14155" xr:uid="{00000000-0005-0000-0000-0000704C0000}"/>
    <cellStyle name="Input 2 4 5" xfId="4777" xr:uid="{00000000-0005-0000-0000-0000714C0000}"/>
    <cellStyle name="Input 2 4 5 10" xfId="13569" xr:uid="{00000000-0005-0000-0000-0000724C0000}"/>
    <cellStyle name="Input 2 4 5 11" xfId="15274" xr:uid="{00000000-0005-0000-0000-0000734C0000}"/>
    <cellStyle name="Input 2 4 5 12" xfId="26450" xr:uid="{00000000-0005-0000-0000-0000744C0000}"/>
    <cellStyle name="Input 2 4 5 13" xfId="27687" xr:uid="{00000000-0005-0000-0000-0000754C0000}"/>
    <cellStyle name="Input 2 4 5 14" xfId="26167" xr:uid="{00000000-0005-0000-0000-0000764C0000}"/>
    <cellStyle name="Input 2 4 5 15" xfId="27330" xr:uid="{00000000-0005-0000-0000-0000774C0000}"/>
    <cellStyle name="Input 2 4 5 16" xfId="26331" xr:uid="{00000000-0005-0000-0000-0000784C0000}"/>
    <cellStyle name="Input 2 4 5 17" xfId="26932" xr:uid="{00000000-0005-0000-0000-0000794C0000}"/>
    <cellStyle name="Input 2 4 5 18" xfId="35133" xr:uid="{00000000-0005-0000-0000-00007A4C0000}"/>
    <cellStyle name="Input 2 4 5 19" xfId="35246" xr:uid="{00000000-0005-0000-0000-00007B4C0000}"/>
    <cellStyle name="Input 2 4 5 2" xfId="4778" xr:uid="{00000000-0005-0000-0000-00007C4C0000}"/>
    <cellStyle name="Input 2 4 5 2 10" xfId="23630" xr:uid="{00000000-0005-0000-0000-00007D4C0000}"/>
    <cellStyle name="Input 2 4 5 2 11" xfId="24602" xr:uid="{00000000-0005-0000-0000-00007E4C0000}"/>
    <cellStyle name="Input 2 4 5 2 12" xfId="25601" xr:uid="{00000000-0005-0000-0000-00007F4C0000}"/>
    <cellStyle name="Input 2 4 5 2 13" xfId="28548" xr:uid="{00000000-0005-0000-0000-0000804C0000}"/>
    <cellStyle name="Input 2 4 5 2 14" xfId="29515" xr:uid="{00000000-0005-0000-0000-0000814C0000}"/>
    <cellStyle name="Input 2 4 5 2 15" xfId="30557" xr:uid="{00000000-0005-0000-0000-0000824C0000}"/>
    <cellStyle name="Input 2 4 5 2 16" xfId="31548" xr:uid="{00000000-0005-0000-0000-0000834C0000}"/>
    <cellStyle name="Input 2 4 5 2 17" xfId="32556" xr:uid="{00000000-0005-0000-0000-0000844C0000}"/>
    <cellStyle name="Input 2 4 5 2 18" xfId="33559" xr:uid="{00000000-0005-0000-0000-0000854C0000}"/>
    <cellStyle name="Input 2 4 5 2 19" xfId="34558" xr:uid="{00000000-0005-0000-0000-0000864C0000}"/>
    <cellStyle name="Input 2 4 5 2 2" xfId="4779" xr:uid="{00000000-0005-0000-0000-0000874C0000}"/>
    <cellStyle name="Input 2 4 5 2 2 10" xfId="24603" xr:uid="{00000000-0005-0000-0000-0000884C0000}"/>
    <cellStyle name="Input 2 4 5 2 2 11" xfId="25602" xr:uid="{00000000-0005-0000-0000-0000894C0000}"/>
    <cellStyle name="Input 2 4 5 2 2 12" xfId="28549" xr:uid="{00000000-0005-0000-0000-00008A4C0000}"/>
    <cellStyle name="Input 2 4 5 2 2 13" xfId="29516" xr:uid="{00000000-0005-0000-0000-00008B4C0000}"/>
    <cellStyle name="Input 2 4 5 2 2 14" xfId="30558" xr:uid="{00000000-0005-0000-0000-00008C4C0000}"/>
    <cellStyle name="Input 2 4 5 2 2 15" xfId="31549" xr:uid="{00000000-0005-0000-0000-00008D4C0000}"/>
    <cellStyle name="Input 2 4 5 2 2 16" xfId="32557" xr:uid="{00000000-0005-0000-0000-00008E4C0000}"/>
    <cellStyle name="Input 2 4 5 2 2 17" xfId="33560" xr:uid="{00000000-0005-0000-0000-00008F4C0000}"/>
    <cellStyle name="Input 2 4 5 2 2 18" xfId="34559" xr:uid="{00000000-0005-0000-0000-0000904C0000}"/>
    <cellStyle name="Input 2 4 5 2 2 19" xfId="36180" xr:uid="{00000000-0005-0000-0000-0000914C0000}"/>
    <cellStyle name="Input 2 4 5 2 2 2" xfId="16584" xr:uid="{00000000-0005-0000-0000-0000924C0000}"/>
    <cellStyle name="Input 2 4 5 2 2 20" xfId="37119" xr:uid="{00000000-0005-0000-0000-0000934C0000}"/>
    <cellStyle name="Input 2 4 5 2 2 3" xfId="17563" xr:uid="{00000000-0005-0000-0000-0000944C0000}"/>
    <cellStyle name="Input 2 4 5 2 2 4" xfId="18590" xr:uid="{00000000-0005-0000-0000-0000954C0000}"/>
    <cellStyle name="Input 2 4 5 2 2 5" xfId="19622" xr:uid="{00000000-0005-0000-0000-0000964C0000}"/>
    <cellStyle name="Input 2 4 5 2 2 6" xfId="20644" xr:uid="{00000000-0005-0000-0000-0000974C0000}"/>
    <cellStyle name="Input 2 4 5 2 2 7" xfId="21655" xr:uid="{00000000-0005-0000-0000-0000984C0000}"/>
    <cellStyle name="Input 2 4 5 2 2 8" xfId="22626" xr:uid="{00000000-0005-0000-0000-0000994C0000}"/>
    <cellStyle name="Input 2 4 5 2 2 9" xfId="23631" xr:uid="{00000000-0005-0000-0000-00009A4C0000}"/>
    <cellStyle name="Input 2 4 5 2 20" xfId="36179" xr:uid="{00000000-0005-0000-0000-00009B4C0000}"/>
    <cellStyle name="Input 2 4 5 2 21" xfId="37118" xr:uid="{00000000-0005-0000-0000-00009C4C0000}"/>
    <cellStyle name="Input 2 4 5 2 3" xfId="16583" xr:uid="{00000000-0005-0000-0000-00009D4C0000}"/>
    <cellStyle name="Input 2 4 5 2 4" xfId="17562" xr:uid="{00000000-0005-0000-0000-00009E4C0000}"/>
    <cellStyle name="Input 2 4 5 2 5" xfId="18589" xr:uid="{00000000-0005-0000-0000-00009F4C0000}"/>
    <cellStyle name="Input 2 4 5 2 6" xfId="19621" xr:uid="{00000000-0005-0000-0000-0000A04C0000}"/>
    <cellStyle name="Input 2 4 5 2 7" xfId="20643" xr:uid="{00000000-0005-0000-0000-0000A14C0000}"/>
    <cellStyle name="Input 2 4 5 2 8" xfId="21654" xr:uid="{00000000-0005-0000-0000-0000A24C0000}"/>
    <cellStyle name="Input 2 4 5 2 9" xfId="22625" xr:uid="{00000000-0005-0000-0000-0000A34C0000}"/>
    <cellStyle name="Input 2 4 5 3" xfId="4780" xr:uid="{00000000-0005-0000-0000-0000A44C0000}"/>
    <cellStyle name="Input 2 4 5 3 10" xfId="23632" xr:uid="{00000000-0005-0000-0000-0000A54C0000}"/>
    <cellStyle name="Input 2 4 5 3 11" xfId="24604" xr:uid="{00000000-0005-0000-0000-0000A64C0000}"/>
    <cellStyle name="Input 2 4 5 3 12" xfId="25603" xr:uid="{00000000-0005-0000-0000-0000A74C0000}"/>
    <cellStyle name="Input 2 4 5 3 13" xfId="28550" xr:uid="{00000000-0005-0000-0000-0000A84C0000}"/>
    <cellStyle name="Input 2 4 5 3 14" xfId="29517" xr:uid="{00000000-0005-0000-0000-0000A94C0000}"/>
    <cellStyle name="Input 2 4 5 3 15" xfId="30559" xr:uid="{00000000-0005-0000-0000-0000AA4C0000}"/>
    <cellStyle name="Input 2 4 5 3 16" xfId="31550" xr:uid="{00000000-0005-0000-0000-0000AB4C0000}"/>
    <cellStyle name="Input 2 4 5 3 17" xfId="32558" xr:uid="{00000000-0005-0000-0000-0000AC4C0000}"/>
    <cellStyle name="Input 2 4 5 3 18" xfId="33561" xr:uid="{00000000-0005-0000-0000-0000AD4C0000}"/>
    <cellStyle name="Input 2 4 5 3 19" xfId="34560" xr:uid="{00000000-0005-0000-0000-0000AE4C0000}"/>
    <cellStyle name="Input 2 4 5 3 2" xfId="4781" xr:uid="{00000000-0005-0000-0000-0000AF4C0000}"/>
    <cellStyle name="Input 2 4 5 3 2 10" xfId="24605" xr:uid="{00000000-0005-0000-0000-0000B04C0000}"/>
    <cellStyle name="Input 2 4 5 3 2 11" xfId="25604" xr:uid="{00000000-0005-0000-0000-0000B14C0000}"/>
    <cellStyle name="Input 2 4 5 3 2 12" xfId="28551" xr:uid="{00000000-0005-0000-0000-0000B24C0000}"/>
    <cellStyle name="Input 2 4 5 3 2 13" xfId="29518" xr:uid="{00000000-0005-0000-0000-0000B34C0000}"/>
    <cellStyle name="Input 2 4 5 3 2 14" xfId="30560" xr:uid="{00000000-0005-0000-0000-0000B44C0000}"/>
    <cellStyle name="Input 2 4 5 3 2 15" xfId="31551" xr:uid="{00000000-0005-0000-0000-0000B54C0000}"/>
    <cellStyle name="Input 2 4 5 3 2 16" xfId="32559" xr:uid="{00000000-0005-0000-0000-0000B64C0000}"/>
    <cellStyle name="Input 2 4 5 3 2 17" xfId="33562" xr:uid="{00000000-0005-0000-0000-0000B74C0000}"/>
    <cellStyle name="Input 2 4 5 3 2 18" xfId="34561" xr:uid="{00000000-0005-0000-0000-0000B84C0000}"/>
    <cellStyle name="Input 2 4 5 3 2 19" xfId="36182" xr:uid="{00000000-0005-0000-0000-0000B94C0000}"/>
    <cellStyle name="Input 2 4 5 3 2 2" xfId="16586" xr:uid="{00000000-0005-0000-0000-0000BA4C0000}"/>
    <cellStyle name="Input 2 4 5 3 2 20" xfId="37121" xr:uid="{00000000-0005-0000-0000-0000BB4C0000}"/>
    <cellStyle name="Input 2 4 5 3 2 3" xfId="17565" xr:uid="{00000000-0005-0000-0000-0000BC4C0000}"/>
    <cellStyle name="Input 2 4 5 3 2 4" xfId="18592" xr:uid="{00000000-0005-0000-0000-0000BD4C0000}"/>
    <cellStyle name="Input 2 4 5 3 2 5" xfId="19624" xr:uid="{00000000-0005-0000-0000-0000BE4C0000}"/>
    <cellStyle name="Input 2 4 5 3 2 6" xfId="20646" xr:uid="{00000000-0005-0000-0000-0000BF4C0000}"/>
    <cellStyle name="Input 2 4 5 3 2 7" xfId="21657" xr:uid="{00000000-0005-0000-0000-0000C04C0000}"/>
    <cellStyle name="Input 2 4 5 3 2 8" xfId="22628" xr:uid="{00000000-0005-0000-0000-0000C14C0000}"/>
    <cellStyle name="Input 2 4 5 3 2 9" xfId="23633" xr:uid="{00000000-0005-0000-0000-0000C24C0000}"/>
    <cellStyle name="Input 2 4 5 3 20" xfId="36181" xr:uid="{00000000-0005-0000-0000-0000C34C0000}"/>
    <cellStyle name="Input 2 4 5 3 21" xfId="37120" xr:uid="{00000000-0005-0000-0000-0000C44C0000}"/>
    <cellStyle name="Input 2 4 5 3 3" xfId="16585" xr:uid="{00000000-0005-0000-0000-0000C54C0000}"/>
    <cellStyle name="Input 2 4 5 3 4" xfId="17564" xr:uid="{00000000-0005-0000-0000-0000C64C0000}"/>
    <cellStyle name="Input 2 4 5 3 5" xfId="18591" xr:uid="{00000000-0005-0000-0000-0000C74C0000}"/>
    <cellStyle name="Input 2 4 5 3 6" xfId="19623" xr:uid="{00000000-0005-0000-0000-0000C84C0000}"/>
    <cellStyle name="Input 2 4 5 3 7" xfId="20645" xr:uid="{00000000-0005-0000-0000-0000C94C0000}"/>
    <cellStyle name="Input 2 4 5 3 8" xfId="21656" xr:uid="{00000000-0005-0000-0000-0000CA4C0000}"/>
    <cellStyle name="Input 2 4 5 3 9" xfId="22627" xr:uid="{00000000-0005-0000-0000-0000CB4C0000}"/>
    <cellStyle name="Input 2 4 5 4" xfId="4782" xr:uid="{00000000-0005-0000-0000-0000CC4C0000}"/>
    <cellStyle name="Input 2 4 5 4 10" xfId="23634" xr:uid="{00000000-0005-0000-0000-0000CD4C0000}"/>
    <cellStyle name="Input 2 4 5 4 11" xfId="24606" xr:uid="{00000000-0005-0000-0000-0000CE4C0000}"/>
    <cellStyle name="Input 2 4 5 4 12" xfId="25605" xr:uid="{00000000-0005-0000-0000-0000CF4C0000}"/>
    <cellStyle name="Input 2 4 5 4 13" xfId="28552" xr:uid="{00000000-0005-0000-0000-0000D04C0000}"/>
    <cellStyle name="Input 2 4 5 4 14" xfId="29519" xr:uid="{00000000-0005-0000-0000-0000D14C0000}"/>
    <cellStyle name="Input 2 4 5 4 15" xfId="30561" xr:uid="{00000000-0005-0000-0000-0000D24C0000}"/>
    <cellStyle name="Input 2 4 5 4 16" xfId="31552" xr:uid="{00000000-0005-0000-0000-0000D34C0000}"/>
    <cellStyle name="Input 2 4 5 4 17" xfId="32560" xr:uid="{00000000-0005-0000-0000-0000D44C0000}"/>
    <cellStyle name="Input 2 4 5 4 18" xfId="33563" xr:uid="{00000000-0005-0000-0000-0000D54C0000}"/>
    <cellStyle name="Input 2 4 5 4 19" xfId="34562" xr:uid="{00000000-0005-0000-0000-0000D64C0000}"/>
    <cellStyle name="Input 2 4 5 4 2" xfId="4783" xr:uid="{00000000-0005-0000-0000-0000D74C0000}"/>
    <cellStyle name="Input 2 4 5 4 2 10" xfId="24607" xr:uid="{00000000-0005-0000-0000-0000D84C0000}"/>
    <cellStyle name="Input 2 4 5 4 2 11" xfId="25606" xr:uid="{00000000-0005-0000-0000-0000D94C0000}"/>
    <cellStyle name="Input 2 4 5 4 2 12" xfId="28553" xr:uid="{00000000-0005-0000-0000-0000DA4C0000}"/>
    <cellStyle name="Input 2 4 5 4 2 13" xfId="29520" xr:uid="{00000000-0005-0000-0000-0000DB4C0000}"/>
    <cellStyle name="Input 2 4 5 4 2 14" xfId="30562" xr:uid="{00000000-0005-0000-0000-0000DC4C0000}"/>
    <cellStyle name="Input 2 4 5 4 2 15" xfId="31553" xr:uid="{00000000-0005-0000-0000-0000DD4C0000}"/>
    <cellStyle name="Input 2 4 5 4 2 16" xfId="32561" xr:uid="{00000000-0005-0000-0000-0000DE4C0000}"/>
    <cellStyle name="Input 2 4 5 4 2 17" xfId="33564" xr:uid="{00000000-0005-0000-0000-0000DF4C0000}"/>
    <cellStyle name="Input 2 4 5 4 2 18" xfId="34563" xr:uid="{00000000-0005-0000-0000-0000E04C0000}"/>
    <cellStyle name="Input 2 4 5 4 2 19" xfId="36184" xr:uid="{00000000-0005-0000-0000-0000E14C0000}"/>
    <cellStyle name="Input 2 4 5 4 2 2" xfId="16588" xr:uid="{00000000-0005-0000-0000-0000E24C0000}"/>
    <cellStyle name="Input 2 4 5 4 2 20" xfId="37123" xr:uid="{00000000-0005-0000-0000-0000E34C0000}"/>
    <cellStyle name="Input 2 4 5 4 2 3" xfId="17567" xr:uid="{00000000-0005-0000-0000-0000E44C0000}"/>
    <cellStyle name="Input 2 4 5 4 2 4" xfId="18594" xr:uid="{00000000-0005-0000-0000-0000E54C0000}"/>
    <cellStyle name="Input 2 4 5 4 2 5" xfId="19626" xr:uid="{00000000-0005-0000-0000-0000E64C0000}"/>
    <cellStyle name="Input 2 4 5 4 2 6" xfId="20648" xr:uid="{00000000-0005-0000-0000-0000E74C0000}"/>
    <cellStyle name="Input 2 4 5 4 2 7" xfId="21659" xr:uid="{00000000-0005-0000-0000-0000E84C0000}"/>
    <cellStyle name="Input 2 4 5 4 2 8" xfId="22630" xr:uid="{00000000-0005-0000-0000-0000E94C0000}"/>
    <cellStyle name="Input 2 4 5 4 2 9" xfId="23635" xr:uid="{00000000-0005-0000-0000-0000EA4C0000}"/>
    <cellStyle name="Input 2 4 5 4 20" xfId="36183" xr:uid="{00000000-0005-0000-0000-0000EB4C0000}"/>
    <cellStyle name="Input 2 4 5 4 21" xfId="37122" xr:uid="{00000000-0005-0000-0000-0000EC4C0000}"/>
    <cellStyle name="Input 2 4 5 4 3" xfId="16587" xr:uid="{00000000-0005-0000-0000-0000ED4C0000}"/>
    <cellStyle name="Input 2 4 5 4 4" xfId="17566" xr:uid="{00000000-0005-0000-0000-0000EE4C0000}"/>
    <cellStyle name="Input 2 4 5 4 5" xfId="18593" xr:uid="{00000000-0005-0000-0000-0000EF4C0000}"/>
    <cellStyle name="Input 2 4 5 4 6" xfId="19625" xr:uid="{00000000-0005-0000-0000-0000F04C0000}"/>
    <cellStyle name="Input 2 4 5 4 7" xfId="20647" xr:uid="{00000000-0005-0000-0000-0000F14C0000}"/>
    <cellStyle name="Input 2 4 5 4 8" xfId="21658" xr:uid="{00000000-0005-0000-0000-0000F24C0000}"/>
    <cellStyle name="Input 2 4 5 4 9" xfId="22629" xr:uid="{00000000-0005-0000-0000-0000F34C0000}"/>
    <cellStyle name="Input 2 4 5 5" xfId="4784" xr:uid="{00000000-0005-0000-0000-0000F44C0000}"/>
    <cellStyle name="Input 2 4 5 5 10" xfId="24608" xr:uid="{00000000-0005-0000-0000-0000F54C0000}"/>
    <cellStyle name="Input 2 4 5 5 11" xfId="25607" xr:uid="{00000000-0005-0000-0000-0000F64C0000}"/>
    <cellStyle name="Input 2 4 5 5 12" xfId="28554" xr:uid="{00000000-0005-0000-0000-0000F74C0000}"/>
    <cellStyle name="Input 2 4 5 5 13" xfId="29521" xr:uid="{00000000-0005-0000-0000-0000F84C0000}"/>
    <cellStyle name="Input 2 4 5 5 14" xfId="30563" xr:uid="{00000000-0005-0000-0000-0000F94C0000}"/>
    <cellStyle name="Input 2 4 5 5 15" xfId="31554" xr:uid="{00000000-0005-0000-0000-0000FA4C0000}"/>
    <cellStyle name="Input 2 4 5 5 16" xfId="32562" xr:uid="{00000000-0005-0000-0000-0000FB4C0000}"/>
    <cellStyle name="Input 2 4 5 5 17" xfId="33565" xr:uid="{00000000-0005-0000-0000-0000FC4C0000}"/>
    <cellStyle name="Input 2 4 5 5 18" xfId="34564" xr:uid="{00000000-0005-0000-0000-0000FD4C0000}"/>
    <cellStyle name="Input 2 4 5 5 19" xfId="36185" xr:uid="{00000000-0005-0000-0000-0000FE4C0000}"/>
    <cellStyle name="Input 2 4 5 5 2" xfId="16589" xr:uid="{00000000-0005-0000-0000-0000FF4C0000}"/>
    <cellStyle name="Input 2 4 5 5 20" xfId="37124" xr:uid="{00000000-0005-0000-0000-0000004D0000}"/>
    <cellStyle name="Input 2 4 5 5 3" xfId="17568" xr:uid="{00000000-0005-0000-0000-0000014D0000}"/>
    <cellStyle name="Input 2 4 5 5 4" xfId="18595" xr:uid="{00000000-0005-0000-0000-0000024D0000}"/>
    <cellStyle name="Input 2 4 5 5 5" xfId="19627" xr:uid="{00000000-0005-0000-0000-0000034D0000}"/>
    <cellStyle name="Input 2 4 5 5 6" xfId="20649" xr:uid="{00000000-0005-0000-0000-0000044D0000}"/>
    <cellStyle name="Input 2 4 5 5 7" xfId="21660" xr:uid="{00000000-0005-0000-0000-0000054D0000}"/>
    <cellStyle name="Input 2 4 5 5 8" xfId="22631" xr:uid="{00000000-0005-0000-0000-0000064D0000}"/>
    <cellStyle name="Input 2 4 5 5 9" xfId="23636" xr:uid="{00000000-0005-0000-0000-0000074D0000}"/>
    <cellStyle name="Input 2 4 5 6" xfId="14067" xr:uid="{00000000-0005-0000-0000-0000084D0000}"/>
    <cellStyle name="Input 2 4 5 7" xfId="14450" xr:uid="{00000000-0005-0000-0000-0000094D0000}"/>
    <cellStyle name="Input 2 4 5 8" xfId="14221" xr:uid="{00000000-0005-0000-0000-00000A4D0000}"/>
    <cellStyle name="Input 2 4 5 9" xfId="15385" xr:uid="{00000000-0005-0000-0000-00000B4D0000}"/>
    <cellStyle name="Input 2 4 6" xfId="4785" xr:uid="{00000000-0005-0000-0000-00000C4D0000}"/>
    <cellStyle name="Input 2 4 6 10" xfId="23637" xr:uid="{00000000-0005-0000-0000-00000D4D0000}"/>
    <cellStyle name="Input 2 4 6 11" xfId="24609" xr:uid="{00000000-0005-0000-0000-00000E4D0000}"/>
    <cellStyle name="Input 2 4 6 12" xfId="25608" xr:uid="{00000000-0005-0000-0000-00000F4D0000}"/>
    <cellStyle name="Input 2 4 6 13" xfId="28555" xr:uid="{00000000-0005-0000-0000-0000104D0000}"/>
    <cellStyle name="Input 2 4 6 14" xfId="29522" xr:uid="{00000000-0005-0000-0000-0000114D0000}"/>
    <cellStyle name="Input 2 4 6 15" xfId="30564" xr:uid="{00000000-0005-0000-0000-0000124D0000}"/>
    <cellStyle name="Input 2 4 6 16" xfId="31555" xr:uid="{00000000-0005-0000-0000-0000134D0000}"/>
    <cellStyle name="Input 2 4 6 17" xfId="32563" xr:uid="{00000000-0005-0000-0000-0000144D0000}"/>
    <cellStyle name="Input 2 4 6 18" xfId="33566" xr:uid="{00000000-0005-0000-0000-0000154D0000}"/>
    <cellStyle name="Input 2 4 6 19" xfId="34565" xr:uid="{00000000-0005-0000-0000-0000164D0000}"/>
    <cellStyle name="Input 2 4 6 2" xfId="4786" xr:uid="{00000000-0005-0000-0000-0000174D0000}"/>
    <cellStyle name="Input 2 4 6 2 10" xfId="24610" xr:uid="{00000000-0005-0000-0000-0000184D0000}"/>
    <cellStyle name="Input 2 4 6 2 11" xfId="25609" xr:uid="{00000000-0005-0000-0000-0000194D0000}"/>
    <cellStyle name="Input 2 4 6 2 12" xfId="28556" xr:uid="{00000000-0005-0000-0000-00001A4D0000}"/>
    <cellStyle name="Input 2 4 6 2 13" xfId="29523" xr:uid="{00000000-0005-0000-0000-00001B4D0000}"/>
    <cellStyle name="Input 2 4 6 2 14" xfId="30565" xr:uid="{00000000-0005-0000-0000-00001C4D0000}"/>
    <cellStyle name="Input 2 4 6 2 15" xfId="31556" xr:uid="{00000000-0005-0000-0000-00001D4D0000}"/>
    <cellStyle name="Input 2 4 6 2 16" xfId="32564" xr:uid="{00000000-0005-0000-0000-00001E4D0000}"/>
    <cellStyle name="Input 2 4 6 2 17" xfId="33567" xr:uid="{00000000-0005-0000-0000-00001F4D0000}"/>
    <cellStyle name="Input 2 4 6 2 18" xfId="34566" xr:uid="{00000000-0005-0000-0000-0000204D0000}"/>
    <cellStyle name="Input 2 4 6 2 19" xfId="36187" xr:uid="{00000000-0005-0000-0000-0000214D0000}"/>
    <cellStyle name="Input 2 4 6 2 2" xfId="16591" xr:uid="{00000000-0005-0000-0000-0000224D0000}"/>
    <cellStyle name="Input 2 4 6 2 20" xfId="37126" xr:uid="{00000000-0005-0000-0000-0000234D0000}"/>
    <cellStyle name="Input 2 4 6 2 3" xfId="17570" xr:uid="{00000000-0005-0000-0000-0000244D0000}"/>
    <cellStyle name="Input 2 4 6 2 4" xfId="18597" xr:uid="{00000000-0005-0000-0000-0000254D0000}"/>
    <cellStyle name="Input 2 4 6 2 5" xfId="19629" xr:uid="{00000000-0005-0000-0000-0000264D0000}"/>
    <cellStyle name="Input 2 4 6 2 6" xfId="20651" xr:uid="{00000000-0005-0000-0000-0000274D0000}"/>
    <cellStyle name="Input 2 4 6 2 7" xfId="21662" xr:uid="{00000000-0005-0000-0000-0000284D0000}"/>
    <cellStyle name="Input 2 4 6 2 8" xfId="22633" xr:uid="{00000000-0005-0000-0000-0000294D0000}"/>
    <cellStyle name="Input 2 4 6 2 9" xfId="23638" xr:uid="{00000000-0005-0000-0000-00002A4D0000}"/>
    <cellStyle name="Input 2 4 6 20" xfId="36186" xr:uid="{00000000-0005-0000-0000-00002B4D0000}"/>
    <cellStyle name="Input 2 4 6 21" xfId="37125" xr:uid="{00000000-0005-0000-0000-00002C4D0000}"/>
    <cellStyle name="Input 2 4 6 3" xfId="16590" xr:uid="{00000000-0005-0000-0000-00002D4D0000}"/>
    <cellStyle name="Input 2 4 6 4" xfId="17569" xr:uid="{00000000-0005-0000-0000-00002E4D0000}"/>
    <cellStyle name="Input 2 4 6 5" xfId="18596" xr:uid="{00000000-0005-0000-0000-00002F4D0000}"/>
    <cellStyle name="Input 2 4 6 6" xfId="19628" xr:uid="{00000000-0005-0000-0000-0000304D0000}"/>
    <cellStyle name="Input 2 4 6 7" xfId="20650" xr:uid="{00000000-0005-0000-0000-0000314D0000}"/>
    <cellStyle name="Input 2 4 6 8" xfId="21661" xr:uid="{00000000-0005-0000-0000-0000324D0000}"/>
    <cellStyle name="Input 2 4 6 9" xfId="22632" xr:uid="{00000000-0005-0000-0000-0000334D0000}"/>
    <cellStyle name="Input 2 4 7" xfId="4787" xr:uid="{00000000-0005-0000-0000-0000344D0000}"/>
    <cellStyle name="Input 2 4 7 10" xfId="23639" xr:uid="{00000000-0005-0000-0000-0000354D0000}"/>
    <cellStyle name="Input 2 4 7 11" xfId="24611" xr:uid="{00000000-0005-0000-0000-0000364D0000}"/>
    <cellStyle name="Input 2 4 7 12" xfId="25610" xr:uid="{00000000-0005-0000-0000-0000374D0000}"/>
    <cellStyle name="Input 2 4 7 13" xfId="28557" xr:uid="{00000000-0005-0000-0000-0000384D0000}"/>
    <cellStyle name="Input 2 4 7 14" xfId="29524" xr:uid="{00000000-0005-0000-0000-0000394D0000}"/>
    <cellStyle name="Input 2 4 7 15" xfId="30566" xr:uid="{00000000-0005-0000-0000-00003A4D0000}"/>
    <cellStyle name="Input 2 4 7 16" xfId="31557" xr:uid="{00000000-0005-0000-0000-00003B4D0000}"/>
    <cellStyle name="Input 2 4 7 17" xfId="32565" xr:uid="{00000000-0005-0000-0000-00003C4D0000}"/>
    <cellStyle name="Input 2 4 7 18" xfId="33568" xr:uid="{00000000-0005-0000-0000-00003D4D0000}"/>
    <cellStyle name="Input 2 4 7 19" xfId="34567" xr:uid="{00000000-0005-0000-0000-00003E4D0000}"/>
    <cellStyle name="Input 2 4 7 2" xfId="4788" xr:uid="{00000000-0005-0000-0000-00003F4D0000}"/>
    <cellStyle name="Input 2 4 7 2 10" xfId="24612" xr:uid="{00000000-0005-0000-0000-0000404D0000}"/>
    <cellStyle name="Input 2 4 7 2 11" xfId="25611" xr:uid="{00000000-0005-0000-0000-0000414D0000}"/>
    <cellStyle name="Input 2 4 7 2 12" xfId="28558" xr:uid="{00000000-0005-0000-0000-0000424D0000}"/>
    <cellStyle name="Input 2 4 7 2 13" xfId="29525" xr:uid="{00000000-0005-0000-0000-0000434D0000}"/>
    <cellStyle name="Input 2 4 7 2 14" xfId="30567" xr:uid="{00000000-0005-0000-0000-0000444D0000}"/>
    <cellStyle name="Input 2 4 7 2 15" xfId="31558" xr:uid="{00000000-0005-0000-0000-0000454D0000}"/>
    <cellStyle name="Input 2 4 7 2 16" xfId="32566" xr:uid="{00000000-0005-0000-0000-0000464D0000}"/>
    <cellStyle name="Input 2 4 7 2 17" xfId="33569" xr:uid="{00000000-0005-0000-0000-0000474D0000}"/>
    <cellStyle name="Input 2 4 7 2 18" xfId="34568" xr:uid="{00000000-0005-0000-0000-0000484D0000}"/>
    <cellStyle name="Input 2 4 7 2 19" xfId="36189" xr:uid="{00000000-0005-0000-0000-0000494D0000}"/>
    <cellStyle name="Input 2 4 7 2 2" xfId="16593" xr:uid="{00000000-0005-0000-0000-00004A4D0000}"/>
    <cellStyle name="Input 2 4 7 2 20" xfId="37128" xr:uid="{00000000-0005-0000-0000-00004B4D0000}"/>
    <cellStyle name="Input 2 4 7 2 3" xfId="17572" xr:uid="{00000000-0005-0000-0000-00004C4D0000}"/>
    <cellStyle name="Input 2 4 7 2 4" xfId="18599" xr:uid="{00000000-0005-0000-0000-00004D4D0000}"/>
    <cellStyle name="Input 2 4 7 2 5" xfId="19631" xr:uid="{00000000-0005-0000-0000-00004E4D0000}"/>
    <cellStyle name="Input 2 4 7 2 6" xfId="20653" xr:uid="{00000000-0005-0000-0000-00004F4D0000}"/>
    <cellStyle name="Input 2 4 7 2 7" xfId="21664" xr:uid="{00000000-0005-0000-0000-0000504D0000}"/>
    <cellStyle name="Input 2 4 7 2 8" xfId="22635" xr:uid="{00000000-0005-0000-0000-0000514D0000}"/>
    <cellStyle name="Input 2 4 7 2 9" xfId="23640" xr:uid="{00000000-0005-0000-0000-0000524D0000}"/>
    <cellStyle name="Input 2 4 7 20" xfId="36188" xr:uid="{00000000-0005-0000-0000-0000534D0000}"/>
    <cellStyle name="Input 2 4 7 21" xfId="37127" xr:uid="{00000000-0005-0000-0000-0000544D0000}"/>
    <cellStyle name="Input 2 4 7 3" xfId="16592" xr:uid="{00000000-0005-0000-0000-0000554D0000}"/>
    <cellStyle name="Input 2 4 7 4" xfId="17571" xr:uid="{00000000-0005-0000-0000-0000564D0000}"/>
    <cellStyle name="Input 2 4 7 5" xfId="18598" xr:uid="{00000000-0005-0000-0000-0000574D0000}"/>
    <cellStyle name="Input 2 4 7 6" xfId="19630" xr:uid="{00000000-0005-0000-0000-0000584D0000}"/>
    <cellStyle name="Input 2 4 7 7" xfId="20652" xr:uid="{00000000-0005-0000-0000-0000594D0000}"/>
    <cellStyle name="Input 2 4 7 8" xfId="21663" xr:uid="{00000000-0005-0000-0000-00005A4D0000}"/>
    <cellStyle name="Input 2 4 7 9" xfId="22634" xr:uid="{00000000-0005-0000-0000-00005B4D0000}"/>
    <cellStyle name="Input 2 4 8" xfId="4789" xr:uid="{00000000-0005-0000-0000-00005C4D0000}"/>
    <cellStyle name="Input 2 4 8 10" xfId="23641" xr:uid="{00000000-0005-0000-0000-00005D4D0000}"/>
    <cellStyle name="Input 2 4 8 11" xfId="24613" xr:uid="{00000000-0005-0000-0000-00005E4D0000}"/>
    <cellStyle name="Input 2 4 8 12" xfId="25612" xr:uid="{00000000-0005-0000-0000-00005F4D0000}"/>
    <cellStyle name="Input 2 4 8 13" xfId="28559" xr:uid="{00000000-0005-0000-0000-0000604D0000}"/>
    <cellStyle name="Input 2 4 8 14" xfId="29526" xr:uid="{00000000-0005-0000-0000-0000614D0000}"/>
    <cellStyle name="Input 2 4 8 15" xfId="30568" xr:uid="{00000000-0005-0000-0000-0000624D0000}"/>
    <cellStyle name="Input 2 4 8 16" xfId="31559" xr:uid="{00000000-0005-0000-0000-0000634D0000}"/>
    <cellStyle name="Input 2 4 8 17" xfId="32567" xr:uid="{00000000-0005-0000-0000-0000644D0000}"/>
    <cellStyle name="Input 2 4 8 18" xfId="33570" xr:uid="{00000000-0005-0000-0000-0000654D0000}"/>
    <cellStyle name="Input 2 4 8 19" xfId="34569" xr:uid="{00000000-0005-0000-0000-0000664D0000}"/>
    <cellStyle name="Input 2 4 8 2" xfId="4790" xr:uid="{00000000-0005-0000-0000-0000674D0000}"/>
    <cellStyle name="Input 2 4 8 2 10" xfId="24614" xr:uid="{00000000-0005-0000-0000-0000684D0000}"/>
    <cellStyle name="Input 2 4 8 2 11" xfId="25613" xr:uid="{00000000-0005-0000-0000-0000694D0000}"/>
    <cellStyle name="Input 2 4 8 2 12" xfId="28560" xr:uid="{00000000-0005-0000-0000-00006A4D0000}"/>
    <cellStyle name="Input 2 4 8 2 13" xfId="29527" xr:uid="{00000000-0005-0000-0000-00006B4D0000}"/>
    <cellStyle name="Input 2 4 8 2 14" xfId="30569" xr:uid="{00000000-0005-0000-0000-00006C4D0000}"/>
    <cellStyle name="Input 2 4 8 2 15" xfId="31560" xr:uid="{00000000-0005-0000-0000-00006D4D0000}"/>
    <cellStyle name="Input 2 4 8 2 16" xfId="32568" xr:uid="{00000000-0005-0000-0000-00006E4D0000}"/>
    <cellStyle name="Input 2 4 8 2 17" xfId="33571" xr:uid="{00000000-0005-0000-0000-00006F4D0000}"/>
    <cellStyle name="Input 2 4 8 2 18" xfId="34570" xr:uid="{00000000-0005-0000-0000-0000704D0000}"/>
    <cellStyle name="Input 2 4 8 2 19" xfId="36191" xr:uid="{00000000-0005-0000-0000-0000714D0000}"/>
    <cellStyle name="Input 2 4 8 2 2" xfId="16595" xr:uid="{00000000-0005-0000-0000-0000724D0000}"/>
    <cellStyle name="Input 2 4 8 2 20" xfId="37130" xr:uid="{00000000-0005-0000-0000-0000734D0000}"/>
    <cellStyle name="Input 2 4 8 2 3" xfId="17574" xr:uid="{00000000-0005-0000-0000-0000744D0000}"/>
    <cellStyle name="Input 2 4 8 2 4" xfId="18601" xr:uid="{00000000-0005-0000-0000-0000754D0000}"/>
    <cellStyle name="Input 2 4 8 2 5" xfId="19633" xr:uid="{00000000-0005-0000-0000-0000764D0000}"/>
    <cellStyle name="Input 2 4 8 2 6" xfId="20655" xr:uid="{00000000-0005-0000-0000-0000774D0000}"/>
    <cellStyle name="Input 2 4 8 2 7" xfId="21666" xr:uid="{00000000-0005-0000-0000-0000784D0000}"/>
    <cellStyle name="Input 2 4 8 2 8" xfId="22637" xr:uid="{00000000-0005-0000-0000-0000794D0000}"/>
    <cellStyle name="Input 2 4 8 2 9" xfId="23642" xr:uid="{00000000-0005-0000-0000-00007A4D0000}"/>
    <cellStyle name="Input 2 4 8 20" xfId="36190" xr:uid="{00000000-0005-0000-0000-00007B4D0000}"/>
    <cellStyle name="Input 2 4 8 21" xfId="37129" xr:uid="{00000000-0005-0000-0000-00007C4D0000}"/>
    <cellStyle name="Input 2 4 8 3" xfId="16594" xr:uid="{00000000-0005-0000-0000-00007D4D0000}"/>
    <cellStyle name="Input 2 4 8 4" xfId="17573" xr:uid="{00000000-0005-0000-0000-00007E4D0000}"/>
    <cellStyle name="Input 2 4 8 5" xfId="18600" xr:uid="{00000000-0005-0000-0000-00007F4D0000}"/>
    <cellStyle name="Input 2 4 8 6" xfId="19632" xr:uid="{00000000-0005-0000-0000-0000804D0000}"/>
    <cellStyle name="Input 2 4 8 7" xfId="20654" xr:uid="{00000000-0005-0000-0000-0000814D0000}"/>
    <cellStyle name="Input 2 4 8 8" xfId="21665" xr:uid="{00000000-0005-0000-0000-0000824D0000}"/>
    <cellStyle name="Input 2 4 8 9" xfId="22636" xr:uid="{00000000-0005-0000-0000-0000834D0000}"/>
    <cellStyle name="Input 2 4 9" xfId="4791" xr:uid="{00000000-0005-0000-0000-0000844D0000}"/>
    <cellStyle name="Input 2 4 9 10" xfId="24615" xr:uid="{00000000-0005-0000-0000-0000854D0000}"/>
    <cellStyle name="Input 2 4 9 11" xfId="25614" xr:uid="{00000000-0005-0000-0000-0000864D0000}"/>
    <cellStyle name="Input 2 4 9 12" xfId="28561" xr:uid="{00000000-0005-0000-0000-0000874D0000}"/>
    <cellStyle name="Input 2 4 9 13" xfId="29528" xr:uid="{00000000-0005-0000-0000-0000884D0000}"/>
    <cellStyle name="Input 2 4 9 14" xfId="30570" xr:uid="{00000000-0005-0000-0000-0000894D0000}"/>
    <cellStyle name="Input 2 4 9 15" xfId="31561" xr:uid="{00000000-0005-0000-0000-00008A4D0000}"/>
    <cellStyle name="Input 2 4 9 16" xfId="32569" xr:uid="{00000000-0005-0000-0000-00008B4D0000}"/>
    <cellStyle name="Input 2 4 9 17" xfId="33572" xr:uid="{00000000-0005-0000-0000-00008C4D0000}"/>
    <cellStyle name="Input 2 4 9 18" xfId="34571" xr:uid="{00000000-0005-0000-0000-00008D4D0000}"/>
    <cellStyle name="Input 2 4 9 19" xfId="36192" xr:uid="{00000000-0005-0000-0000-00008E4D0000}"/>
    <cellStyle name="Input 2 4 9 2" xfId="16596" xr:uid="{00000000-0005-0000-0000-00008F4D0000}"/>
    <cellStyle name="Input 2 4 9 20" xfId="37131" xr:uid="{00000000-0005-0000-0000-0000904D0000}"/>
    <cellStyle name="Input 2 4 9 3" xfId="17575" xr:uid="{00000000-0005-0000-0000-0000914D0000}"/>
    <cellStyle name="Input 2 4 9 4" xfId="18602" xr:uid="{00000000-0005-0000-0000-0000924D0000}"/>
    <cellStyle name="Input 2 4 9 5" xfId="19634" xr:uid="{00000000-0005-0000-0000-0000934D0000}"/>
    <cellStyle name="Input 2 4 9 6" xfId="20656" xr:uid="{00000000-0005-0000-0000-0000944D0000}"/>
    <cellStyle name="Input 2 4 9 7" xfId="21667" xr:uid="{00000000-0005-0000-0000-0000954D0000}"/>
    <cellStyle name="Input 2 4 9 8" xfId="22638" xr:uid="{00000000-0005-0000-0000-0000964D0000}"/>
    <cellStyle name="Input 2 4 9 9" xfId="23643" xr:uid="{00000000-0005-0000-0000-0000974D0000}"/>
    <cellStyle name="Input 2 5" xfId="4792" xr:uid="{00000000-0005-0000-0000-0000984D0000}"/>
    <cellStyle name="Input 2 5 10" xfId="13687" xr:uid="{00000000-0005-0000-0000-0000994D0000}"/>
    <cellStyle name="Input 2 5 11" xfId="15833" xr:uid="{00000000-0005-0000-0000-00009A4D0000}"/>
    <cellStyle name="Input 2 5 12" xfId="15484" xr:uid="{00000000-0005-0000-0000-00009B4D0000}"/>
    <cellStyle name="Input 2 5 13" xfId="15374" xr:uid="{00000000-0005-0000-0000-00009C4D0000}"/>
    <cellStyle name="Input 2 5 14" xfId="15528" xr:uid="{00000000-0005-0000-0000-00009D4D0000}"/>
    <cellStyle name="Input 2 5 15" xfId="15554" xr:uid="{00000000-0005-0000-0000-00009E4D0000}"/>
    <cellStyle name="Input 2 5 16" xfId="26522" xr:uid="{00000000-0005-0000-0000-00009F4D0000}"/>
    <cellStyle name="Input 2 5 17" xfId="27050" xr:uid="{00000000-0005-0000-0000-0000A04D0000}"/>
    <cellStyle name="Input 2 5 18" xfId="26203" xr:uid="{00000000-0005-0000-0000-0000A14D0000}"/>
    <cellStyle name="Input 2 5 19" xfId="27232" xr:uid="{00000000-0005-0000-0000-0000A24D0000}"/>
    <cellStyle name="Input 2 5 2" xfId="4793" xr:uid="{00000000-0005-0000-0000-0000A34D0000}"/>
    <cellStyle name="Input 2 5 2 10" xfId="23644" xr:uid="{00000000-0005-0000-0000-0000A44D0000}"/>
    <cellStyle name="Input 2 5 2 11" xfId="24616" xr:uid="{00000000-0005-0000-0000-0000A54D0000}"/>
    <cellStyle name="Input 2 5 2 12" xfId="25615" xr:uid="{00000000-0005-0000-0000-0000A64D0000}"/>
    <cellStyle name="Input 2 5 2 13" xfId="28562" xr:uid="{00000000-0005-0000-0000-0000A74D0000}"/>
    <cellStyle name="Input 2 5 2 14" xfId="29529" xr:uid="{00000000-0005-0000-0000-0000A84D0000}"/>
    <cellStyle name="Input 2 5 2 15" xfId="30571" xr:uid="{00000000-0005-0000-0000-0000A94D0000}"/>
    <cellStyle name="Input 2 5 2 16" xfId="31562" xr:uid="{00000000-0005-0000-0000-0000AA4D0000}"/>
    <cellStyle name="Input 2 5 2 17" xfId="32570" xr:uid="{00000000-0005-0000-0000-0000AB4D0000}"/>
    <cellStyle name="Input 2 5 2 18" xfId="33573" xr:uid="{00000000-0005-0000-0000-0000AC4D0000}"/>
    <cellStyle name="Input 2 5 2 19" xfId="34572" xr:uid="{00000000-0005-0000-0000-0000AD4D0000}"/>
    <cellStyle name="Input 2 5 2 2" xfId="4794" xr:uid="{00000000-0005-0000-0000-0000AE4D0000}"/>
    <cellStyle name="Input 2 5 2 2 10" xfId="24617" xr:uid="{00000000-0005-0000-0000-0000AF4D0000}"/>
    <cellStyle name="Input 2 5 2 2 11" xfId="25616" xr:uid="{00000000-0005-0000-0000-0000B04D0000}"/>
    <cellStyle name="Input 2 5 2 2 12" xfId="28563" xr:uid="{00000000-0005-0000-0000-0000B14D0000}"/>
    <cellStyle name="Input 2 5 2 2 13" xfId="29530" xr:uid="{00000000-0005-0000-0000-0000B24D0000}"/>
    <cellStyle name="Input 2 5 2 2 14" xfId="30572" xr:uid="{00000000-0005-0000-0000-0000B34D0000}"/>
    <cellStyle name="Input 2 5 2 2 15" xfId="31563" xr:uid="{00000000-0005-0000-0000-0000B44D0000}"/>
    <cellStyle name="Input 2 5 2 2 16" xfId="32571" xr:uid="{00000000-0005-0000-0000-0000B54D0000}"/>
    <cellStyle name="Input 2 5 2 2 17" xfId="33574" xr:uid="{00000000-0005-0000-0000-0000B64D0000}"/>
    <cellStyle name="Input 2 5 2 2 18" xfId="34573" xr:uid="{00000000-0005-0000-0000-0000B74D0000}"/>
    <cellStyle name="Input 2 5 2 2 19" xfId="36194" xr:uid="{00000000-0005-0000-0000-0000B84D0000}"/>
    <cellStyle name="Input 2 5 2 2 2" xfId="16598" xr:uid="{00000000-0005-0000-0000-0000B94D0000}"/>
    <cellStyle name="Input 2 5 2 2 20" xfId="37133" xr:uid="{00000000-0005-0000-0000-0000BA4D0000}"/>
    <cellStyle name="Input 2 5 2 2 3" xfId="17577" xr:uid="{00000000-0005-0000-0000-0000BB4D0000}"/>
    <cellStyle name="Input 2 5 2 2 4" xfId="18604" xr:uid="{00000000-0005-0000-0000-0000BC4D0000}"/>
    <cellStyle name="Input 2 5 2 2 5" xfId="19636" xr:uid="{00000000-0005-0000-0000-0000BD4D0000}"/>
    <cellStyle name="Input 2 5 2 2 6" xfId="20658" xr:uid="{00000000-0005-0000-0000-0000BE4D0000}"/>
    <cellStyle name="Input 2 5 2 2 7" xfId="21669" xr:uid="{00000000-0005-0000-0000-0000BF4D0000}"/>
    <cellStyle name="Input 2 5 2 2 8" xfId="22640" xr:uid="{00000000-0005-0000-0000-0000C04D0000}"/>
    <cellStyle name="Input 2 5 2 2 9" xfId="23645" xr:uid="{00000000-0005-0000-0000-0000C14D0000}"/>
    <cellStyle name="Input 2 5 2 20" xfId="36193" xr:uid="{00000000-0005-0000-0000-0000C24D0000}"/>
    <cellStyle name="Input 2 5 2 21" xfId="37132" xr:uid="{00000000-0005-0000-0000-0000C34D0000}"/>
    <cellStyle name="Input 2 5 2 3" xfId="16597" xr:uid="{00000000-0005-0000-0000-0000C44D0000}"/>
    <cellStyle name="Input 2 5 2 4" xfId="17576" xr:uid="{00000000-0005-0000-0000-0000C54D0000}"/>
    <cellStyle name="Input 2 5 2 5" xfId="18603" xr:uid="{00000000-0005-0000-0000-0000C64D0000}"/>
    <cellStyle name="Input 2 5 2 6" xfId="19635" xr:uid="{00000000-0005-0000-0000-0000C74D0000}"/>
    <cellStyle name="Input 2 5 2 7" xfId="20657" xr:uid="{00000000-0005-0000-0000-0000C84D0000}"/>
    <cellStyle name="Input 2 5 2 8" xfId="21668" xr:uid="{00000000-0005-0000-0000-0000C94D0000}"/>
    <cellStyle name="Input 2 5 2 9" xfId="22639" xr:uid="{00000000-0005-0000-0000-0000CA4D0000}"/>
    <cellStyle name="Input 2 5 20" xfId="26243" xr:uid="{00000000-0005-0000-0000-0000CB4D0000}"/>
    <cellStyle name="Input 2 5 21" xfId="27819" xr:uid="{00000000-0005-0000-0000-0000CC4D0000}"/>
    <cellStyle name="Input 2 5 22" xfId="26967" xr:uid="{00000000-0005-0000-0000-0000CD4D0000}"/>
    <cellStyle name="Input 2 5 23" xfId="35190" xr:uid="{00000000-0005-0000-0000-0000CE4D0000}"/>
    <cellStyle name="Input 2 5 24" xfId="35209" xr:uid="{00000000-0005-0000-0000-0000CF4D0000}"/>
    <cellStyle name="Input 2 5 3" xfId="4795" xr:uid="{00000000-0005-0000-0000-0000D04D0000}"/>
    <cellStyle name="Input 2 5 3 10" xfId="23646" xr:uid="{00000000-0005-0000-0000-0000D14D0000}"/>
    <cellStyle name="Input 2 5 3 11" xfId="24618" xr:uid="{00000000-0005-0000-0000-0000D24D0000}"/>
    <cellStyle name="Input 2 5 3 12" xfId="25617" xr:uid="{00000000-0005-0000-0000-0000D34D0000}"/>
    <cellStyle name="Input 2 5 3 13" xfId="28564" xr:uid="{00000000-0005-0000-0000-0000D44D0000}"/>
    <cellStyle name="Input 2 5 3 14" xfId="29531" xr:uid="{00000000-0005-0000-0000-0000D54D0000}"/>
    <cellStyle name="Input 2 5 3 15" xfId="30573" xr:uid="{00000000-0005-0000-0000-0000D64D0000}"/>
    <cellStyle name="Input 2 5 3 16" xfId="31564" xr:uid="{00000000-0005-0000-0000-0000D74D0000}"/>
    <cellStyle name="Input 2 5 3 17" xfId="32572" xr:uid="{00000000-0005-0000-0000-0000D84D0000}"/>
    <cellStyle name="Input 2 5 3 18" xfId="33575" xr:uid="{00000000-0005-0000-0000-0000D94D0000}"/>
    <cellStyle name="Input 2 5 3 19" xfId="34574" xr:uid="{00000000-0005-0000-0000-0000DA4D0000}"/>
    <cellStyle name="Input 2 5 3 2" xfId="4796" xr:uid="{00000000-0005-0000-0000-0000DB4D0000}"/>
    <cellStyle name="Input 2 5 3 2 10" xfId="24619" xr:uid="{00000000-0005-0000-0000-0000DC4D0000}"/>
    <cellStyle name="Input 2 5 3 2 11" xfId="25618" xr:uid="{00000000-0005-0000-0000-0000DD4D0000}"/>
    <cellStyle name="Input 2 5 3 2 12" xfId="28565" xr:uid="{00000000-0005-0000-0000-0000DE4D0000}"/>
    <cellStyle name="Input 2 5 3 2 13" xfId="29532" xr:uid="{00000000-0005-0000-0000-0000DF4D0000}"/>
    <cellStyle name="Input 2 5 3 2 14" xfId="30574" xr:uid="{00000000-0005-0000-0000-0000E04D0000}"/>
    <cellStyle name="Input 2 5 3 2 15" xfId="31565" xr:uid="{00000000-0005-0000-0000-0000E14D0000}"/>
    <cellStyle name="Input 2 5 3 2 16" xfId="32573" xr:uid="{00000000-0005-0000-0000-0000E24D0000}"/>
    <cellStyle name="Input 2 5 3 2 17" xfId="33576" xr:uid="{00000000-0005-0000-0000-0000E34D0000}"/>
    <cellStyle name="Input 2 5 3 2 18" xfId="34575" xr:uid="{00000000-0005-0000-0000-0000E44D0000}"/>
    <cellStyle name="Input 2 5 3 2 19" xfId="36196" xr:uid="{00000000-0005-0000-0000-0000E54D0000}"/>
    <cellStyle name="Input 2 5 3 2 2" xfId="16600" xr:uid="{00000000-0005-0000-0000-0000E64D0000}"/>
    <cellStyle name="Input 2 5 3 2 20" xfId="37135" xr:uid="{00000000-0005-0000-0000-0000E74D0000}"/>
    <cellStyle name="Input 2 5 3 2 3" xfId="17579" xr:uid="{00000000-0005-0000-0000-0000E84D0000}"/>
    <cellStyle name="Input 2 5 3 2 4" xfId="18606" xr:uid="{00000000-0005-0000-0000-0000E94D0000}"/>
    <cellStyle name="Input 2 5 3 2 5" xfId="19638" xr:uid="{00000000-0005-0000-0000-0000EA4D0000}"/>
    <cellStyle name="Input 2 5 3 2 6" xfId="20660" xr:uid="{00000000-0005-0000-0000-0000EB4D0000}"/>
    <cellStyle name="Input 2 5 3 2 7" xfId="21671" xr:uid="{00000000-0005-0000-0000-0000EC4D0000}"/>
    <cellStyle name="Input 2 5 3 2 8" xfId="22642" xr:uid="{00000000-0005-0000-0000-0000ED4D0000}"/>
    <cellStyle name="Input 2 5 3 2 9" xfId="23647" xr:uid="{00000000-0005-0000-0000-0000EE4D0000}"/>
    <cellStyle name="Input 2 5 3 20" xfId="36195" xr:uid="{00000000-0005-0000-0000-0000EF4D0000}"/>
    <cellStyle name="Input 2 5 3 21" xfId="37134" xr:uid="{00000000-0005-0000-0000-0000F04D0000}"/>
    <cellStyle name="Input 2 5 3 3" xfId="16599" xr:uid="{00000000-0005-0000-0000-0000F14D0000}"/>
    <cellStyle name="Input 2 5 3 4" xfId="17578" xr:uid="{00000000-0005-0000-0000-0000F24D0000}"/>
    <cellStyle name="Input 2 5 3 5" xfId="18605" xr:uid="{00000000-0005-0000-0000-0000F34D0000}"/>
    <cellStyle name="Input 2 5 3 6" xfId="19637" xr:uid="{00000000-0005-0000-0000-0000F44D0000}"/>
    <cellStyle name="Input 2 5 3 7" xfId="20659" xr:uid="{00000000-0005-0000-0000-0000F54D0000}"/>
    <cellStyle name="Input 2 5 3 8" xfId="21670" xr:uid="{00000000-0005-0000-0000-0000F64D0000}"/>
    <cellStyle name="Input 2 5 3 9" xfId="22641" xr:uid="{00000000-0005-0000-0000-0000F74D0000}"/>
    <cellStyle name="Input 2 5 4" xfId="4797" xr:uid="{00000000-0005-0000-0000-0000F84D0000}"/>
    <cellStyle name="Input 2 5 4 10" xfId="23648" xr:uid="{00000000-0005-0000-0000-0000F94D0000}"/>
    <cellStyle name="Input 2 5 4 11" xfId="24620" xr:uid="{00000000-0005-0000-0000-0000FA4D0000}"/>
    <cellStyle name="Input 2 5 4 12" xfId="25619" xr:uid="{00000000-0005-0000-0000-0000FB4D0000}"/>
    <cellStyle name="Input 2 5 4 13" xfId="28566" xr:uid="{00000000-0005-0000-0000-0000FC4D0000}"/>
    <cellStyle name="Input 2 5 4 14" xfId="29533" xr:uid="{00000000-0005-0000-0000-0000FD4D0000}"/>
    <cellStyle name="Input 2 5 4 15" xfId="30575" xr:uid="{00000000-0005-0000-0000-0000FE4D0000}"/>
    <cellStyle name="Input 2 5 4 16" xfId="31566" xr:uid="{00000000-0005-0000-0000-0000FF4D0000}"/>
    <cellStyle name="Input 2 5 4 17" xfId="32574" xr:uid="{00000000-0005-0000-0000-0000004E0000}"/>
    <cellStyle name="Input 2 5 4 18" xfId="33577" xr:uid="{00000000-0005-0000-0000-0000014E0000}"/>
    <cellStyle name="Input 2 5 4 19" xfId="34576" xr:uid="{00000000-0005-0000-0000-0000024E0000}"/>
    <cellStyle name="Input 2 5 4 2" xfId="4798" xr:uid="{00000000-0005-0000-0000-0000034E0000}"/>
    <cellStyle name="Input 2 5 4 2 10" xfId="24621" xr:uid="{00000000-0005-0000-0000-0000044E0000}"/>
    <cellStyle name="Input 2 5 4 2 11" xfId="25620" xr:uid="{00000000-0005-0000-0000-0000054E0000}"/>
    <cellStyle name="Input 2 5 4 2 12" xfId="28567" xr:uid="{00000000-0005-0000-0000-0000064E0000}"/>
    <cellStyle name="Input 2 5 4 2 13" xfId="29534" xr:uid="{00000000-0005-0000-0000-0000074E0000}"/>
    <cellStyle name="Input 2 5 4 2 14" xfId="30576" xr:uid="{00000000-0005-0000-0000-0000084E0000}"/>
    <cellStyle name="Input 2 5 4 2 15" xfId="31567" xr:uid="{00000000-0005-0000-0000-0000094E0000}"/>
    <cellStyle name="Input 2 5 4 2 16" xfId="32575" xr:uid="{00000000-0005-0000-0000-00000A4E0000}"/>
    <cellStyle name="Input 2 5 4 2 17" xfId="33578" xr:uid="{00000000-0005-0000-0000-00000B4E0000}"/>
    <cellStyle name="Input 2 5 4 2 18" xfId="34577" xr:uid="{00000000-0005-0000-0000-00000C4E0000}"/>
    <cellStyle name="Input 2 5 4 2 19" xfId="36198" xr:uid="{00000000-0005-0000-0000-00000D4E0000}"/>
    <cellStyle name="Input 2 5 4 2 2" xfId="16602" xr:uid="{00000000-0005-0000-0000-00000E4E0000}"/>
    <cellStyle name="Input 2 5 4 2 20" xfId="37137" xr:uid="{00000000-0005-0000-0000-00000F4E0000}"/>
    <cellStyle name="Input 2 5 4 2 3" xfId="17581" xr:uid="{00000000-0005-0000-0000-0000104E0000}"/>
    <cellStyle name="Input 2 5 4 2 4" xfId="18608" xr:uid="{00000000-0005-0000-0000-0000114E0000}"/>
    <cellStyle name="Input 2 5 4 2 5" xfId="19640" xr:uid="{00000000-0005-0000-0000-0000124E0000}"/>
    <cellStyle name="Input 2 5 4 2 6" xfId="20662" xr:uid="{00000000-0005-0000-0000-0000134E0000}"/>
    <cellStyle name="Input 2 5 4 2 7" xfId="21673" xr:uid="{00000000-0005-0000-0000-0000144E0000}"/>
    <cellStyle name="Input 2 5 4 2 8" xfId="22644" xr:uid="{00000000-0005-0000-0000-0000154E0000}"/>
    <cellStyle name="Input 2 5 4 2 9" xfId="23649" xr:uid="{00000000-0005-0000-0000-0000164E0000}"/>
    <cellStyle name="Input 2 5 4 20" xfId="36197" xr:uid="{00000000-0005-0000-0000-0000174E0000}"/>
    <cellStyle name="Input 2 5 4 21" xfId="37136" xr:uid="{00000000-0005-0000-0000-0000184E0000}"/>
    <cellStyle name="Input 2 5 4 3" xfId="16601" xr:uid="{00000000-0005-0000-0000-0000194E0000}"/>
    <cellStyle name="Input 2 5 4 4" xfId="17580" xr:uid="{00000000-0005-0000-0000-00001A4E0000}"/>
    <cellStyle name="Input 2 5 4 5" xfId="18607" xr:uid="{00000000-0005-0000-0000-00001B4E0000}"/>
    <cellStyle name="Input 2 5 4 6" xfId="19639" xr:uid="{00000000-0005-0000-0000-00001C4E0000}"/>
    <cellStyle name="Input 2 5 4 7" xfId="20661" xr:uid="{00000000-0005-0000-0000-00001D4E0000}"/>
    <cellStyle name="Input 2 5 4 8" xfId="21672" xr:uid="{00000000-0005-0000-0000-00001E4E0000}"/>
    <cellStyle name="Input 2 5 4 9" xfId="22643" xr:uid="{00000000-0005-0000-0000-00001F4E0000}"/>
    <cellStyle name="Input 2 5 5" xfId="4799" xr:uid="{00000000-0005-0000-0000-0000204E0000}"/>
    <cellStyle name="Input 2 5 5 10" xfId="24622" xr:uid="{00000000-0005-0000-0000-0000214E0000}"/>
    <cellStyle name="Input 2 5 5 11" xfId="25621" xr:uid="{00000000-0005-0000-0000-0000224E0000}"/>
    <cellStyle name="Input 2 5 5 12" xfId="28568" xr:uid="{00000000-0005-0000-0000-0000234E0000}"/>
    <cellStyle name="Input 2 5 5 13" xfId="29535" xr:uid="{00000000-0005-0000-0000-0000244E0000}"/>
    <cellStyle name="Input 2 5 5 14" xfId="30577" xr:uid="{00000000-0005-0000-0000-0000254E0000}"/>
    <cellStyle name="Input 2 5 5 15" xfId="31568" xr:uid="{00000000-0005-0000-0000-0000264E0000}"/>
    <cellStyle name="Input 2 5 5 16" xfId="32576" xr:uid="{00000000-0005-0000-0000-0000274E0000}"/>
    <cellStyle name="Input 2 5 5 17" xfId="33579" xr:uid="{00000000-0005-0000-0000-0000284E0000}"/>
    <cellStyle name="Input 2 5 5 18" xfId="34578" xr:uid="{00000000-0005-0000-0000-0000294E0000}"/>
    <cellStyle name="Input 2 5 5 19" xfId="36199" xr:uid="{00000000-0005-0000-0000-00002A4E0000}"/>
    <cellStyle name="Input 2 5 5 2" xfId="16603" xr:uid="{00000000-0005-0000-0000-00002B4E0000}"/>
    <cellStyle name="Input 2 5 5 20" xfId="37138" xr:uid="{00000000-0005-0000-0000-00002C4E0000}"/>
    <cellStyle name="Input 2 5 5 3" xfId="17582" xr:uid="{00000000-0005-0000-0000-00002D4E0000}"/>
    <cellStyle name="Input 2 5 5 4" xfId="18609" xr:uid="{00000000-0005-0000-0000-00002E4E0000}"/>
    <cellStyle name="Input 2 5 5 5" xfId="19641" xr:uid="{00000000-0005-0000-0000-00002F4E0000}"/>
    <cellStyle name="Input 2 5 5 6" xfId="20663" xr:uid="{00000000-0005-0000-0000-0000304E0000}"/>
    <cellStyle name="Input 2 5 5 7" xfId="21674" xr:uid="{00000000-0005-0000-0000-0000314E0000}"/>
    <cellStyle name="Input 2 5 5 8" xfId="22645" xr:uid="{00000000-0005-0000-0000-0000324E0000}"/>
    <cellStyle name="Input 2 5 5 9" xfId="23650" xr:uid="{00000000-0005-0000-0000-0000334E0000}"/>
    <cellStyle name="Input 2 5 6" xfId="13962" xr:uid="{00000000-0005-0000-0000-0000344E0000}"/>
    <cellStyle name="Input 2 5 7" xfId="14818" xr:uid="{00000000-0005-0000-0000-0000354E0000}"/>
    <cellStyle name="Input 2 5 8" xfId="14453" xr:uid="{00000000-0005-0000-0000-0000364E0000}"/>
    <cellStyle name="Input 2 5 9" xfId="15755" xr:uid="{00000000-0005-0000-0000-0000374E0000}"/>
    <cellStyle name="Input 2 6" xfId="4800" xr:uid="{00000000-0005-0000-0000-0000384E0000}"/>
    <cellStyle name="Input 2 6 10" xfId="23651" xr:uid="{00000000-0005-0000-0000-0000394E0000}"/>
    <cellStyle name="Input 2 6 11" xfId="24623" xr:uid="{00000000-0005-0000-0000-00003A4E0000}"/>
    <cellStyle name="Input 2 6 12" xfId="25622" xr:uid="{00000000-0005-0000-0000-00003B4E0000}"/>
    <cellStyle name="Input 2 6 13" xfId="28569" xr:uid="{00000000-0005-0000-0000-00003C4E0000}"/>
    <cellStyle name="Input 2 6 14" xfId="29536" xr:uid="{00000000-0005-0000-0000-00003D4E0000}"/>
    <cellStyle name="Input 2 6 15" xfId="30578" xr:uid="{00000000-0005-0000-0000-00003E4E0000}"/>
    <cellStyle name="Input 2 6 16" xfId="31569" xr:uid="{00000000-0005-0000-0000-00003F4E0000}"/>
    <cellStyle name="Input 2 6 17" xfId="32577" xr:uid="{00000000-0005-0000-0000-0000404E0000}"/>
    <cellStyle name="Input 2 6 18" xfId="33580" xr:uid="{00000000-0005-0000-0000-0000414E0000}"/>
    <cellStyle name="Input 2 6 19" xfId="34579" xr:uid="{00000000-0005-0000-0000-0000424E0000}"/>
    <cellStyle name="Input 2 6 2" xfId="4801" xr:uid="{00000000-0005-0000-0000-0000434E0000}"/>
    <cellStyle name="Input 2 6 2 10" xfId="24624" xr:uid="{00000000-0005-0000-0000-0000444E0000}"/>
    <cellStyle name="Input 2 6 2 11" xfId="25623" xr:uid="{00000000-0005-0000-0000-0000454E0000}"/>
    <cellStyle name="Input 2 6 2 12" xfId="28570" xr:uid="{00000000-0005-0000-0000-0000464E0000}"/>
    <cellStyle name="Input 2 6 2 13" xfId="29537" xr:uid="{00000000-0005-0000-0000-0000474E0000}"/>
    <cellStyle name="Input 2 6 2 14" xfId="30579" xr:uid="{00000000-0005-0000-0000-0000484E0000}"/>
    <cellStyle name="Input 2 6 2 15" xfId="31570" xr:uid="{00000000-0005-0000-0000-0000494E0000}"/>
    <cellStyle name="Input 2 6 2 16" xfId="32578" xr:uid="{00000000-0005-0000-0000-00004A4E0000}"/>
    <cellStyle name="Input 2 6 2 17" xfId="33581" xr:uid="{00000000-0005-0000-0000-00004B4E0000}"/>
    <cellStyle name="Input 2 6 2 18" xfId="34580" xr:uid="{00000000-0005-0000-0000-00004C4E0000}"/>
    <cellStyle name="Input 2 6 2 19" xfId="36201" xr:uid="{00000000-0005-0000-0000-00004D4E0000}"/>
    <cellStyle name="Input 2 6 2 2" xfId="16605" xr:uid="{00000000-0005-0000-0000-00004E4E0000}"/>
    <cellStyle name="Input 2 6 2 20" xfId="37140" xr:uid="{00000000-0005-0000-0000-00004F4E0000}"/>
    <cellStyle name="Input 2 6 2 3" xfId="17584" xr:uid="{00000000-0005-0000-0000-0000504E0000}"/>
    <cellStyle name="Input 2 6 2 4" xfId="18611" xr:uid="{00000000-0005-0000-0000-0000514E0000}"/>
    <cellStyle name="Input 2 6 2 5" xfId="19643" xr:uid="{00000000-0005-0000-0000-0000524E0000}"/>
    <cellStyle name="Input 2 6 2 6" xfId="20665" xr:uid="{00000000-0005-0000-0000-0000534E0000}"/>
    <cellStyle name="Input 2 6 2 7" xfId="21676" xr:uid="{00000000-0005-0000-0000-0000544E0000}"/>
    <cellStyle name="Input 2 6 2 8" xfId="22647" xr:uid="{00000000-0005-0000-0000-0000554E0000}"/>
    <cellStyle name="Input 2 6 2 9" xfId="23652" xr:uid="{00000000-0005-0000-0000-0000564E0000}"/>
    <cellStyle name="Input 2 6 20" xfId="36200" xr:uid="{00000000-0005-0000-0000-0000574E0000}"/>
    <cellStyle name="Input 2 6 21" xfId="37139" xr:uid="{00000000-0005-0000-0000-0000584E0000}"/>
    <cellStyle name="Input 2 6 3" xfId="16604" xr:uid="{00000000-0005-0000-0000-0000594E0000}"/>
    <cellStyle name="Input 2 6 4" xfId="17583" xr:uid="{00000000-0005-0000-0000-00005A4E0000}"/>
    <cellStyle name="Input 2 6 5" xfId="18610" xr:uid="{00000000-0005-0000-0000-00005B4E0000}"/>
    <cellStyle name="Input 2 6 6" xfId="19642" xr:uid="{00000000-0005-0000-0000-00005C4E0000}"/>
    <cellStyle name="Input 2 6 7" xfId="20664" xr:uid="{00000000-0005-0000-0000-00005D4E0000}"/>
    <cellStyle name="Input 2 6 8" xfId="21675" xr:uid="{00000000-0005-0000-0000-00005E4E0000}"/>
    <cellStyle name="Input 2 6 9" xfId="22646" xr:uid="{00000000-0005-0000-0000-00005F4E0000}"/>
    <cellStyle name="Input 2 7" xfId="4802" xr:uid="{00000000-0005-0000-0000-0000604E0000}"/>
    <cellStyle name="Input 2 7 10" xfId="23653" xr:uid="{00000000-0005-0000-0000-0000614E0000}"/>
    <cellStyle name="Input 2 7 11" xfId="24625" xr:uid="{00000000-0005-0000-0000-0000624E0000}"/>
    <cellStyle name="Input 2 7 12" xfId="25624" xr:uid="{00000000-0005-0000-0000-0000634E0000}"/>
    <cellStyle name="Input 2 7 13" xfId="28571" xr:uid="{00000000-0005-0000-0000-0000644E0000}"/>
    <cellStyle name="Input 2 7 14" xfId="29538" xr:uid="{00000000-0005-0000-0000-0000654E0000}"/>
    <cellStyle name="Input 2 7 15" xfId="30580" xr:uid="{00000000-0005-0000-0000-0000664E0000}"/>
    <cellStyle name="Input 2 7 16" xfId="31571" xr:uid="{00000000-0005-0000-0000-0000674E0000}"/>
    <cellStyle name="Input 2 7 17" xfId="32579" xr:uid="{00000000-0005-0000-0000-0000684E0000}"/>
    <cellStyle name="Input 2 7 18" xfId="33582" xr:uid="{00000000-0005-0000-0000-0000694E0000}"/>
    <cellStyle name="Input 2 7 19" xfId="34581" xr:uid="{00000000-0005-0000-0000-00006A4E0000}"/>
    <cellStyle name="Input 2 7 2" xfId="4803" xr:uid="{00000000-0005-0000-0000-00006B4E0000}"/>
    <cellStyle name="Input 2 7 2 10" xfId="24626" xr:uid="{00000000-0005-0000-0000-00006C4E0000}"/>
    <cellStyle name="Input 2 7 2 11" xfId="25625" xr:uid="{00000000-0005-0000-0000-00006D4E0000}"/>
    <cellStyle name="Input 2 7 2 12" xfId="28572" xr:uid="{00000000-0005-0000-0000-00006E4E0000}"/>
    <cellStyle name="Input 2 7 2 13" xfId="29539" xr:uid="{00000000-0005-0000-0000-00006F4E0000}"/>
    <cellStyle name="Input 2 7 2 14" xfId="30581" xr:uid="{00000000-0005-0000-0000-0000704E0000}"/>
    <cellStyle name="Input 2 7 2 15" xfId="31572" xr:uid="{00000000-0005-0000-0000-0000714E0000}"/>
    <cellStyle name="Input 2 7 2 16" xfId="32580" xr:uid="{00000000-0005-0000-0000-0000724E0000}"/>
    <cellStyle name="Input 2 7 2 17" xfId="33583" xr:uid="{00000000-0005-0000-0000-0000734E0000}"/>
    <cellStyle name="Input 2 7 2 18" xfId="34582" xr:uid="{00000000-0005-0000-0000-0000744E0000}"/>
    <cellStyle name="Input 2 7 2 19" xfId="36203" xr:uid="{00000000-0005-0000-0000-0000754E0000}"/>
    <cellStyle name="Input 2 7 2 2" xfId="16607" xr:uid="{00000000-0005-0000-0000-0000764E0000}"/>
    <cellStyle name="Input 2 7 2 20" xfId="37142" xr:uid="{00000000-0005-0000-0000-0000774E0000}"/>
    <cellStyle name="Input 2 7 2 3" xfId="17586" xr:uid="{00000000-0005-0000-0000-0000784E0000}"/>
    <cellStyle name="Input 2 7 2 4" xfId="18613" xr:uid="{00000000-0005-0000-0000-0000794E0000}"/>
    <cellStyle name="Input 2 7 2 5" xfId="19645" xr:uid="{00000000-0005-0000-0000-00007A4E0000}"/>
    <cellStyle name="Input 2 7 2 6" xfId="20667" xr:uid="{00000000-0005-0000-0000-00007B4E0000}"/>
    <cellStyle name="Input 2 7 2 7" xfId="21678" xr:uid="{00000000-0005-0000-0000-00007C4E0000}"/>
    <cellStyle name="Input 2 7 2 8" xfId="22649" xr:uid="{00000000-0005-0000-0000-00007D4E0000}"/>
    <cellStyle name="Input 2 7 2 9" xfId="23654" xr:uid="{00000000-0005-0000-0000-00007E4E0000}"/>
    <cellStyle name="Input 2 7 20" xfId="36202" xr:uid="{00000000-0005-0000-0000-00007F4E0000}"/>
    <cellStyle name="Input 2 7 21" xfId="37141" xr:uid="{00000000-0005-0000-0000-0000804E0000}"/>
    <cellStyle name="Input 2 7 3" xfId="16606" xr:uid="{00000000-0005-0000-0000-0000814E0000}"/>
    <cellStyle name="Input 2 7 4" xfId="17585" xr:uid="{00000000-0005-0000-0000-0000824E0000}"/>
    <cellStyle name="Input 2 7 5" xfId="18612" xr:uid="{00000000-0005-0000-0000-0000834E0000}"/>
    <cellStyle name="Input 2 7 6" xfId="19644" xr:uid="{00000000-0005-0000-0000-0000844E0000}"/>
    <cellStyle name="Input 2 7 7" xfId="20666" xr:uid="{00000000-0005-0000-0000-0000854E0000}"/>
    <cellStyle name="Input 2 7 8" xfId="21677" xr:uid="{00000000-0005-0000-0000-0000864E0000}"/>
    <cellStyle name="Input 2 7 9" xfId="22648" xr:uid="{00000000-0005-0000-0000-0000874E0000}"/>
    <cellStyle name="Input 2 8" xfId="4804" xr:uid="{00000000-0005-0000-0000-0000884E0000}"/>
    <cellStyle name="Input 2 8 10" xfId="23655" xr:uid="{00000000-0005-0000-0000-0000894E0000}"/>
    <cellStyle name="Input 2 8 11" xfId="24627" xr:uid="{00000000-0005-0000-0000-00008A4E0000}"/>
    <cellStyle name="Input 2 8 12" xfId="25626" xr:uid="{00000000-0005-0000-0000-00008B4E0000}"/>
    <cellStyle name="Input 2 8 13" xfId="28573" xr:uid="{00000000-0005-0000-0000-00008C4E0000}"/>
    <cellStyle name="Input 2 8 14" xfId="29540" xr:uid="{00000000-0005-0000-0000-00008D4E0000}"/>
    <cellStyle name="Input 2 8 15" xfId="30582" xr:uid="{00000000-0005-0000-0000-00008E4E0000}"/>
    <cellStyle name="Input 2 8 16" xfId="31573" xr:uid="{00000000-0005-0000-0000-00008F4E0000}"/>
    <cellStyle name="Input 2 8 17" xfId="32581" xr:uid="{00000000-0005-0000-0000-0000904E0000}"/>
    <cellStyle name="Input 2 8 18" xfId="33584" xr:uid="{00000000-0005-0000-0000-0000914E0000}"/>
    <cellStyle name="Input 2 8 19" xfId="34583" xr:uid="{00000000-0005-0000-0000-0000924E0000}"/>
    <cellStyle name="Input 2 8 2" xfId="4805" xr:uid="{00000000-0005-0000-0000-0000934E0000}"/>
    <cellStyle name="Input 2 8 2 10" xfId="24628" xr:uid="{00000000-0005-0000-0000-0000944E0000}"/>
    <cellStyle name="Input 2 8 2 11" xfId="25627" xr:uid="{00000000-0005-0000-0000-0000954E0000}"/>
    <cellStyle name="Input 2 8 2 12" xfId="28574" xr:uid="{00000000-0005-0000-0000-0000964E0000}"/>
    <cellStyle name="Input 2 8 2 13" xfId="29541" xr:uid="{00000000-0005-0000-0000-0000974E0000}"/>
    <cellStyle name="Input 2 8 2 14" xfId="30583" xr:uid="{00000000-0005-0000-0000-0000984E0000}"/>
    <cellStyle name="Input 2 8 2 15" xfId="31574" xr:uid="{00000000-0005-0000-0000-0000994E0000}"/>
    <cellStyle name="Input 2 8 2 16" xfId="32582" xr:uid="{00000000-0005-0000-0000-00009A4E0000}"/>
    <cellStyle name="Input 2 8 2 17" xfId="33585" xr:uid="{00000000-0005-0000-0000-00009B4E0000}"/>
    <cellStyle name="Input 2 8 2 18" xfId="34584" xr:uid="{00000000-0005-0000-0000-00009C4E0000}"/>
    <cellStyle name="Input 2 8 2 19" xfId="36205" xr:uid="{00000000-0005-0000-0000-00009D4E0000}"/>
    <cellStyle name="Input 2 8 2 2" xfId="16609" xr:uid="{00000000-0005-0000-0000-00009E4E0000}"/>
    <cellStyle name="Input 2 8 2 20" xfId="37144" xr:uid="{00000000-0005-0000-0000-00009F4E0000}"/>
    <cellStyle name="Input 2 8 2 3" xfId="17588" xr:uid="{00000000-0005-0000-0000-0000A04E0000}"/>
    <cellStyle name="Input 2 8 2 4" xfId="18615" xr:uid="{00000000-0005-0000-0000-0000A14E0000}"/>
    <cellStyle name="Input 2 8 2 5" xfId="19647" xr:uid="{00000000-0005-0000-0000-0000A24E0000}"/>
    <cellStyle name="Input 2 8 2 6" xfId="20669" xr:uid="{00000000-0005-0000-0000-0000A34E0000}"/>
    <cellStyle name="Input 2 8 2 7" xfId="21680" xr:uid="{00000000-0005-0000-0000-0000A44E0000}"/>
    <cellStyle name="Input 2 8 2 8" xfId="22651" xr:uid="{00000000-0005-0000-0000-0000A54E0000}"/>
    <cellStyle name="Input 2 8 2 9" xfId="23656" xr:uid="{00000000-0005-0000-0000-0000A64E0000}"/>
    <cellStyle name="Input 2 8 20" xfId="36204" xr:uid="{00000000-0005-0000-0000-0000A74E0000}"/>
    <cellStyle name="Input 2 8 21" xfId="37143" xr:uid="{00000000-0005-0000-0000-0000A84E0000}"/>
    <cellStyle name="Input 2 8 3" xfId="16608" xr:uid="{00000000-0005-0000-0000-0000A94E0000}"/>
    <cellStyle name="Input 2 8 4" xfId="17587" xr:uid="{00000000-0005-0000-0000-0000AA4E0000}"/>
    <cellStyle name="Input 2 8 5" xfId="18614" xr:uid="{00000000-0005-0000-0000-0000AB4E0000}"/>
    <cellStyle name="Input 2 8 6" xfId="19646" xr:uid="{00000000-0005-0000-0000-0000AC4E0000}"/>
    <cellStyle name="Input 2 8 7" xfId="20668" xr:uid="{00000000-0005-0000-0000-0000AD4E0000}"/>
    <cellStyle name="Input 2 8 8" xfId="21679" xr:uid="{00000000-0005-0000-0000-0000AE4E0000}"/>
    <cellStyle name="Input 2 8 9" xfId="22650" xr:uid="{00000000-0005-0000-0000-0000AF4E0000}"/>
    <cellStyle name="Input 2 9" xfId="4806" xr:uid="{00000000-0005-0000-0000-0000B04E0000}"/>
    <cellStyle name="Input 2 9 10" xfId="24629" xr:uid="{00000000-0005-0000-0000-0000B14E0000}"/>
    <cellStyle name="Input 2 9 11" xfId="25628" xr:uid="{00000000-0005-0000-0000-0000B24E0000}"/>
    <cellStyle name="Input 2 9 12" xfId="28575" xr:uid="{00000000-0005-0000-0000-0000B34E0000}"/>
    <cellStyle name="Input 2 9 13" xfId="29542" xr:uid="{00000000-0005-0000-0000-0000B44E0000}"/>
    <cellStyle name="Input 2 9 14" xfId="30584" xr:uid="{00000000-0005-0000-0000-0000B54E0000}"/>
    <cellStyle name="Input 2 9 15" xfId="31575" xr:uid="{00000000-0005-0000-0000-0000B64E0000}"/>
    <cellStyle name="Input 2 9 16" xfId="32583" xr:uid="{00000000-0005-0000-0000-0000B74E0000}"/>
    <cellStyle name="Input 2 9 17" xfId="33586" xr:uid="{00000000-0005-0000-0000-0000B84E0000}"/>
    <cellStyle name="Input 2 9 18" xfId="34585" xr:uid="{00000000-0005-0000-0000-0000B94E0000}"/>
    <cellStyle name="Input 2 9 19" xfId="36206" xr:uid="{00000000-0005-0000-0000-0000BA4E0000}"/>
    <cellStyle name="Input 2 9 2" xfId="16610" xr:uid="{00000000-0005-0000-0000-0000BB4E0000}"/>
    <cellStyle name="Input 2 9 20" xfId="37145" xr:uid="{00000000-0005-0000-0000-0000BC4E0000}"/>
    <cellStyle name="Input 2 9 3" xfId="17589" xr:uid="{00000000-0005-0000-0000-0000BD4E0000}"/>
    <cellStyle name="Input 2 9 4" xfId="18616" xr:uid="{00000000-0005-0000-0000-0000BE4E0000}"/>
    <cellStyle name="Input 2 9 5" xfId="19648" xr:uid="{00000000-0005-0000-0000-0000BF4E0000}"/>
    <cellStyle name="Input 2 9 6" xfId="20670" xr:uid="{00000000-0005-0000-0000-0000C04E0000}"/>
    <cellStyle name="Input 2 9 7" xfId="21681" xr:uid="{00000000-0005-0000-0000-0000C14E0000}"/>
    <cellStyle name="Input 2 9 8" xfId="22652" xr:uid="{00000000-0005-0000-0000-0000C24E0000}"/>
    <cellStyle name="Input 2 9 9" xfId="23657" xr:uid="{00000000-0005-0000-0000-0000C34E0000}"/>
    <cellStyle name="Input 3" xfId="142" xr:uid="{00000000-0005-0000-0000-0000C44E0000}"/>
    <cellStyle name="Input 3 10" xfId="4807" xr:uid="{00000000-0005-0000-0000-0000C54E0000}"/>
    <cellStyle name="Input 3 11" xfId="34892" xr:uid="{00000000-0005-0000-0000-0000C64E0000}"/>
    <cellStyle name="Input 3 12" xfId="37401" xr:uid="{00000000-0005-0000-0000-0000C74E0000}"/>
    <cellStyle name="Input 3 2" xfId="4808" xr:uid="{00000000-0005-0000-0000-0000C84E0000}"/>
    <cellStyle name="Input 3 2 10" xfId="19922" xr:uid="{00000000-0005-0000-0000-0000C94E0000}"/>
    <cellStyle name="Input 3 2 11" xfId="20961" xr:uid="{00000000-0005-0000-0000-0000CA4E0000}"/>
    <cellStyle name="Input 3 2 12" xfId="21905" xr:uid="{00000000-0005-0000-0000-0000CB4E0000}"/>
    <cellStyle name="Input 3 2 13" xfId="23912" xr:uid="{00000000-0005-0000-0000-0000CC4E0000}"/>
    <cellStyle name="Input 3 2 14" xfId="25995" xr:uid="{00000000-0005-0000-0000-0000CD4E0000}"/>
    <cellStyle name="Input 3 2 15" xfId="27294" xr:uid="{00000000-0005-0000-0000-0000CE4E0000}"/>
    <cellStyle name="Input 3 2 16" xfId="28795" xr:uid="{00000000-0005-0000-0000-0000CF4E0000}"/>
    <cellStyle name="Input 3 2 17" xfId="30851" xr:uid="{00000000-0005-0000-0000-0000D04E0000}"/>
    <cellStyle name="Input 3 2 18" xfId="31836" xr:uid="{00000000-0005-0000-0000-0000D14E0000}"/>
    <cellStyle name="Input 3 2 19" xfId="25959" xr:uid="{00000000-0005-0000-0000-0000D24E0000}"/>
    <cellStyle name="Input 3 2 2" xfId="4809" xr:uid="{00000000-0005-0000-0000-0000D34E0000}"/>
    <cellStyle name="Input 3 2 2 10" xfId="14362" xr:uid="{00000000-0005-0000-0000-0000D44E0000}"/>
    <cellStyle name="Input 3 2 2 11" xfId="13660" xr:uid="{00000000-0005-0000-0000-0000D54E0000}"/>
    <cellStyle name="Input 3 2 2 12" xfId="14978" xr:uid="{00000000-0005-0000-0000-0000D64E0000}"/>
    <cellStyle name="Input 3 2 2 13" xfId="14582" xr:uid="{00000000-0005-0000-0000-0000D74E0000}"/>
    <cellStyle name="Input 3 2 2 14" xfId="14690" xr:uid="{00000000-0005-0000-0000-0000D84E0000}"/>
    <cellStyle name="Input 3 2 2 15" xfId="15624" xr:uid="{00000000-0005-0000-0000-0000D94E0000}"/>
    <cellStyle name="Input 3 2 2 16" xfId="26100" xr:uid="{00000000-0005-0000-0000-0000DA4E0000}"/>
    <cellStyle name="Input 3 2 2 17" xfId="27780" xr:uid="{00000000-0005-0000-0000-0000DB4E0000}"/>
    <cellStyle name="Input 3 2 2 18" xfId="27214" xr:uid="{00000000-0005-0000-0000-0000DC4E0000}"/>
    <cellStyle name="Input 3 2 2 19" xfId="27396" xr:uid="{00000000-0005-0000-0000-0000DD4E0000}"/>
    <cellStyle name="Input 3 2 2 2" xfId="4810" xr:uid="{00000000-0005-0000-0000-0000DE4E0000}"/>
    <cellStyle name="Input 3 2 2 2 10" xfId="13914" xr:uid="{00000000-0005-0000-0000-0000DF4E0000}"/>
    <cellStyle name="Input 3 2 2 2 11" xfId="14088" xr:uid="{00000000-0005-0000-0000-0000E04E0000}"/>
    <cellStyle name="Input 3 2 2 2 12" xfId="26321" xr:uid="{00000000-0005-0000-0000-0000E14E0000}"/>
    <cellStyle name="Input 3 2 2 2 13" xfId="27174" xr:uid="{00000000-0005-0000-0000-0000E24E0000}"/>
    <cellStyle name="Input 3 2 2 2 14" xfId="26821" xr:uid="{00000000-0005-0000-0000-0000E34E0000}"/>
    <cellStyle name="Input 3 2 2 2 15" xfId="26542" xr:uid="{00000000-0005-0000-0000-0000E44E0000}"/>
    <cellStyle name="Input 3 2 2 2 16" xfId="27604" xr:uid="{00000000-0005-0000-0000-0000E54E0000}"/>
    <cellStyle name="Input 3 2 2 2 17" xfId="26808" xr:uid="{00000000-0005-0000-0000-0000E64E0000}"/>
    <cellStyle name="Input 3 2 2 2 18" xfId="35017" xr:uid="{00000000-0005-0000-0000-0000E74E0000}"/>
    <cellStyle name="Input 3 2 2 2 19" xfId="35328" xr:uid="{00000000-0005-0000-0000-0000E84E0000}"/>
    <cellStyle name="Input 3 2 2 2 2" xfId="4811" xr:uid="{00000000-0005-0000-0000-0000E94E0000}"/>
    <cellStyle name="Input 3 2 2 2 2 10" xfId="23658" xr:uid="{00000000-0005-0000-0000-0000EA4E0000}"/>
    <cellStyle name="Input 3 2 2 2 2 11" xfId="24630" xr:uid="{00000000-0005-0000-0000-0000EB4E0000}"/>
    <cellStyle name="Input 3 2 2 2 2 12" xfId="25629" xr:uid="{00000000-0005-0000-0000-0000EC4E0000}"/>
    <cellStyle name="Input 3 2 2 2 2 13" xfId="28576" xr:uid="{00000000-0005-0000-0000-0000ED4E0000}"/>
    <cellStyle name="Input 3 2 2 2 2 14" xfId="29543" xr:uid="{00000000-0005-0000-0000-0000EE4E0000}"/>
    <cellStyle name="Input 3 2 2 2 2 15" xfId="30585" xr:uid="{00000000-0005-0000-0000-0000EF4E0000}"/>
    <cellStyle name="Input 3 2 2 2 2 16" xfId="31576" xr:uid="{00000000-0005-0000-0000-0000F04E0000}"/>
    <cellStyle name="Input 3 2 2 2 2 17" xfId="32584" xr:uid="{00000000-0005-0000-0000-0000F14E0000}"/>
    <cellStyle name="Input 3 2 2 2 2 18" xfId="33587" xr:uid="{00000000-0005-0000-0000-0000F24E0000}"/>
    <cellStyle name="Input 3 2 2 2 2 19" xfId="34586" xr:uid="{00000000-0005-0000-0000-0000F34E0000}"/>
    <cellStyle name="Input 3 2 2 2 2 2" xfId="4812" xr:uid="{00000000-0005-0000-0000-0000F44E0000}"/>
    <cellStyle name="Input 3 2 2 2 2 2 10" xfId="24631" xr:uid="{00000000-0005-0000-0000-0000F54E0000}"/>
    <cellStyle name="Input 3 2 2 2 2 2 11" xfId="25630" xr:uid="{00000000-0005-0000-0000-0000F64E0000}"/>
    <cellStyle name="Input 3 2 2 2 2 2 12" xfId="28577" xr:uid="{00000000-0005-0000-0000-0000F74E0000}"/>
    <cellStyle name="Input 3 2 2 2 2 2 13" xfId="29544" xr:uid="{00000000-0005-0000-0000-0000F84E0000}"/>
    <cellStyle name="Input 3 2 2 2 2 2 14" xfId="30586" xr:uid="{00000000-0005-0000-0000-0000F94E0000}"/>
    <cellStyle name="Input 3 2 2 2 2 2 15" xfId="31577" xr:uid="{00000000-0005-0000-0000-0000FA4E0000}"/>
    <cellStyle name="Input 3 2 2 2 2 2 16" xfId="32585" xr:uid="{00000000-0005-0000-0000-0000FB4E0000}"/>
    <cellStyle name="Input 3 2 2 2 2 2 17" xfId="33588" xr:uid="{00000000-0005-0000-0000-0000FC4E0000}"/>
    <cellStyle name="Input 3 2 2 2 2 2 18" xfId="34587" xr:uid="{00000000-0005-0000-0000-0000FD4E0000}"/>
    <cellStyle name="Input 3 2 2 2 2 2 19" xfId="36208" xr:uid="{00000000-0005-0000-0000-0000FE4E0000}"/>
    <cellStyle name="Input 3 2 2 2 2 2 2" xfId="16612" xr:uid="{00000000-0005-0000-0000-0000FF4E0000}"/>
    <cellStyle name="Input 3 2 2 2 2 2 20" xfId="37147" xr:uid="{00000000-0005-0000-0000-0000004F0000}"/>
    <cellStyle name="Input 3 2 2 2 2 2 3" xfId="17591" xr:uid="{00000000-0005-0000-0000-0000014F0000}"/>
    <cellStyle name="Input 3 2 2 2 2 2 4" xfId="18618" xr:uid="{00000000-0005-0000-0000-0000024F0000}"/>
    <cellStyle name="Input 3 2 2 2 2 2 5" xfId="19650" xr:uid="{00000000-0005-0000-0000-0000034F0000}"/>
    <cellStyle name="Input 3 2 2 2 2 2 6" xfId="20672" xr:uid="{00000000-0005-0000-0000-0000044F0000}"/>
    <cellStyle name="Input 3 2 2 2 2 2 7" xfId="21683" xr:uid="{00000000-0005-0000-0000-0000054F0000}"/>
    <cellStyle name="Input 3 2 2 2 2 2 8" xfId="22654" xr:uid="{00000000-0005-0000-0000-0000064F0000}"/>
    <cellStyle name="Input 3 2 2 2 2 2 9" xfId="23659" xr:uid="{00000000-0005-0000-0000-0000074F0000}"/>
    <cellStyle name="Input 3 2 2 2 2 20" xfId="36207" xr:uid="{00000000-0005-0000-0000-0000084F0000}"/>
    <cellStyle name="Input 3 2 2 2 2 21" xfId="37146" xr:uid="{00000000-0005-0000-0000-0000094F0000}"/>
    <cellStyle name="Input 3 2 2 2 2 3" xfId="16611" xr:uid="{00000000-0005-0000-0000-00000A4F0000}"/>
    <cellStyle name="Input 3 2 2 2 2 4" xfId="17590" xr:uid="{00000000-0005-0000-0000-00000B4F0000}"/>
    <cellStyle name="Input 3 2 2 2 2 5" xfId="18617" xr:uid="{00000000-0005-0000-0000-00000C4F0000}"/>
    <cellStyle name="Input 3 2 2 2 2 6" xfId="19649" xr:uid="{00000000-0005-0000-0000-00000D4F0000}"/>
    <cellStyle name="Input 3 2 2 2 2 7" xfId="20671" xr:uid="{00000000-0005-0000-0000-00000E4F0000}"/>
    <cellStyle name="Input 3 2 2 2 2 8" xfId="21682" xr:uid="{00000000-0005-0000-0000-00000F4F0000}"/>
    <cellStyle name="Input 3 2 2 2 2 9" xfId="22653" xr:uid="{00000000-0005-0000-0000-0000104F0000}"/>
    <cellStyle name="Input 3 2 2 2 3" xfId="4813" xr:uid="{00000000-0005-0000-0000-0000114F0000}"/>
    <cellStyle name="Input 3 2 2 2 3 10" xfId="23660" xr:uid="{00000000-0005-0000-0000-0000124F0000}"/>
    <cellStyle name="Input 3 2 2 2 3 11" xfId="24632" xr:uid="{00000000-0005-0000-0000-0000134F0000}"/>
    <cellStyle name="Input 3 2 2 2 3 12" xfId="25631" xr:uid="{00000000-0005-0000-0000-0000144F0000}"/>
    <cellStyle name="Input 3 2 2 2 3 13" xfId="28578" xr:uid="{00000000-0005-0000-0000-0000154F0000}"/>
    <cellStyle name="Input 3 2 2 2 3 14" xfId="29545" xr:uid="{00000000-0005-0000-0000-0000164F0000}"/>
    <cellStyle name="Input 3 2 2 2 3 15" xfId="30587" xr:uid="{00000000-0005-0000-0000-0000174F0000}"/>
    <cellStyle name="Input 3 2 2 2 3 16" xfId="31578" xr:uid="{00000000-0005-0000-0000-0000184F0000}"/>
    <cellStyle name="Input 3 2 2 2 3 17" xfId="32586" xr:uid="{00000000-0005-0000-0000-0000194F0000}"/>
    <cellStyle name="Input 3 2 2 2 3 18" xfId="33589" xr:uid="{00000000-0005-0000-0000-00001A4F0000}"/>
    <cellStyle name="Input 3 2 2 2 3 19" xfId="34588" xr:uid="{00000000-0005-0000-0000-00001B4F0000}"/>
    <cellStyle name="Input 3 2 2 2 3 2" xfId="4814" xr:uid="{00000000-0005-0000-0000-00001C4F0000}"/>
    <cellStyle name="Input 3 2 2 2 3 2 10" xfId="24633" xr:uid="{00000000-0005-0000-0000-00001D4F0000}"/>
    <cellStyle name="Input 3 2 2 2 3 2 11" xfId="25632" xr:uid="{00000000-0005-0000-0000-00001E4F0000}"/>
    <cellStyle name="Input 3 2 2 2 3 2 12" xfId="28579" xr:uid="{00000000-0005-0000-0000-00001F4F0000}"/>
    <cellStyle name="Input 3 2 2 2 3 2 13" xfId="29546" xr:uid="{00000000-0005-0000-0000-0000204F0000}"/>
    <cellStyle name="Input 3 2 2 2 3 2 14" xfId="30588" xr:uid="{00000000-0005-0000-0000-0000214F0000}"/>
    <cellStyle name="Input 3 2 2 2 3 2 15" xfId="31579" xr:uid="{00000000-0005-0000-0000-0000224F0000}"/>
    <cellStyle name="Input 3 2 2 2 3 2 16" xfId="32587" xr:uid="{00000000-0005-0000-0000-0000234F0000}"/>
    <cellStyle name="Input 3 2 2 2 3 2 17" xfId="33590" xr:uid="{00000000-0005-0000-0000-0000244F0000}"/>
    <cellStyle name="Input 3 2 2 2 3 2 18" xfId="34589" xr:uid="{00000000-0005-0000-0000-0000254F0000}"/>
    <cellStyle name="Input 3 2 2 2 3 2 19" xfId="36210" xr:uid="{00000000-0005-0000-0000-0000264F0000}"/>
    <cellStyle name="Input 3 2 2 2 3 2 2" xfId="16614" xr:uid="{00000000-0005-0000-0000-0000274F0000}"/>
    <cellStyle name="Input 3 2 2 2 3 2 20" xfId="37149" xr:uid="{00000000-0005-0000-0000-0000284F0000}"/>
    <cellStyle name="Input 3 2 2 2 3 2 3" xfId="17593" xr:uid="{00000000-0005-0000-0000-0000294F0000}"/>
    <cellStyle name="Input 3 2 2 2 3 2 4" xfId="18620" xr:uid="{00000000-0005-0000-0000-00002A4F0000}"/>
    <cellStyle name="Input 3 2 2 2 3 2 5" xfId="19652" xr:uid="{00000000-0005-0000-0000-00002B4F0000}"/>
    <cellStyle name="Input 3 2 2 2 3 2 6" xfId="20674" xr:uid="{00000000-0005-0000-0000-00002C4F0000}"/>
    <cellStyle name="Input 3 2 2 2 3 2 7" xfId="21685" xr:uid="{00000000-0005-0000-0000-00002D4F0000}"/>
    <cellStyle name="Input 3 2 2 2 3 2 8" xfId="22656" xr:uid="{00000000-0005-0000-0000-00002E4F0000}"/>
    <cellStyle name="Input 3 2 2 2 3 2 9" xfId="23661" xr:uid="{00000000-0005-0000-0000-00002F4F0000}"/>
    <cellStyle name="Input 3 2 2 2 3 20" xfId="36209" xr:uid="{00000000-0005-0000-0000-0000304F0000}"/>
    <cellStyle name="Input 3 2 2 2 3 21" xfId="37148" xr:uid="{00000000-0005-0000-0000-0000314F0000}"/>
    <cellStyle name="Input 3 2 2 2 3 3" xfId="16613" xr:uid="{00000000-0005-0000-0000-0000324F0000}"/>
    <cellStyle name="Input 3 2 2 2 3 4" xfId="17592" xr:uid="{00000000-0005-0000-0000-0000334F0000}"/>
    <cellStyle name="Input 3 2 2 2 3 5" xfId="18619" xr:uid="{00000000-0005-0000-0000-0000344F0000}"/>
    <cellStyle name="Input 3 2 2 2 3 6" xfId="19651" xr:uid="{00000000-0005-0000-0000-0000354F0000}"/>
    <cellStyle name="Input 3 2 2 2 3 7" xfId="20673" xr:uid="{00000000-0005-0000-0000-0000364F0000}"/>
    <cellStyle name="Input 3 2 2 2 3 8" xfId="21684" xr:uid="{00000000-0005-0000-0000-0000374F0000}"/>
    <cellStyle name="Input 3 2 2 2 3 9" xfId="22655" xr:uid="{00000000-0005-0000-0000-0000384F0000}"/>
    <cellStyle name="Input 3 2 2 2 4" xfId="4815" xr:uid="{00000000-0005-0000-0000-0000394F0000}"/>
    <cellStyle name="Input 3 2 2 2 4 10" xfId="23662" xr:uid="{00000000-0005-0000-0000-00003A4F0000}"/>
    <cellStyle name="Input 3 2 2 2 4 11" xfId="24634" xr:uid="{00000000-0005-0000-0000-00003B4F0000}"/>
    <cellStyle name="Input 3 2 2 2 4 12" xfId="25633" xr:uid="{00000000-0005-0000-0000-00003C4F0000}"/>
    <cellStyle name="Input 3 2 2 2 4 13" xfId="28580" xr:uid="{00000000-0005-0000-0000-00003D4F0000}"/>
    <cellStyle name="Input 3 2 2 2 4 14" xfId="29547" xr:uid="{00000000-0005-0000-0000-00003E4F0000}"/>
    <cellStyle name="Input 3 2 2 2 4 15" xfId="30589" xr:uid="{00000000-0005-0000-0000-00003F4F0000}"/>
    <cellStyle name="Input 3 2 2 2 4 16" xfId="31580" xr:uid="{00000000-0005-0000-0000-0000404F0000}"/>
    <cellStyle name="Input 3 2 2 2 4 17" xfId="32588" xr:uid="{00000000-0005-0000-0000-0000414F0000}"/>
    <cellStyle name="Input 3 2 2 2 4 18" xfId="33591" xr:uid="{00000000-0005-0000-0000-0000424F0000}"/>
    <cellStyle name="Input 3 2 2 2 4 19" xfId="34590" xr:uid="{00000000-0005-0000-0000-0000434F0000}"/>
    <cellStyle name="Input 3 2 2 2 4 2" xfId="4816" xr:uid="{00000000-0005-0000-0000-0000444F0000}"/>
    <cellStyle name="Input 3 2 2 2 4 2 10" xfId="24635" xr:uid="{00000000-0005-0000-0000-0000454F0000}"/>
    <cellStyle name="Input 3 2 2 2 4 2 11" xfId="25634" xr:uid="{00000000-0005-0000-0000-0000464F0000}"/>
    <cellStyle name="Input 3 2 2 2 4 2 12" xfId="28581" xr:uid="{00000000-0005-0000-0000-0000474F0000}"/>
    <cellStyle name="Input 3 2 2 2 4 2 13" xfId="29548" xr:uid="{00000000-0005-0000-0000-0000484F0000}"/>
    <cellStyle name="Input 3 2 2 2 4 2 14" xfId="30590" xr:uid="{00000000-0005-0000-0000-0000494F0000}"/>
    <cellStyle name="Input 3 2 2 2 4 2 15" xfId="31581" xr:uid="{00000000-0005-0000-0000-00004A4F0000}"/>
    <cellStyle name="Input 3 2 2 2 4 2 16" xfId="32589" xr:uid="{00000000-0005-0000-0000-00004B4F0000}"/>
    <cellStyle name="Input 3 2 2 2 4 2 17" xfId="33592" xr:uid="{00000000-0005-0000-0000-00004C4F0000}"/>
    <cellStyle name="Input 3 2 2 2 4 2 18" xfId="34591" xr:uid="{00000000-0005-0000-0000-00004D4F0000}"/>
    <cellStyle name="Input 3 2 2 2 4 2 19" xfId="36212" xr:uid="{00000000-0005-0000-0000-00004E4F0000}"/>
    <cellStyle name="Input 3 2 2 2 4 2 2" xfId="16616" xr:uid="{00000000-0005-0000-0000-00004F4F0000}"/>
    <cellStyle name="Input 3 2 2 2 4 2 20" xfId="37151" xr:uid="{00000000-0005-0000-0000-0000504F0000}"/>
    <cellStyle name="Input 3 2 2 2 4 2 3" xfId="17595" xr:uid="{00000000-0005-0000-0000-0000514F0000}"/>
    <cellStyle name="Input 3 2 2 2 4 2 4" xfId="18622" xr:uid="{00000000-0005-0000-0000-0000524F0000}"/>
    <cellStyle name="Input 3 2 2 2 4 2 5" xfId="19654" xr:uid="{00000000-0005-0000-0000-0000534F0000}"/>
    <cellStyle name="Input 3 2 2 2 4 2 6" xfId="20676" xr:uid="{00000000-0005-0000-0000-0000544F0000}"/>
    <cellStyle name="Input 3 2 2 2 4 2 7" xfId="21687" xr:uid="{00000000-0005-0000-0000-0000554F0000}"/>
    <cellStyle name="Input 3 2 2 2 4 2 8" xfId="22658" xr:uid="{00000000-0005-0000-0000-0000564F0000}"/>
    <cellStyle name="Input 3 2 2 2 4 2 9" xfId="23663" xr:uid="{00000000-0005-0000-0000-0000574F0000}"/>
    <cellStyle name="Input 3 2 2 2 4 20" xfId="36211" xr:uid="{00000000-0005-0000-0000-0000584F0000}"/>
    <cellStyle name="Input 3 2 2 2 4 21" xfId="37150" xr:uid="{00000000-0005-0000-0000-0000594F0000}"/>
    <cellStyle name="Input 3 2 2 2 4 3" xfId="16615" xr:uid="{00000000-0005-0000-0000-00005A4F0000}"/>
    <cellStyle name="Input 3 2 2 2 4 4" xfId="17594" xr:uid="{00000000-0005-0000-0000-00005B4F0000}"/>
    <cellStyle name="Input 3 2 2 2 4 5" xfId="18621" xr:uid="{00000000-0005-0000-0000-00005C4F0000}"/>
    <cellStyle name="Input 3 2 2 2 4 6" xfId="19653" xr:uid="{00000000-0005-0000-0000-00005D4F0000}"/>
    <cellStyle name="Input 3 2 2 2 4 7" xfId="20675" xr:uid="{00000000-0005-0000-0000-00005E4F0000}"/>
    <cellStyle name="Input 3 2 2 2 4 8" xfId="21686" xr:uid="{00000000-0005-0000-0000-00005F4F0000}"/>
    <cellStyle name="Input 3 2 2 2 4 9" xfId="22657" xr:uid="{00000000-0005-0000-0000-0000604F0000}"/>
    <cellStyle name="Input 3 2 2 2 5" xfId="4817" xr:uid="{00000000-0005-0000-0000-0000614F0000}"/>
    <cellStyle name="Input 3 2 2 2 5 10" xfId="24636" xr:uid="{00000000-0005-0000-0000-0000624F0000}"/>
    <cellStyle name="Input 3 2 2 2 5 11" xfId="25635" xr:uid="{00000000-0005-0000-0000-0000634F0000}"/>
    <cellStyle name="Input 3 2 2 2 5 12" xfId="28582" xr:uid="{00000000-0005-0000-0000-0000644F0000}"/>
    <cellStyle name="Input 3 2 2 2 5 13" xfId="29549" xr:uid="{00000000-0005-0000-0000-0000654F0000}"/>
    <cellStyle name="Input 3 2 2 2 5 14" xfId="30591" xr:uid="{00000000-0005-0000-0000-0000664F0000}"/>
    <cellStyle name="Input 3 2 2 2 5 15" xfId="31582" xr:uid="{00000000-0005-0000-0000-0000674F0000}"/>
    <cellStyle name="Input 3 2 2 2 5 16" xfId="32590" xr:uid="{00000000-0005-0000-0000-0000684F0000}"/>
    <cellStyle name="Input 3 2 2 2 5 17" xfId="33593" xr:uid="{00000000-0005-0000-0000-0000694F0000}"/>
    <cellStyle name="Input 3 2 2 2 5 18" xfId="34592" xr:uid="{00000000-0005-0000-0000-00006A4F0000}"/>
    <cellStyle name="Input 3 2 2 2 5 19" xfId="36213" xr:uid="{00000000-0005-0000-0000-00006B4F0000}"/>
    <cellStyle name="Input 3 2 2 2 5 2" xfId="16617" xr:uid="{00000000-0005-0000-0000-00006C4F0000}"/>
    <cellStyle name="Input 3 2 2 2 5 20" xfId="37152" xr:uid="{00000000-0005-0000-0000-00006D4F0000}"/>
    <cellStyle name="Input 3 2 2 2 5 3" xfId="17596" xr:uid="{00000000-0005-0000-0000-00006E4F0000}"/>
    <cellStyle name="Input 3 2 2 2 5 4" xfId="18623" xr:uid="{00000000-0005-0000-0000-00006F4F0000}"/>
    <cellStyle name="Input 3 2 2 2 5 5" xfId="19655" xr:uid="{00000000-0005-0000-0000-0000704F0000}"/>
    <cellStyle name="Input 3 2 2 2 5 6" xfId="20677" xr:uid="{00000000-0005-0000-0000-0000714F0000}"/>
    <cellStyle name="Input 3 2 2 2 5 7" xfId="21688" xr:uid="{00000000-0005-0000-0000-0000724F0000}"/>
    <cellStyle name="Input 3 2 2 2 5 8" xfId="22659" xr:uid="{00000000-0005-0000-0000-0000734F0000}"/>
    <cellStyle name="Input 3 2 2 2 5 9" xfId="23664" xr:uid="{00000000-0005-0000-0000-0000744F0000}"/>
    <cellStyle name="Input 3 2 2 2 6" xfId="13732" xr:uid="{00000000-0005-0000-0000-0000754F0000}"/>
    <cellStyle name="Input 3 2 2 2 7" xfId="15146" xr:uid="{00000000-0005-0000-0000-0000764F0000}"/>
    <cellStyle name="Input 3 2 2 2 8" xfId="14868" xr:uid="{00000000-0005-0000-0000-0000774F0000}"/>
    <cellStyle name="Input 3 2 2 2 9" xfId="14292" xr:uid="{00000000-0005-0000-0000-0000784F0000}"/>
    <cellStyle name="Input 3 2 2 20" xfId="27385" xr:uid="{00000000-0005-0000-0000-0000794F0000}"/>
    <cellStyle name="Input 3 2 2 21" xfId="26864" xr:uid="{00000000-0005-0000-0000-00007A4F0000}"/>
    <cellStyle name="Input 3 2 2 22" xfId="34960" xr:uid="{00000000-0005-0000-0000-00007B4F0000}"/>
    <cellStyle name="Input 3 2 2 23" xfId="35368" xr:uid="{00000000-0005-0000-0000-00007C4F0000}"/>
    <cellStyle name="Input 3 2 2 3" xfId="4818" xr:uid="{00000000-0005-0000-0000-00007D4F0000}"/>
    <cellStyle name="Input 3 2 2 3 10" xfId="14518" xr:uid="{00000000-0005-0000-0000-00007E4F0000}"/>
    <cellStyle name="Input 3 2 2 3 11" xfId="15276" xr:uid="{00000000-0005-0000-0000-00007F4F0000}"/>
    <cellStyle name="Input 3 2 2 3 12" xfId="26401" xr:uid="{00000000-0005-0000-0000-0000804F0000}"/>
    <cellStyle name="Input 3 2 2 3 13" xfId="26033" xr:uid="{00000000-0005-0000-0000-0000814F0000}"/>
    <cellStyle name="Input 3 2 2 3 14" xfId="26148" xr:uid="{00000000-0005-0000-0000-0000824F0000}"/>
    <cellStyle name="Input 3 2 2 3 15" xfId="26518" xr:uid="{00000000-0005-0000-0000-0000834F0000}"/>
    <cellStyle name="Input 3 2 2 3 16" xfId="27603" xr:uid="{00000000-0005-0000-0000-0000844F0000}"/>
    <cellStyle name="Input 3 2 2 3 17" xfId="27001" xr:uid="{00000000-0005-0000-0000-0000854F0000}"/>
    <cellStyle name="Input 3 2 2 3 18" xfId="35092" xr:uid="{00000000-0005-0000-0000-0000864F0000}"/>
    <cellStyle name="Input 3 2 2 3 19" xfId="35277" xr:uid="{00000000-0005-0000-0000-0000874F0000}"/>
    <cellStyle name="Input 3 2 2 3 2" xfId="4819" xr:uid="{00000000-0005-0000-0000-0000884F0000}"/>
    <cellStyle name="Input 3 2 2 3 2 10" xfId="23665" xr:uid="{00000000-0005-0000-0000-0000894F0000}"/>
    <cellStyle name="Input 3 2 2 3 2 11" xfId="24637" xr:uid="{00000000-0005-0000-0000-00008A4F0000}"/>
    <cellStyle name="Input 3 2 2 3 2 12" xfId="25636" xr:uid="{00000000-0005-0000-0000-00008B4F0000}"/>
    <cellStyle name="Input 3 2 2 3 2 13" xfId="28583" xr:uid="{00000000-0005-0000-0000-00008C4F0000}"/>
    <cellStyle name="Input 3 2 2 3 2 14" xfId="29550" xr:uid="{00000000-0005-0000-0000-00008D4F0000}"/>
    <cellStyle name="Input 3 2 2 3 2 15" xfId="30592" xr:uid="{00000000-0005-0000-0000-00008E4F0000}"/>
    <cellStyle name="Input 3 2 2 3 2 16" xfId="31583" xr:uid="{00000000-0005-0000-0000-00008F4F0000}"/>
    <cellStyle name="Input 3 2 2 3 2 17" xfId="32591" xr:uid="{00000000-0005-0000-0000-0000904F0000}"/>
    <cellStyle name="Input 3 2 2 3 2 18" xfId="33594" xr:uid="{00000000-0005-0000-0000-0000914F0000}"/>
    <cellStyle name="Input 3 2 2 3 2 19" xfId="34593" xr:uid="{00000000-0005-0000-0000-0000924F0000}"/>
    <cellStyle name="Input 3 2 2 3 2 2" xfId="4820" xr:uid="{00000000-0005-0000-0000-0000934F0000}"/>
    <cellStyle name="Input 3 2 2 3 2 2 10" xfId="24638" xr:uid="{00000000-0005-0000-0000-0000944F0000}"/>
    <cellStyle name="Input 3 2 2 3 2 2 11" xfId="25637" xr:uid="{00000000-0005-0000-0000-0000954F0000}"/>
    <cellStyle name="Input 3 2 2 3 2 2 12" xfId="28584" xr:uid="{00000000-0005-0000-0000-0000964F0000}"/>
    <cellStyle name="Input 3 2 2 3 2 2 13" xfId="29551" xr:uid="{00000000-0005-0000-0000-0000974F0000}"/>
    <cellStyle name="Input 3 2 2 3 2 2 14" xfId="30593" xr:uid="{00000000-0005-0000-0000-0000984F0000}"/>
    <cellStyle name="Input 3 2 2 3 2 2 15" xfId="31584" xr:uid="{00000000-0005-0000-0000-0000994F0000}"/>
    <cellStyle name="Input 3 2 2 3 2 2 16" xfId="32592" xr:uid="{00000000-0005-0000-0000-00009A4F0000}"/>
    <cellStyle name="Input 3 2 2 3 2 2 17" xfId="33595" xr:uid="{00000000-0005-0000-0000-00009B4F0000}"/>
    <cellStyle name="Input 3 2 2 3 2 2 18" xfId="34594" xr:uid="{00000000-0005-0000-0000-00009C4F0000}"/>
    <cellStyle name="Input 3 2 2 3 2 2 19" xfId="36215" xr:uid="{00000000-0005-0000-0000-00009D4F0000}"/>
    <cellStyle name="Input 3 2 2 3 2 2 2" xfId="16619" xr:uid="{00000000-0005-0000-0000-00009E4F0000}"/>
    <cellStyle name="Input 3 2 2 3 2 2 20" xfId="37154" xr:uid="{00000000-0005-0000-0000-00009F4F0000}"/>
    <cellStyle name="Input 3 2 2 3 2 2 3" xfId="17598" xr:uid="{00000000-0005-0000-0000-0000A04F0000}"/>
    <cellStyle name="Input 3 2 2 3 2 2 4" xfId="18625" xr:uid="{00000000-0005-0000-0000-0000A14F0000}"/>
    <cellStyle name="Input 3 2 2 3 2 2 5" xfId="19657" xr:uid="{00000000-0005-0000-0000-0000A24F0000}"/>
    <cellStyle name="Input 3 2 2 3 2 2 6" xfId="20679" xr:uid="{00000000-0005-0000-0000-0000A34F0000}"/>
    <cellStyle name="Input 3 2 2 3 2 2 7" xfId="21690" xr:uid="{00000000-0005-0000-0000-0000A44F0000}"/>
    <cellStyle name="Input 3 2 2 3 2 2 8" xfId="22661" xr:uid="{00000000-0005-0000-0000-0000A54F0000}"/>
    <cellStyle name="Input 3 2 2 3 2 2 9" xfId="23666" xr:uid="{00000000-0005-0000-0000-0000A64F0000}"/>
    <cellStyle name="Input 3 2 2 3 2 20" xfId="36214" xr:uid="{00000000-0005-0000-0000-0000A74F0000}"/>
    <cellStyle name="Input 3 2 2 3 2 21" xfId="37153" xr:uid="{00000000-0005-0000-0000-0000A84F0000}"/>
    <cellStyle name="Input 3 2 2 3 2 3" xfId="16618" xr:uid="{00000000-0005-0000-0000-0000A94F0000}"/>
    <cellStyle name="Input 3 2 2 3 2 4" xfId="17597" xr:uid="{00000000-0005-0000-0000-0000AA4F0000}"/>
    <cellStyle name="Input 3 2 2 3 2 5" xfId="18624" xr:uid="{00000000-0005-0000-0000-0000AB4F0000}"/>
    <cellStyle name="Input 3 2 2 3 2 6" xfId="19656" xr:uid="{00000000-0005-0000-0000-0000AC4F0000}"/>
    <cellStyle name="Input 3 2 2 3 2 7" xfId="20678" xr:uid="{00000000-0005-0000-0000-0000AD4F0000}"/>
    <cellStyle name="Input 3 2 2 3 2 8" xfId="21689" xr:uid="{00000000-0005-0000-0000-0000AE4F0000}"/>
    <cellStyle name="Input 3 2 2 3 2 9" xfId="22660" xr:uid="{00000000-0005-0000-0000-0000AF4F0000}"/>
    <cellStyle name="Input 3 2 2 3 3" xfId="4821" xr:uid="{00000000-0005-0000-0000-0000B04F0000}"/>
    <cellStyle name="Input 3 2 2 3 3 10" xfId="23667" xr:uid="{00000000-0005-0000-0000-0000B14F0000}"/>
    <cellStyle name="Input 3 2 2 3 3 11" xfId="24639" xr:uid="{00000000-0005-0000-0000-0000B24F0000}"/>
    <cellStyle name="Input 3 2 2 3 3 12" xfId="25638" xr:uid="{00000000-0005-0000-0000-0000B34F0000}"/>
    <cellStyle name="Input 3 2 2 3 3 13" xfId="28585" xr:uid="{00000000-0005-0000-0000-0000B44F0000}"/>
    <cellStyle name="Input 3 2 2 3 3 14" xfId="29552" xr:uid="{00000000-0005-0000-0000-0000B54F0000}"/>
    <cellStyle name="Input 3 2 2 3 3 15" xfId="30594" xr:uid="{00000000-0005-0000-0000-0000B64F0000}"/>
    <cellStyle name="Input 3 2 2 3 3 16" xfId="31585" xr:uid="{00000000-0005-0000-0000-0000B74F0000}"/>
    <cellStyle name="Input 3 2 2 3 3 17" xfId="32593" xr:uid="{00000000-0005-0000-0000-0000B84F0000}"/>
    <cellStyle name="Input 3 2 2 3 3 18" xfId="33596" xr:uid="{00000000-0005-0000-0000-0000B94F0000}"/>
    <cellStyle name="Input 3 2 2 3 3 19" xfId="34595" xr:uid="{00000000-0005-0000-0000-0000BA4F0000}"/>
    <cellStyle name="Input 3 2 2 3 3 2" xfId="4822" xr:uid="{00000000-0005-0000-0000-0000BB4F0000}"/>
    <cellStyle name="Input 3 2 2 3 3 2 10" xfId="24640" xr:uid="{00000000-0005-0000-0000-0000BC4F0000}"/>
    <cellStyle name="Input 3 2 2 3 3 2 11" xfId="25639" xr:uid="{00000000-0005-0000-0000-0000BD4F0000}"/>
    <cellStyle name="Input 3 2 2 3 3 2 12" xfId="28586" xr:uid="{00000000-0005-0000-0000-0000BE4F0000}"/>
    <cellStyle name="Input 3 2 2 3 3 2 13" xfId="29553" xr:uid="{00000000-0005-0000-0000-0000BF4F0000}"/>
    <cellStyle name="Input 3 2 2 3 3 2 14" xfId="30595" xr:uid="{00000000-0005-0000-0000-0000C04F0000}"/>
    <cellStyle name="Input 3 2 2 3 3 2 15" xfId="31586" xr:uid="{00000000-0005-0000-0000-0000C14F0000}"/>
    <cellStyle name="Input 3 2 2 3 3 2 16" xfId="32594" xr:uid="{00000000-0005-0000-0000-0000C24F0000}"/>
    <cellStyle name="Input 3 2 2 3 3 2 17" xfId="33597" xr:uid="{00000000-0005-0000-0000-0000C34F0000}"/>
    <cellStyle name="Input 3 2 2 3 3 2 18" xfId="34596" xr:uid="{00000000-0005-0000-0000-0000C44F0000}"/>
    <cellStyle name="Input 3 2 2 3 3 2 19" xfId="36217" xr:uid="{00000000-0005-0000-0000-0000C54F0000}"/>
    <cellStyle name="Input 3 2 2 3 3 2 2" xfId="16621" xr:uid="{00000000-0005-0000-0000-0000C64F0000}"/>
    <cellStyle name="Input 3 2 2 3 3 2 20" xfId="37156" xr:uid="{00000000-0005-0000-0000-0000C74F0000}"/>
    <cellStyle name="Input 3 2 2 3 3 2 3" xfId="17600" xr:uid="{00000000-0005-0000-0000-0000C84F0000}"/>
    <cellStyle name="Input 3 2 2 3 3 2 4" xfId="18627" xr:uid="{00000000-0005-0000-0000-0000C94F0000}"/>
    <cellStyle name="Input 3 2 2 3 3 2 5" xfId="19659" xr:uid="{00000000-0005-0000-0000-0000CA4F0000}"/>
    <cellStyle name="Input 3 2 2 3 3 2 6" xfId="20681" xr:uid="{00000000-0005-0000-0000-0000CB4F0000}"/>
    <cellStyle name="Input 3 2 2 3 3 2 7" xfId="21692" xr:uid="{00000000-0005-0000-0000-0000CC4F0000}"/>
    <cellStyle name="Input 3 2 2 3 3 2 8" xfId="22663" xr:uid="{00000000-0005-0000-0000-0000CD4F0000}"/>
    <cellStyle name="Input 3 2 2 3 3 2 9" xfId="23668" xr:uid="{00000000-0005-0000-0000-0000CE4F0000}"/>
    <cellStyle name="Input 3 2 2 3 3 20" xfId="36216" xr:uid="{00000000-0005-0000-0000-0000CF4F0000}"/>
    <cellStyle name="Input 3 2 2 3 3 21" xfId="37155" xr:uid="{00000000-0005-0000-0000-0000D04F0000}"/>
    <cellStyle name="Input 3 2 2 3 3 3" xfId="16620" xr:uid="{00000000-0005-0000-0000-0000D14F0000}"/>
    <cellStyle name="Input 3 2 2 3 3 4" xfId="17599" xr:uid="{00000000-0005-0000-0000-0000D24F0000}"/>
    <cellStyle name="Input 3 2 2 3 3 5" xfId="18626" xr:uid="{00000000-0005-0000-0000-0000D34F0000}"/>
    <cellStyle name="Input 3 2 2 3 3 6" xfId="19658" xr:uid="{00000000-0005-0000-0000-0000D44F0000}"/>
    <cellStyle name="Input 3 2 2 3 3 7" xfId="20680" xr:uid="{00000000-0005-0000-0000-0000D54F0000}"/>
    <cellStyle name="Input 3 2 2 3 3 8" xfId="21691" xr:uid="{00000000-0005-0000-0000-0000D64F0000}"/>
    <cellStyle name="Input 3 2 2 3 3 9" xfId="22662" xr:uid="{00000000-0005-0000-0000-0000D74F0000}"/>
    <cellStyle name="Input 3 2 2 3 4" xfId="4823" xr:uid="{00000000-0005-0000-0000-0000D84F0000}"/>
    <cellStyle name="Input 3 2 2 3 4 10" xfId="23669" xr:uid="{00000000-0005-0000-0000-0000D94F0000}"/>
    <cellStyle name="Input 3 2 2 3 4 11" xfId="24641" xr:uid="{00000000-0005-0000-0000-0000DA4F0000}"/>
    <cellStyle name="Input 3 2 2 3 4 12" xfId="25640" xr:uid="{00000000-0005-0000-0000-0000DB4F0000}"/>
    <cellStyle name="Input 3 2 2 3 4 13" xfId="28587" xr:uid="{00000000-0005-0000-0000-0000DC4F0000}"/>
    <cellStyle name="Input 3 2 2 3 4 14" xfId="29554" xr:uid="{00000000-0005-0000-0000-0000DD4F0000}"/>
    <cellStyle name="Input 3 2 2 3 4 15" xfId="30596" xr:uid="{00000000-0005-0000-0000-0000DE4F0000}"/>
    <cellStyle name="Input 3 2 2 3 4 16" xfId="31587" xr:uid="{00000000-0005-0000-0000-0000DF4F0000}"/>
    <cellStyle name="Input 3 2 2 3 4 17" xfId="32595" xr:uid="{00000000-0005-0000-0000-0000E04F0000}"/>
    <cellStyle name="Input 3 2 2 3 4 18" xfId="33598" xr:uid="{00000000-0005-0000-0000-0000E14F0000}"/>
    <cellStyle name="Input 3 2 2 3 4 19" xfId="34597" xr:uid="{00000000-0005-0000-0000-0000E24F0000}"/>
    <cellStyle name="Input 3 2 2 3 4 2" xfId="4824" xr:uid="{00000000-0005-0000-0000-0000E34F0000}"/>
    <cellStyle name="Input 3 2 2 3 4 2 10" xfId="24642" xr:uid="{00000000-0005-0000-0000-0000E44F0000}"/>
    <cellStyle name="Input 3 2 2 3 4 2 11" xfId="25641" xr:uid="{00000000-0005-0000-0000-0000E54F0000}"/>
    <cellStyle name="Input 3 2 2 3 4 2 12" xfId="28588" xr:uid="{00000000-0005-0000-0000-0000E64F0000}"/>
    <cellStyle name="Input 3 2 2 3 4 2 13" xfId="29555" xr:uid="{00000000-0005-0000-0000-0000E74F0000}"/>
    <cellStyle name="Input 3 2 2 3 4 2 14" xfId="30597" xr:uid="{00000000-0005-0000-0000-0000E84F0000}"/>
    <cellStyle name="Input 3 2 2 3 4 2 15" xfId="31588" xr:uid="{00000000-0005-0000-0000-0000E94F0000}"/>
    <cellStyle name="Input 3 2 2 3 4 2 16" xfId="32596" xr:uid="{00000000-0005-0000-0000-0000EA4F0000}"/>
    <cellStyle name="Input 3 2 2 3 4 2 17" xfId="33599" xr:uid="{00000000-0005-0000-0000-0000EB4F0000}"/>
    <cellStyle name="Input 3 2 2 3 4 2 18" xfId="34598" xr:uid="{00000000-0005-0000-0000-0000EC4F0000}"/>
    <cellStyle name="Input 3 2 2 3 4 2 19" xfId="36219" xr:uid="{00000000-0005-0000-0000-0000ED4F0000}"/>
    <cellStyle name="Input 3 2 2 3 4 2 2" xfId="16623" xr:uid="{00000000-0005-0000-0000-0000EE4F0000}"/>
    <cellStyle name="Input 3 2 2 3 4 2 20" xfId="37158" xr:uid="{00000000-0005-0000-0000-0000EF4F0000}"/>
    <cellStyle name="Input 3 2 2 3 4 2 3" xfId="17602" xr:uid="{00000000-0005-0000-0000-0000F04F0000}"/>
    <cellStyle name="Input 3 2 2 3 4 2 4" xfId="18629" xr:uid="{00000000-0005-0000-0000-0000F14F0000}"/>
    <cellStyle name="Input 3 2 2 3 4 2 5" xfId="19661" xr:uid="{00000000-0005-0000-0000-0000F24F0000}"/>
    <cellStyle name="Input 3 2 2 3 4 2 6" xfId="20683" xr:uid="{00000000-0005-0000-0000-0000F34F0000}"/>
    <cellStyle name="Input 3 2 2 3 4 2 7" xfId="21694" xr:uid="{00000000-0005-0000-0000-0000F44F0000}"/>
    <cellStyle name="Input 3 2 2 3 4 2 8" xfId="22665" xr:uid="{00000000-0005-0000-0000-0000F54F0000}"/>
    <cellStyle name="Input 3 2 2 3 4 2 9" xfId="23670" xr:uid="{00000000-0005-0000-0000-0000F64F0000}"/>
    <cellStyle name="Input 3 2 2 3 4 20" xfId="36218" xr:uid="{00000000-0005-0000-0000-0000F74F0000}"/>
    <cellStyle name="Input 3 2 2 3 4 21" xfId="37157" xr:uid="{00000000-0005-0000-0000-0000F84F0000}"/>
    <cellStyle name="Input 3 2 2 3 4 3" xfId="16622" xr:uid="{00000000-0005-0000-0000-0000F94F0000}"/>
    <cellStyle name="Input 3 2 2 3 4 4" xfId="17601" xr:uid="{00000000-0005-0000-0000-0000FA4F0000}"/>
    <cellStyle name="Input 3 2 2 3 4 5" xfId="18628" xr:uid="{00000000-0005-0000-0000-0000FB4F0000}"/>
    <cellStyle name="Input 3 2 2 3 4 6" xfId="19660" xr:uid="{00000000-0005-0000-0000-0000FC4F0000}"/>
    <cellStyle name="Input 3 2 2 3 4 7" xfId="20682" xr:uid="{00000000-0005-0000-0000-0000FD4F0000}"/>
    <cellStyle name="Input 3 2 2 3 4 8" xfId="21693" xr:uid="{00000000-0005-0000-0000-0000FE4F0000}"/>
    <cellStyle name="Input 3 2 2 3 4 9" xfId="22664" xr:uid="{00000000-0005-0000-0000-0000FF4F0000}"/>
    <cellStyle name="Input 3 2 2 3 5" xfId="4825" xr:uid="{00000000-0005-0000-0000-000000500000}"/>
    <cellStyle name="Input 3 2 2 3 5 10" xfId="24643" xr:uid="{00000000-0005-0000-0000-000001500000}"/>
    <cellStyle name="Input 3 2 2 3 5 11" xfId="25642" xr:uid="{00000000-0005-0000-0000-000002500000}"/>
    <cellStyle name="Input 3 2 2 3 5 12" xfId="28589" xr:uid="{00000000-0005-0000-0000-000003500000}"/>
    <cellStyle name="Input 3 2 2 3 5 13" xfId="29556" xr:uid="{00000000-0005-0000-0000-000004500000}"/>
    <cellStyle name="Input 3 2 2 3 5 14" xfId="30598" xr:uid="{00000000-0005-0000-0000-000005500000}"/>
    <cellStyle name="Input 3 2 2 3 5 15" xfId="31589" xr:uid="{00000000-0005-0000-0000-000006500000}"/>
    <cellStyle name="Input 3 2 2 3 5 16" xfId="32597" xr:uid="{00000000-0005-0000-0000-000007500000}"/>
    <cellStyle name="Input 3 2 2 3 5 17" xfId="33600" xr:uid="{00000000-0005-0000-0000-000008500000}"/>
    <cellStyle name="Input 3 2 2 3 5 18" xfId="34599" xr:uid="{00000000-0005-0000-0000-000009500000}"/>
    <cellStyle name="Input 3 2 2 3 5 19" xfId="36220" xr:uid="{00000000-0005-0000-0000-00000A500000}"/>
    <cellStyle name="Input 3 2 2 3 5 2" xfId="16624" xr:uid="{00000000-0005-0000-0000-00000B500000}"/>
    <cellStyle name="Input 3 2 2 3 5 20" xfId="37159" xr:uid="{00000000-0005-0000-0000-00000C500000}"/>
    <cellStyle name="Input 3 2 2 3 5 3" xfId="17603" xr:uid="{00000000-0005-0000-0000-00000D500000}"/>
    <cellStyle name="Input 3 2 2 3 5 4" xfId="18630" xr:uid="{00000000-0005-0000-0000-00000E500000}"/>
    <cellStyle name="Input 3 2 2 3 5 5" xfId="19662" xr:uid="{00000000-0005-0000-0000-00000F500000}"/>
    <cellStyle name="Input 3 2 2 3 5 6" xfId="20684" xr:uid="{00000000-0005-0000-0000-000010500000}"/>
    <cellStyle name="Input 3 2 2 3 5 7" xfId="21695" xr:uid="{00000000-0005-0000-0000-000011500000}"/>
    <cellStyle name="Input 3 2 2 3 5 8" xfId="22666" xr:uid="{00000000-0005-0000-0000-000012500000}"/>
    <cellStyle name="Input 3 2 2 3 5 9" xfId="23671" xr:uid="{00000000-0005-0000-0000-000013500000}"/>
    <cellStyle name="Input 3 2 2 3 6" xfId="14057" xr:uid="{00000000-0005-0000-0000-000014500000}"/>
    <cellStyle name="Input 3 2 2 3 7" xfId="13526" xr:uid="{00000000-0005-0000-0000-000015500000}"/>
    <cellStyle name="Input 3 2 2 3 8" xfId="13616" xr:uid="{00000000-0005-0000-0000-000016500000}"/>
    <cellStyle name="Input 3 2 2 3 9" xfId="15334" xr:uid="{00000000-0005-0000-0000-000017500000}"/>
    <cellStyle name="Input 3 2 2 4" xfId="4826" xr:uid="{00000000-0005-0000-0000-000018500000}"/>
    <cellStyle name="Input 3 2 2 4 10" xfId="14331" xr:uid="{00000000-0005-0000-0000-000019500000}"/>
    <cellStyle name="Input 3 2 2 4 11" xfId="15786" xr:uid="{00000000-0005-0000-0000-00001A500000}"/>
    <cellStyle name="Input 3 2 2 4 12" xfId="26417" xr:uid="{00000000-0005-0000-0000-00001B500000}"/>
    <cellStyle name="Input 3 2 2 4 13" xfId="27698" xr:uid="{00000000-0005-0000-0000-00001C500000}"/>
    <cellStyle name="Input 3 2 2 4 14" xfId="26155" xr:uid="{00000000-0005-0000-0000-00001D500000}"/>
    <cellStyle name="Input 3 2 2 4 15" xfId="27273" xr:uid="{00000000-0005-0000-0000-00001E500000}"/>
    <cellStyle name="Input 3 2 2 4 16" xfId="26944" xr:uid="{00000000-0005-0000-0000-00001F500000}"/>
    <cellStyle name="Input 3 2 2 4 17" xfId="26702" xr:uid="{00000000-0005-0000-0000-000020500000}"/>
    <cellStyle name="Input 3 2 2 4 18" xfId="35107" xr:uid="{00000000-0005-0000-0000-000021500000}"/>
    <cellStyle name="Input 3 2 2 4 19" xfId="35265" xr:uid="{00000000-0005-0000-0000-000022500000}"/>
    <cellStyle name="Input 3 2 2 4 2" xfId="4827" xr:uid="{00000000-0005-0000-0000-000023500000}"/>
    <cellStyle name="Input 3 2 2 4 2 10" xfId="23672" xr:uid="{00000000-0005-0000-0000-000024500000}"/>
    <cellStyle name="Input 3 2 2 4 2 11" xfId="24644" xr:uid="{00000000-0005-0000-0000-000025500000}"/>
    <cellStyle name="Input 3 2 2 4 2 12" xfId="25643" xr:uid="{00000000-0005-0000-0000-000026500000}"/>
    <cellStyle name="Input 3 2 2 4 2 13" xfId="28590" xr:uid="{00000000-0005-0000-0000-000027500000}"/>
    <cellStyle name="Input 3 2 2 4 2 14" xfId="29557" xr:uid="{00000000-0005-0000-0000-000028500000}"/>
    <cellStyle name="Input 3 2 2 4 2 15" xfId="30599" xr:uid="{00000000-0005-0000-0000-000029500000}"/>
    <cellStyle name="Input 3 2 2 4 2 16" xfId="31590" xr:uid="{00000000-0005-0000-0000-00002A500000}"/>
    <cellStyle name="Input 3 2 2 4 2 17" xfId="32598" xr:uid="{00000000-0005-0000-0000-00002B500000}"/>
    <cellStyle name="Input 3 2 2 4 2 18" xfId="33601" xr:uid="{00000000-0005-0000-0000-00002C500000}"/>
    <cellStyle name="Input 3 2 2 4 2 19" xfId="34600" xr:uid="{00000000-0005-0000-0000-00002D500000}"/>
    <cellStyle name="Input 3 2 2 4 2 2" xfId="4828" xr:uid="{00000000-0005-0000-0000-00002E500000}"/>
    <cellStyle name="Input 3 2 2 4 2 2 10" xfId="24645" xr:uid="{00000000-0005-0000-0000-00002F500000}"/>
    <cellStyle name="Input 3 2 2 4 2 2 11" xfId="25644" xr:uid="{00000000-0005-0000-0000-000030500000}"/>
    <cellStyle name="Input 3 2 2 4 2 2 12" xfId="28591" xr:uid="{00000000-0005-0000-0000-000031500000}"/>
    <cellStyle name="Input 3 2 2 4 2 2 13" xfId="29558" xr:uid="{00000000-0005-0000-0000-000032500000}"/>
    <cellStyle name="Input 3 2 2 4 2 2 14" xfId="30600" xr:uid="{00000000-0005-0000-0000-000033500000}"/>
    <cellStyle name="Input 3 2 2 4 2 2 15" xfId="31591" xr:uid="{00000000-0005-0000-0000-000034500000}"/>
    <cellStyle name="Input 3 2 2 4 2 2 16" xfId="32599" xr:uid="{00000000-0005-0000-0000-000035500000}"/>
    <cellStyle name="Input 3 2 2 4 2 2 17" xfId="33602" xr:uid="{00000000-0005-0000-0000-000036500000}"/>
    <cellStyle name="Input 3 2 2 4 2 2 18" xfId="34601" xr:uid="{00000000-0005-0000-0000-000037500000}"/>
    <cellStyle name="Input 3 2 2 4 2 2 19" xfId="36222" xr:uid="{00000000-0005-0000-0000-000038500000}"/>
    <cellStyle name="Input 3 2 2 4 2 2 2" xfId="16626" xr:uid="{00000000-0005-0000-0000-000039500000}"/>
    <cellStyle name="Input 3 2 2 4 2 2 20" xfId="37161" xr:uid="{00000000-0005-0000-0000-00003A500000}"/>
    <cellStyle name="Input 3 2 2 4 2 2 3" xfId="17605" xr:uid="{00000000-0005-0000-0000-00003B500000}"/>
    <cellStyle name="Input 3 2 2 4 2 2 4" xfId="18632" xr:uid="{00000000-0005-0000-0000-00003C500000}"/>
    <cellStyle name="Input 3 2 2 4 2 2 5" xfId="19664" xr:uid="{00000000-0005-0000-0000-00003D500000}"/>
    <cellStyle name="Input 3 2 2 4 2 2 6" xfId="20686" xr:uid="{00000000-0005-0000-0000-00003E500000}"/>
    <cellStyle name="Input 3 2 2 4 2 2 7" xfId="21697" xr:uid="{00000000-0005-0000-0000-00003F500000}"/>
    <cellStyle name="Input 3 2 2 4 2 2 8" xfId="22668" xr:uid="{00000000-0005-0000-0000-000040500000}"/>
    <cellStyle name="Input 3 2 2 4 2 2 9" xfId="23673" xr:uid="{00000000-0005-0000-0000-000041500000}"/>
    <cellStyle name="Input 3 2 2 4 2 20" xfId="36221" xr:uid="{00000000-0005-0000-0000-000042500000}"/>
    <cellStyle name="Input 3 2 2 4 2 21" xfId="37160" xr:uid="{00000000-0005-0000-0000-000043500000}"/>
    <cellStyle name="Input 3 2 2 4 2 3" xfId="16625" xr:uid="{00000000-0005-0000-0000-000044500000}"/>
    <cellStyle name="Input 3 2 2 4 2 4" xfId="17604" xr:uid="{00000000-0005-0000-0000-000045500000}"/>
    <cellStyle name="Input 3 2 2 4 2 5" xfId="18631" xr:uid="{00000000-0005-0000-0000-000046500000}"/>
    <cellStyle name="Input 3 2 2 4 2 6" xfId="19663" xr:uid="{00000000-0005-0000-0000-000047500000}"/>
    <cellStyle name="Input 3 2 2 4 2 7" xfId="20685" xr:uid="{00000000-0005-0000-0000-000048500000}"/>
    <cellStyle name="Input 3 2 2 4 2 8" xfId="21696" xr:uid="{00000000-0005-0000-0000-000049500000}"/>
    <cellStyle name="Input 3 2 2 4 2 9" xfId="22667" xr:uid="{00000000-0005-0000-0000-00004A500000}"/>
    <cellStyle name="Input 3 2 2 4 3" xfId="4829" xr:uid="{00000000-0005-0000-0000-00004B500000}"/>
    <cellStyle name="Input 3 2 2 4 3 10" xfId="23674" xr:uid="{00000000-0005-0000-0000-00004C500000}"/>
    <cellStyle name="Input 3 2 2 4 3 11" xfId="24646" xr:uid="{00000000-0005-0000-0000-00004D500000}"/>
    <cellStyle name="Input 3 2 2 4 3 12" xfId="25645" xr:uid="{00000000-0005-0000-0000-00004E500000}"/>
    <cellStyle name="Input 3 2 2 4 3 13" xfId="28592" xr:uid="{00000000-0005-0000-0000-00004F500000}"/>
    <cellStyle name="Input 3 2 2 4 3 14" xfId="29559" xr:uid="{00000000-0005-0000-0000-000050500000}"/>
    <cellStyle name="Input 3 2 2 4 3 15" xfId="30601" xr:uid="{00000000-0005-0000-0000-000051500000}"/>
    <cellStyle name="Input 3 2 2 4 3 16" xfId="31592" xr:uid="{00000000-0005-0000-0000-000052500000}"/>
    <cellStyle name="Input 3 2 2 4 3 17" xfId="32600" xr:uid="{00000000-0005-0000-0000-000053500000}"/>
    <cellStyle name="Input 3 2 2 4 3 18" xfId="33603" xr:uid="{00000000-0005-0000-0000-000054500000}"/>
    <cellStyle name="Input 3 2 2 4 3 19" xfId="34602" xr:uid="{00000000-0005-0000-0000-000055500000}"/>
    <cellStyle name="Input 3 2 2 4 3 2" xfId="4830" xr:uid="{00000000-0005-0000-0000-000056500000}"/>
    <cellStyle name="Input 3 2 2 4 3 2 10" xfId="24647" xr:uid="{00000000-0005-0000-0000-000057500000}"/>
    <cellStyle name="Input 3 2 2 4 3 2 11" xfId="25646" xr:uid="{00000000-0005-0000-0000-000058500000}"/>
    <cellStyle name="Input 3 2 2 4 3 2 12" xfId="28593" xr:uid="{00000000-0005-0000-0000-000059500000}"/>
    <cellStyle name="Input 3 2 2 4 3 2 13" xfId="29560" xr:uid="{00000000-0005-0000-0000-00005A500000}"/>
    <cellStyle name="Input 3 2 2 4 3 2 14" xfId="30602" xr:uid="{00000000-0005-0000-0000-00005B500000}"/>
    <cellStyle name="Input 3 2 2 4 3 2 15" xfId="31593" xr:uid="{00000000-0005-0000-0000-00005C500000}"/>
    <cellStyle name="Input 3 2 2 4 3 2 16" xfId="32601" xr:uid="{00000000-0005-0000-0000-00005D500000}"/>
    <cellStyle name="Input 3 2 2 4 3 2 17" xfId="33604" xr:uid="{00000000-0005-0000-0000-00005E500000}"/>
    <cellStyle name="Input 3 2 2 4 3 2 18" xfId="34603" xr:uid="{00000000-0005-0000-0000-00005F500000}"/>
    <cellStyle name="Input 3 2 2 4 3 2 19" xfId="36224" xr:uid="{00000000-0005-0000-0000-000060500000}"/>
    <cellStyle name="Input 3 2 2 4 3 2 2" xfId="16628" xr:uid="{00000000-0005-0000-0000-000061500000}"/>
    <cellStyle name="Input 3 2 2 4 3 2 20" xfId="37163" xr:uid="{00000000-0005-0000-0000-000062500000}"/>
    <cellStyle name="Input 3 2 2 4 3 2 3" xfId="17607" xr:uid="{00000000-0005-0000-0000-000063500000}"/>
    <cellStyle name="Input 3 2 2 4 3 2 4" xfId="18634" xr:uid="{00000000-0005-0000-0000-000064500000}"/>
    <cellStyle name="Input 3 2 2 4 3 2 5" xfId="19666" xr:uid="{00000000-0005-0000-0000-000065500000}"/>
    <cellStyle name="Input 3 2 2 4 3 2 6" xfId="20688" xr:uid="{00000000-0005-0000-0000-000066500000}"/>
    <cellStyle name="Input 3 2 2 4 3 2 7" xfId="21699" xr:uid="{00000000-0005-0000-0000-000067500000}"/>
    <cellStyle name="Input 3 2 2 4 3 2 8" xfId="22670" xr:uid="{00000000-0005-0000-0000-000068500000}"/>
    <cellStyle name="Input 3 2 2 4 3 2 9" xfId="23675" xr:uid="{00000000-0005-0000-0000-000069500000}"/>
    <cellStyle name="Input 3 2 2 4 3 20" xfId="36223" xr:uid="{00000000-0005-0000-0000-00006A500000}"/>
    <cellStyle name="Input 3 2 2 4 3 21" xfId="37162" xr:uid="{00000000-0005-0000-0000-00006B500000}"/>
    <cellStyle name="Input 3 2 2 4 3 3" xfId="16627" xr:uid="{00000000-0005-0000-0000-00006C500000}"/>
    <cellStyle name="Input 3 2 2 4 3 4" xfId="17606" xr:uid="{00000000-0005-0000-0000-00006D500000}"/>
    <cellStyle name="Input 3 2 2 4 3 5" xfId="18633" xr:uid="{00000000-0005-0000-0000-00006E500000}"/>
    <cellStyle name="Input 3 2 2 4 3 6" xfId="19665" xr:uid="{00000000-0005-0000-0000-00006F500000}"/>
    <cellStyle name="Input 3 2 2 4 3 7" xfId="20687" xr:uid="{00000000-0005-0000-0000-000070500000}"/>
    <cellStyle name="Input 3 2 2 4 3 8" xfId="21698" xr:uid="{00000000-0005-0000-0000-000071500000}"/>
    <cellStyle name="Input 3 2 2 4 3 9" xfId="22669" xr:uid="{00000000-0005-0000-0000-000072500000}"/>
    <cellStyle name="Input 3 2 2 4 4" xfId="4831" xr:uid="{00000000-0005-0000-0000-000073500000}"/>
    <cellStyle name="Input 3 2 2 4 4 10" xfId="23676" xr:uid="{00000000-0005-0000-0000-000074500000}"/>
    <cellStyle name="Input 3 2 2 4 4 11" xfId="24648" xr:uid="{00000000-0005-0000-0000-000075500000}"/>
    <cellStyle name="Input 3 2 2 4 4 12" xfId="25647" xr:uid="{00000000-0005-0000-0000-000076500000}"/>
    <cellStyle name="Input 3 2 2 4 4 13" xfId="28594" xr:uid="{00000000-0005-0000-0000-000077500000}"/>
    <cellStyle name="Input 3 2 2 4 4 14" xfId="29561" xr:uid="{00000000-0005-0000-0000-000078500000}"/>
    <cellStyle name="Input 3 2 2 4 4 15" xfId="30603" xr:uid="{00000000-0005-0000-0000-000079500000}"/>
    <cellStyle name="Input 3 2 2 4 4 16" xfId="31594" xr:uid="{00000000-0005-0000-0000-00007A500000}"/>
    <cellStyle name="Input 3 2 2 4 4 17" xfId="32602" xr:uid="{00000000-0005-0000-0000-00007B500000}"/>
    <cellStyle name="Input 3 2 2 4 4 18" xfId="33605" xr:uid="{00000000-0005-0000-0000-00007C500000}"/>
    <cellStyle name="Input 3 2 2 4 4 19" xfId="34604" xr:uid="{00000000-0005-0000-0000-00007D500000}"/>
    <cellStyle name="Input 3 2 2 4 4 2" xfId="4832" xr:uid="{00000000-0005-0000-0000-00007E500000}"/>
    <cellStyle name="Input 3 2 2 4 4 2 10" xfId="24649" xr:uid="{00000000-0005-0000-0000-00007F500000}"/>
    <cellStyle name="Input 3 2 2 4 4 2 11" xfId="25648" xr:uid="{00000000-0005-0000-0000-000080500000}"/>
    <cellStyle name="Input 3 2 2 4 4 2 12" xfId="28595" xr:uid="{00000000-0005-0000-0000-000081500000}"/>
    <cellStyle name="Input 3 2 2 4 4 2 13" xfId="29562" xr:uid="{00000000-0005-0000-0000-000082500000}"/>
    <cellStyle name="Input 3 2 2 4 4 2 14" xfId="30604" xr:uid="{00000000-0005-0000-0000-000083500000}"/>
    <cellStyle name="Input 3 2 2 4 4 2 15" xfId="31595" xr:uid="{00000000-0005-0000-0000-000084500000}"/>
    <cellStyle name="Input 3 2 2 4 4 2 16" xfId="32603" xr:uid="{00000000-0005-0000-0000-000085500000}"/>
    <cellStyle name="Input 3 2 2 4 4 2 17" xfId="33606" xr:uid="{00000000-0005-0000-0000-000086500000}"/>
    <cellStyle name="Input 3 2 2 4 4 2 18" xfId="34605" xr:uid="{00000000-0005-0000-0000-000087500000}"/>
    <cellStyle name="Input 3 2 2 4 4 2 19" xfId="36226" xr:uid="{00000000-0005-0000-0000-000088500000}"/>
    <cellStyle name="Input 3 2 2 4 4 2 2" xfId="16630" xr:uid="{00000000-0005-0000-0000-000089500000}"/>
    <cellStyle name="Input 3 2 2 4 4 2 20" xfId="37165" xr:uid="{00000000-0005-0000-0000-00008A500000}"/>
    <cellStyle name="Input 3 2 2 4 4 2 3" xfId="17609" xr:uid="{00000000-0005-0000-0000-00008B500000}"/>
    <cellStyle name="Input 3 2 2 4 4 2 4" xfId="18636" xr:uid="{00000000-0005-0000-0000-00008C500000}"/>
    <cellStyle name="Input 3 2 2 4 4 2 5" xfId="19668" xr:uid="{00000000-0005-0000-0000-00008D500000}"/>
    <cellStyle name="Input 3 2 2 4 4 2 6" xfId="20690" xr:uid="{00000000-0005-0000-0000-00008E500000}"/>
    <cellStyle name="Input 3 2 2 4 4 2 7" xfId="21701" xr:uid="{00000000-0005-0000-0000-00008F500000}"/>
    <cellStyle name="Input 3 2 2 4 4 2 8" xfId="22672" xr:uid="{00000000-0005-0000-0000-000090500000}"/>
    <cellStyle name="Input 3 2 2 4 4 2 9" xfId="23677" xr:uid="{00000000-0005-0000-0000-000091500000}"/>
    <cellStyle name="Input 3 2 2 4 4 20" xfId="36225" xr:uid="{00000000-0005-0000-0000-000092500000}"/>
    <cellStyle name="Input 3 2 2 4 4 21" xfId="37164" xr:uid="{00000000-0005-0000-0000-000093500000}"/>
    <cellStyle name="Input 3 2 2 4 4 3" xfId="16629" xr:uid="{00000000-0005-0000-0000-000094500000}"/>
    <cellStyle name="Input 3 2 2 4 4 4" xfId="17608" xr:uid="{00000000-0005-0000-0000-000095500000}"/>
    <cellStyle name="Input 3 2 2 4 4 5" xfId="18635" xr:uid="{00000000-0005-0000-0000-000096500000}"/>
    <cellStyle name="Input 3 2 2 4 4 6" xfId="19667" xr:uid="{00000000-0005-0000-0000-000097500000}"/>
    <cellStyle name="Input 3 2 2 4 4 7" xfId="20689" xr:uid="{00000000-0005-0000-0000-000098500000}"/>
    <cellStyle name="Input 3 2 2 4 4 8" xfId="21700" xr:uid="{00000000-0005-0000-0000-000099500000}"/>
    <cellStyle name="Input 3 2 2 4 4 9" xfId="22671" xr:uid="{00000000-0005-0000-0000-00009A500000}"/>
    <cellStyle name="Input 3 2 2 4 5" xfId="4833" xr:uid="{00000000-0005-0000-0000-00009B500000}"/>
    <cellStyle name="Input 3 2 2 4 5 10" xfId="24650" xr:uid="{00000000-0005-0000-0000-00009C500000}"/>
    <cellStyle name="Input 3 2 2 4 5 11" xfId="25649" xr:uid="{00000000-0005-0000-0000-00009D500000}"/>
    <cellStyle name="Input 3 2 2 4 5 12" xfId="28596" xr:uid="{00000000-0005-0000-0000-00009E500000}"/>
    <cellStyle name="Input 3 2 2 4 5 13" xfId="29563" xr:uid="{00000000-0005-0000-0000-00009F500000}"/>
    <cellStyle name="Input 3 2 2 4 5 14" xfId="30605" xr:uid="{00000000-0005-0000-0000-0000A0500000}"/>
    <cellStyle name="Input 3 2 2 4 5 15" xfId="31596" xr:uid="{00000000-0005-0000-0000-0000A1500000}"/>
    <cellStyle name="Input 3 2 2 4 5 16" xfId="32604" xr:uid="{00000000-0005-0000-0000-0000A2500000}"/>
    <cellStyle name="Input 3 2 2 4 5 17" xfId="33607" xr:uid="{00000000-0005-0000-0000-0000A3500000}"/>
    <cellStyle name="Input 3 2 2 4 5 18" xfId="34606" xr:uid="{00000000-0005-0000-0000-0000A4500000}"/>
    <cellStyle name="Input 3 2 2 4 5 19" xfId="36227" xr:uid="{00000000-0005-0000-0000-0000A5500000}"/>
    <cellStyle name="Input 3 2 2 4 5 2" xfId="16631" xr:uid="{00000000-0005-0000-0000-0000A6500000}"/>
    <cellStyle name="Input 3 2 2 4 5 20" xfId="37166" xr:uid="{00000000-0005-0000-0000-0000A7500000}"/>
    <cellStyle name="Input 3 2 2 4 5 3" xfId="17610" xr:uid="{00000000-0005-0000-0000-0000A8500000}"/>
    <cellStyle name="Input 3 2 2 4 5 4" xfId="18637" xr:uid="{00000000-0005-0000-0000-0000A9500000}"/>
    <cellStyle name="Input 3 2 2 4 5 5" xfId="19669" xr:uid="{00000000-0005-0000-0000-0000AA500000}"/>
    <cellStyle name="Input 3 2 2 4 5 6" xfId="20691" xr:uid="{00000000-0005-0000-0000-0000AB500000}"/>
    <cellStyle name="Input 3 2 2 4 5 7" xfId="21702" xr:uid="{00000000-0005-0000-0000-0000AC500000}"/>
    <cellStyle name="Input 3 2 2 4 5 8" xfId="22673" xr:uid="{00000000-0005-0000-0000-0000AD500000}"/>
    <cellStyle name="Input 3 2 2 4 5 9" xfId="23678" xr:uid="{00000000-0005-0000-0000-0000AE500000}"/>
    <cellStyle name="Input 3 2 2 4 6" xfId="14060" xr:uid="{00000000-0005-0000-0000-0000AF500000}"/>
    <cellStyle name="Input 3 2 2 4 7" xfId="14093" xr:uid="{00000000-0005-0000-0000-0000B0500000}"/>
    <cellStyle name="Input 3 2 2 4 8" xfId="14838" xr:uid="{00000000-0005-0000-0000-0000B1500000}"/>
    <cellStyle name="Input 3 2 2 4 9" xfId="14759" xr:uid="{00000000-0005-0000-0000-0000B2500000}"/>
    <cellStyle name="Input 3 2 2 5" xfId="4834" xr:uid="{00000000-0005-0000-0000-0000B3500000}"/>
    <cellStyle name="Input 3 2 2 5 10" xfId="14770" xr:uid="{00000000-0005-0000-0000-0000B4500000}"/>
    <cellStyle name="Input 3 2 2 5 11" xfId="19910" xr:uid="{00000000-0005-0000-0000-0000B5500000}"/>
    <cellStyle name="Input 3 2 2 5 12" xfId="26465" xr:uid="{00000000-0005-0000-0000-0000B6500000}"/>
    <cellStyle name="Input 3 2 2 5 13" xfId="26029" xr:uid="{00000000-0005-0000-0000-0000B7500000}"/>
    <cellStyle name="Input 3 2 2 5 14" xfId="26176" xr:uid="{00000000-0005-0000-0000-0000B8500000}"/>
    <cellStyle name="Input 3 2 2 5 15" xfId="26751" xr:uid="{00000000-0005-0000-0000-0000B9500000}"/>
    <cellStyle name="Input 3 2 2 5 16" xfId="27425" xr:uid="{00000000-0005-0000-0000-0000BA500000}"/>
    <cellStyle name="Input 3 2 2 5 17" xfId="27620" xr:uid="{00000000-0005-0000-0000-0000BB500000}"/>
    <cellStyle name="Input 3 2 2 5 18" xfId="35148" xr:uid="{00000000-0005-0000-0000-0000BC500000}"/>
    <cellStyle name="Input 3 2 2 5 19" xfId="35235" xr:uid="{00000000-0005-0000-0000-0000BD500000}"/>
    <cellStyle name="Input 3 2 2 5 2" xfId="4835" xr:uid="{00000000-0005-0000-0000-0000BE500000}"/>
    <cellStyle name="Input 3 2 2 5 2 10" xfId="23679" xr:uid="{00000000-0005-0000-0000-0000BF500000}"/>
    <cellStyle name="Input 3 2 2 5 2 11" xfId="24651" xr:uid="{00000000-0005-0000-0000-0000C0500000}"/>
    <cellStyle name="Input 3 2 2 5 2 12" xfId="25650" xr:uid="{00000000-0005-0000-0000-0000C1500000}"/>
    <cellStyle name="Input 3 2 2 5 2 13" xfId="28597" xr:uid="{00000000-0005-0000-0000-0000C2500000}"/>
    <cellStyle name="Input 3 2 2 5 2 14" xfId="29564" xr:uid="{00000000-0005-0000-0000-0000C3500000}"/>
    <cellStyle name="Input 3 2 2 5 2 15" xfId="30606" xr:uid="{00000000-0005-0000-0000-0000C4500000}"/>
    <cellStyle name="Input 3 2 2 5 2 16" xfId="31597" xr:uid="{00000000-0005-0000-0000-0000C5500000}"/>
    <cellStyle name="Input 3 2 2 5 2 17" xfId="32605" xr:uid="{00000000-0005-0000-0000-0000C6500000}"/>
    <cellStyle name="Input 3 2 2 5 2 18" xfId="33608" xr:uid="{00000000-0005-0000-0000-0000C7500000}"/>
    <cellStyle name="Input 3 2 2 5 2 19" xfId="34607" xr:uid="{00000000-0005-0000-0000-0000C8500000}"/>
    <cellStyle name="Input 3 2 2 5 2 2" xfId="4836" xr:uid="{00000000-0005-0000-0000-0000C9500000}"/>
    <cellStyle name="Input 3 2 2 5 2 2 10" xfId="24652" xr:uid="{00000000-0005-0000-0000-0000CA500000}"/>
    <cellStyle name="Input 3 2 2 5 2 2 11" xfId="25651" xr:uid="{00000000-0005-0000-0000-0000CB500000}"/>
    <cellStyle name="Input 3 2 2 5 2 2 12" xfId="28598" xr:uid="{00000000-0005-0000-0000-0000CC500000}"/>
    <cellStyle name="Input 3 2 2 5 2 2 13" xfId="29565" xr:uid="{00000000-0005-0000-0000-0000CD500000}"/>
    <cellStyle name="Input 3 2 2 5 2 2 14" xfId="30607" xr:uid="{00000000-0005-0000-0000-0000CE500000}"/>
    <cellStyle name="Input 3 2 2 5 2 2 15" xfId="31598" xr:uid="{00000000-0005-0000-0000-0000CF500000}"/>
    <cellStyle name="Input 3 2 2 5 2 2 16" xfId="32606" xr:uid="{00000000-0005-0000-0000-0000D0500000}"/>
    <cellStyle name="Input 3 2 2 5 2 2 17" xfId="33609" xr:uid="{00000000-0005-0000-0000-0000D1500000}"/>
    <cellStyle name="Input 3 2 2 5 2 2 18" xfId="34608" xr:uid="{00000000-0005-0000-0000-0000D2500000}"/>
    <cellStyle name="Input 3 2 2 5 2 2 19" xfId="36229" xr:uid="{00000000-0005-0000-0000-0000D3500000}"/>
    <cellStyle name="Input 3 2 2 5 2 2 2" xfId="16633" xr:uid="{00000000-0005-0000-0000-0000D4500000}"/>
    <cellStyle name="Input 3 2 2 5 2 2 20" xfId="37168" xr:uid="{00000000-0005-0000-0000-0000D5500000}"/>
    <cellStyle name="Input 3 2 2 5 2 2 3" xfId="17612" xr:uid="{00000000-0005-0000-0000-0000D6500000}"/>
    <cellStyle name="Input 3 2 2 5 2 2 4" xfId="18639" xr:uid="{00000000-0005-0000-0000-0000D7500000}"/>
    <cellStyle name="Input 3 2 2 5 2 2 5" xfId="19671" xr:uid="{00000000-0005-0000-0000-0000D8500000}"/>
    <cellStyle name="Input 3 2 2 5 2 2 6" xfId="20693" xr:uid="{00000000-0005-0000-0000-0000D9500000}"/>
    <cellStyle name="Input 3 2 2 5 2 2 7" xfId="21704" xr:uid="{00000000-0005-0000-0000-0000DA500000}"/>
    <cellStyle name="Input 3 2 2 5 2 2 8" xfId="22675" xr:uid="{00000000-0005-0000-0000-0000DB500000}"/>
    <cellStyle name="Input 3 2 2 5 2 2 9" xfId="23680" xr:uid="{00000000-0005-0000-0000-0000DC500000}"/>
    <cellStyle name="Input 3 2 2 5 2 20" xfId="36228" xr:uid="{00000000-0005-0000-0000-0000DD500000}"/>
    <cellStyle name="Input 3 2 2 5 2 21" xfId="37167" xr:uid="{00000000-0005-0000-0000-0000DE500000}"/>
    <cellStyle name="Input 3 2 2 5 2 3" xfId="16632" xr:uid="{00000000-0005-0000-0000-0000DF500000}"/>
    <cellStyle name="Input 3 2 2 5 2 4" xfId="17611" xr:uid="{00000000-0005-0000-0000-0000E0500000}"/>
    <cellStyle name="Input 3 2 2 5 2 5" xfId="18638" xr:uid="{00000000-0005-0000-0000-0000E1500000}"/>
    <cellStyle name="Input 3 2 2 5 2 6" xfId="19670" xr:uid="{00000000-0005-0000-0000-0000E2500000}"/>
    <cellStyle name="Input 3 2 2 5 2 7" xfId="20692" xr:uid="{00000000-0005-0000-0000-0000E3500000}"/>
    <cellStyle name="Input 3 2 2 5 2 8" xfId="21703" xr:uid="{00000000-0005-0000-0000-0000E4500000}"/>
    <cellStyle name="Input 3 2 2 5 2 9" xfId="22674" xr:uid="{00000000-0005-0000-0000-0000E5500000}"/>
    <cellStyle name="Input 3 2 2 5 3" xfId="4837" xr:uid="{00000000-0005-0000-0000-0000E6500000}"/>
    <cellStyle name="Input 3 2 2 5 3 10" xfId="23681" xr:uid="{00000000-0005-0000-0000-0000E7500000}"/>
    <cellStyle name="Input 3 2 2 5 3 11" xfId="24653" xr:uid="{00000000-0005-0000-0000-0000E8500000}"/>
    <cellStyle name="Input 3 2 2 5 3 12" xfId="25652" xr:uid="{00000000-0005-0000-0000-0000E9500000}"/>
    <cellStyle name="Input 3 2 2 5 3 13" xfId="28599" xr:uid="{00000000-0005-0000-0000-0000EA500000}"/>
    <cellStyle name="Input 3 2 2 5 3 14" xfId="29566" xr:uid="{00000000-0005-0000-0000-0000EB500000}"/>
    <cellStyle name="Input 3 2 2 5 3 15" xfId="30608" xr:uid="{00000000-0005-0000-0000-0000EC500000}"/>
    <cellStyle name="Input 3 2 2 5 3 16" xfId="31599" xr:uid="{00000000-0005-0000-0000-0000ED500000}"/>
    <cellStyle name="Input 3 2 2 5 3 17" xfId="32607" xr:uid="{00000000-0005-0000-0000-0000EE500000}"/>
    <cellStyle name="Input 3 2 2 5 3 18" xfId="33610" xr:uid="{00000000-0005-0000-0000-0000EF500000}"/>
    <cellStyle name="Input 3 2 2 5 3 19" xfId="34609" xr:uid="{00000000-0005-0000-0000-0000F0500000}"/>
    <cellStyle name="Input 3 2 2 5 3 2" xfId="4838" xr:uid="{00000000-0005-0000-0000-0000F1500000}"/>
    <cellStyle name="Input 3 2 2 5 3 2 10" xfId="24654" xr:uid="{00000000-0005-0000-0000-0000F2500000}"/>
    <cellStyle name="Input 3 2 2 5 3 2 11" xfId="25653" xr:uid="{00000000-0005-0000-0000-0000F3500000}"/>
    <cellStyle name="Input 3 2 2 5 3 2 12" xfId="28600" xr:uid="{00000000-0005-0000-0000-0000F4500000}"/>
    <cellStyle name="Input 3 2 2 5 3 2 13" xfId="29567" xr:uid="{00000000-0005-0000-0000-0000F5500000}"/>
    <cellStyle name="Input 3 2 2 5 3 2 14" xfId="30609" xr:uid="{00000000-0005-0000-0000-0000F6500000}"/>
    <cellStyle name="Input 3 2 2 5 3 2 15" xfId="31600" xr:uid="{00000000-0005-0000-0000-0000F7500000}"/>
    <cellStyle name="Input 3 2 2 5 3 2 16" xfId="32608" xr:uid="{00000000-0005-0000-0000-0000F8500000}"/>
    <cellStyle name="Input 3 2 2 5 3 2 17" xfId="33611" xr:uid="{00000000-0005-0000-0000-0000F9500000}"/>
    <cellStyle name="Input 3 2 2 5 3 2 18" xfId="34610" xr:uid="{00000000-0005-0000-0000-0000FA500000}"/>
    <cellStyle name="Input 3 2 2 5 3 2 19" xfId="36231" xr:uid="{00000000-0005-0000-0000-0000FB500000}"/>
    <cellStyle name="Input 3 2 2 5 3 2 2" xfId="16635" xr:uid="{00000000-0005-0000-0000-0000FC500000}"/>
    <cellStyle name="Input 3 2 2 5 3 2 20" xfId="37170" xr:uid="{00000000-0005-0000-0000-0000FD500000}"/>
    <cellStyle name="Input 3 2 2 5 3 2 3" xfId="17614" xr:uid="{00000000-0005-0000-0000-0000FE500000}"/>
    <cellStyle name="Input 3 2 2 5 3 2 4" xfId="18641" xr:uid="{00000000-0005-0000-0000-0000FF500000}"/>
    <cellStyle name="Input 3 2 2 5 3 2 5" xfId="19673" xr:uid="{00000000-0005-0000-0000-000000510000}"/>
    <cellStyle name="Input 3 2 2 5 3 2 6" xfId="20695" xr:uid="{00000000-0005-0000-0000-000001510000}"/>
    <cellStyle name="Input 3 2 2 5 3 2 7" xfId="21706" xr:uid="{00000000-0005-0000-0000-000002510000}"/>
    <cellStyle name="Input 3 2 2 5 3 2 8" xfId="22677" xr:uid="{00000000-0005-0000-0000-000003510000}"/>
    <cellStyle name="Input 3 2 2 5 3 2 9" xfId="23682" xr:uid="{00000000-0005-0000-0000-000004510000}"/>
    <cellStyle name="Input 3 2 2 5 3 20" xfId="36230" xr:uid="{00000000-0005-0000-0000-000005510000}"/>
    <cellStyle name="Input 3 2 2 5 3 21" xfId="37169" xr:uid="{00000000-0005-0000-0000-000006510000}"/>
    <cellStyle name="Input 3 2 2 5 3 3" xfId="16634" xr:uid="{00000000-0005-0000-0000-000007510000}"/>
    <cellStyle name="Input 3 2 2 5 3 4" xfId="17613" xr:uid="{00000000-0005-0000-0000-000008510000}"/>
    <cellStyle name="Input 3 2 2 5 3 5" xfId="18640" xr:uid="{00000000-0005-0000-0000-000009510000}"/>
    <cellStyle name="Input 3 2 2 5 3 6" xfId="19672" xr:uid="{00000000-0005-0000-0000-00000A510000}"/>
    <cellStyle name="Input 3 2 2 5 3 7" xfId="20694" xr:uid="{00000000-0005-0000-0000-00000B510000}"/>
    <cellStyle name="Input 3 2 2 5 3 8" xfId="21705" xr:uid="{00000000-0005-0000-0000-00000C510000}"/>
    <cellStyle name="Input 3 2 2 5 3 9" xfId="22676" xr:uid="{00000000-0005-0000-0000-00000D510000}"/>
    <cellStyle name="Input 3 2 2 5 4" xfId="4839" xr:uid="{00000000-0005-0000-0000-00000E510000}"/>
    <cellStyle name="Input 3 2 2 5 4 10" xfId="23683" xr:uid="{00000000-0005-0000-0000-00000F510000}"/>
    <cellStyle name="Input 3 2 2 5 4 11" xfId="24655" xr:uid="{00000000-0005-0000-0000-000010510000}"/>
    <cellStyle name="Input 3 2 2 5 4 12" xfId="25654" xr:uid="{00000000-0005-0000-0000-000011510000}"/>
    <cellStyle name="Input 3 2 2 5 4 13" xfId="28601" xr:uid="{00000000-0005-0000-0000-000012510000}"/>
    <cellStyle name="Input 3 2 2 5 4 14" xfId="29568" xr:uid="{00000000-0005-0000-0000-000013510000}"/>
    <cellStyle name="Input 3 2 2 5 4 15" xfId="30610" xr:uid="{00000000-0005-0000-0000-000014510000}"/>
    <cellStyle name="Input 3 2 2 5 4 16" xfId="31601" xr:uid="{00000000-0005-0000-0000-000015510000}"/>
    <cellStyle name="Input 3 2 2 5 4 17" xfId="32609" xr:uid="{00000000-0005-0000-0000-000016510000}"/>
    <cellStyle name="Input 3 2 2 5 4 18" xfId="33612" xr:uid="{00000000-0005-0000-0000-000017510000}"/>
    <cellStyle name="Input 3 2 2 5 4 19" xfId="34611" xr:uid="{00000000-0005-0000-0000-000018510000}"/>
    <cellStyle name="Input 3 2 2 5 4 2" xfId="4840" xr:uid="{00000000-0005-0000-0000-000019510000}"/>
    <cellStyle name="Input 3 2 2 5 4 2 10" xfId="24656" xr:uid="{00000000-0005-0000-0000-00001A510000}"/>
    <cellStyle name="Input 3 2 2 5 4 2 11" xfId="25655" xr:uid="{00000000-0005-0000-0000-00001B510000}"/>
    <cellStyle name="Input 3 2 2 5 4 2 12" xfId="28602" xr:uid="{00000000-0005-0000-0000-00001C510000}"/>
    <cellStyle name="Input 3 2 2 5 4 2 13" xfId="29569" xr:uid="{00000000-0005-0000-0000-00001D510000}"/>
    <cellStyle name="Input 3 2 2 5 4 2 14" xfId="30611" xr:uid="{00000000-0005-0000-0000-00001E510000}"/>
    <cellStyle name="Input 3 2 2 5 4 2 15" xfId="31602" xr:uid="{00000000-0005-0000-0000-00001F510000}"/>
    <cellStyle name="Input 3 2 2 5 4 2 16" xfId="32610" xr:uid="{00000000-0005-0000-0000-000020510000}"/>
    <cellStyle name="Input 3 2 2 5 4 2 17" xfId="33613" xr:uid="{00000000-0005-0000-0000-000021510000}"/>
    <cellStyle name="Input 3 2 2 5 4 2 18" xfId="34612" xr:uid="{00000000-0005-0000-0000-000022510000}"/>
    <cellStyle name="Input 3 2 2 5 4 2 19" xfId="36233" xr:uid="{00000000-0005-0000-0000-000023510000}"/>
    <cellStyle name="Input 3 2 2 5 4 2 2" xfId="16637" xr:uid="{00000000-0005-0000-0000-000024510000}"/>
    <cellStyle name="Input 3 2 2 5 4 2 20" xfId="37172" xr:uid="{00000000-0005-0000-0000-000025510000}"/>
    <cellStyle name="Input 3 2 2 5 4 2 3" xfId="17616" xr:uid="{00000000-0005-0000-0000-000026510000}"/>
    <cellStyle name="Input 3 2 2 5 4 2 4" xfId="18643" xr:uid="{00000000-0005-0000-0000-000027510000}"/>
    <cellStyle name="Input 3 2 2 5 4 2 5" xfId="19675" xr:uid="{00000000-0005-0000-0000-000028510000}"/>
    <cellStyle name="Input 3 2 2 5 4 2 6" xfId="20697" xr:uid="{00000000-0005-0000-0000-000029510000}"/>
    <cellStyle name="Input 3 2 2 5 4 2 7" xfId="21708" xr:uid="{00000000-0005-0000-0000-00002A510000}"/>
    <cellStyle name="Input 3 2 2 5 4 2 8" xfId="22679" xr:uid="{00000000-0005-0000-0000-00002B510000}"/>
    <cellStyle name="Input 3 2 2 5 4 2 9" xfId="23684" xr:uid="{00000000-0005-0000-0000-00002C510000}"/>
    <cellStyle name="Input 3 2 2 5 4 20" xfId="36232" xr:uid="{00000000-0005-0000-0000-00002D510000}"/>
    <cellStyle name="Input 3 2 2 5 4 21" xfId="37171" xr:uid="{00000000-0005-0000-0000-00002E510000}"/>
    <cellStyle name="Input 3 2 2 5 4 3" xfId="16636" xr:uid="{00000000-0005-0000-0000-00002F510000}"/>
    <cellStyle name="Input 3 2 2 5 4 4" xfId="17615" xr:uid="{00000000-0005-0000-0000-000030510000}"/>
    <cellStyle name="Input 3 2 2 5 4 5" xfId="18642" xr:uid="{00000000-0005-0000-0000-000031510000}"/>
    <cellStyle name="Input 3 2 2 5 4 6" xfId="19674" xr:uid="{00000000-0005-0000-0000-000032510000}"/>
    <cellStyle name="Input 3 2 2 5 4 7" xfId="20696" xr:uid="{00000000-0005-0000-0000-000033510000}"/>
    <cellStyle name="Input 3 2 2 5 4 8" xfId="21707" xr:uid="{00000000-0005-0000-0000-000034510000}"/>
    <cellStyle name="Input 3 2 2 5 4 9" xfId="22678" xr:uid="{00000000-0005-0000-0000-000035510000}"/>
    <cellStyle name="Input 3 2 2 5 5" xfId="4841" xr:uid="{00000000-0005-0000-0000-000036510000}"/>
    <cellStyle name="Input 3 2 2 5 5 10" xfId="24657" xr:uid="{00000000-0005-0000-0000-000037510000}"/>
    <cellStyle name="Input 3 2 2 5 5 11" xfId="25656" xr:uid="{00000000-0005-0000-0000-000038510000}"/>
    <cellStyle name="Input 3 2 2 5 5 12" xfId="28603" xr:uid="{00000000-0005-0000-0000-000039510000}"/>
    <cellStyle name="Input 3 2 2 5 5 13" xfId="29570" xr:uid="{00000000-0005-0000-0000-00003A510000}"/>
    <cellStyle name="Input 3 2 2 5 5 14" xfId="30612" xr:uid="{00000000-0005-0000-0000-00003B510000}"/>
    <cellStyle name="Input 3 2 2 5 5 15" xfId="31603" xr:uid="{00000000-0005-0000-0000-00003C510000}"/>
    <cellStyle name="Input 3 2 2 5 5 16" xfId="32611" xr:uid="{00000000-0005-0000-0000-00003D510000}"/>
    <cellStyle name="Input 3 2 2 5 5 17" xfId="33614" xr:uid="{00000000-0005-0000-0000-00003E510000}"/>
    <cellStyle name="Input 3 2 2 5 5 18" xfId="34613" xr:uid="{00000000-0005-0000-0000-00003F510000}"/>
    <cellStyle name="Input 3 2 2 5 5 19" xfId="36234" xr:uid="{00000000-0005-0000-0000-000040510000}"/>
    <cellStyle name="Input 3 2 2 5 5 2" xfId="16638" xr:uid="{00000000-0005-0000-0000-000041510000}"/>
    <cellStyle name="Input 3 2 2 5 5 20" xfId="37173" xr:uid="{00000000-0005-0000-0000-000042510000}"/>
    <cellStyle name="Input 3 2 2 5 5 3" xfId="17617" xr:uid="{00000000-0005-0000-0000-000043510000}"/>
    <cellStyle name="Input 3 2 2 5 5 4" xfId="18644" xr:uid="{00000000-0005-0000-0000-000044510000}"/>
    <cellStyle name="Input 3 2 2 5 5 5" xfId="19676" xr:uid="{00000000-0005-0000-0000-000045510000}"/>
    <cellStyle name="Input 3 2 2 5 5 6" xfId="20698" xr:uid="{00000000-0005-0000-0000-000046510000}"/>
    <cellStyle name="Input 3 2 2 5 5 7" xfId="21709" xr:uid="{00000000-0005-0000-0000-000047510000}"/>
    <cellStyle name="Input 3 2 2 5 5 8" xfId="22680" xr:uid="{00000000-0005-0000-0000-000048510000}"/>
    <cellStyle name="Input 3 2 2 5 5 9" xfId="23685" xr:uid="{00000000-0005-0000-0000-000049510000}"/>
    <cellStyle name="Input 3 2 2 5 6" xfId="14071" xr:uid="{00000000-0005-0000-0000-00004A510000}"/>
    <cellStyle name="Input 3 2 2 5 7" xfId="13823" xr:uid="{00000000-0005-0000-0000-00004B510000}"/>
    <cellStyle name="Input 3 2 2 5 8" xfId="14663" xr:uid="{00000000-0005-0000-0000-00004C510000}"/>
    <cellStyle name="Input 3 2 2 5 9" xfId="14719" xr:uid="{00000000-0005-0000-0000-00004D510000}"/>
    <cellStyle name="Input 3 2 2 6" xfId="4842" xr:uid="{00000000-0005-0000-0000-00004E510000}"/>
    <cellStyle name="Input 3 2 2 6 10" xfId="23686" xr:uid="{00000000-0005-0000-0000-00004F510000}"/>
    <cellStyle name="Input 3 2 2 6 11" xfId="24658" xr:uid="{00000000-0005-0000-0000-000050510000}"/>
    <cellStyle name="Input 3 2 2 6 12" xfId="25657" xr:uid="{00000000-0005-0000-0000-000051510000}"/>
    <cellStyle name="Input 3 2 2 6 13" xfId="28604" xr:uid="{00000000-0005-0000-0000-000052510000}"/>
    <cellStyle name="Input 3 2 2 6 14" xfId="29571" xr:uid="{00000000-0005-0000-0000-000053510000}"/>
    <cellStyle name="Input 3 2 2 6 15" xfId="30613" xr:uid="{00000000-0005-0000-0000-000054510000}"/>
    <cellStyle name="Input 3 2 2 6 16" xfId="31604" xr:uid="{00000000-0005-0000-0000-000055510000}"/>
    <cellStyle name="Input 3 2 2 6 17" xfId="32612" xr:uid="{00000000-0005-0000-0000-000056510000}"/>
    <cellStyle name="Input 3 2 2 6 18" xfId="33615" xr:uid="{00000000-0005-0000-0000-000057510000}"/>
    <cellStyle name="Input 3 2 2 6 19" xfId="34614" xr:uid="{00000000-0005-0000-0000-000058510000}"/>
    <cellStyle name="Input 3 2 2 6 2" xfId="4843" xr:uid="{00000000-0005-0000-0000-000059510000}"/>
    <cellStyle name="Input 3 2 2 6 2 10" xfId="24659" xr:uid="{00000000-0005-0000-0000-00005A510000}"/>
    <cellStyle name="Input 3 2 2 6 2 11" xfId="25658" xr:uid="{00000000-0005-0000-0000-00005B510000}"/>
    <cellStyle name="Input 3 2 2 6 2 12" xfId="28605" xr:uid="{00000000-0005-0000-0000-00005C510000}"/>
    <cellStyle name="Input 3 2 2 6 2 13" xfId="29572" xr:uid="{00000000-0005-0000-0000-00005D510000}"/>
    <cellStyle name="Input 3 2 2 6 2 14" xfId="30614" xr:uid="{00000000-0005-0000-0000-00005E510000}"/>
    <cellStyle name="Input 3 2 2 6 2 15" xfId="31605" xr:uid="{00000000-0005-0000-0000-00005F510000}"/>
    <cellStyle name="Input 3 2 2 6 2 16" xfId="32613" xr:uid="{00000000-0005-0000-0000-000060510000}"/>
    <cellStyle name="Input 3 2 2 6 2 17" xfId="33616" xr:uid="{00000000-0005-0000-0000-000061510000}"/>
    <cellStyle name="Input 3 2 2 6 2 18" xfId="34615" xr:uid="{00000000-0005-0000-0000-000062510000}"/>
    <cellStyle name="Input 3 2 2 6 2 19" xfId="36236" xr:uid="{00000000-0005-0000-0000-000063510000}"/>
    <cellStyle name="Input 3 2 2 6 2 2" xfId="16640" xr:uid="{00000000-0005-0000-0000-000064510000}"/>
    <cellStyle name="Input 3 2 2 6 2 20" xfId="37175" xr:uid="{00000000-0005-0000-0000-000065510000}"/>
    <cellStyle name="Input 3 2 2 6 2 3" xfId="17619" xr:uid="{00000000-0005-0000-0000-000066510000}"/>
    <cellStyle name="Input 3 2 2 6 2 4" xfId="18646" xr:uid="{00000000-0005-0000-0000-000067510000}"/>
    <cellStyle name="Input 3 2 2 6 2 5" xfId="19678" xr:uid="{00000000-0005-0000-0000-000068510000}"/>
    <cellStyle name="Input 3 2 2 6 2 6" xfId="20700" xr:uid="{00000000-0005-0000-0000-000069510000}"/>
    <cellStyle name="Input 3 2 2 6 2 7" xfId="21711" xr:uid="{00000000-0005-0000-0000-00006A510000}"/>
    <cellStyle name="Input 3 2 2 6 2 8" xfId="22682" xr:uid="{00000000-0005-0000-0000-00006B510000}"/>
    <cellStyle name="Input 3 2 2 6 2 9" xfId="23687" xr:uid="{00000000-0005-0000-0000-00006C510000}"/>
    <cellStyle name="Input 3 2 2 6 20" xfId="36235" xr:uid="{00000000-0005-0000-0000-00006D510000}"/>
    <cellStyle name="Input 3 2 2 6 21" xfId="37174" xr:uid="{00000000-0005-0000-0000-00006E510000}"/>
    <cellStyle name="Input 3 2 2 6 3" xfId="16639" xr:uid="{00000000-0005-0000-0000-00006F510000}"/>
    <cellStyle name="Input 3 2 2 6 4" xfId="17618" xr:uid="{00000000-0005-0000-0000-000070510000}"/>
    <cellStyle name="Input 3 2 2 6 5" xfId="18645" xr:uid="{00000000-0005-0000-0000-000071510000}"/>
    <cellStyle name="Input 3 2 2 6 6" xfId="19677" xr:uid="{00000000-0005-0000-0000-000072510000}"/>
    <cellStyle name="Input 3 2 2 6 7" xfId="20699" xr:uid="{00000000-0005-0000-0000-000073510000}"/>
    <cellStyle name="Input 3 2 2 6 8" xfId="21710" xr:uid="{00000000-0005-0000-0000-000074510000}"/>
    <cellStyle name="Input 3 2 2 6 9" xfId="22681" xr:uid="{00000000-0005-0000-0000-000075510000}"/>
    <cellStyle name="Input 3 2 2 7" xfId="4844" xr:uid="{00000000-0005-0000-0000-000076510000}"/>
    <cellStyle name="Input 3 2 2 7 10" xfId="23688" xr:uid="{00000000-0005-0000-0000-000077510000}"/>
    <cellStyle name="Input 3 2 2 7 11" xfId="24660" xr:uid="{00000000-0005-0000-0000-000078510000}"/>
    <cellStyle name="Input 3 2 2 7 12" xfId="25659" xr:uid="{00000000-0005-0000-0000-000079510000}"/>
    <cellStyle name="Input 3 2 2 7 13" xfId="28606" xr:uid="{00000000-0005-0000-0000-00007A510000}"/>
    <cellStyle name="Input 3 2 2 7 14" xfId="29573" xr:uid="{00000000-0005-0000-0000-00007B510000}"/>
    <cellStyle name="Input 3 2 2 7 15" xfId="30615" xr:uid="{00000000-0005-0000-0000-00007C510000}"/>
    <cellStyle name="Input 3 2 2 7 16" xfId="31606" xr:uid="{00000000-0005-0000-0000-00007D510000}"/>
    <cellStyle name="Input 3 2 2 7 17" xfId="32614" xr:uid="{00000000-0005-0000-0000-00007E510000}"/>
    <cellStyle name="Input 3 2 2 7 18" xfId="33617" xr:uid="{00000000-0005-0000-0000-00007F510000}"/>
    <cellStyle name="Input 3 2 2 7 19" xfId="34616" xr:uid="{00000000-0005-0000-0000-000080510000}"/>
    <cellStyle name="Input 3 2 2 7 2" xfId="4845" xr:uid="{00000000-0005-0000-0000-000081510000}"/>
    <cellStyle name="Input 3 2 2 7 2 10" xfId="24661" xr:uid="{00000000-0005-0000-0000-000082510000}"/>
    <cellStyle name="Input 3 2 2 7 2 11" xfId="25660" xr:uid="{00000000-0005-0000-0000-000083510000}"/>
    <cellStyle name="Input 3 2 2 7 2 12" xfId="28607" xr:uid="{00000000-0005-0000-0000-000084510000}"/>
    <cellStyle name="Input 3 2 2 7 2 13" xfId="29574" xr:uid="{00000000-0005-0000-0000-000085510000}"/>
    <cellStyle name="Input 3 2 2 7 2 14" xfId="30616" xr:uid="{00000000-0005-0000-0000-000086510000}"/>
    <cellStyle name="Input 3 2 2 7 2 15" xfId="31607" xr:uid="{00000000-0005-0000-0000-000087510000}"/>
    <cellStyle name="Input 3 2 2 7 2 16" xfId="32615" xr:uid="{00000000-0005-0000-0000-000088510000}"/>
    <cellStyle name="Input 3 2 2 7 2 17" xfId="33618" xr:uid="{00000000-0005-0000-0000-000089510000}"/>
    <cellStyle name="Input 3 2 2 7 2 18" xfId="34617" xr:uid="{00000000-0005-0000-0000-00008A510000}"/>
    <cellStyle name="Input 3 2 2 7 2 19" xfId="36238" xr:uid="{00000000-0005-0000-0000-00008B510000}"/>
    <cellStyle name="Input 3 2 2 7 2 2" xfId="16642" xr:uid="{00000000-0005-0000-0000-00008C510000}"/>
    <cellStyle name="Input 3 2 2 7 2 20" xfId="37177" xr:uid="{00000000-0005-0000-0000-00008D510000}"/>
    <cellStyle name="Input 3 2 2 7 2 3" xfId="17621" xr:uid="{00000000-0005-0000-0000-00008E510000}"/>
    <cellStyle name="Input 3 2 2 7 2 4" xfId="18648" xr:uid="{00000000-0005-0000-0000-00008F510000}"/>
    <cellStyle name="Input 3 2 2 7 2 5" xfId="19680" xr:uid="{00000000-0005-0000-0000-000090510000}"/>
    <cellStyle name="Input 3 2 2 7 2 6" xfId="20702" xr:uid="{00000000-0005-0000-0000-000091510000}"/>
    <cellStyle name="Input 3 2 2 7 2 7" xfId="21713" xr:uid="{00000000-0005-0000-0000-000092510000}"/>
    <cellStyle name="Input 3 2 2 7 2 8" xfId="22684" xr:uid="{00000000-0005-0000-0000-000093510000}"/>
    <cellStyle name="Input 3 2 2 7 2 9" xfId="23689" xr:uid="{00000000-0005-0000-0000-000094510000}"/>
    <cellStyle name="Input 3 2 2 7 20" xfId="36237" xr:uid="{00000000-0005-0000-0000-000095510000}"/>
    <cellStyle name="Input 3 2 2 7 21" xfId="37176" xr:uid="{00000000-0005-0000-0000-000096510000}"/>
    <cellStyle name="Input 3 2 2 7 3" xfId="16641" xr:uid="{00000000-0005-0000-0000-000097510000}"/>
    <cellStyle name="Input 3 2 2 7 4" xfId="17620" xr:uid="{00000000-0005-0000-0000-000098510000}"/>
    <cellStyle name="Input 3 2 2 7 5" xfId="18647" xr:uid="{00000000-0005-0000-0000-000099510000}"/>
    <cellStyle name="Input 3 2 2 7 6" xfId="19679" xr:uid="{00000000-0005-0000-0000-00009A510000}"/>
    <cellStyle name="Input 3 2 2 7 7" xfId="20701" xr:uid="{00000000-0005-0000-0000-00009B510000}"/>
    <cellStyle name="Input 3 2 2 7 8" xfId="21712" xr:uid="{00000000-0005-0000-0000-00009C510000}"/>
    <cellStyle name="Input 3 2 2 7 9" xfId="22683" xr:uid="{00000000-0005-0000-0000-00009D510000}"/>
    <cellStyle name="Input 3 2 2 8" xfId="4846" xr:uid="{00000000-0005-0000-0000-00009E510000}"/>
    <cellStyle name="Input 3 2 2 8 10" xfId="23690" xr:uid="{00000000-0005-0000-0000-00009F510000}"/>
    <cellStyle name="Input 3 2 2 8 11" xfId="24662" xr:uid="{00000000-0005-0000-0000-0000A0510000}"/>
    <cellStyle name="Input 3 2 2 8 12" xfId="25661" xr:uid="{00000000-0005-0000-0000-0000A1510000}"/>
    <cellStyle name="Input 3 2 2 8 13" xfId="28608" xr:uid="{00000000-0005-0000-0000-0000A2510000}"/>
    <cellStyle name="Input 3 2 2 8 14" xfId="29575" xr:uid="{00000000-0005-0000-0000-0000A3510000}"/>
    <cellStyle name="Input 3 2 2 8 15" xfId="30617" xr:uid="{00000000-0005-0000-0000-0000A4510000}"/>
    <cellStyle name="Input 3 2 2 8 16" xfId="31608" xr:uid="{00000000-0005-0000-0000-0000A5510000}"/>
    <cellStyle name="Input 3 2 2 8 17" xfId="32616" xr:uid="{00000000-0005-0000-0000-0000A6510000}"/>
    <cellStyle name="Input 3 2 2 8 18" xfId="33619" xr:uid="{00000000-0005-0000-0000-0000A7510000}"/>
    <cellStyle name="Input 3 2 2 8 19" xfId="34618" xr:uid="{00000000-0005-0000-0000-0000A8510000}"/>
    <cellStyle name="Input 3 2 2 8 2" xfId="4847" xr:uid="{00000000-0005-0000-0000-0000A9510000}"/>
    <cellStyle name="Input 3 2 2 8 2 10" xfId="24663" xr:uid="{00000000-0005-0000-0000-0000AA510000}"/>
    <cellStyle name="Input 3 2 2 8 2 11" xfId="25662" xr:uid="{00000000-0005-0000-0000-0000AB510000}"/>
    <cellStyle name="Input 3 2 2 8 2 12" xfId="28609" xr:uid="{00000000-0005-0000-0000-0000AC510000}"/>
    <cellStyle name="Input 3 2 2 8 2 13" xfId="29576" xr:uid="{00000000-0005-0000-0000-0000AD510000}"/>
    <cellStyle name="Input 3 2 2 8 2 14" xfId="30618" xr:uid="{00000000-0005-0000-0000-0000AE510000}"/>
    <cellStyle name="Input 3 2 2 8 2 15" xfId="31609" xr:uid="{00000000-0005-0000-0000-0000AF510000}"/>
    <cellStyle name="Input 3 2 2 8 2 16" xfId="32617" xr:uid="{00000000-0005-0000-0000-0000B0510000}"/>
    <cellStyle name="Input 3 2 2 8 2 17" xfId="33620" xr:uid="{00000000-0005-0000-0000-0000B1510000}"/>
    <cellStyle name="Input 3 2 2 8 2 18" xfId="34619" xr:uid="{00000000-0005-0000-0000-0000B2510000}"/>
    <cellStyle name="Input 3 2 2 8 2 19" xfId="36240" xr:uid="{00000000-0005-0000-0000-0000B3510000}"/>
    <cellStyle name="Input 3 2 2 8 2 2" xfId="16644" xr:uid="{00000000-0005-0000-0000-0000B4510000}"/>
    <cellStyle name="Input 3 2 2 8 2 20" xfId="37179" xr:uid="{00000000-0005-0000-0000-0000B5510000}"/>
    <cellStyle name="Input 3 2 2 8 2 3" xfId="17623" xr:uid="{00000000-0005-0000-0000-0000B6510000}"/>
    <cellStyle name="Input 3 2 2 8 2 4" xfId="18650" xr:uid="{00000000-0005-0000-0000-0000B7510000}"/>
    <cellStyle name="Input 3 2 2 8 2 5" xfId="19682" xr:uid="{00000000-0005-0000-0000-0000B8510000}"/>
    <cellStyle name="Input 3 2 2 8 2 6" xfId="20704" xr:uid="{00000000-0005-0000-0000-0000B9510000}"/>
    <cellStyle name="Input 3 2 2 8 2 7" xfId="21715" xr:uid="{00000000-0005-0000-0000-0000BA510000}"/>
    <cellStyle name="Input 3 2 2 8 2 8" xfId="22686" xr:uid="{00000000-0005-0000-0000-0000BB510000}"/>
    <cellStyle name="Input 3 2 2 8 2 9" xfId="23691" xr:uid="{00000000-0005-0000-0000-0000BC510000}"/>
    <cellStyle name="Input 3 2 2 8 20" xfId="36239" xr:uid="{00000000-0005-0000-0000-0000BD510000}"/>
    <cellStyle name="Input 3 2 2 8 21" xfId="37178" xr:uid="{00000000-0005-0000-0000-0000BE510000}"/>
    <cellStyle name="Input 3 2 2 8 3" xfId="16643" xr:uid="{00000000-0005-0000-0000-0000BF510000}"/>
    <cellStyle name="Input 3 2 2 8 4" xfId="17622" xr:uid="{00000000-0005-0000-0000-0000C0510000}"/>
    <cellStyle name="Input 3 2 2 8 5" xfId="18649" xr:uid="{00000000-0005-0000-0000-0000C1510000}"/>
    <cellStyle name="Input 3 2 2 8 6" xfId="19681" xr:uid="{00000000-0005-0000-0000-0000C2510000}"/>
    <cellStyle name="Input 3 2 2 8 7" xfId="20703" xr:uid="{00000000-0005-0000-0000-0000C3510000}"/>
    <cellStyle name="Input 3 2 2 8 8" xfId="21714" xr:uid="{00000000-0005-0000-0000-0000C4510000}"/>
    <cellStyle name="Input 3 2 2 8 9" xfId="22685" xr:uid="{00000000-0005-0000-0000-0000C5510000}"/>
    <cellStyle name="Input 3 2 2 9" xfId="4848" xr:uid="{00000000-0005-0000-0000-0000C6510000}"/>
    <cellStyle name="Input 3 2 2 9 10" xfId="24664" xr:uid="{00000000-0005-0000-0000-0000C7510000}"/>
    <cellStyle name="Input 3 2 2 9 11" xfId="25663" xr:uid="{00000000-0005-0000-0000-0000C8510000}"/>
    <cellStyle name="Input 3 2 2 9 12" xfId="28610" xr:uid="{00000000-0005-0000-0000-0000C9510000}"/>
    <cellStyle name="Input 3 2 2 9 13" xfId="29577" xr:uid="{00000000-0005-0000-0000-0000CA510000}"/>
    <cellStyle name="Input 3 2 2 9 14" xfId="30619" xr:uid="{00000000-0005-0000-0000-0000CB510000}"/>
    <cellStyle name="Input 3 2 2 9 15" xfId="31610" xr:uid="{00000000-0005-0000-0000-0000CC510000}"/>
    <cellStyle name="Input 3 2 2 9 16" xfId="32618" xr:uid="{00000000-0005-0000-0000-0000CD510000}"/>
    <cellStyle name="Input 3 2 2 9 17" xfId="33621" xr:uid="{00000000-0005-0000-0000-0000CE510000}"/>
    <cellStyle name="Input 3 2 2 9 18" xfId="34620" xr:uid="{00000000-0005-0000-0000-0000CF510000}"/>
    <cellStyle name="Input 3 2 2 9 19" xfId="36241" xr:uid="{00000000-0005-0000-0000-0000D0510000}"/>
    <cellStyle name="Input 3 2 2 9 2" xfId="16645" xr:uid="{00000000-0005-0000-0000-0000D1510000}"/>
    <cellStyle name="Input 3 2 2 9 20" xfId="37180" xr:uid="{00000000-0005-0000-0000-0000D2510000}"/>
    <cellStyle name="Input 3 2 2 9 3" xfId="17624" xr:uid="{00000000-0005-0000-0000-0000D3510000}"/>
    <cellStyle name="Input 3 2 2 9 4" xfId="18651" xr:uid="{00000000-0005-0000-0000-0000D4510000}"/>
    <cellStyle name="Input 3 2 2 9 5" xfId="19683" xr:uid="{00000000-0005-0000-0000-0000D5510000}"/>
    <cellStyle name="Input 3 2 2 9 6" xfId="20705" xr:uid="{00000000-0005-0000-0000-0000D6510000}"/>
    <cellStyle name="Input 3 2 2 9 7" xfId="21716" xr:uid="{00000000-0005-0000-0000-0000D7510000}"/>
    <cellStyle name="Input 3 2 2 9 8" xfId="22687" xr:uid="{00000000-0005-0000-0000-0000D8510000}"/>
    <cellStyle name="Input 3 2 2 9 9" xfId="23692" xr:uid="{00000000-0005-0000-0000-0000D9510000}"/>
    <cellStyle name="Input 3 2 20" xfId="34872" xr:uid="{00000000-0005-0000-0000-0000DA510000}"/>
    <cellStyle name="Input 3 2 21" xfId="34864" xr:uid="{00000000-0005-0000-0000-0000DB510000}"/>
    <cellStyle name="Input 3 2 22" xfId="35380" xr:uid="{00000000-0005-0000-0000-0000DC510000}"/>
    <cellStyle name="Input 3 2 3" xfId="4849" xr:uid="{00000000-0005-0000-0000-0000DD510000}"/>
    <cellStyle name="Input 3 2 3 10" xfId="15183" xr:uid="{00000000-0005-0000-0000-0000DE510000}"/>
    <cellStyle name="Input 3 2 3 11" xfId="14214" xr:uid="{00000000-0005-0000-0000-0000DF510000}"/>
    <cellStyle name="Input 3 2 3 12" xfId="13928" xr:uid="{00000000-0005-0000-0000-0000E0510000}"/>
    <cellStyle name="Input 3 2 3 13" xfId="14697" xr:uid="{00000000-0005-0000-0000-0000E1510000}"/>
    <cellStyle name="Input 3 2 3 14" xfId="15367" xr:uid="{00000000-0005-0000-0000-0000E2510000}"/>
    <cellStyle name="Input 3 2 3 15" xfId="13896" xr:uid="{00000000-0005-0000-0000-0000E3510000}"/>
    <cellStyle name="Input 3 2 3 16" xfId="26523" xr:uid="{00000000-0005-0000-0000-0000E4510000}"/>
    <cellStyle name="Input 3 2 3 17" xfId="27049" xr:uid="{00000000-0005-0000-0000-0000E5510000}"/>
    <cellStyle name="Input 3 2 3 18" xfId="26204" xr:uid="{00000000-0005-0000-0000-0000E6510000}"/>
    <cellStyle name="Input 3 2 3 19" xfId="26708" xr:uid="{00000000-0005-0000-0000-0000E7510000}"/>
    <cellStyle name="Input 3 2 3 2" xfId="4850" xr:uid="{00000000-0005-0000-0000-0000E8510000}"/>
    <cellStyle name="Input 3 2 3 2 10" xfId="23693" xr:uid="{00000000-0005-0000-0000-0000E9510000}"/>
    <cellStyle name="Input 3 2 3 2 11" xfId="24665" xr:uid="{00000000-0005-0000-0000-0000EA510000}"/>
    <cellStyle name="Input 3 2 3 2 12" xfId="25664" xr:uid="{00000000-0005-0000-0000-0000EB510000}"/>
    <cellStyle name="Input 3 2 3 2 13" xfId="28611" xr:uid="{00000000-0005-0000-0000-0000EC510000}"/>
    <cellStyle name="Input 3 2 3 2 14" xfId="29578" xr:uid="{00000000-0005-0000-0000-0000ED510000}"/>
    <cellStyle name="Input 3 2 3 2 15" xfId="30620" xr:uid="{00000000-0005-0000-0000-0000EE510000}"/>
    <cellStyle name="Input 3 2 3 2 16" xfId="31611" xr:uid="{00000000-0005-0000-0000-0000EF510000}"/>
    <cellStyle name="Input 3 2 3 2 17" xfId="32619" xr:uid="{00000000-0005-0000-0000-0000F0510000}"/>
    <cellStyle name="Input 3 2 3 2 18" xfId="33622" xr:uid="{00000000-0005-0000-0000-0000F1510000}"/>
    <cellStyle name="Input 3 2 3 2 19" xfId="34621" xr:uid="{00000000-0005-0000-0000-0000F2510000}"/>
    <cellStyle name="Input 3 2 3 2 2" xfId="4851" xr:uid="{00000000-0005-0000-0000-0000F3510000}"/>
    <cellStyle name="Input 3 2 3 2 2 10" xfId="24666" xr:uid="{00000000-0005-0000-0000-0000F4510000}"/>
    <cellStyle name="Input 3 2 3 2 2 11" xfId="25665" xr:uid="{00000000-0005-0000-0000-0000F5510000}"/>
    <cellStyle name="Input 3 2 3 2 2 12" xfId="28612" xr:uid="{00000000-0005-0000-0000-0000F6510000}"/>
    <cellStyle name="Input 3 2 3 2 2 13" xfId="29579" xr:uid="{00000000-0005-0000-0000-0000F7510000}"/>
    <cellStyle name="Input 3 2 3 2 2 14" xfId="30621" xr:uid="{00000000-0005-0000-0000-0000F8510000}"/>
    <cellStyle name="Input 3 2 3 2 2 15" xfId="31612" xr:uid="{00000000-0005-0000-0000-0000F9510000}"/>
    <cellStyle name="Input 3 2 3 2 2 16" xfId="32620" xr:uid="{00000000-0005-0000-0000-0000FA510000}"/>
    <cellStyle name="Input 3 2 3 2 2 17" xfId="33623" xr:uid="{00000000-0005-0000-0000-0000FB510000}"/>
    <cellStyle name="Input 3 2 3 2 2 18" xfId="34622" xr:uid="{00000000-0005-0000-0000-0000FC510000}"/>
    <cellStyle name="Input 3 2 3 2 2 19" xfId="36243" xr:uid="{00000000-0005-0000-0000-0000FD510000}"/>
    <cellStyle name="Input 3 2 3 2 2 2" xfId="16647" xr:uid="{00000000-0005-0000-0000-0000FE510000}"/>
    <cellStyle name="Input 3 2 3 2 2 20" xfId="37182" xr:uid="{00000000-0005-0000-0000-0000FF510000}"/>
    <cellStyle name="Input 3 2 3 2 2 3" xfId="17626" xr:uid="{00000000-0005-0000-0000-000000520000}"/>
    <cellStyle name="Input 3 2 3 2 2 4" xfId="18653" xr:uid="{00000000-0005-0000-0000-000001520000}"/>
    <cellStyle name="Input 3 2 3 2 2 5" xfId="19685" xr:uid="{00000000-0005-0000-0000-000002520000}"/>
    <cellStyle name="Input 3 2 3 2 2 6" xfId="20707" xr:uid="{00000000-0005-0000-0000-000003520000}"/>
    <cellStyle name="Input 3 2 3 2 2 7" xfId="21718" xr:uid="{00000000-0005-0000-0000-000004520000}"/>
    <cellStyle name="Input 3 2 3 2 2 8" xfId="22689" xr:uid="{00000000-0005-0000-0000-000005520000}"/>
    <cellStyle name="Input 3 2 3 2 2 9" xfId="23694" xr:uid="{00000000-0005-0000-0000-000006520000}"/>
    <cellStyle name="Input 3 2 3 2 20" xfId="36242" xr:uid="{00000000-0005-0000-0000-000007520000}"/>
    <cellStyle name="Input 3 2 3 2 21" xfId="37181" xr:uid="{00000000-0005-0000-0000-000008520000}"/>
    <cellStyle name="Input 3 2 3 2 3" xfId="16646" xr:uid="{00000000-0005-0000-0000-000009520000}"/>
    <cellStyle name="Input 3 2 3 2 4" xfId="17625" xr:uid="{00000000-0005-0000-0000-00000A520000}"/>
    <cellStyle name="Input 3 2 3 2 5" xfId="18652" xr:uid="{00000000-0005-0000-0000-00000B520000}"/>
    <cellStyle name="Input 3 2 3 2 6" xfId="19684" xr:uid="{00000000-0005-0000-0000-00000C520000}"/>
    <cellStyle name="Input 3 2 3 2 7" xfId="20706" xr:uid="{00000000-0005-0000-0000-00000D520000}"/>
    <cellStyle name="Input 3 2 3 2 8" xfId="21717" xr:uid="{00000000-0005-0000-0000-00000E520000}"/>
    <cellStyle name="Input 3 2 3 2 9" xfId="22688" xr:uid="{00000000-0005-0000-0000-00000F520000}"/>
    <cellStyle name="Input 3 2 3 20" xfId="26619" xr:uid="{00000000-0005-0000-0000-000010520000}"/>
    <cellStyle name="Input 3 2 3 21" xfId="26278" xr:uid="{00000000-0005-0000-0000-000011520000}"/>
    <cellStyle name="Input 3 2 3 22" xfId="26805" xr:uid="{00000000-0005-0000-0000-000012520000}"/>
    <cellStyle name="Input 3 2 3 23" xfId="35191" xr:uid="{00000000-0005-0000-0000-000013520000}"/>
    <cellStyle name="Input 3 2 3 24" xfId="35389" xr:uid="{00000000-0005-0000-0000-000014520000}"/>
    <cellStyle name="Input 3 2 3 3" xfId="4852" xr:uid="{00000000-0005-0000-0000-000015520000}"/>
    <cellStyle name="Input 3 2 3 3 10" xfId="23695" xr:uid="{00000000-0005-0000-0000-000016520000}"/>
    <cellStyle name="Input 3 2 3 3 11" xfId="24667" xr:uid="{00000000-0005-0000-0000-000017520000}"/>
    <cellStyle name="Input 3 2 3 3 12" xfId="25666" xr:uid="{00000000-0005-0000-0000-000018520000}"/>
    <cellStyle name="Input 3 2 3 3 13" xfId="28613" xr:uid="{00000000-0005-0000-0000-000019520000}"/>
    <cellStyle name="Input 3 2 3 3 14" xfId="29580" xr:uid="{00000000-0005-0000-0000-00001A520000}"/>
    <cellStyle name="Input 3 2 3 3 15" xfId="30622" xr:uid="{00000000-0005-0000-0000-00001B520000}"/>
    <cellStyle name="Input 3 2 3 3 16" xfId="31613" xr:uid="{00000000-0005-0000-0000-00001C520000}"/>
    <cellStyle name="Input 3 2 3 3 17" xfId="32621" xr:uid="{00000000-0005-0000-0000-00001D520000}"/>
    <cellStyle name="Input 3 2 3 3 18" xfId="33624" xr:uid="{00000000-0005-0000-0000-00001E520000}"/>
    <cellStyle name="Input 3 2 3 3 19" xfId="34623" xr:uid="{00000000-0005-0000-0000-00001F520000}"/>
    <cellStyle name="Input 3 2 3 3 2" xfId="4853" xr:uid="{00000000-0005-0000-0000-000020520000}"/>
    <cellStyle name="Input 3 2 3 3 2 10" xfId="24668" xr:uid="{00000000-0005-0000-0000-000021520000}"/>
    <cellStyle name="Input 3 2 3 3 2 11" xfId="25667" xr:uid="{00000000-0005-0000-0000-000022520000}"/>
    <cellStyle name="Input 3 2 3 3 2 12" xfId="28614" xr:uid="{00000000-0005-0000-0000-000023520000}"/>
    <cellStyle name="Input 3 2 3 3 2 13" xfId="29581" xr:uid="{00000000-0005-0000-0000-000024520000}"/>
    <cellStyle name="Input 3 2 3 3 2 14" xfId="30623" xr:uid="{00000000-0005-0000-0000-000025520000}"/>
    <cellStyle name="Input 3 2 3 3 2 15" xfId="31614" xr:uid="{00000000-0005-0000-0000-000026520000}"/>
    <cellStyle name="Input 3 2 3 3 2 16" xfId="32622" xr:uid="{00000000-0005-0000-0000-000027520000}"/>
    <cellStyle name="Input 3 2 3 3 2 17" xfId="33625" xr:uid="{00000000-0005-0000-0000-000028520000}"/>
    <cellStyle name="Input 3 2 3 3 2 18" xfId="34624" xr:uid="{00000000-0005-0000-0000-000029520000}"/>
    <cellStyle name="Input 3 2 3 3 2 19" xfId="36245" xr:uid="{00000000-0005-0000-0000-00002A520000}"/>
    <cellStyle name="Input 3 2 3 3 2 2" xfId="16649" xr:uid="{00000000-0005-0000-0000-00002B520000}"/>
    <cellStyle name="Input 3 2 3 3 2 20" xfId="37184" xr:uid="{00000000-0005-0000-0000-00002C520000}"/>
    <cellStyle name="Input 3 2 3 3 2 3" xfId="17628" xr:uid="{00000000-0005-0000-0000-00002D520000}"/>
    <cellStyle name="Input 3 2 3 3 2 4" xfId="18655" xr:uid="{00000000-0005-0000-0000-00002E520000}"/>
    <cellStyle name="Input 3 2 3 3 2 5" xfId="19687" xr:uid="{00000000-0005-0000-0000-00002F520000}"/>
    <cellStyle name="Input 3 2 3 3 2 6" xfId="20709" xr:uid="{00000000-0005-0000-0000-000030520000}"/>
    <cellStyle name="Input 3 2 3 3 2 7" xfId="21720" xr:uid="{00000000-0005-0000-0000-000031520000}"/>
    <cellStyle name="Input 3 2 3 3 2 8" xfId="22691" xr:uid="{00000000-0005-0000-0000-000032520000}"/>
    <cellStyle name="Input 3 2 3 3 2 9" xfId="23696" xr:uid="{00000000-0005-0000-0000-000033520000}"/>
    <cellStyle name="Input 3 2 3 3 20" xfId="36244" xr:uid="{00000000-0005-0000-0000-000034520000}"/>
    <cellStyle name="Input 3 2 3 3 21" xfId="37183" xr:uid="{00000000-0005-0000-0000-000035520000}"/>
    <cellStyle name="Input 3 2 3 3 3" xfId="16648" xr:uid="{00000000-0005-0000-0000-000036520000}"/>
    <cellStyle name="Input 3 2 3 3 4" xfId="17627" xr:uid="{00000000-0005-0000-0000-000037520000}"/>
    <cellStyle name="Input 3 2 3 3 5" xfId="18654" xr:uid="{00000000-0005-0000-0000-000038520000}"/>
    <cellStyle name="Input 3 2 3 3 6" xfId="19686" xr:uid="{00000000-0005-0000-0000-000039520000}"/>
    <cellStyle name="Input 3 2 3 3 7" xfId="20708" xr:uid="{00000000-0005-0000-0000-00003A520000}"/>
    <cellStyle name="Input 3 2 3 3 8" xfId="21719" xr:uid="{00000000-0005-0000-0000-00003B520000}"/>
    <cellStyle name="Input 3 2 3 3 9" xfId="22690" xr:uid="{00000000-0005-0000-0000-00003C520000}"/>
    <cellStyle name="Input 3 2 3 4" xfId="4854" xr:uid="{00000000-0005-0000-0000-00003D520000}"/>
    <cellStyle name="Input 3 2 3 4 10" xfId="23697" xr:uid="{00000000-0005-0000-0000-00003E520000}"/>
    <cellStyle name="Input 3 2 3 4 11" xfId="24669" xr:uid="{00000000-0005-0000-0000-00003F520000}"/>
    <cellStyle name="Input 3 2 3 4 12" xfId="25668" xr:uid="{00000000-0005-0000-0000-000040520000}"/>
    <cellStyle name="Input 3 2 3 4 13" xfId="28615" xr:uid="{00000000-0005-0000-0000-000041520000}"/>
    <cellStyle name="Input 3 2 3 4 14" xfId="29582" xr:uid="{00000000-0005-0000-0000-000042520000}"/>
    <cellStyle name="Input 3 2 3 4 15" xfId="30624" xr:uid="{00000000-0005-0000-0000-000043520000}"/>
    <cellStyle name="Input 3 2 3 4 16" xfId="31615" xr:uid="{00000000-0005-0000-0000-000044520000}"/>
    <cellStyle name="Input 3 2 3 4 17" xfId="32623" xr:uid="{00000000-0005-0000-0000-000045520000}"/>
    <cellStyle name="Input 3 2 3 4 18" xfId="33626" xr:uid="{00000000-0005-0000-0000-000046520000}"/>
    <cellStyle name="Input 3 2 3 4 19" xfId="34625" xr:uid="{00000000-0005-0000-0000-000047520000}"/>
    <cellStyle name="Input 3 2 3 4 2" xfId="4855" xr:uid="{00000000-0005-0000-0000-000048520000}"/>
    <cellStyle name="Input 3 2 3 4 2 10" xfId="24670" xr:uid="{00000000-0005-0000-0000-000049520000}"/>
    <cellStyle name="Input 3 2 3 4 2 11" xfId="25669" xr:uid="{00000000-0005-0000-0000-00004A520000}"/>
    <cellStyle name="Input 3 2 3 4 2 12" xfId="28616" xr:uid="{00000000-0005-0000-0000-00004B520000}"/>
    <cellStyle name="Input 3 2 3 4 2 13" xfId="29583" xr:uid="{00000000-0005-0000-0000-00004C520000}"/>
    <cellStyle name="Input 3 2 3 4 2 14" xfId="30625" xr:uid="{00000000-0005-0000-0000-00004D520000}"/>
    <cellStyle name="Input 3 2 3 4 2 15" xfId="31616" xr:uid="{00000000-0005-0000-0000-00004E520000}"/>
    <cellStyle name="Input 3 2 3 4 2 16" xfId="32624" xr:uid="{00000000-0005-0000-0000-00004F520000}"/>
    <cellStyle name="Input 3 2 3 4 2 17" xfId="33627" xr:uid="{00000000-0005-0000-0000-000050520000}"/>
    <cellStyle name="Input 3 2 3 4 2 18" xfId="34626" xr:uid="{00000000-0005-0000-0000-000051520000}"/>
    <cellStyle name="Input 3 2 3 4 2 19" xfId="36247" xr:uid="{00000000-0005-0000-0000-000052520000}"/>
    <cellStyle name="Input 3 2 3 4 2 2" xfId="16651" xr:uid="{00000000-0005-0000-0000-000053520000}"/>
    <cellStyle name="Input 3 2 3 4 2 20" xfId="37186" xr:uid="{00000000-0005-0000-0000-000054520000}"/>
    <cellStyle name="Input 3 2 3 4 2 3" xfId="17630" xr:uid="{00000000-0005-0000-0000-000055520000}"/>
    <cellStyle name="Input 3 2 3 4 2 4" xfId="18657" xr:uid="{00000000-0005-0000-0000-000056520000}"/>
    <cellStyle name="Input 3 2 3 4 2 5" xfId="19689" xr:uid="{00000000-0005-0000-0000-000057520000}"/>
    <cellStyle name="Input 3 2 3 4 2 6" xfId="20711" xr:uid="{00000000-0005-0000-0000-000058520000}"/>
    <cellStyle name="Input 3 2 3 4 2 7" xfId="21722" xr:uid="{00000000-0005-0000-0000-000059520000}"/>
    <cellStyle name="Input 3 2 3 4 2 8" xfId="22693" xr:uid="{00000000-0005-0000-0000-00005A520000}"/>
    <cellStyle name="Input 3 2 3 4 2 9" xfId="23698" xr:uid="{00000000-0005-0000-0000-00005B520000}"/>
    <cellStyle name="Input 3 2 3 4 20" xfId="36246" xr:uid="{00000000-0005-0000-0000-00005C520000}"/>
    <cellStyle name="Input 3 2 3 4 21" xfId="37185" xr:uid="{00000000-0005-0000-0000-00005D520000}"/>
    <cellStyle name="Input 3 2 3 4 3" xfId="16650" xr:uid="{00000000-0005-0000-0000-00005E520000}"/>
    <cellStyle name="Input 3 2 3 4 4" xfId="17629" xr:uid="{00000000-0005-0000-0000-00005F520000}"/>
    <cellStyle name="Input 3 2 3 4 5" xfId="18656" xr:uid="{00000000-0005-0000-0000-000060520000}"/>
    <cellStyle name="Input 3 2 3 4 6" xfId="19688" xr:uid="{00000000-0005-0000-0000-000061520000}"/>
    <cellStyle name="Input 3 2 3 4 7" xfId="20710" xr:uid="{00000000-0005-0000-0000-000062520000}"/>
    <cellStyle name="Input 3 2 3 4 8" xfId="21721" xr:uid="{00000000-0005-0000-0000-000063520000}"/>
    <cellStyle name="Input 3 2 3 4 9" xfId="22692" xr:uid="{00000000-0005-0000-0000-000064520000}"/>
    <cellStyle name="Input 3 2 3 5" xfId="4856" xr:uid="{00000000-0005-0000-0000-000065520000}"/>
    <cellStyle name="Input 3 2 3 5 10" xfId="24671" xr:uid="{00000000-0005-0000-0000-000066520000}"/>
    <cellStyle name="Input 3 2 3 5 11" xfId="25670" xr:uid="{00000000-0005-0000-0000-000067520000}"/>
    <cellStyle name="Input 3 2 3 5 12" xfId="28617" xr:uid="{00000000-0005-0000-0000-000068520000}"/>
    <cellStyle name="Input 3 2 3 5 13" xfId="29584" xr:uid="{00000000-0005-0000-0000-000069520000}"/>
    <cellStyle name="Input 3 2 3 5 14" xfId="30626" xr:uid="{00000000-0005-0000-0000-00006A520000}"/>
    <cellStyle name="Input 3 2 3 5 15" xfId="31617" xr:uid="{00000000-0005-0000-0000-00006B520000}"/>
    <cellStyle name="Input 3 2 3 5 16" xfId="32625" xr:uid="{00000000-0005-0000-0000-00006C520000}"/>
    <cellStyle name="Input 3 2 3 5 17" xfId="33628" xr:uid="{00000000-0005-0000-0000-00006D520000}"/>
    <cellStyle name="Input 3 2 3 5 18" xfId="34627" xr:uid="{00000000-0005-0000-0000-00006E520000}"/>
    <cellStyle name="Input 3 2 3 5 19" xfId="36248" xr:uid="{00000000-0005-0000-0000-00006F520000}"/>
    <cellStyle name="Input 3 2 3 5 2" xfId="16652" xr:uid="{00000000-0005-0000-0000-000070520000}"/>
    <cellStyle name="Input 3 2 3 5 20" xfId="37187" xr:uid="{00000000-0005-0000-0000-000071520000}"/>
    <cellStyle name="Input 3 2 3 5 3" xfId="17631" xr:uid="{00000000-0005-0000-0000-000072520000}"/>
    <cellStyle name="Input 3 2 3 5 4" xfId="18658" xr:uid="{00000000-0005-0000-0000-000073520000}"/>
    <cellStyle name="Input 3 2 3 5 5" xfId="19690" xr:uid="{00000000-0005-0000-0000-000074520000}"/>
    <cellStyle name="Input 3 2 3 5 6" xfId="20712" xr:uid="{00000000-0005-0000-0000-000075520000}"/>
    <cellStyle name="Input 3 2 3 5 7" xfId="21723" xr:uid="{00000000-0005-0000-0000-000076520000}"/>
    <cellStyle name="Input 3 2 3 5 8" xfId="22694" xr:uid="{00000000-0005-0000-0000-000077520000}"/>
    <cellStyle name="Input 3 2 3 5 9" xfId="23699" xr:uid="{00000000-0005-0000-0000-000078520000}"/>
    <cellStyle name="Input 3 2 3 6" xfId="13963" xr:uid="{00000000-0005-0000-0000-000079520000}"/>
    <cellStyle name="Input 3 2 3 7" xfId="13968" xr:uid="{00000000-0005-0000-0000-00007A520000}"/>
    <cellStyle name="Input 3 2 3 8" xfId="15430" xr:uid="{00000000-0005-0000-0000-00007B520000}"/>
    <cellStyle name="Input 3 2 3 9" xfId="15002" xr:uid="{00000000-0005-0000-0000-00007C520000}"/>
    <cellStyle name="Input 3 2 4" xfId="4857" xr:uid="{00000000-0005-0000-0000-00007D520000}"/>
    <cellStyle name="Input 3 2 4 10" xfId="23700" xr:uid="{00000000-0005-0000-0000-00007E520000}"/>
    <cellStyle name="Input 3 2 4 11" xfId="24672" xr:uid="{00000000-0005-0000-0000-00007F520000}"/>
    <cellStyle name="Input 3 2 4 12" xfId="25671" xr:uid="{00000000-0005-0000-0000-000080520000}"/>
    <cellStyle name="Input 3 2 4 13" xfId="28618" xr:uid="{00000000-0005-0000-0000-000081520000}"/>
    <cellStyle name="Input 3 2 4 14" xfId="29585" xr:uid="{00000000-0005-0000-0000-000082520000}"/>
    <cellStyle name="Input 3 2 4 15" xfId="30627" xr:uid="{00000000-0005-0000-0000-000083520000}"/>
    <cellStyle name="Input 3 2 4 16" xfId="31618" xr:uid="{00000000-0005-0000-0000-000084520000}"/>
    <cellStyle name="Input 3 2 4 17" xfId="32626" xr:uid="{00000000-0005-0000-0000-000085520000}"/>
    <cellStyle name="Input 3 2 4 18" xfId="33629" xr:uid="{00000000-0005-0000-0000-000086520000}"/>
    <cellStyle name="Input 3 2 4 19" xfId="34628" xr:uid="{00000000-0005-0000-0000-000087520000}"/>
    <cellStyle name="Input 3 2 4 2" xfId="4858" xr:uid="{00000000-0005-0000-0000-000088520000}"/>
    <cellStyle name="Input 3 2 4 2 10" xfId="24673" xr:uid="{00000000-0005-0000-0000-000089520000}"/>
    <cellStyle name="Input 3 2 4 2 11" xfId="25672" xr:uid="{00000000-0005-0000-0000-00008A520000}"/>
    <cellStyle name="Input 3 2 4 2 12" xfId="28619" xr:uid="{00000000-0005-0000-0000-00008B520000}"/>
    <cellStyle name="Input 3 2 4 2 13" xfId="29586" xr:uid="{00000000-0005-0000-0000-00008C520000}"/>
    <cellStyle name="Input 3 2 4 2 14" xfId="30628" xr:uid="{00000000-0005-0000-0000-00008D520000}"/>
    <cellStyle name="Input 3 2 4 2 15" xfId="31619" xr:uid="{00000000-0005-0000-0000-00008E520000}"/>
    <cellStyle name="Input 3 2 4 2 16" xfId="32627" xr:uid="{00000000-0005-0000-0000-00008F520000}"/>
    <cellStyle name="Input 3 2 4 2 17" xfId="33630" xr:uid="{00000000-0005-0000-0000-000090520000}"/>
    <cellStyle name="Input 3 2 4 2 18" xfId="34629" xr:uid="{00000000-0005-0000-0000-000091520000}"/>
    <cellStyle name="Input 3 2 4 2 19" xfId="36250" xr:uid="{00000000-0005-0000-0000-000092520000}"/>
    <cellStyle name="Input 3 2 4 2 2" xfId="16654" xr:uid="{00000000-0005-0000-0000-000093520000}"/>
    <cellStyle name="Input 3 2 4 2 20" xfId="37189" xr:uid="{00000000-0005-0000-0000-000094520000}"/>
    <cellStyle name="Input 3 2 4 2 3" xfId="17633" xr:uid="{00000000-0005-0000-0000-000095520000}"/>
    <cellStyle name="Input 3 2 4 2 4" xfId="18660" xr:uid="{00000000-0005-0000-0000-000096520000}"/>
    <cellStyle name="Input 3 2 4 2 5" xfId="19692" xr:uid="{00000000-0005-0000-0000-000097520000}"/>
    <cellStyle name="Input 3 2 4 2 6" xfId="20714" xr:uid="{00000000-0005-0000-0000-000098520000}"/>
    <cellStyle name="Input 3 2 4 2 7" xfId="21725" xr:uid="{00000000-0005-0000-0000-000099520000}"/>
    <cellStyle name="Input 3 2 4 2 8" xfId="22696" xr:uid="{00000000-0005-0000-0000-00009A520000}"/>
    <cellStyle name="Input 3 2 4 2 9" xfId="23701" xr:uid="{00000000-0005-0000-0000-00009B520000}"/>
    <cellStyle name="Input 3 2 4 20" xfId="36249" xr:uid="{00000000-0005-0000-0000-00009C520000}"/>
    <cellStyle name="Input 3 2 4 21" xfId="37188" xr:uid="{00000000-0005-0000-0000-00009D520000}"/>
    <cellStyle name="Input 3 2 4 3" xfId="16653" xr:uid="{00000000-0005-0000-0000-00009E520000}"/>
    <cellStyle name="Input 3 2 4 4" xfId="17632" xr:uid="{00000000-0005-0000-0000-00009F520000}"/>
    <cellStyle name="Input 3 2 4 5" xfId="18659" xr:uid="{00000000-0005-0000-0000-0000A0520000}"/>
    <cellStyle name="Input 3 2 4 6" xfId="19691" xr:uid="{00000000-0005-0000-0000-0000A1520000}"/>
    <cellStyle name="Input 3 2 4 7" xfId="20713" xr:uid="{00000000-0005-0000-0000-0000A2520000}"/>
    <cellStyle name="Input 3 2 4 8" xfId="21724" xr:uid="{00000000-0005-0000-0000-0000A3520000}"/>
    <cellStyle name="Input 3 2 4 9" xfId="22695" xr:uid="{00000000-0005-0000-0000-0000A4520000}"/>
    <cellStyle name="Input 3 2 5" xfId="4859" xr:uid="{00000000-0005-0000-0000-0000A5520000}"/>
    <cellStyle name="Input 3 2 5 10" xfId="23702" xr:uid="{00000000-0005-0000-0000-0000A6520000}"/>
    <cellStyle name="Input 3 2 5 11" xfId="24674" xr:uid="{00000000-0005-0000-0000-0000A7520000}"/>
    <cellStyle name="Input 3 2 5 12" xfId="25673" xr:uid="{00000000-0005-0000-0000-0000A8520000}"/>
    <cellStyle name="Input 3 2 5 13" xfId="28620" xr:uid="{00000000-0005-0000-0000-0000A9520000}"/>
    <cellStyle name="Input 3 2 5 14" xfId="29587" xr:uid="{00000000-0005-0000-0000-0000AA520000}"/>
    <cellStyle name="Input 3 2 5 15" xfId="30629" xr:uid="{00000000-0005-0000-0000-0000AB520000}"/>
    <cellStyle name="Input 3 2 5 16" xfId="31620" xr:uid="{00000000-0005-0000-0000-0000AC520000}"/>
    <cellStyle name="Input 3 2 5 17" xfId="32628" xr:uid="{00000000-0005-0000-0000-0000AD520000}"/>
    <cellStyle name="Input 3 2 5 18" xfId="33631" xr:uid="{00000000-0005-0000-0000-0000AE520000}"/>
    <cellStyle name="Input 3 2 5 19" xfId="34630" xr:uid="{00000000-0005-0000-0000-0000AF520000}"/>
    <cellStyle name="Input 3 2 5 2" xfId="4860" xr:uid="{00000000-0005-0000-0000-0000B0520000}"/>
    <cellStyle name="Input 3 2 5 2 10" xfId="24675" xr:uid="{00000000-0005-0000-0000-0000B1520000}"/>
    <cellStyle name="Input 3 2 5 2 11" xfId="25674" xr:uid="{00000000-0005-0000-0000-0000B2520000}"/>
    <cellStyle name="Input 3 2 5 2 12" xfId="28621" xr:uid="{00000000-0005-0000-0000-0000B3520000}"/>
    <cellStyle name="Input 3 2 5 2 13" xfId="29588" xr:uid="{00000000-0005-0000-0000-0000B4520000}"/>
    <cellStyle name="Input 3 2 5 2 14" xfId="30630" xr:uid="{00000000-0005-0000-0000-0000B5520000}"/>
    <cellStyle name="Input 3 2 5 2 15" xfId="31621" xr:uid="{00000000-0005-0000-0000-0000B6520000}"/>
    <cellStyle name="Input 3 2 5 2 16" xfId="32629" xr:uid="{00000000-0005-0000-0000-0000B7520000}"/>
    <cellStyle name="Input 3 2 5 2 17" xfId="33632" xr:uid="{00000000-0005-0000-0000-0000B8520000}"/>
    <cellStyle name="Input 3 2 5 2 18" xfId="34631" xr:uid="{00000000-0005-0000-0000-0000B9520000}"/>
    <cellStyle name="Input 3 2 5 2 19" xfId="36252" xr:uid="{00000000-0005-0000-0000-0000BA520000}"/>
    <cellStyle name="Input 3 2 5 2 2" xfId="16656" xr:uid="{00000000-0005-0000-0000-0000BB520000}"/>
    <cellStyle name="Input 3 2 5 2 20" xfId="37191" xr:uid="{00000000-0005-0000-0000-0000BC520000}"/>
    <cellStyle name="Input 3 2 5 2 3" xfId="17635" xr:uid="{00000000-0005-0000-0000-0000BD520000}"/>
    <cellStyle name="Input 3 2 5 2 4" xfId="18662" xr:uid="{00000000-0005-0000-0000-0000BE520000}"/>
    <cellStyle name="Input 3 2 5 2 5" xfId="19694" xr:uid="{00000000-0005-0000-0000-0000BF520000}"/>
    <cellStyle name="Input 3 2 5 2 6" xfId="20716" xr:uid="{00000000-0005-0000-0000-0000C0520000}"/>
    <cellStyle name="Input 3 2 5 2 7" xfId="21727" xr:uid="{00000000-0005-0000-0000-0000C1520000}"/>
    <cellStyle name="Input 3 2 5 2 8" xfId="22698" xr:uid="{00000000-0005-0000-0000-0000C2520000}"/>
    <cellStyle name="Input 3 2 5 2 9" xfId="23703" xr:uid="{00000000-0005-0000-0000-0000C3520000}"/>
    <cellStyle name="Input 3 2 5 20" xfId="36251" xr:uid="{00000000-0005-0000-0000-0000C4520000}"/>
    <cellStyle name="Input 3 2 5 21" xfId="37190" xr:uid="{00000000-0005-0000-0000-0000C5520000}"/>
    <cellStyle name="Input 3 2 5 3" xfId="16655" xr:uid="{00000000-0005-0000-0000-0000C6520000}"/>
    <cellStyle name="Input 3 2 5 4" xfId="17634" xr:uid="{00000000-0005-0000-0000-0000C7520000}"/>
    <cellStyle name="Input 3 2 5 5" xfId="18661" xr:uid="{00000000-0005-0000-0000-0000C8520000}"/>
    <cellStyle name="Input 3 2 5 6" xfId="19693" xr:uid="{00000000-0005-0000-0000-0000C9520000}"/>
    <cellStyle name="Input 3 2 5 7" xfId="20715" xr:uid="{00000000-0005-0000-0000-0000CA520000}"/>
    <cellStyle name="Input 3 2 5 8" xfId="21726" xr:uid="{00000000-0005-0000-0000-0000CB520000}"/>
    <cellStyle name="Input 3 2 5 9" xfId="22697" xr:uid="{00000000-0005-0000-0000-0000CC520000}"/>
    <cellStyle name="Input 3 2 6" xfId="4861" xr:uid="{00000000-0005-0000-0000-0000CD520000}"/>
    <cellStyle name="Input 3 2 6 10" xfId="23704" xr:uid="{00000000-0005-0000-0000-0000CE520000}"/>
    <cellStyle name="Input 3 2 6 11" xfId="24676" xr:uid="{00000000-0005-0000-0000-0000CF520000}"/>
    <cellStyle name="Input 3 2 6 12" xfId="25675" xr:uid="{00000000-0005-0000-0000-0000D0520000}"/>
    <cellStyle name="Input 3 2 6 13" xfId="28622" xr:uid="{00000000-0005-0000-0000-0000D1520000}"/>
    <cellStyle name="Input 3 2 6 14" xfId="29589" xr:uid="{00000000-0005-0000-0000-0000D2520000}"/>
    <cellStyle name="Input 3 2 6 15" xfId="30631" xr:uid="{00000000-0005-0000-0000-0000D3520000}"/>
    <cellStyle name="Input 3 2 6 16" xfId="31622" xr:uid="{00000000-0005-0000-0000-0000D4520000}"/>
    <cellStyle name="Input 3 2 6 17" xfId="32630" xr:uid="{00000000-0005-0000-0000-0000D5520000}"/>
    <cellStyle name="Input 3 2 6 18" xfId="33633" xr:uid="{00000000-0005-0000-0000-0000D6520000}"/>
    <cellStyle name="Input 3 2 6 19" xfId="34632" xr:uid="{00000000-0005-0000-0000-0000D7520000}"/>
    <cellStyle name="Input 3 2 6 2" xfId="4862" xr:uid="{00000000-0005-0000-0000-0000D8520000}"/>
    <cellStyle name="Input 3 2 6 2 10" xfId="24677" xr:uid="{00000000-0005-0000-0000-0000D9520000}"/>
    <cellStyle name="Input 3 2 6 2 11" xfId="25676" xr:uid="{00000000-0005-0000-0000-0000DA520000}"/>
    <cellStyle name="Input 3 2 6 2 12" xfId="28623" xr:uid="{00000000-0005-0000-0000-0000DB520000}"/>
    <cellStyle name="Input 3 2 6 2 13" xfId="29590" xr:uid="{00000000-0005-0000-0000-0000DC520000}"/>
    <cellStyle name="Input 3 2 6 2 14" xfId="30632" xr:uid="{00000000-0005-0000-0000-0000DD520000}"/>
    <cellStyle name="Input 3 2 6 2 15" xfId="31623" xr:uid="{00000000-0005-0000-0000-0000DE520000}"/>
    <cellStyle name="Input 3 2 6 2 16" xfId="32631" xr:uid="{00000000-0005-0000-0000-0000DF520000}"/>
    <cellStyle name="Input 3 2 6 2 17" xfId="33634" xr:uid="{00000000-0005-0000-0000-0000E0520000}"/>
    <cellStyle name="Input 3 2 6 2 18" xfId="34633" xr:uid="{00000000-0005-0000-0000-0000E1520000}"/>
    <cellStyle name="Input 3 2 6 2 19" xfId="36254" xr:uid="{00000000-0005-0000-0000-0000E2520000}"/>
    <cellStyle name="Input 3 2 6 2 2" xfId="16658" xr:uid="{00000000-0005-0000-0000-0000E3520000}"/>
    <cellStyle name="Input 3 2 6 2 20" xfId="37193" xr:uid="{00000000-0005-0000-0000-0000E4520000}"/>
    <cellStyle name="Input 3 2 6 2 3" xfId="17637" xr:uid="{00000000-0005-0000-0000-0000E5520000}"/>
    <cellStyle name="Input 3 2 6 2 4" xfId="18664" xr:uid="{00000000-0005-0000-0000-0000E6520000}"/>
    <cellStyle name="Input 3 2 6 2 5" xfId="19696" xr:uid="{00000000-0005-0000-0000-0000E7520000}"/>
    <cellStyle name="Input 3 2 6 2 6" xfId="20718" xr:uid="{00000000-0005-0000-0000-0000E8520000}"/>
    <cellStyle name="Input 3 2 6 2 7" xfId="21729" xr:uid="{00000000-0005-0000-0000-0000E9520000}"/>
    <cellStyle name="Input 3 2 6 2 8" xfId="22700" xr:uid="{00000000-0005-0000-0000-0000EA520000}"/>
    <cellStyle name="Input 3 2 6 2 9" xfId="23705" xr:uid="{00000000-0005-0000-0000-0000EB520000}"/>
    <cellStyle name="Input 3 2 6 20" xfId="36253" xr:uid="{00000000-0005-0000-0000-0000EC520000}"/>
    <cellStyle name="Input 3 2 6 21" xfId="37192" xr:uid="{00000000-0005-0000-0000-0000ED520000}"/>
    <cellStyle name="Input 3 2 6 3" xfId="16657" xr:uid="{00000000-0005-0000-0000-0000EE520000}"/>
    <cellStyle name="Input 3 2 6 4" xfId="17636" xr:uid="{00000000-0005-0000-0000-0000EF520000}"/>
    <cellStyle name="Input 3 2 6 5" xfId="18663" xr:uid="{00000000-0005-0000-0000-0000F0520000}"/>
    <cellStyle name="Input 3 2 6 6" xfId="19695" xr:uid="{00000000-0005-0000-0000-0000F1520000}"/>
    <cellStyle name="Input 3 2 6 7" xfId="20717" xr:uid="{00000000-0005-0000-0000-0000F2520000}"/>
    <cellStyle name="Input 3 2 6 8" xfId="21728" xr:uid="{00000000-0005-0000-0000-0000F3520000}"/>
    <cellStyle name="Input 3 2 6 9" xfId="22699" xr:uid="{00000000-0005-0000-0000-0000F4520000}"/>
    <cellStyle name="Input 3 2 7" xfId="4863" xr:uid="{00000000-0005-0000-0000-0000F5520000}"/>
    <cellStyle name="Input 3 2 7 10" xfId="24678" xr:uid="{00000000-0005-0000-0000-0000F6520000}"/>
    <cellStyle name="Input 3 2 7 11" xfId="25677" xr:uid="{00000000-0005-0000-0000-0000F7520000}"/>
    <cellStyle name="Input 3 2 7 12" xfId="28624" xr:uid="{00000000-0005-0000-0000-0000F8520000}"/>
    <cellStyle name="Input 3 2 7 13" xfId="29591" xr:uid="{00000000-0005-0000-0000-0000F9520000}"/>
    <cellStyle name="Input 3 2 7 14" xfId="30633" xr:uid="{00000000-0005-0000-0000-0000FA520000}"/>
    <cellStyle name="Input 3 2 7 15" xfId="31624" xr:uid="{00000000-0005-0000-0000-0000FB520000}"/>
    <cellStyle name="Input 3 2 7 16" xfId="32632" xr:uid="{00000000-0005-0000-0000-0000FC520000}"/>
    <cellStyle name="Input 3 2 7 17" xfId="33635" xr:uid="{00000000-0005-0000-0000-0000FD520000}"/>
    <cellStyle name="Input 3 2 7 18" xfId="34634" xr:uid="{00000000-0005-0000-0000-0000FE520000}"/>
    <cellStyle name="Input 3 2 7 19" xfId="36255" xr:uid="{00000000-0005-0000-0000-0000FF520000}"/>
    <cellStyle name="Input 3 2 7 2" xfId="16659" xr:uid="{00000000-0005-0000-0000-000000530000}"/>
    <cellStyle name="Input 3 2 7 20" xfId="37194" xr:uid="{00000000-0005-0000-0000-000001530000}"/>
    <cellStyle name="Input 3 2 7 3" xfId="17638" xr:uid="{00000000-0005-0000-0000-000002530000}"/>
    <cellStyle name="Input 3 2 7 4" xfId="18665" xr:uid="{00000000-0005-0000-0000-000003530000}"/>
    <cellStyle name="Input 3 2 7 5" xfId="19697" xr:uid="{00000000-0005-0000-0000-000004530000}"/>
    <cellStyle name="Input 3 2 7 6" xfId="20719" xr:uid="{00000000-0005-0000-0000-000005530000}"/>
    <cellStyle name="Input 3 2 7 7" xfId="21730" xr:uid="{00000000-0005-0000-0000-000006530000}"/>
    <cellStyle name="Input 3 2 7 8" xfId="22701" xr:uid="{00000000-0005-0000-0000-000007530000}"/>
    <cellStyle name="Input 3 2 7 9" xfId="23706" xr:uid="{00000000-0005-0000-0000-000008530000}"/>
    <cellStyle name="Input 3 2 8" xfId="13658" xr:uid="{00000000-0005-0000-0000-000009530000}"/>
    <cellStyle name="Input 3 2 9" xfId="18920" xr:uid="{00000000-0005-0000-0000-00000A530000}"/>
    <cellStyle name="Input 3 3" xfId="4864" xr:uid="{00000000-0005-0000-0000-00000B530000}"/>
    <cellStyle name="Input 3 3 10" xfId="14030" xr:uid="{00000000-0005-0000-0000-00000C530000}"/>
    <cellStyle name="Input 3 3 11" xfId="13812" xr:uid="{00000000-0005-0000-0000-00000D530000}"/>
    <cellStyle name="Input 3 3 12" xfId="15512" xr:uid="{00000000-0005-0000-0000-00000E530000}"/>
    <cellStyle name="Input 3 3 13" xfId="14777" xr:uid="{00000000-0005-0000-0000-00000F530000}"/>
    <cellStyle name="Input 3 3 14" xfId="14519" xr:uid="{00000000-0005-0000-0000-000010530000}"/>
    <cellStyle name="Input 3 3 15" xfId="15730" xr:uid="{00000000-0005-0000-0000-000011530000}"/>
    <cellStyle name="Input 3 3 16" xfId="26289" xr:uid="{00000000-0005-0000-0000-000012530000}"/>
    <cellStyle name="Input 3 3 17" xfId="27196" xr:uid="{00000000-0005-0000-0000-000013530000}"/>
    <cellStyle name="Input 3 3 18" xfId="27516" xr:uid="{00000000-0005-0000-0000-000014530000}"/>
    <cellStyle name="Input 3 3 19" xfId="26191" xr:uid="{00000000-0005-0000-0000-000015530000}"/>
    <cellStyle name="Input 3 3 2" xfId="4865" xr:uid="{00000000-0005-0000-0000-000016530000}"/>
    <cellStyle name="Input 3 3 2 10" xfId="14828" xr:uid="{00000000-0005-0000-0000-000017530000}"/>
    <cellStyle name="Input 3 3 2 11" xfId="14122" xr:uid="{00000000-0005-0000-0000-000018530000}"/>
    <cellStyle name="Input 3 3 2 12" xfId="26342" xr:uid="{00000000-0005-0000-0000-000019530000}"/>
    <cellStyle name="Input 3 3 2 13" xfId="27158" xr:uid="{00000000-0005-0000-0000-00001A530000}"/>
    <cellStyle name="Input 3 3 2 14" xfId="26258" xr:uid="{00000000-0005-0000-0000-00001B530000}"/>
    <cellStyle name="Input 3 3 2 15" xfId="26739" xr:uid="{00000000-0005-0000-0000-00001C530000}"/>
    <cellStyle name="Input 3 3 2 16" xfId="26277" xr:uid="{00000000-0005-0000-0000-00001D530000}"/>
    <cellStyle name="Input 3 3 2 17" xfId="27386" xr:uid="{00000000-0005-0000-0000-00001E530000}"/>
    <cellStyle name="Input 3 3 2 18" xfId="35037" xr:uid="{00000000-0005-0000-0000-00001F530000}"/>
    <cellStyle name="Input 3 3 2 19" xfId="35448" xr:uid="{00000000-0005-0000-0000-000020530000}"/>
    <cellStyle name="Input 3 3 2 2" xfId="4866" xr:uid="{00000000-0005-0000-0000-000021530000}"/>
    <cellStyle name="Input 3 3 2 2 10" xfId="23707" xr:uid="{00000000-0005-0000-0000-000022530000}"/>
    <cellStyle name="Input 3 3 2 2 11" xfId="24679" xr:uid="{00000000-0005-0000-0000-000023530000}"/>
    <cellStyle name="Input 3 3 2 2 12" xfId="25678" xr:uid="{00000000-0005-0000-0000-000024530000}"/>
    <cellStyle name="Input 3 3 2 2 13" xfId="28625" xr:uid="{00000000-0005-0000-0000-000025530000}"/>
    <cellStyle name="Input 3 3 2 2 14" xfId="29592" xr:uid="{00000000-0005-0000-0000-000026530000}"/>
    <cellStyle name="Input 3 3 2 2 15" xfId="30634" xr:uid="{00000000-0005-0000-0000-000027530000}"/>
    <cellStyle name="Input 3 3 2 2 16" xfId="31625" xr:uid="{00000000-0005-0000-0000-000028530000}"/>
    <cellStyle name="Input 3 3 2 2 17" xfId="32633" xr:uid="{00000000-0005-0000-0000-000029530000}"/>
    <cellStyle name="Input 3 3 2 2 18" xfId="33636" xr:uid="{00000000-0005-0000-0000-00002A530000}"/>
    <cellStyle name="Input 3 3 2 2 19" xfId="34635" xr:uid="{00000000-0005-0000-0000-00002B530000}"/>
    <cellStyle name="Input 3 3 2 2 2" xfId="4867" xr:uid="{00000000-0005-0000-0000-00002C530000}"/>
    <cellStyle name="Input 3 3 2 2 2 10" xfId="24680" xr:uid="{00000000-0005-0000-0000-00002D530000}"/>
    <cellStyle name="Input 3 3 2 2 2 11" xfId="25679" xr:uid="{00000000-0005-0000-0000-00002E530000}"/>
    <cellStyle name="Input 3 3 2 2 2 12" xfId="28626" xr:uid="{00000000-0005-0000-0000-00002F530000}"/>
    <cellStyle name="Input 3 3 2 2 2 13" xfId="29593" xr:uid="{00000000-0005-0000-0000-000030530000}"/>
    <cellStyle name="Input 3 3 2 2 2 14" xfId="30635" xr:uid="{00000000-0005-0000-0000-000031530000}"/>
    <cellStyle name="Input 3 3 2 2 2 15" xfId="31626" xr:uid="{00000000-0005-0000-0000-000032530000}"/>
    <cellStyle name="Input 3 3 2 2 2 16" xfId="32634" xr:uid="{00000000-0005-0000-0000-000033530000}"/>
    <cellStyle name="Input 3 3 2 2 2 17" xfId="33637" xr:uid="{00000000-0005-0000-0000-000034530000}"/>
    <cellStyle name="Input 3 3 2 2 2 18" xfId="34636" xr:uid="{00000000-0005-0000-0000-000035530000}"/>
    <cellStyle name="Input 3 3 2 2 2 19" xfId="36257" xr:uid="{00000000-0005-0000-0000-000036530000}"/>
    <cellStyle name="Input 3 3 2 2 2 2" xfId="16661" xr:uid="{00000000-0005-0000-0000-000037530000}"/>
    <cellStyle name="Input 3 3 2 2 2 20" xfId="37196" xr:uid="{00000000-0005-0000-0000-000038530000}"/>
    <cellStyle name="Input 3 3 2 2 2 3" xfId="17640" xr:uid="{00000000-0005-0000-0000-000039530000}"/>
    <cellStyle name="Input 3 3 2 2 2 4" xfId="18667" xr:uid="{00000000-0005-0000-0000-00003A530000}"/>
    <cellStyle name="Input 3 3 2 2 2 5" xfId="19699" xr:uid="{00000000-0005-0000-0000-00003B530000}"/>
    <cellStyle name="Input 3 3 2 2 2 6" xfId="20721" xr:uid="{00000000-0005-0000-0000-00003C530000}"/>
    <cellStyle name="Input 3 3 2 2 2 7" xfId="21732" xr:uid="{00000000-0005-0000-0000-00003D530000}"/>
    <cellStyle name="Input 3 3 2 2 2 8" xfId="22703" xr:uid="{00000000-0005-0000-0000-00003E530000}"/>
    <cellStyle name="Input 3 3 2 2 2 9" xfId="23708" xr:uid="{00000000-0005-0000-0000-00003F530000}"/>
    <cellStyle name="Input 3 3 2 2 20" xfId="36256" xr:uid="{00000000-0005-0000-0000-000040530000}"/>
    <cellStyle name="Input 3 3 2 2 21" xfId="37195" xr:uid="{00000000-0005-0000-0000-000041530000}"/>
    <cellStyle name="Input 3 3 2 2 3" xfId="16660" xr:uid="{00000000-0005-0000-0000-000042530000}"/>
    <cellStyle name="Input 3 3 2 2 4" xfId="17639" xr:uid="{00000000-0005-0000-0000-000043530000}"/>
    <cellStyle name="Input 3 3 2 2 5" xfId="18666" xr:uid="{00000000-0005-0000-0000-000044530000}"/>
    <cellStyle name="Input 3 3 2 2 6" xfId="19698" xr:uid="{00000000-0005-0000-0000-000045530000}"/>
    <cellStyle name="Input 3 3 2 2 7" xfId="20720" xr:uid="{00000000-0005-0000-0000-000046530000}"/>
    <cellStyle name="Input 3 3 2 2 8" xfId="21731" xr:uid="{00000000-0005-0000-0000-000047530000}"/>
    <cellStyle name="Input 3 3 2 2 9" xfId="22702" xr:uid="{00000000-0005-0000-0000-000048530000}"/>
    <cellStyle name="Input 3 3 2 3" xfId="4868" xr:uid="{00000000-0005-0000-0000-000049530000}"/>
    <cellStyle name="Input 3 3 2 3 10" xfId="23709" xr:uid="{00000000-0005-0000-0000-00004A530000}"/>
    <cellStyle name="Input 3 3 2 3 11" xfId="24681" xr:uid="{00000000-0005-0000-0000-00004B530000}"/>
    <cellStyle name="Input 3 3 2 3 12" xfId="25680" xr:uid="{00000000-0005-0000-0000-00004C530000}"/>
    <cellStyle name="Input 3 3 2 3 13" xfId="28627" xr:uid="{00000000-0005-0000-0000-00004D530000}"/>
    <cellStyle name="Input 3 3 2 3 14" xfId="29594" xr:uid="{00000000-0005-0000-0000-00004E530000}"/>
    <cellStyle name="Input 3 3 2 3 15" xfId="30636" xr:uid="{00000000-0005-0000-0000-00004F530000}"/>
    <cellStyle name="Input 3 3 2 3 16" xfId="31627" xr:uid="{00000000-0005-0000-0000-000050530000}"/>
    <cellStyle name="Input 3 3 2 3 17" xfId="32635" xr:uid="{00000000-0005-0000-0000-000051530000}"/>
    <cellStyle name="Input 3 3 2 3 18" xfId="33638" xr:uid="{00000000-0005-0000-0000-000052530000}"/>
    <cellStyle name="Input 3 3 2 3 19" xfId="34637" xr:uid="{00000000-0005-0000-0000-000053530000}"/>
    <cellStyle name="Input 3 3 2 3 2" xfId="4869" xr:uid="{00000000-0005-0000-0000-000054530000}"/>
    <cellStyle name="Input 3 3 2 3 2 10" xfId="24682" xr:uid="{00000000-0005-0000-0000-000055530000}"/>
    <cellStyle name="Input 3 3 2 3 2 11" xfId="25681" xr:uid="{00000000-0005-0000-0000-000056530000}"/>
    <cellStyle name="Input 3 3 2 3 2 12" xfId="28628" xr:uid="{00000000-0005-0000-0000-000057530000}"/>
    <cellStyle name="Input 3 3 2 3 2 13" xfId="29595" xr:uid="{00000000-0005-0000-0000-000058530000}"/>
    <cellStyle name="Input 3 3 2 3 2 14" xfId="30637" xr:uid="{00000000-0005-0000-0000-000059530000}"/>
    <cellStyle name="Input 3 3 2 3 2 15" xfId="31628" xr:uid="{00000000-0005-0000-0000-00005A530000}"/>
    <cellStyle name="Input 3 3 2 3 2 16" xfId="32636" xr:uid="{00000000-0005-0000-0000-00005B530000}"/>
    <cellStyle name="Input 3 3 2 3 2 17" xfId="33639" xr:uid="{00000000-0005-0000-0000-00005C530000}"/>
    <cellStyle name="Input 3 3 2 3 2 18" xfId="34638" xr:uid="{00000000-0005-0000-0000-00005D530000}"/>
    <cellStyle name="Input 3 3 2 3 2 19" xfId="36259" xr:uid="{00000000-0005-0000-0000-00005E530000}"/>
    <cellStyle name="Input 3 3 2 3 2 2" xfId="16663" xr:uid="{00000000-0005-0000-0000-00005F530000}"/>
    <cellStyle name="Input 3 3 2 3 2 20" xfId="37198" xr:uid="{00000000-0005-0000-0000-000060530000}"/>
    <cellStyle name="Input 3 3 2 3 2 3" xfId="17642" xr:uid="{00000000-0005-0000-0000-000061530000}"/>
    <cellStyle name="Input 3 3 2 3 2 4" xfId="18669" xr:uid="{00000000-0005-0000-0000-000062530000}"/>
    <cellStyle name="Input 3 3 2 3 2 5" xfId="19701" xr:uid="{00000000-0005-0000-0000-000063530000}"/>
    <cellStyle name="Input 3 3 2 3 2 6" xfId="20723" xr:uid="{00000000-0005-0000-0000-000064530000}"/>
    <cellStyle name="Input 3 3 2 3 2 7" xfId="21734" xr:uid="{00000000-0005-0000-0000-000065530000}"/>
    <cellStyle name="Input 3 3 2 3 2 8" xfId="22705" xr:uid="{00000000-0005-0000-0000-000066530000}"/>
    <cellStyle name="Input 3 3 2 3 2 9" xfId="23710" xr:uid="{00000000-0005-0000-0000-000067530000}"/>
    <cellStyle name="Input 3 3 2 3 20" xfId="36258" xr:uid="{00000000-0005-0000-0000-000068530000}"/>
    <cellStyle name="Input 3 3 2 3 21" xfId="37197" xr:uid="{00000000-0005-0000-0000-000069530000}"/>
    <cellStyle name="Input 3 3 2 3 3" xfId="16662" xr:uid="{00000000-0005-0000-0000-00006A530000}"/>
    <cellStyle name="Input 3 3 2 3 4" xfId="17641" xr:uid="{00000000-0005-0000-0000-00006B530000}"/>
    <cellStyle name="Input 3 3 2 3 5" xfId="18668" xr:uid="{00000000-0005-0000-0000-00006C530000}"/>
    <cellStyle name="Input 3 3 2 3 6" xfId="19700" xr:uid="{00000000-0005-0000-0000-00006D530000}"/>
    <cellStyle name="Input 3 3 2 3 7" xfId="20722" xr:uid="{00000000-0005-0000-0000-00006E530000}"/>
    <cellStyle name="Input 3 3 2 3 8" xfId="21733" xr:uid="{00000000-0005-0000-0000-00006F530000}"/>
    <cellStyle name="Input 3 3 2 3 9" xfId="22704" xr:uid="{00000000-0005-0000-0000-000070530000}"/>
    <cellStyle name="Input 3 3 2 4" xfId="4870" xr:uid="{00000000-0005-0000-0000-000071530000}"/>
    <cellStyle name="Input 3 3 2 4 10" xfId="23711" xr:uid="{00000000-0005-0000-0000-000072530000}"/>
    <cellStyle name="Input 3 3 2 4 11" xfId="24683" xr:uid="{00000000-0005-0000-0000-000073530000}"/>
    <cellStyle name="Input 3 3 2 4 12" xfId="25682" xr:uid="{00000000-0005-0000-0000-000074530000}"/>
    <cellStyle name="Input 3 3 2 4 13" xfId="28629" xr:uid="{00000000-0005-0000-0000-000075530000}"/>
    <cellStyle name="Input 3 3 2 4 14" xfId="29596" xr:uid="{00000000-0005-0000-0000-000076530000}"/>
    <cellStyle name="Input 3 3 2 4 15" xfId="30638" xr:uid="{00000000-0005-0000-0000-000077530000}"/>
    <cellStyle name="Input 3 3 2 4 16" xfId="31629" xr:uid="{00000000-0005-0000-0000-000078530000}"/>
    <cellStyle name="Input 3 3 2 4 17" xfId="32637" xr:uid="{00000000-0005-0000-0000-000079530000}"/>
    <cellStyle name="Input 3 3 2 4 18" xfId="33640" xr:uid="{00000000-0005-0000-0000-00007A530000}"/>
    <cellStyle name="Input 3 3 2 4 19" xfId="34639" xr:uid="{00000000-0005-0000-0000-00007B530000}"/>
    <cellStyle name="Input 3 3 2 4 2" xfId="4871" xr:uid="{00000000-0005-0000-0000-00007C530000}"/>
    <cellStyle name="Input 3 3 2 4 2 10" xfId="24684" xr:uid="{00000000-0005-0000-0000-00007D530000}"/>
    <cellStyle name="Input 3 3 2 4 2 11" xfId="25683" xr:uid="{00000000-0005-0000-0000-00007E530000}"/>
    <cellStyle name="Input 3 3 2 4 2 12" xfId="28630" xr:uid="{00000000-0005-0000-0000-00007F530000}"/>
    <cellStyle name="Input 3 3 2 4 2 13" xfId="29597" xr:uid="{00000000-0005-0000-0000-000080530000}"/>
    <cellStyle name="Input 3 3 2 4 2 14" xfId="30639" xr:uid="{00000000-0005-0000-0000-000081530000}"/>
    <cellStyle name="Input 3 3 2 4 2 15" xfId="31630" xr:uid="{00000000-0005-0000-0000-000082530000}"/>
    <cellStyle name="Input 3 3 2 4 2 16" xfId="32638" xr:uid="{00000000-0005-0000-0000-000083530000}"/>
    <cellStyle name="Input 3 3 2 4 2 17" xfId="33641" xr:uid="{00000000-0005-0000-0000-000084530000}"/>
    <cellStyle name="Input 3 3 2 4 2 18" xfId="34640" xr:uid="{00000000-0005-0000-0000-000085530000}"/>
    <cellStyle name="Input 3 3 2 4 2 19" xfId="36261" xr:uid="{00000000-0005-0000-0000-000086530000}"/>
    <cellStyle name="Input 3 3 2 4 2 2" xfId="16665" xr:uid="{00000000-0005-0000-0000-000087530000}"/>
    <cellStyle name="Input 3 3 2 4 2 20" xfId="37200" xr:uid="{00000000-0005-0000-0000-000088530000}"/>
    <cellStyle name="Input 3 3 2 4 2 3" xfId="17644" xr:uid="{00000000-0005-0000-0000-000089530000}"/>
    <cellStyle name="Input 3 3 2 4 2 4" xfId="18671" xr:uid="{00000000-0005-0000-0000-00008A530000}"/>
    <cellStyle name="Input 3 3 2 4 2 5" xfId="19703" xr:uid="{00000000-0005-0000-0000-00008B530000}"/>
    <cellStyle name="Input 3 3 2 4 2 6" xfId="20725" xr:uid="{00000000-0005-0000-0000-00008C530000}"/>
    <cellStyle name="Input 3 3 2 4 2 7" xfId="21736" xr:uid="{00000000-0005-0000-0000-00008D530000}"/>
    <cellStyle name="Input 3 3 2 4 2 8" xfId="22707" xr:uid="{00000000-0005-0000-0000-00008E530000}"/>
    <cellStyle name="Input 3 3 2 4 2 9" xfId="23712" xr:uid="{00000000-0005-0000-0000-00008F530000}"/>
    <cellStyle name="Input 3 3 2 4 20" xfId="36260" xr:uid="{00000000-0005-0000-0000-000090530000}"/>
    <cellStyle name="Input 3 3 2 4 21" xfId="37199" xr:uid="{00000000-0005-0000-0000-000091530000}"/>
    <cellStyle name="Input 3 3 2 4 3" xfId="16664" xr:uid="{00000000-0005-0000-0000-000092530000}"/>
    <cellStyle name="Input 3 3 2 4 4" xfId="17643" xr:uid="{00000000-0005-0000-0000-000093530000}"/>
    <cellStyle name="Input 3 3 2 4 5" xfId="18670" xr:uid="{00000000-0005-0000-0000-000094530000}"/>
    <cellStyle name="Input 3 3 2 4 6" xfId="19702" xr:uid="{00000000-0005-0000-0000-000095530000}"/>
    <cellStyle name="Input 3 3 2 4 7" xfId="20724" xr:uid="{00000000-0005-0000-0000-000096530000}"/>
    <cellStyle name="Input 3 3 2 4 8" xfId="21735" xr:uid="{00000000-0005-0000-0000-000097530000}"/>
    <cellStyle name="Input 3 3 2 4 9" xfId="22706" xr:uid="{00000000-0005-0000-0000-000098530000}"/>
    <cellStyle name="Input 3 3 2 5" xfId="4872" xr:uid="{00000000-0005-0000-0000-000099530000}"/>
    <cellStyle name="Input 3 3 2 5 10" xfId="24685" xr:uid="{00000000-0005-0000-0000-00009A530000}"/>
    <cellStyle name="Input 3 3 2 5 11" xfId="25684" xr:uid="{00000000-0005-0000-0000-00009B530000}"/>
    <cellStyle name="Input 3 3 2 5 12" xfId="28631" xr:uid="{00000000-0005-0000-0000-00009C530000}"/>
    <cellStyle name="Input 3 3 2 5 13" xfId="29598" xr:uid="{00000000-0005-0000-0000-00009D530000}"/>
    <cellStyle name="Input 3 3 2 5 14" xfId="30640" xr:uid="{00000000-0005-0000-0000-00009E530000}"/>
    <cellStyle name="Input 3 3 2 5 15" xfId="31631" xr:uid="{00000000-0005-0000-0000-00009F530000}"/>
    <cellStyle name="Input 3 3 2 5 16" xfId="32639" xr:uid="{00000000-0005-0000-0000-0000A0530000}"/>
    <cellStyle name="Input 3 3 2 5 17" xfId="33642" xr:uid="{00000000-0005-0000-0000-0000A1530000}"/>
    <cellStyle name="Input 3 3 2 5 18" xfId="34641" xr:uid="{00000000-0005-0000-0000-0000A2530000}"/>
    <cellStyle name="Input 3 3 2 5 19" xfId="36262" xr:uid="{00000000-0005-0000-0000-0000A3530000}"/>
    <cellStyle name="Input 3 3 2 5 2" xfId="16666" xr:uid="{00000000-0005-0000-0000-0000A4530000}"/>
    <cellStyle name="Input 3 3 2 5 20" xfId="37201" xr:uid="{00000000-0005-0000-0000-0000A5530000}"/>
    <cellStyle name="Input 3 3 2 5 3" xfId="17645" xr:uid="{00000000-0005-0000-0000-0000A6530000}"/>
    <cellStyle name="Input 3 3 2 5 4" xfId="18672" xr:uid="{00000000-0005-0000-0000-0000A7530000}"/>
    <cellStyle name="Input 3 3 2 5 5" xfId="19704" xr:uid="{00000000-0005-0000-0000-0000A8530000}"/>
    <cellStyle name="Input 3 3 2 5 6" xfId="20726" xr:uid="{00000000-0005-0000-0000-0000A9530000}"/>
    <cellStyle name="Input 3 3 2 5 7" xfId="21737" xr:uid="{00000000-0005-0000-0000-0000AA530000}"/>
    <cellStyle name="Input 3 3 2 5 8" xfId="22708" xr:uid="{00000000-0005-0000-0000-0000AB530000}"/>
    <cellStyle name="Input 3 3 2 5 9" xfId="23713" xr:uid="{00000000-0005-0000-0000-0000AC530000}"/>
    <cellStyle name="Input 3 3 2 6" xfId="15200" xr:uid="{00000000-0005-0000-0000-0000AD530000}"/>
    <cellStyle name="Input 3 3 2 7" xfId="13815" xr:uid="{00000000-0005-0000-0000-0000AE530000}"/>
    <cellStyle name="Input 3 3 2 8" xfId="14801" xr:uid="{00000000-0005-0000-0000-0000AF530000}"/>
    <cellStyle name="Input 3 3 2 9" xfId="15838" xr:uid="{00000000-0005-0000-0000-0000B0530000}"/>
    <cellStyle name="Input 3 3 20" xfId="27572" xr:uid="{00000000-0005-0000-0000-0000B1530000}"/>
    <cellStyle name="Input 3 3 21" xfId="27561" xr:uid="{00000000-0005-0000-0000-0000B2530000}"/>
    <cellStyle name="Input 3 3 22" xfId="34985" xr:uid="{00000000-0005-0000-0000-0000B3530000}"/>
    <cellStyle name="Input 3 3 23" xfId="35350" xr:uid="{00000000-0005-0000-0000-0000B4530000}"/>
    <cellStyle name="Input 3 3 3" xfId="4873" xr:uid="{00000000-0005-0000-0000-0000B5530000}"/>
    <cellStyle name="Input 3 3 3 10" xfId="15710" xr:uid="{00000000-0005-0000-0000-0000B6530000}"/>
    <cellStyle name="Input 3 3 3 11" xfId="14407" xr:uid="{00000000-0005-0000-0000-0000B7530000}"/>
    <cellStyle name="Input 3 3 3 12" xfId="26481" xr:uid="{00000000-0005-0000-0000-0000B8530000}"/>
    <cellStyle name="Input 3 3 3 13" xfId="27069" xr:uid="{00000000-0005-0000-0000-0000B9530000}"/>
    <cellStyle name="Input 3 3 3 14" xfId="26183" xr:uid="{00000000-0005-0000-0000-0000BA530000}"/>
    <cellStyle name="Input 3 3 3 15" xfId="27274" xr:uid="{00000000-0005-0000-0000-0000BB530000}"/>
    <cellStyle name="Input 3 3 3 16" xfId="25946" xr:uid="{00000000-0005-0000-0000-0000BC530000}"/>
    <cellStyle name="Input 3 3 3 17" xfId="26230" xr:uid="{00000000-0005-0000-0000-0000BD530000}"/>
    <cellStyle name="Input 3 3 3 18" xfId="35164" xr:uid="{00000000-0005-0000-0000-0000BE530000}"/>
    <cellStyle name="Input 3 3 3 19" xfId="35225" xr:uid="{00000000-0005-0000-0000-0000BF530000}"/>
    <cellStyle name="Input 3 3 3 2" xfId="4874" xr:uid="{00000000-0005-0000-0000-0000C0530000}"/>
    <cellStyle name="Input 3 3 3 2 10" xfId="23714" xr:uid="{00000000-0005-0000-0000-0000C1530000}"/>
    <cellStyle name="Input 3 3 3 2 11" xfId="24686" xr:uid="{00000000-0005-0000-0000-0000C2530000}"/>
    <cellStyle name="Input 3 3 3 2 12" xfId="25685" xr:uid="{00000000-0005-0000-0000-0000C3530000}"/>
    <cellStyle name="Input 3 3 3 2 13" xfId="28632" xr:uid="{00000000-0005-0000-0000-0000C4530000}"/>
    <cellStyle name="Input 3 3 3 2 14" xfId="29599" xr:uid="{00000000-0005-0000-0000-0000C5530000}"/>
    <cellStyle name="Input 3 3 3 2 15" xfId="30641" xr:uid="{00000000-0005-0000-0000-0000C6530000}"/>
    <cellStyle name="Input 3 3 3 2 16" xfId="31632" xr:uid="{00000000-0005-0000-0000-0000C7530000}"/>
    <cellStyle name="Input 3 3 3 2 17" xfId="32640" xr:uid="{00000000-0005-0000-0000-0000C8530000}"/>
    <cellStyle name="Input 3 3 3 2 18" xfId="33643" xr:uid="{00000000-0005-0000-0000-0000C9530000}"/>
    <cellStyle name="Input 3 3 3 2 19" xfId="34642" xr:uid="{00000000-0005-0000-0000-0000CA530000}"/>
    <cellStyle name="Input 3 3 3 2 2" xfId="4875" xr:uid="{00000000-0005-0000-0000-0000CB530000}"/>
    <cellStyle name="Input 3 3 3 2 2 10" xfId="24687" xr:uid="{00000000-0005-0000-0000-0000CC530000}"/>
    <cellStyle name="Input 3 3 3 2 2 11" xfId="25686" xr:uid="{00000000-0005-0000-0000-0000CD530000}"/>
    <cellStyle name="Input 3 3 3 2 2 12" xfId="28633" xr:uid="{00000000-0005-0000-0000-0000CE530000}"/>
    <cellStyle name="Input 3 3 3 2 2 13" xfId="29600" xr:uid="{00000000-0005-0000-0000-0000CF530000}"/>
    <cellStyle name="Input 3 3 3 2 2 14" xfId="30642" xr:uid="{00000000-0005-0000-0000-0000D0530000}"/>
    <cellStyle name="Input 3 3 3 2 2 15" xfId="31633" xr:uid="{00000000-0005-0000-0000-0000D1530000}"/>
    <cellStyle name="Input 3 3 3 2 2 16" xfId="32641" xr:uid="{00000000-0005-0000-0000-0000D2530000}"/>
    <cellStyle name="Input 3 3 3 2 2 17" xfId="33644" xr:uid="{00000000-0005-0000-0000-0000D3530000}"/>
    <cellStyle name="Input 3 3 3 2 2 18" xfId="34643" xr:uid="{00000000-0005-0000-0000-0000D4530000}"/>
    <cellStyle name="Input 3 3 3 2 2 19" xfId="36264" xr:uid="{00000000-0005-0000-0000-0000D5530000}"/>
    <cellStyle name="Input 3 3 3 2 2 2" xfId="16668" xr:uid="{00000000-0005-0000-0000-0000D6530000}"/>
    <cellStyle name="Input 3 3 3 2 2 20" xfId="37203" xr:uid="{00000000-0005-0000-0000-0000D7530000}"/>
    <cellStyle name="Input 3 3 3 2 2 3" xfId="17647" xr:uid="{00000000-0005-0000-0000-0000D8530000}"/>
    <cellStyle name="Input 3 3 3 2 2 4" xfId="18674" xr:uid="{00000000-0005-0000-0000-0000D9530000}"/>
    <cellStyle name="Input 3 3 3 2 2 5" xfId="19706" xr:uid="{00000000-0005-0000-0000-0000DA530000}"/>
    <cellStyle name="Input 3 3 3 2 2 6" xfId="20728" xr:uid="{00000000-0005-0000-0000-0000DB530000}"/>
    <cellStyle name="Input 3 3 3 2 2 7" xfId="21739" xr:uid="{00000000-0005-0000-0000-0000DC530000}"/>
    <cellStyle name="Input 3 3 3 2 2 8" xfId="22710" xr:uid="{00000000-0005-0000-0000-0000DD530000}"/>
    <cellStyle name="Input 3 3 3 2 2 9" xfId="23715" xr:uid="{00000000-0005-0000-0000-0000DE530000}"/>
    <cellStyle name="Input 3 3 3 2 20" xfId="36263" xr:uid="{00000000-0005-0000-0000-0000DF530000}"/>
    <cellStyle name="Input 3 3 3 2 21" xfId="37202" xr:uid="{00000000-0005-0000-0000-0000E0530000}"/>
    <cellStyle name="Input 3 3 3 2 3" xfId="16667" xr:uid="{00000000-0005-0000-0000-0000E1530000}"/>
    <cellStyle name="Input 3 3 3 2 4" xfId="17646" xr:uid="{00000000-0005-0000-0000-0000E2530000}"/>
    <cellStyle name="Input 3 3 3 2 5" xfId="18673" xr:uid="{00000000-0005-0000-0000-0000E3530000}"/>
    <cellStyle name="Input 3 3 3 2 6" xfId="19705" xr:uid="{00000000-0005-0000-0000-0000E4530000}"/>
    <cellStyle name="Input 3 3 3 2 7" xfId="20727" xr:uid="{00000000-0005-0000-0000-0000E5530000}"/>
    <cellStyle name="Input 3 3 3 2 8" xfId="21738" xr:uid="{00000000-0005-0000-0000-0000E6530000}"/>
    <cellStyle name="Input 3 3 3 2 9" xfId="22709" xr:uid="{00000000-0005-0000-0000-0000E7530000}"/>
    <cellStyle name="Input 3 3 3 3" xfId="4876" xr:uid="{00000000-0005-0000-0000-0000E8530000}"/>
    <cellStyle name="Input 3 3 3 3 10" xfId="23716" xr:uid="{00000000-0005-0000-0000-0000E9530000}"/>
    <cellStyle name="Input 3 3 3 3 11" xfId="24688" xr:uid="{00000000-0005-0000-0000-0000EA530000}"/>
    <cellStyle name="Input 3 3 3 3 12" xfId="25687" xr:uid="{00000000-0005-0000-0000-0000EB530000}"/>
    <cellStyle name="Input 3 3 3 3 13" xfId="28634" xr:uid="{00000000-0005-0000-0000-0000EC530000}"/>
    <cellStyle name="Input 3 3 3 3 14" xfId="29601" xr:uid="{00000000-0005-0000-0000-0000ED530000}"/>
    <cellStyle name="Input 3 3 3 3 15" xfId="30643" xr:uid="{00000000-0005-0000-0000-0000EE530000}"/>
    <cellStyle name="Input 3 3 3 3 16" xfId="31634" xr:uid="{00000000-0005-0000-0000-0000EF530000}"/>
    <cellStyle name="Input 3 3 3 3 17" xfId="32642" xr:uid="{00000000-0005-0000-0000-0000F0530000}"/>
    <cellStyle name="Input 3 3 3 3 18" xfId="33645" xr:uid="{00000000-0005-0000-0000-0000F1530000}"/>
    <cellStyle name="Input 3 3 3 3 19" xfId="34644" xr:uid="{00000000-0005-0000-0000-0000F2530000}"/>
    <cellStyle name="Input 3 3 3 3 2" xfId="4877" xr:uid="{00000000-0005-0000-0000-0000F3530000}"/>
    <cellStyle name="Input 3 3 3 3 2 10" xfId="24689" xr:uid="{00000000-0005-0000-0000-0000F4530000}"/>
    <cellStyle name="Input 3 3 3 3 2 11" xfId="25688" xr:uid="{00000000-0005-0000-0000-0000F5530000}"/>
    <cellStyle name="Input 3 3 3 3 2 12" xfId="28635" xr:uid="{00000000-0005-0000-0000-0000F6530000}"/>
    <cellStyle name="Input 3 3 3 3 2 13" xfId="29602" xr:uid="{00000000-0005-0000-0000-0000F7530000}"/>
    <cellStyle name="Input 3 3 3 3 2 14" xfId="30644" xr:uid="{00000000-0005-0000-0000-0000F8530000}"/>
    <cellStyle name="Input 3 3 3 3 2 15" xfId="31635" xr:uid="{00000000-0005-0000-0000-0000F9530000}"/>
    <cellStyle name="Input 3 3 3 3 2 16" xfId="32643" xr:uid="{00000000-0005-0000-0000-0000FA530000}"/>
    <cellStyle name="Input 3 3 3 3 2 17" xfId="33646" xr:uid="{00000000-0005-0000-0000-0000FB530000}"/>
    <cellStyle name="Input 3 3 3 3 2 18" xfId="34645" xr:uid="{00000000-0005-0000-0000-0000FC530000}"/>
    <cellStyle name="Input 3 3 3 3 2 19" xfId="36266" xr:uid="{00000000-0005-0000-0000-0000FD530000}"/>
    <cellStyle name="Input 3 3 3 3 2 2" xfId="16670" xr:uid="{00000000-0005-0000-0000-0000FE530000}"/>
    <cellStyle name="Input 3 3 3 3 2 20" xfId="37205" xr:uid="{00000000-0005-0000-0000-0000FF530000}"/>
    <cellStyle name="Input 3 3 3 3 2 3" xfId="17649" xr:uid="{00000000-0005-0000-0000-000000540000}"/>
    <cellStyle name="Input 3 3 3 3 2 4" xfId="18676" xr:uid="{00000000-0005-0000-0000-000001540000}"/>
    <cellStyle name="Input 3 3 3 3 2 5" xfId="19708" xr:uid="{00000000-0005-0000-0000-000002540000}"/>
    <cellStyle name="Input 3 3 3 3 2 6" xfId="20730" xr:uid="{00000000-0005-0000-0000-000003540000}"/>
    <cellStyle name="Input 3 3 3 3 2 7" xfId="21741" xr:uid="{00000000-0005-0000-0000-000004540000}"/>
    <cellStyle name="Input 3 3 3 3 2 8" xfId="22712" xr:uid="{00000000-0005-0000-0000-000005540000}"/>
    <cellStyle name="Input 3 3 3 3 2 9" xfId="23717" xr:uid="{00000000-0005-0000-0000-000006540000}"/>
    <cellStyle name="Input 3 3 3 3 20" xfId="36265" xr:uid="{00000000-0005-0000-0000-000007540000}"/>
    <cellStyle name="Input 3 3 3 3 21" xfId="37204" xr:uid="{00000000-0005-0000-0000-000008540000}"/>
    <cellStyle name="Input 3 3 3 3 3" xfId="16669" xr:uid="{00000000-0005-0000-0000-000009540000}"/>
    <cellStyle name="Input 3 3 3 3 4" xfId="17648" xr:uid="{00000000-0005-0000-0000-00000A540000}"/>
    <cellStyle name="Input 3 3 3 3 5" xfId="18675" xr:uid="{00000000-0005-0000-0000-00000B540000}"/>
    <cellStyle name="Input 3 3 3 3 6" xfId="19707" xr:uid="{00000000-0005-0000-0000-00000C540000}"/>
    <cellStyle name="Input 3 3 3 3 7" xfId="20729" xr:uid="{00000000-0005-0000-0000-00000D540000}"/>
    <cellStyle name="Input 3 3 3 3 8" xfId="21740" xr:uid="{00000000-0005-0000-0000-00000E540000}"/>
    <cellStyle name="Input 3 3 3 3 9" xfId="22711" xr:uid="{00000000-0005-0000-0000-00000F540000}"/>
    <cellStyle name="Input 3 3 3 4" xfId="4878" xr:uid="{00000000-0005-0000-0000-000010540000}"/>
    <cellStyle name="Input 3 3 3 4 10" xfId="23718" xr:uid="{00000000-0005-0000-0000-000011540000}"/>
    <cellStyle name="Input 3 3 3 4 11" xfId="24690" xr:uid="{00000000-0005-0000-0000-000012540000}"/>
    <cellStyle name="Input 3 3 3 4 12" xfId="25689" xr:uid="{00000000-0005-0000-0000-000013540000}"/>
    <cellStyle name="Input 3 3 3 4 13" xfId="28636" xr:uid="{00000000-0005-0000-0000-000014540000}"/>
    <cellStyle name="Input 3 3 3 4 14" xfId="29603" xr:uid="{00000000-0005-0000-0000-000015540000}"/>
    <cellStyle name="Input 3 3 3 4 15" xfId="30645" xr:uid="{00000000-0005-0000-0000-000016540000}"/>
    <cellStyle name="Input 3 3 3 4 16" xfId="31636" xr:uid="{00000000-0005-0000-0000-000017540000}"/>
    <cellStyle name="Input 3 3 3 4 17" xfId="32644" xr:uid="{00000000-0005-0000-0000-000018540000}"/>
    <cellStyle name="Input 3 3 3 4 18" xfId="33647" xr:uid="{00000000-0005-0000-0000-000019540000}"/>
    <cellStyle name="Input 3 3 3 4 19" xfId="34646" xr:uid="{00000000-0005-0000-0000-00001A540000}"/>
    <cellStyle name="Input 3 3 3 4 2" xfId="4879" xr:uid="{00000000-0005-0000-0000-00001B540000}"/>
    <cellStyle name="Input 3 3 3 4 2 10" xfId="24691" xr:uid="{00000000-0005-0000-0000-00001C540000}"/>
    <cellStyle name="Input 3 3 3 4 2 11" xfId="25690" xr:uid="{00000000-0005-0000-0000-00001D540000}"/>
    <cellStyle name="Input 3 3 3 4 2 12" xfId="28637" xr:uid="{00000000-0005-0000-0000-00001E540000}"/>
    <cellStyle name="Input 3 3 3 4 2 13" xfId="29604" xr:uid="{00000000-0005-0000-0000-00001F540000}"/>
    <cellStyle name="Input 3 3 3 4 2 14" xfId="30646" xr:uid="{00000000-0005-0000-0000-000020540000}"/>
    <cellStyle name="Input 3 3 3 4 2 15" xfId="31637" xr:uid="{00000000-0005-0000-0000-000021540000}"/>
    <cellStyle name="Input 3 3 3 4 2 16" xfId="32645" xr:uid="{00000000-0005-0000-0000-000022540000}"/>
    <cellStyle name="Input 3 3 3 4 2 17" xfId="33648" xr:uid="{00000000-0005-0000-0000-000023540000}"/>
    <cellStyle name="Input 3 3 3 4 2 18" xfId="34647" xr:uid="{00000000-0005-0000-0000-000024540000}"/>
    <cellStyle name="Input 3 3 3 4 2 19" xfId="36268" xr:uid="{00000000-0005-0000-0000-000025540000}"/>
    <cellStyle name="Input 3 3 3 4 2 2" xfId="16672" xr:uid="{00000000-0005-0000-0000-000026540000}"/>
    <cellStyle name="Input 3 3 3 4 2 20" xfId="37207" xr:uid="{00000000-0005-0000-0000-000027540000}"/>
    <cellStyle name="Input 3 3 3 4 2 3" xfId="17651" xr:uid="{00000000-0005-0000-0000-000028540000}"/>
    <cellStyle name="Input 3 3 3 4 2 4" xfId="18678" xr:uid="{00000000-0005-0000-0000-000029540000}"/>
    <cellStyle name="Input 3 3 3 4 2 5" xfId="19710" xr:uid="{00000000-0005-0000-0000-00002A540000}"/>
    <cellStyle name="Input 3 3 3 4 2 6" xfId="20732" xr:uid="{00000000-0005-0000-0000-00002B540000}"/>
    <cellStyle name="Input 3 3 3 4 2 7" xfId="21743" xr:uid="{00000000-0005-0000-0000-00002C540000}"/>
    <cellStyle name="Input 3 3 3 4 2 8" xfId="22714" xr:uid="{00000000-0005-0000-0000-00002D540000}"/>
    <cellStyle name="Input 3 3 3 4 2 9" xfId="23719" xr:uid="{00000000-0005-0000-0000-00002E540000}"/>
    <cellStyle name="Input 3 3 3 4 20" xfId="36267" xr:uid="{00000000-0005-0000-0000-00002F540000}"/>
    <cellStyle name="Input 3 3 3 4 21" xfId="37206" xr:uid="{00000000-0005-0000-0000-000030540000}"/>
    <cellStyle name="Input 3 3 3 4 3" xfId="16671" xr:uid="{00000000-0005-0000-0000-000031540000}"/>
    <cellStyle name="Input 3 3 3 4 4" xfId="17650" xr:uid="{00000000-0005-0000-0000-000032540000}"/>
    <cellStyle name="Input 3 3 3 4 5" xfId="18677" xr:uid="{00000000-0005-0000-0000-000033540000}"/>
    <cellStyle name="Input 3 3 3 4 6" xfId="19709" xr:uid="{00000000-0005-0000-0000-000034540000}"/>
    <cellStyle name="Input 3 3 3 4 7" xfId="20731" xr:uid="{00000000-0005-0000-0000-000035540000}"/>
    <cellStyle name="Input 3 3 3 4 8" xfId="21742" xr:uid="{00000000-0005-0000-0000-000036540000}"/>
    <cellStyle name="Input 3 3 3 4 9" xfId="22713" xr:uid="{00000000-0005-0000-0000-000037540000}"/>
    <cellStyle name="Input 3 3 3 5" xfId="4880" xr:uid="{00000000-0005-0000-0000-000038540000}"/>
    <cellStyle name="Input 3 3 3 5 10" xfId="24692" xr:uid="{00000000-0005-0000-0000-000039540000}"/>
    <cellStyle name="Input 3 3 3 5 11" xfId="25691" xr:uid="{00000000-0005-0000-0000-00003A540000}"/>
    <cellStyle name="Input 3 3 3 5 12" xfId="28638" xr:uid="{00000000-0005-0000-0000-00003B540000}"/>
    <cellStyle name="Input 3 3 3 5 13" xfId="29605" xr:uid="{00000000-0005-0000-0000-00003C540000}"/>
    <cellStyle name="Input 3 3 3 5 14" xfId="30647" xr:uid="{00000000-0005-0000-0000-00003D540000}"/>
    <cellStyle name="Input 3 3 3 5 15" xfId="31638" xr:uid="{00000000-0005-0000-0000-00003E540000}"/>
    <cellStyle name="Input 3 3 3 5 16" xfId="32646" xr:uid="{00000000-0005-0000-0000-00003F540000}"/>
    <cellStyle name="Input 3 3 3 5 17" xfId="33649" xr:uid="{00000000-0005-0000-0000-000040540000}"/>
    <cellStyle name="Input 3 3 3 5 18" xfId="34648" xr:uid="{00000000-0005-0000-0000-000041540000}"/>
    <cellStyle name="Input 3 3 3 5 19" xfId="36269" xr:uid="{00000000-0005-0000-0000-000042540000}"/>
    <cellStyle name="Input 3 3 3 5 2" xfId="16673" xr:uid="{00000000-0005-0000-0000-000043540000}"/>
    <cellStyle name="Input 3 3 3 5 20" xfId="37208" xr:uid="{00000000-0005-0000-0000-000044540000}"/>
    <cellStyle name="Input 3 3 3 5 3" xfId="17652" xr:uid="{00000000-0005-0000-0000-000045540000}"/>
    <cellStyle name="Input 3 3 3 5 4" xfId="18679" xr:uid="{00000000-0005-0000-0000-000046540000}"/>
    <cellStyle name="Input 3 3 3 5 5" xfId="19711" xr:uid="{00000000-0005-0000-0000-000047540000}"/>
    <cellStyle name="Input 3 3 3 5 6" xfId="20733" xr:uid="{00000000-0005-0000-0000-000048540000}"/>
    <cellStyle name="Input 3 3 3 5 7" xfId="21744" xr:uid="{00000000-0005-0000-0000-000049540000}"/>
    <cellStyle name="Input 3 3 3 5 8" xfId="22715" xr:uid="{00000000-0005-0000-0000-00004A540000}"/>
    <cellStyle name="Input 3 3 3 5 9" xfId="23720" xr:uid="{00000000-0005-0000-0000-00004B540000}"/>
    <cellStyle name="Input 3 3 3 6" xfId="14074" xr:uid="{00000000-0005-0000-0000-00004C540000}"/>
    <cellStyle name="Input 3 3 3 7" xfId="13406" xr:uid="{00000000-0005-0000-0000-00004D540000}"/>
    <cellStyle name="Input 3 3 3 8" xfId="15558" xr:uid="{00000000-0005-0000-0000-00004E540000}"/>
    <cellStyle name="Input 3 3 3 9" xfId="13542" xr:uid="{00000000-0005-0000-0000-00004F540000}"/>
    <cellStyle name="Input 3 3 4" xfId="4881" xr:uid="{00000000-0005-0000-0000-000050540000}"/>
    <cellStyle name="Input 3 3 4 10" xfId="13937" xr:uid="{00000000-0005-0000-0000-000051540000}"/>
    <cellStyle name="Input 3 3 4 11" xfId="14539" xr:uid="{00000000-0005-0000-0000-000052540000}"/>
    <cellStyle name="Input 3 3 4 12" xfId="26432" xr:uid="{00000000-0005-0000-0000-000053540000}"/>
    <cellStyle name="Input 3 3 4 13" xfId="26032" xr:uid="{00000000-0005-0000-0000-000054540000}"/>
    <cellStyle name="Input 3 3 4 14" xfId="26504" xr:uid="{00000000-0005-0000-0000-000055540000}"/>
    <cellStyle name="Input 3 3 4 15" xfId="26556" xr:uid="{00000000-0005-0000-0000-000056540000}"/>
    <cellStyle name="Input 3 3 4 16" xfId="27430" xr:uid="{00000000-0005-0000-0000-000057540000}"/>
    <cellStyle name="Input 3 3 4 17" xfId="25986" xr:uid="{00000000-0005-0000-0000-000058540000}"/>
    <cellStyle name="Input 3 3 4 18" xfId="35120" xr:uid="{00000000-0005-0000-0000-000059540000}"/>
    <cellStyle name="Input 3 3 4 19" xfId="35416" xr:uid="{00000000-0005-0000-0000-00005A540000}"/>
    <cellStyle name="Input 3 3 4 2" xfId="4882" xr:uid="{00000000-0005-0000-0000-00005B540000}"/>
    <cellStyle name="Input 3 3 4 2 10" xfId="23721" xr:uid="{00000000-0005-0000-0000-00005C540000}"/>
    <cellStyle name="Input 3 3 4 2 11" xfId="24693" xr:uid="{00000000-0005-0000-0000-00005D540000}"/>
    <cellStyle name="Input 3 3 4 2 12" xfId="25692" xr:uid="{00000000-0005-0000-0000-00005E540000}"/>
    <cellStyle name="Input 3 3 4 2 13" xfId="28639" xr:uid="{00000000-0005-0000-0000-00005F540000}"/>
    <cellStyle name="Input 3 3 4 2 14" xfId="29606" xr:uid="{00000000-0005-0000-0000-000060540000}"/>
    <cellStyle name="Input 3 3 4 2 15" xfId="30648" xr:uid="{00000000-0005-0000-0000-000061540000}"/>
    <cellStyle name="Input 3 3 4 2 16" xfId="31639" xr:uid="{00000000-0005-0000-0000-000062540000}"/>
    <cellStyle name="Input 3 3 4 2 17" xfId="32647" xr:uid="{00000000-0005-0000-0000-000063540000}"/>
    <cellStyle name="Input 3 3 4 2 18" xfId="33650" xr:uid="{00000000-0005-0000-0000-000064540000}"/>
    <cellStyle name="Input 3 3 4 2 19" xfId="34649" xr:uid="{00000000-0005-0000-0000-000065540000}"/>
    <cellStyle name="Input 3 3 4 2 2" xfId="4883" xr:uid="{00000000-0005-0000-0000-000066540000}"/>
    <cellStyle name="Input 3 3 4 2 2 10" xfId="24694" xr:uid="{00000000-0005-0000-0000-000067540000}"/>
    <cellStyle name="Input 3 3 4 2 2 11" xfId="25693" xr:uid="{00000000-0005-0000-0000-000068540000}"/>
    <cellStyle name="Input 3 3 4 2 2 12" xfId="28640" xr:uid="{00000000-0005-0000-0000-000069540000}"/>
    <cellStyle name="Input 3 3 4 2 2 13" xfId="29607" xr:uid="{00000000-0005-0000-0000-00006A540000}"/>
    <cellStyle name="Input 3 3 4 2 2 14" xfId="30649" xr:uid="{00000000-0005-0000-0000-00006B540000}"/>
    <cellStyle name="Input 3 3 4 2 2 15" xfId="31640" xr:uid="{00000000-0005-0000-0000-00006C540000}"/>
    <cellStyle name="Input 3 3 4 2 2 16" xfId="32648" xr:uid="{00000000-0005-0000-0000-00006D540000}"/>
    <cellStyle name="Input 3 3 4 2 2 17" xfId="33651" xr:uid="{00000000-0005-0000-0000-00006E540000}"/>
    <cellStyle name="Input 3 3 4 2 2 18" xfId="34650" xr:uid="{00000000-0005-0000-0000-00006F540000}"/>
    <cellStyle name="Input 3 3 4 2 2 19" xfId="36271" xr:uid="{00000000-0005-0000-0000-000070540000}"/>
    <cellStyle name="Input 3 3 4 2 2 2" xfId="16675" xr:uid="{00000000-0005-0000-0000-000071540000}"/>
    <cellStyle name="Input 3 3 4 2 2 20" xfId="37210" xr:uid="{00000000-0005-0000-0000-000072540000}"/>
    <cellStyle name="Input 3 3 4 2 2 3" xfId="17654" xr:uid="{00000000-0005-0000-0000-000073540000}"/>
    <cellStyle name="Input 3 3 4 2 2 4" xfId="18681" xr:uid="{00000000-0005-0000-0000-000074540000}"/>
    <cellStyle name="Input 3 3 4 2 2 5" xfId="19713" xr:uid="{00000000-0005-0000-0000-000075540000}"/>
    <cellStyle name="Input 3 3 4 2 2 6" xfId="20735" xr:uid="{00000000-0005-0000-0000-000076540000}"/>
    <cellStyle name="Input 3 3 4 2 2 7" xfId="21746" xr:uid="{00000000-0005-0000-0000-000077540000}"/>
    <cellStyle name="Input 3 3 4 2 2 8" xfId="22717" xr:uid="{00000000-0005-0000-0000-000078540000}"/>
    <cellStyle name="Input 3 3 4 2 2 9" xfId="23722" xr:uid="{00000000-0005-0000-0000-000079540000}"/>
    <cellStyle name="Input 3 3 4 2 20" xfId="36270" xr:uid="{00000000-0005-0000-0000-00007A540000}"/>
    <cellStyle name="Input 3 3 4 2 21" xfId="37209" xr:uid="{00000000-0005-0000-0000-00007B540000}"/>
    <cellStyle name="Input 3 3 4 2 3" xfId="16674" xr:uid="{00000000-0005-0000-0000-00007C540000}"/>
    <cellStyle name="Input 3 3 4 2 4" xfId="17653" xr:uid="{00000000-0005-0000-0000-00007D540000}"/>
    <cellStyle name="Input 3 3 4 2 5" xfId="18680" xr:uid="{00000000-0005-0000-0000-00007E540000}"/>
    <cellStyle name="Input 3 3 4 2 6" xfId="19712" xr:uid="{00000000-0005-0000-0000-00007F540000}"/>
    <cellStyle name="Input 3 3 4 2 7" xfId="20734" xr:uid="{00000000-0005-0000-0000-000080540000}"/>
    <cellStyle name="Input 3 3 4 2 8" xfId="21745" xr:uid="{00000000-0005-0000-0000-000081540000}"/>
    <cellStyle name="Input 3 3 4 2 9" xfId="22716" xr:uid="{00000000-0005-0000-0000-000082540000}"/>
    <cellStyle name="Input 3 3 4 3" xfId="4884" xr:uid="{00000000-0005-0000-0000-000083540000}"/>
    <cellStyle name="Input 3 3 4 3 10" xfId="23723" xr:uid="{00000000-0005-0000-0000-000084540000}"/>
    <cellStyle name="Input 3 3 4 3 11" xfId="24695" xr:uid="{00000000-0005-0000-0000-000085540000}"/>
    <cellStyle name="Input 3 3 4 3 12" xfId="25694" xr:uid="{00000000-0005-0000-0000-000086540000}"/>
    <cellStyle name="Input 3 3 4 3 13" xfId="28641" xr:uid="{00000000-0005-0000-0000-000087540000}"/>
    <cellStyle name="Input 3 3 4 3 14" xfId="29608" xr:uid="{00000000-0005-0000-0000-000088540000}"/>
    <cellStyle name="Input 3 3 4 3 15" xfId="30650" xr:uid="{00000000-0005-0000-0000-000089540000}"/>
    <cellStyle name="Input 3 3 4 3 16" xfId="31641" xr:uid="{00000000-0005-0000-0000-00008A540000}"/>
    <cellStyle name="Input 3 3 4 3 17" xfId="32649" xr:uid="{00000000-0005-0000-0000-00008B540000}"/>
    <cellStyle name="Input 3 3 4 3 18" xfId="33652" xr:uid="{00000000-0005-0000-0000-00008C540000}"/>
    <cellStyle name="Input 3 3 4 3 19" xfId="34651" xr:uid="{00000000-0005-0000-0000-00008D540000}"/>
    <cellStyle name="Input 3 3 4 3 2" xfId="4885" xr:uid="{00000000-0005-0000-0000-00008E540000}"/>
    <cellStyle name="Input 3 3 4 3 2 10" xfId="24696" xr:uid="{00000000-0005-0000-0000-00008F540000}"/>
    <cellStyle name="Input 3 3 4 3 2 11" xfId="25695" xr:uid="{00000000-0005-0000-0000-000090540000}"/>
    <cellStyle name="Input 3 3 4 3 2 12" xfId="28642" xr:uid="{00000000-0005-0000-0000-000091540000}"/>
    <cellStyle name="Input 3 3 4 3 2 13" xfId="29609" xr:uid="{00000000-0005-0000-0000-000092540000}"/>
    <cellStyle name="Input 3 3 4 3 2 14" xfId="30651" xr:uid="{00000000-0005-0000-0000-000093540000}"/>
    <cellStyle name="Input 3 3 4 3 2 15" xfId="31642" xr:uid="{00000000-0005-0000-0000-000094540000}"/>
    <cellStyle name="Input 3 3 4 3 2 16" xfId="32650" xr:uid="{00000000-0005-0000-0000-000095540000}"/>
    <cellStyle name="Input 3 3 4 3 2 17" xfId="33653" xr:uid="{00000000-0005-0000-0000-000096540000}"/>
    <cellStyle name="Input 3 3 4 3 2 18" xfId="34652" xr:uid="{00000000-0005-0000-0000-000097540000}"/>
    <cellStyle name="Input 3 3 4 3 2 19" xfId="36273" xr:uid="{00000000-0005-0000-0000-000098540000}"/>
    <cellStyle name="Input 3 3 4 3 2 2" xfId="16677" xr:uid="{00000000-0005-0000-0000-000099540000}"/>
    <cellStyle name="Input 3 3 4 3 2 20" xfId="37212" xr:uid="{00000000-0005-0000-0000-00009A540000}"/>
    <cellStyle name="Input 3 3 4 3 2 3" xfId="17656" xr:uid="{00000000-0005-0000-0000-00009B540000}"/>
    <cellStyle name="Input 3 3 4 3 2 4" xfId="18683" xr:uid="{00000000-0005-0000-0000-00009C540000}"/>
    <cellStyle name="Input 3 3 4 3 2 5" xfId="19715" xr:uid="{00000000-0005-0000-0000-00009D540000}"/>
    <cellStyle name="Input 3 3 4 3 2 6" xfId="20737" xr:uid="{00000000-0005-0000-0000-00009E540000}"/>
    <cellStyle name="Input 3 3 4 3 2 7" xfId="21748" xr:uid="{00000000-0005-0000-0000-00009F540000}"/>
    <cellStyle name="Input 3 3 4 3 2 8" xfId="22719" xr:uid="{00000000-0005-0000-0000-0000A0540000}"/>
    <cellStyle name="Input 3 3 4 3 2 9" xfId="23724" xr:uid="{00000000-0005-0000-0000-0000A1540000}"/>
    <cellStyle name="Input 3 3 4 3 20" xfId="36272" xr:uid="{00000000-0005-0000-0000-0000A2540000}"/>
    <cellStyle name="Input 3 3 4 3 21" xfId="37211" xr:uid="{00000000-0005-0000-0000-0000A3540000}"/>
    <cellStyle name="Input 3 3 4 3 3" xfId="16676" xr:uid="{00000000-0005-0000-0000-0000A4540000}"/>
    <cellStyle name="Input 3 3 4 3 4" xfId="17655" xr:uid="{00000000-0005-0000-0000-0000A5540000}"/>
    <cellStyle name="Input 3 3 4 3 5" xfId="18682" xr:uid="{00000000-0005-0000-0000-0000A6540000}"/>
    <cellStyle name="Input 3 3 4 3 6" xfId="19714" xr:uid="{00000000-0005-0000-0000-0000A7540000}"/>
    <cellStyle name="Input 3 3 4 3 7" xfId="20736" xr:uid="{00000000-0005-0000-0000-0000A8540000}"/>
    <cellStyle name="Input 3 3 4 3 8" xfId="21747" xr:uid="{00000000-0005-0000-0000-0000A9540000}"/>
    <cellStyle name="Input 3 3 4 3 9" xfId="22718" xr:uid="{00000000-0005-0000-0000-0000AA540000}"/>
    <cellStyle name="Input 3 3 4 4" xfId="4886" xr:uid="{00000000-0005-0000-0000-0000AB540000}"/>
    <cellStyle name="Input 3 3 4 4 10" xfId="23725" xr:uid="{00000000-0005-0000-0000-0000AC540000}"/>
    <cellStyle name="Input 3 3 4 4 11" xfId="24697" xr:uid="{00000000-0005-0000-0000-0000AD540000}"/>
    <cellStyle name="Input 3 3 4 4 12" xfId="25696" xr:uid="{00000000-0005-0000-0000-0000AE540000}"/>
    <cellStyle name="Input 3 3 4 4 13" xfId="28643" xr:uid="{00000000-0005-0000-0000-0000AF540000}"/>
    <cellStyle name="Input 3 3 4 4 14" xfId="29610" xr:uid="{00000000-0005-0000-0000-0000B0540000}"/>
    <cellStyle name="Input 3 3 4 4 15" xfId="30652" xr:uid="{00000000-0005-0000-0000-0000B1540000}"/>
    <cellStyle name="Input 3 3 4 4 16" xfId="31643" xr:uid="{00000000-0005-0000-0000-0000B2540000}"/>
    <cellStyle name="Input 3 3 4 4 17" xfId="32651" xr:uid="{00000000-0005-0000-0000-0000B3540000}"/>
    <cellStyle name="Input 3 3 4 4 18" xfId="33654" xr:uid="{00000000-0005-0000-0000-0000B4540000}"/>
    <cellStyle name="Input 3 3 4 4 19" xfId="34653" xr:uid="{00000000-0005-0000-0000-0000B5540000}"/>
    <cellStyle name="Input 3 3 4 4 2" xfId="4887" xr:uid="{00000000-0005-0000-0000-0000B6540000}"/>
    <cellStyle name="Input 3 3 4 4 2 10" xfId="24698" xr:uid="{00000000-0005-0000-0000-0000B7540000}"/>
    <cellStyle name="Input 3 3 4 4 2 11" xfId="25697" xr:uid="{00000000-0005-0000-0000-0000B8540000}"/>
    <cellStyle name="Input 3 3 4 4 2 12" xfId="28644" xr:uid="{00000000-0005-0000-0000-0000B9540000}"/>
    <cellStyle name="Input 3 3 4 4 2 13" xfId="29611" xr:uid="{00000000-0005-0000-0000-0000BA540000}"/>
    <cellStyle name="Input 3 3 4 4 2 14" xfId="30653" xr:uid="{00000000-0005-0000-0000-0000BB540000}"/>
    <cellStyle name="Input 3 3 4 4 2 15" xfId="31644" xr:uid="{00000000-0005-0000-0000-0000BC540000}"/>
    <cellStyle name="Input 3 3 4 4 2 16" xfId="32652" xr:uid="{00000000-0005-0000-0000-0000BD540000}"/>
    <cellStyle name="Input 3 3 4 4 2 17" xfId="33655" xr:uid="{00000000-0005-0000-0000-0000BE540000}"/>
    <cellStyle name="Input 3 3 4 4 2 18" xfId="34654" xr:uid="{00000000-0005-0000-0000-0000BF540000}"/>
    <cellStyle name="Input 3 3 4 4 2 19" xfId="36275" xr:uid="{00000000-0005-0000-0000-0000C0540000}"/>
    <cellStyle name="Input 3 3 4 4 2 2" xfId="16679" xr:uid="{00000000-0005-0000-0000-0000C1540000}"/>
    <cellStyle name="Input 3 3 4 4 2 20" xfId="37214" xr:uid="{00000000-0005-0000-0000-0000C2540000}"/>
    <cellStyle name="Input 3 3 4 4 2 3" xfId="17658" xr:uid="{00000000-0005-0000-0000-0000C3540000}"/>
    <cellStyle name="Input 3 3 4 4 2 4" xfId="18685" xr:uid="{00000000-0005-0000-0000-0000C4540000}"/>
    <cellStyle name="Input 3 3 4 4 2 5" xfId="19717" xr:uid="{00000000-0005-0000-0000-0000C5540000}"/>
    <cellStyle name="Input 3 3 4 4 2 6" xfId="20739" xr:uid="{00000000-0005-0000-0000-0000C6540000}"/>
    <cellStyle name="Input 3 3 4 4 2 7" xfId="21750" xr:uid="{00000000-0005-0000-0000-0000C7540000}"/>
    <cellStyle name="Input 3 3 4 4 2 8" xfId="22721" xr:uid="{00000000-0005-0000-0000-0000C8540000}"/>
    <cellStyle name="Input 3 3 4 4 2 9" xfId="23726" xr:uid="{00000000-0005-0000-0000-0000C9540000}"/>
    <cellStyle name="Input 3 3 4 4 20" xfId="36274" xr:uid="{00000000-0005-0000-0000-0000CA540000}"/>
    <cellStyle name="Input 3 3 4 4 21" xfId="37213" xr:uid="{00000000-0005-0000-0000-0000CB540000}"/>
    <cellStyle name="Input 3 3 4 4 3" xfId="16678" xr:uid="{00000000-0005-0000-0000-0000CC540000}"/>
    <cellStyle name="Input 3 3 4 4 4" xfId="17657" xr:uid="{00000000-0005-0000-0000-0000CD540000}"/>
    <cellStyle name="Input 3 3 4 4 5" xfId="18684" xr:uid="{00000000-0005-0000-0000-0000CE540000}"/>
    <cellStyle name="Input 3 3 4 4 6" xfId="19716" xr:uid="{00000000-0005-0000-0000-0000CF540000}"/>
    <cellStyle name="Input 3 3 4 4 7" xfId="20738" xr:uid="{00000000-0005-0000-0000-0000D0540000}"/>
    <cellStyle name="Input 3 3 4 4 8" xfId="21749" xr:uid="{00000000-0005-0000-0000-0000D1540000}"/>
    <cellStyle name="Input 3 3 4 4 9" xfId="22720" xr:uid="{00000000-0005-0000-0000-0000D2540000}"/>
    <cellStyle name="Input 3 3 4 5" xfId="4888" xr:uid="{00000000-0005-0000-0000-0000D3540000}"/>
    <cellStyle name="Input 3 3 4 5 10" xfId="24699" xr:uid="{00000000-0005-0000-0000-0000D4540000}"/>
    <cellStyle name="Input 3 3 4 5 11" xfId="25698" xr:uid="{00000000-0005-0000-0000-0000D5540000}"/>
    <cellStyle name="Input 3 3 4 5 12" xfId="28645" xr:uid="{00000000-0005-0000-0000-0000D6540000}"/>
    <cellStyle name="Input 3 3 4 5 13" xfId="29612" xr:uid="{00000000-0005-0000-0000-0000D7540000}"/>
    <cellStyle name="Input 3 3 4 5 14" xfId="30654" xr:uid="{00000000-0005-0000-0000-0000D8540000}"/>
    <cellStyle name="Input 3 3 4 5 15" xfId="31645" xr:uid="{00000000-0005-0000-0000-0000D9540000}"/>
    <cellStyle name="Input 3 3 4 5 16" xfId="32653" xr:uid="{00000000-0005-0000-0000-0000DA540000}"/>
    <cellStyle name="Input 3 3 4 5 17" xfId="33656" xr:uid="{00000000-0005-0000-0000-0000DB540000}"/>
    <cellStyle name="Input 3 3 4 5 18" xfId="34655" xr:uid="{00000000-0005-0000-0000-0000DC540000}"/>
    <cellStyle name="Input 3 3 4 5 19" xfId="36276" xr:uid="{00000000-0005-0000-0000-0000DD540000}"/>
    <cellStyle name="Input 3 3 4 5 2" xfId="16680" xr:uid="{00000000-0005-0000-0000-0000DE540000}"/>
    <cellStyle name="Input 3 3 4 5 20" xfId="37215" xr:uid="{00000000-0005-0000-0000-0000DF540000}"/>
    <cellStyle name="Input 3 3 4 5 3" xfId="17659" xr:uid="{00000000-0005-0000-0000-0000E0540000}"/>
    <cellStyle name="Input 3 3 4 5 4" xfId="18686" xr:uid="{00000000-0005-0000-0000-0000E1540000}"/>
    <cellStyle name="Input 3 3 4 5 5" xfId="19718" xr:uid="{00000000-0005-0000-0000-0000E2540000}"/>
    <cellStyle name="Input 3 3 4 5 6" xfId="20740" xr:uid="{00000000-0005-0000-0000-0000E3540000}"/>
    <cellStyle name="Input 3 3 4 5 7" xfId="21751" xr:uid="{00000000-0005-0000-0000-0000E4540000}"/>
    <cellStyle name="Input 3 3 4 5 8" xfId="22722" xr:uid="{00000000-0005-0000-0000-0000E5540000}"/>
    <cellStyle name="Input 3 3 4 5 9" xfId="23727" xr:uid="{00000000-0005-0000-0000-0000E6540000}"/>
    <cellStyle name="Input 3 3 4 6" xfId="13549" xr:uid="{00000000-0005-0000-0000-0000E7540000}"/>
    <cellStyle name="Input 3 3 4 7" xfId="15601" xr:uid="{00000000-0005-0000-0000-0000E8540000}"/>
    <cellStyle name="Input 3 3 4 8" xfId="13403" xr:uid="{00000000-0005-0000-0000-0000E9540000}"/>
    <cellStyle name="Input 3 3 4 9" xfId="14172" xr:uid="{00000000-0005-0000-0000-0000EA540000}"/>
    <cellStyle name="Input 3 3 5" xfId="4889" xr:uid="{00000000-0005-0000-0000-0000EB540000}"/>
    <cellStyle name="Input 3 3 5 10" xfId="17868" xr:uid="{00000000-0005-0000-0000-0000EC540000}"/>
    <cellStyle name="Input 3 3 5 11" xfId="20902" xr:uid="{00000000-0005-0000-0000-0000ED540000}"/>
    <cellStyle name="Input 3 3 5 12" xfId="26495" xr:uid="{00000000-0005-0000-0000-0000EE540000}"/>
    <cellStyle name="Input 3 3 5 13" xfId="27060" xr:uid="{00000000-0005-0000-0000-0000EF540000}"/>
    <cellStyle name="Input 3 3 5 14" xfId="26189" xr:uid="{00000000-0005-0000-0000-0000F0540000}"/>
    <cellStyle name="Input 3 3 5 15" xfId="26618" xr:uid="{00000000-0005-0000-0000-0000F1540000}"/>
    <cellStyle name="Input 3 3 5 16" xfId="26663" xr:uid="{00000000-0005-0000-0000-0000F2540000}"/>
    <cellStyle name="Input 3 3 5 17" xfId="26017" xr:uid="{00000000-0005-0000-0000-0000F3540000}"/>
    <cellStyle name="Input 3 3 5 18" xfId="35178" xr:uid="{00000000-0005-0000-0000-0000F4540000}"/>
    <cellStyle name="Input 3 3 5 19" xfId="35215" xr:uid="{00000000-0005-0000-0000-0000F5540000}"/>
    <cellStyle name="Input 3 3 5 2" xfId="4890" xr:uid="{00000000-0005-0000-0000-0000F6540000}"/>
    <cellStyle name="Input 3 3 5 2 10" xfId="23728" xr:uid="{00000000-0005-0000-0000-0000F7540000}"/>
    <cellStyle name="Input 3 3 5 2 11" xfId="24700" xr:uid="{00000000-0005-0000-0000-0000F8540000}"/>
    <cellStyle name="Input 3 3 5 2 12" xfId="25699" xr:uid="{00000000-0005-0000-0000-0000F9540000}"/>
    <cellStyle name="Input 3 3 5 2 13" xfId="28646" xr:uid="{00000000-0005-0000-0000-0000FA540000}"/>
    <cellStyle name="Input 3 3 5 2 14" xfId="29613" xr:uid="{00000000-0005-0000-0000-0000FB540000}"/>
    <cellStyle name="Input 3 3 5 2 15" xfId="30655" xr:uid="{00000000-0005-0000-0000-0000FC540000}"/>
    <cellStyle name="Input 3 3 5 2 16" xfId="31646" xr:uid="{00000000-0005-0000-0000-0000FD540000}"/>
    <cellStyle name="Input 3 3 5 2 17" xfId="32654" xr:uid="{00000000-0005-0000-0000-0000FE540000}"/>
    <cellStyle name="Input 3 3 5 2 18" xfId="33657" xr:uid="{00000000-0005-0000-0000-0000FF540000}"/>
    <cellStyle name="Input 3 3 5 2 19" xfId="34656" xr:uid="{00000000-0005-0000-0000-000000550000}"/>
    <cellStyle name="Input 3 3 5 2 2" xfId="4891" xr:uid="{00000000-0005-0000-0000-000001550000}"/>
    <cellStyle name="Input 3 3 5 2 2 10" xfId="24701" xr:uid="{00000000-0005-0000-0000-000002550000}"/>
    <cellStyle name="Input 3 3 5 2 2 11" xfId="25700" xr:uid="{00000000-0005-0000-0000-000003550000}"/>
    <cellStyle name="Input 3 3 5 2 2 12" xfId="28647" xr:uid="{00000000-0005-0000-0000-000004550000}"/>
    <cellStyle name="Input 3 3 5 2 2 13" xfId="29614" xr:uid="{00000000-0005-0000-0000-000005550000}"/>
    <cellStyle name="Input 3 3 5 2 2 14" xfId="30656" xr:uid="{00000000-0005-0000-0000-000006550000}"/>
    <cellStyle name="Input 3 3 5 2 2 15" xfId="31647" xr:uid="{00000000-0005-0000-0000-000007550000}"/>
    <cellStyle name="Input 3 3 5 2 2 16" xfId="32655" xr:uid="{00000000-0005-0000-0000-000008550000}"/>
    <cellStyle name="Input 3 3 5 2 2 17" xfId="33658" xr:uid="{00000000-0005-0000-0000-000009550000}"/>
    <cellStyle name="Input 3 3 5 2 2 18" xfId="34657" xr:uid="{00000000-0005-0000-0000-00000A550000}"/>
    <cellStyle name="Input 3 3 5 2 2 19" xfId="36278" xr:uid="{00000000-0005-0000-0000-00000B550000}"/>
    <cellStyle name="Input 3 3 5 2 2 2" xfId="16682" xr:uid="{00000000-0005-0000-0000-00000C550000}"/>
    <cellStyle name="Input 3 3 5 2 2 20" xfId="37217" xr:uid="{00000000-0005-0000-0000-00000D550000}"/>
    <cellStyle name="Input 3 3 5 2 2 3" xfId="17661" xr:uid="{00000000-0005-0000-0000-00000E550000}"/>
    <cellStyle name="Input 3 3 5 2 2 4" xfId="18688" xr:uid="{00000000-0005-0000-0000-00000F550000}"/>
    <cellStyle name="Input 3 3 5 2 2 5" xfId="19720" xr:uid="{00000000-0005-0000-0000-000010550000}"/>
    <cellStyle name="Input 3 3 5 2 2 6" xfId="20742" xr:uid="{00000000-0005-0000-0000-000011550000}"/>
    <cellStyle name="Input 3 3 5 2 2 7" xfId="21753" xr:uid="{00000000-0005-0000-0000-000012550000}"/>
    <cellStyle name="Input 3 3 5 2 2 8" xfId="22724" xr:uid="{00000000-0005-0000-0000-000013550000}"/>
    <cellStyle name="Input 3 3 5 2 2 9" xfId="23729" xr:uid="{00000000-0005-0000-0000-000014550000}"/>
    <cellStyle name="Input 3 3 5 2 20" xfId="36277" xr:uid="{00000000-0005-0000-0000-000015550000}"/>
    <cellStyle name="Input 3 3 5 2 21" xfId="37216" xr:uid="{00000000-0005-0000-0000-000016550000}"/>
    <cellStyle name="Input 3 3 5 2 3" xfId="16681" xr:uid="{00000000-0005-0000-0000-000017550000}"/>
    <cellStyle name="Input 3 3 5 2 4" xfId="17660" xr:uid="{00000000-0005-0000-0000-000018550000}"/>
    <cellStyle name="Input 3 3 5 2 5" xfId="18687" xr:uid="{00000000-0005-0000-0000-000019550000}"/>
    <cellStyle name="Input 3 3 5 2 6" xfId="19719" xr:uid="{00000000-0005-0000-0000-00001A550000}"/>
    <cellStyle name="Input 3 3 5 2 7" xfId="20741" xr:uid="{00000000-0005-0000-0000-00001B550000}"/>
    <cellStyle name="Input 3 3 5 2 8" xfId="21752" xr:uid="{00000000-0005-0000-0000-00001C550000}"/>
    <cellStyle name="Input 3 3 5 2 9" xfId="22723" xr:uid="{00000000-0005-0000-0000-00001D550000}"/>
    <cellStyle name="Input 3 3 5 3" xfId="4892" xr:uid="{00000000-0005-0000-0000-00001E550000}"/>
    <cellStyle name="Input 3 3 5 3 10" xfId="23730" xr:uid="{00000000-0005-0000-0000-00001F550000}"/>
    <cellStyle name="Input 3 3 5 3 11" xfId="24702" xr:uid="{00000000-0005-0000-0000-000020550000}"/>
    <cellStyle name="Input 3 3 5 3 12" xfId="25701" xr:uid="{00000000-0005-0000-0000-000021550000}"/>
    <cellStyle name="Input 3 3 5 3 13" xfId="28648" xr:uid="{00000000-0005-0000-0000-000022550000}"/>
    <cellStyle name="Input 3 3 5 3 14" xfId="29615" xr:uid="{00000000-0005-0000-0000-000023550000}"/>
    <cellStyle name="Input 3 3 5 3 15" xfId="30657" xr:uid="{00000000-0005-0000-0000-000024550000}"/>
    <cellStyle name="Input 3 3 5 3 16" xfId="31648" xr:uid="{00000000-0005-0000-0000-000025550000}"/>
    <cellStyle name="Input 3 3 5 3 17" xfId="32656" xr:uid="{00000000-0005-0000-0000-000026550000}"/>
    <cellStyle name="Input 3 3 5 3 18" xfId="33659" xr:uid="{00000000-0005-0000-0000-000027550000}"/>
    <cellStyle name="Input 3 3 5 3 19" xfId="34658" xr:uid="{00000000-0005-0000-0000-000028550000}"/>
    <cellStyle name="Input 3 3 5 3 2" xfId="4893" xr:uid="{00000000-0005-0000-0000-000029550000}"/>
    <cellStyle name="Input 3 3 5 3 2 10" xfId="24703" xr:uid="{00000000-0005-0000-0000-00002A550000}"/>
    <cellStyle name="Input 3 3 5 3 2 11" xfId="25702" xr:uid="{00000000-0005-0000-0000-00002B550000}"/>
    <cellStyle name="Input 3 3 5 3 2 12" xfId="28649" xr:uid="{00000000-0005-0000-0000-00002C550000}"/>
    <cellStyle name="Input 3 3 5 3 2 13" xfId="29616" xr:uid="{00000000-0005-0000-0000-00002D550000}"/>
    <cellStyle name="Input 3 3 5 3 2 14" xfId="30658" xr:uid="{00000000-0005-0000-0000-00002E550000}"/>
    <cellStyle name="Input 3 3 5 3 2 15" xfId="31649" xr:uid="{00000000-0005-0000-0000-00002F550000}"/>
    <cellStyle name="Input 3 3 5 3 2 16" xfId="32657" xr:uid="{00000000-0005-0000-0000-000030550000}"/>
    <cellStyle name="Input 3 3 5 3 2 17" xfId="33660" xr:uid="{00000000-0005-0000-0000-000031550000}"/>
    <cellStyle name="Input 3 3 5 3 2 18" xfId="34659" xr:uid="{00000000-0005-0000-0000-000032550000}"/>
    <cellStyle name="Input 3 3 5 3 2 19" xfId="36280" xr:uid="{00000000-0005-0000-0000-000033550000}"/>
    <cellStyle name="Input 3 3 5 3 2 2" xfId="16684" xr:uid="{00000000-0005-0000-0000-000034550000}"/>
    <cellStyle name="Input 3 3 5 3 2 20" xfId="37219" xr:uid="{00000000-0005-0000-0000-000035550000}"/>
    <cellStyle name="Input 3 3 5 3 2 3" xfId="17663" xr:uid="{00000000-0005-0000-0000-000036550000}"/>
    <cellStyle name="Input 3 3 5 3 2 4" xfId="18690" xr:uid="{00000000-0005-0000-0000-000037550000}"/>
    <cellStyle name="Input 3 3 5 3 2 5" xfId="19722" xr:uid="{00000000-0005-0000-0000-000038550000}"/>
    <cellStyle name="Input 3 3 5 3 2 6" xfId="20744" xr:uid="{00000000-0005-0000-0000-000039550000}"/>
    <cellStyle name="Input 3 3 5 3 2 7" xfId="21755" xr:uid="{00000000-0005-0000-0000-00003A550000}"/>
    <cellStyle name="Input 3 3 5 3 2 8" xfId="22726" xr:uid="{00000000-0005-0000-0000-00003B550000}"/>
    <cellStyle name="Input 3 3 5 3 2 9" xfId="23731" xr:uid="{00000000-0005-0000-0000-00003C550000}"/>
    <cellStyle name="Input 3 3 5 3 20" xfId="36279" xr:uid="{00000000-0005-0000-0000-00003D550000}"/>
    <cellStyle name="Input 3 3 5 3 21" xfId="37218" xr:uid="{00000000-0005-0000-0000-00003E550000}"/>
    <cellStyle name="Input 3 3 5 3 3" xfId="16683" xr:uid="{00000000-0005-0000-0000-00003F550000}"/>
    <cellStyle name="Input 3 3 5 3 4" xfId="17662" xr:uid="{00000000-0005-0000-0000-000040550000}"/>
    <cellStyle name="Input 3 3 5 3 5" xfId="18689" xr:uid="{00000000-0005-0000-0000-000041550000}"/>
    <cellStyle name="Input 3 3 5 3 6" xfId="19721" xr:uid="{00000000-0005-0000-0000-000042550000}"/>
    <cellStyle name="Input 3 3 5 3 7" xfId="20743" xr:uid="{00000000-0005-0000-0000-000043550000}"/>
    <cellStyle name="Input 3 3 5 3 8" xfId="21754" xr:uid="{00000000-0005-0000-0000-000044550000}"/>
    <cellStyle name="Input 3 3 5 3 9" xfId="22725" xr:uid="{00000000-0005-0000-0000-000045550000}"/>
    <cellStyle name="Input 3 3 5 4" xfId="4894" xr:uid="{00000000-0005-0000-0000-000046550000}"/>
    <cellStyle name="Input 3 3 5 4 10" xfId="23732" xr:uid="{00000000-0005-0000-0000-000047550000}"/>
    <cellStyle name="Input 3 3 5 4 11" xfId="24704" xr:uid="{00000000-0005-0000-0000-000048550000}"/>
    <cellStyle name="Input 3 3 5 4 12" xfId="25703" xr:uid="{00000000-0005-0000-0000-000049550000}"/>
    <cellStyle name="Input 3 3 5 4 13" xfId="28650" xr:uid="{00000000-0005-0000-0000-00004A550000}"/>
    <cellStyle name="Input 3 3 5 4 14" xfId="29617" xr:uid="{00000000-0005-0000-0000-00004B550000}"/>
    <cellStyle name="Input 3 3 5 4 15" xfId="30659" xr:uid="{00000000-0005-0000-0000-00004C550000}"/>
    <cellStyle name="Input 3 3 5 4 16" xfId="31650" xr:uid="{00000000-0005-0000-0000-00004D550000}"/>
    <cellStyle name="Input 3 3 5 4 17" xfId="32658" xr:uid="{00000000-0005-0000-0000-00004E550000}"/>
    <cellStyle name="Input 3 3 5 4 18" xfId="33661" xr:uid="{00000000-0005-0000-0000-00004F550000}"/>
    <cellStyle name="Input 3 3 5 4 19" xfId="34660" xr:uid="{00000000-0005-0000-0000-000050550000}"/>
    <cellStyle name="Input 3 3 5 4 2" xfId="4895" xr:uid="{00000000-0005-0000-0000-000051550000}"/>
    <cellStyle name="Input 3 3 5 4 2 10" xfId="24705" xr:uid="{00000000-0005-0000-0000-000052550000}"/>
    <cellStyle name="Input 3 3 5 4 2 11" xfId="25704" xr:uid="{00000000-0005-0000-0000-000053550000}"/>
    <cellStyle name="Input 3 3 5 4 2 12" xfId="28651" xr:uid="{00000000-0005-0000-0000-000054550000}"/>
    <cellStyle name="Input 3 3 5 4 2 13" xfId="29618" xr:uid="{00000000-0005-0000-0000-000055550000}"/>
    <cellStyle name="Input 3 3 5 4 2 14" xfId="30660" xr:uid="{00000000-0005-0000-0000-000056550000}"/>
    <cellStyle name="Input 3 3 5 4 2 15" xfId="31651" xr:uid="{00000000-0005-0000-0000-000057550000}"/>
    <cellStyle name="Input 3 3 5 4 2 16" xfId="32659" xr:uid="{00000000-0005-0000-0000-000058550000}"/>
    <cellStyle name="Input 3 3 5 4 2 17" xfId="33662" xr:uid="{00000000-0005-0000-0000-000059550000}"/>
    <cellStyle name="Input 3 3 5 4 2 18" xfId="34661" xr:uid="{00000000-0005-0000-0000-00005A550000}"/>
    <cellStyle name="Input 3 3 5 4 2 19" xfId="36282" xr:uid="{00000000-0005-0000-0000-00005B550000}"/>
    <cellStyle name="Input 3 3 5 4 2 2" xfId="16686" xr:uid="{00000000-0005-0000-0000-00005C550000}"/>
    <cellStyle name="Input 3 3 5 4 2 20" xfId="37221" xr:uid="{00000000-0005-0000-0000-00005D550000}"/>
    <cellStyle name="Input 3 3 5 4 2 3" xfId="17665" xr:uid="{00000000-0005-0000-0000-00005E550000}"/>
    <cellStyle name="Input 3 3 5 4 2 4" xfId="18692" xr:uid="{00000000-0005-0000-0000-00005F550000}"/>
    <cellStyle name="Input 3 3 5 4 2 5" xfId="19724" xr:uid="{00000000-0005-0000-0000-000060550000}"/>
    <cellStyle name="Input 3 3 5 4 2 6" xfId="20746" xr:uid="{00000000-0005-0000-0000-000061550000}"/>
    <cellStyle name="Input 3 3 5 4 2 7" xfId="21757" xr:uid="{00000000-0005-0000-0000-000062550000}"/>
    <cellStyle name="Input 3 3 5 4 2 8" xfId="22728" xr:uid="{00000000-0005-0000-0000-000063550000}"/>
    <cellStyle name="Input 3 3 5 4 2 9" xfId="23733" xr:uid="{00000000-0005-0000-0000-000064550000}"/>
    <cellStyle name="Input 3 3 5 4 20" xfId="36281" xr:uid="{00000000-0005-0000-0000-000065550000}"/>
    <cellStyle name="Input 3 3 5 4 21" xfId="37220" xr:uid="{00000000-0005-0000-0000-000066550000}"/>
    <cellStyle name="Input 3 3 5 4 3" xfId="16685" xr:uid="{00000000-0005-0000-0000-000067550000}"/>
    <cellStyle name="Input 3 3 5 4 4" xfId="17664" xr:uid="{00000000-0005-0000-0000-000068550000}"/>
    <cellStyle name="Input 3 3 5 4 5" xfId="18691" xr:uid="{00000000-0005-0000-0000-000069550000}"/>
    <cellStyle name="Input 3 3 5 4 6" xfId="19723" xr:uid="{00000000-0005-0000-0000-00006A550000}"/>
    <cellStyle name="Input 3 3 5 4 7" xfId="20745" xr:uid="{00000000-0005-0000-0000-00006B550000}"/>
    <cellStyle name="Input 3 3 5 4 8" xfId="21756" xr:uid="{00000000-0005-0000-0000-00006C550000}"/>
    <cellStyle name="Input 3 3 5 4 9" xfId="22727" xr:uid="{00000000-0005-0000-0000-00006D550000}"/>
    <cellStyle name="Input 3 3 5 5" xfId="4896" xr:uid="{00000000-0005-0000-0000-00006E550000}"/>
    <cellStyle name="Input 3 3 5 5 10" xfId="24706" xr:uid="{00000000-0005-0000-0000-00006F550000}"/>
    <cellStyle name="Input 3 3 5 5 11" xfId="25705" xr:uid="{00000000-0005-0000-0000-000070550000}"/>
    <cellStyle name="Input 3 3 5 5 12" xfId="28652" xr:uid="{00000000-0005-0000-0000-000071550000}"/>
    <cellStyle name="Input 3 3 5 5 13" xfId="29619" xr:uid="{00000000-0005-0000-0000-000072550000}"/>
    <cellStyle name="Input 3 3 5 5 14" xfId="30661" xr:uid="{00000000-0005-0000-0000-000073550000}"/>
    <cellStyle name="Input 3 3 5 5 15" xfId="31652" xr:uid="{00000000-0005-0000-0000-000074550000}"/>
    <cellStyle name="Input 3 3 5 5 16" xfId="32660" xr:uid="{00000000-0005-0000-0000-000075550000}"/>
    <cellStyle name="Input 3 3 5 5 17" xfId="33663" xr:uid="{00000000-0005-0000-0000-000076550000}"/>
    <cellStyle name="Input 3 3 5 5 18" xfId="34662" xr:uid="{00000000-0005-0000-0000-000077550000}"/>
    <cellStyle name="Input 3 3 5 5 19" xfId="36283" xr:uid="{00000000-0005-0000-0000-000078550000}"/>
    <cellStyle name="Input 3 3 5 5 2" xfId="16687" xr:uid="{00000000-0005-0000-0000-000079550000}"/>
    <cellStyle name="Input 3 3 5 5 20" xfId="37222" xr:uid="{00000000-0005-0000-0000-00007A550000}"/>
    <cellStyle name="Input 3 3 5 5 3" xfId="17666" xr:uid="{00000000-0005-0000-0000-00007B550000}"/>
    <cellStyle name="Input 3 3 5 5 4" xfId="18693" xr:uid="{00000000-0005-0000-0000-00007C550000}"/>
    <cellStyle name="Input 3 3 5 5 5" xfId="19725" xr:uid="{00000000-0005-0000-0000-00007D550000}"/>
    <cellStyle name="Input 3 3 5 5 6" xfId="20747" xr:uid="{00000000-0005-0000-0000-00007E550000}"/>
    <cellStyle name="Input 3 3 5 5 7" xfId="21758" xr:uid="{00000000-0005-0000-0000-00007F550000}"/>
    <cellStyle name="Input 3 3 5 5 8" xfId="22729" xr:uid="{00000000-0005-0000-0000-000080550000}"/>
    <cellStyle name="Input 3 3 5 5 9" xfId="23734" xr:uid="{00000000-0005-0000-0000-000081550000}"/>
    <cellStyle name="Input 3 3 5 6" xfId="14446" xr:uid="{00000000-0005-0000-0000-000082550000}"/>
    <cellStyle name="Input 3 3 5 7" xfId="14398" xr:uid="{00000000-0005-0000-0000-000083550000}"/>
    <cellStyle name="Input 3 3 5 8" xfId="15813" xr:uid="{00000000-0005-0000-0000-000084550000}"/>
    <cellStyle name="Input 3 3 5 9" xfId="14328" xr:uid="{00000000-0005-0000-0000-000085550000}"/>
    <cellStyle name="Input 3 3 6" xfId="4897" xr:uid="{00000000-0005-0000-0000-000086550000}"/>
    <cellStyle name="Input 3 3 6 10" xfId="23735" xr:uid="{00000000-0005-0000-0000-000087550000}"/>
    <cellStyle name="Input 3 3 6 11" xfId="24707" xr:uid="{00000000-0005-0000-0000-000088550000}"/>
    <cellStyle name="Input 3 3 6 12" xfId="25706" xr:uid="{00000000-0005-0000-0000-000089550000}"/>
    <cellStyle name="Input 3 3 6 13" xfId="28653" xr:uid="{00000000-0005-0000-0000-00008A550000}"/>
    <cellStyle name="Input 3 3 6 14" xfId="29620" xr:uid="{00000000-0005-0000-0000-00008B550000}"/>
    <cellStyle name="Input 3 3 6 15" xfId="30662" xr:uid="{00000000-0005-0000-0000-00008C550000}"/>
    <cellStyle name="Input 3 3 6 16" xfId="31653" xr:uid="{00000000-0005-0000-0000-00008D550000}"/>
    <cellStyle name="Input 3 3 6 17" xfId="32661" xr:uid="{00000000-0005-0000-0000-00008E550000}"/>
    <cellStyle name="Input 3 3 6 18" xfId="33664" xr:uid="{00000000-0005-0000-0000-00008F550000}"/>
    <cellStyle name="Input 3 3 6 19" xfId="34663" xr:uid="{00000000-0005-0000-0000-000090550000}"/>
    <cellStyle name="Input 3 3 6 2" xfId="4898" xr:uid="{00000000-0005-0000-0000-000091550000}"/>
    <cellStyle name="Input 3 3 6 2 10" xfId="24708" xr:uid="{00000000-0005-0000-0000-000092550000}"/>
    <cellStyle name="Input 3 3 6 2 11" xfId="25707" xr:uid="{00000000-0005-0000-0000-000093550000}"/>
    <cellStyle name="Input 3 3 6 2 12" xfId="28654" xr:uid="{00000000-0005-0000-0000-000094550000}"/>
    <cellStyle name="Input 3 3 6 2 13" xfId="29621" xr:uid="{00000000-0005-0000-0000-000095550000}"/>
    <cellStyle name="Input 3 3 6 2 14" xfId="30663" xr:uid="{00000000-0005-0000-0000-000096550000}"/>
    <cellStyle name="Input 3 3 6 2 15" xfId="31654" xr:uid="{00000000-0005-0000-0000-000097550000}"/>
    <cellStyle name="Input 3 3 6 2 16" xfId="32662" xr:uid="{00000000-0005-0000-0000-000098550000}"/>
    <cellStyle name="Input 3 3 6 2 17" xfId="33665" xr:uid="{00000000-0005-0000-0000-000099550000}"/>
    <cellStyle name="Input 3 3 6 2 18" xfId="34664" xr:uid="{00000000-0005-0000-0000-00009A550000}"/>
    <cellStyle name="Input 3 3 6 2 19" xfId="36285" xr:uid="{00000000-0005-0000-0000-00009B550000}"/>
    <cellStyle name="Input 3 3 6 2 2" xfId="16689" xr:uid="{00000000-0005-0000-0000-00009C550000}"/>
    <cellStyle name="Input 3 3 6 2 20" xfId="37224" xr:uid="{00000000-0005-0000-0000-00009D550000}"/>
    <cellStyle name="Input 3 3 6 2 3" xfId="17668" xr:uid="{00000000-0005-0000-0000-00009E550000}"/>
    <cellStyle name="Input 3 3 6 2 4" xfId="18695" xr:uid="{00000000-0005-0000-0000-00009F550000}"/>
    <cellStyle name="Input 3 3 6 2 5" xfId="19727" xr:uid="{00000000-0005-0000-0000-0000A0550000}"/>
    <cellStyle name="Input 3 3 6 2 6" xfId="20749" xr:uid="{00000000-0005-0000-0000-0000A1550000}"/>
    <cellStyle name="Input 3 3 6 2 7" xfId="21760" xr:uid="{00000000-0005-0000-0000-0000A2550000}"/>
    <cellStyle name="Input 3 3 6 2 8" xfId="22731" xr:uid="{00000000-0005-0000-0000-0000A3550000}"/>
    <cellStyle name="Input 3 3 6 2 9" xfId="23736" xr:uid="{00000000-0005-0000-0000-0000A4550000}"/>
    <cellStyle name="Input 3 3 6 20" xfId="36284" xr:uid="{00000000-0005-0000-0000-0000A5550000}"/>
    <cellStyle name="Input 3 3 6 21" xfId="37223" xr:uid="{00000000-0005-0000-0000-0000A6550000}"/>
    <cellStyle name="Input 3 3 6 3" xfId="16688" xr:uid="{00000000-0005-0000-0000-0000A7550000}"/>
    <cellStyle name="Input 3 3 6 4" xfId="17667" xr:uid="{00000000-0005-0000-0000-0000A8550000}"/>
    <cellStyle name="Input 3 3 6 5" xfId="18694" xr:uid="{00000000-0005-0000-0000-0000A9550000}"/>
    <cellStyle name="Input 3 3 6 6" xfId="19726" xr:uid="{00000000-0005-0000-0000-0000AA550000}"/>
    <cellStyle name="Input 3 3 6 7" xfId="20748" xr:uid="{00000000-0005-0000-0000-0000AB550000}"/>
    <cellStyle name="Input 3 3 6 8" xfId="21759" xr:uid="{00000000-0005-0000-0000-0000AC550000}"/>
    <cellStyle name="Input 3 3 6 9" xfId="22730" xr:uid="{00000000-0005-0000-0000-0000AD550000}"/>
    <cellStyle name="Input 3 3 7" xfId="4899" xr:uid="{00000000-0005-0000-0000-0000AE550000}"/>
    <cellStyle name="Input 3 3 7 10" xfId="23737" xr:uid="{00000000-0005-0000-0000-0000AF550000}"/>
    <cellStyle name="Input 3 3 7 11" xfId="24709" xr:uid="{00000000-0005-0000-0000-0000B0550000}"/>
    <cellStyle name="Input 3 3 7 12" xfId="25708" xr:uid="{00000000-0005-0000-0000-0000B1550000}"/>
    <cellStyle name="Input 3 3 7 13" xfId="28655" xr:uid="{00000000-0005-0000-0000-0000B2550000}"/>
    <cellStyle name="Input 3 3 7 14" xfId="29622" xr:uid="{00000000-0005-0000-0000-0000B3550000}"/>
    <cellStyle name="Input 3 3 7 15" xfId="30664" xr:uid="{00000000-0005-0000-0000-0000B4550000}"/>
    <cellStyle name="Input 3 3 7 16" xfId="31655" xr:uid="{00000000-0005-0000-0000-0000B5550000}"/>
    <cellStyle name="Input 3 3 7 17" xfId="32663" xr:uid="{00000000-0005-0000-0000-0000B6550000}"/>
    <cellStyle name="Input 3 3 7 18" xfId="33666" xr:uid="{00000000-0005-0000-0000-0000B7550000}"/>
    <cellStyle name="Input 3 3 7 19" xfId="34665" xr:uid="{00000000-0005-0000-0000-0000B8550000}"/>
    <cellStyle name="Input 3 3 7 2" xfId="4900" xr:uid="{00000000-0005-0000-0000-0000B9550000}"/>
    <cellStyle name="Input 3 3 7 2 10" xfId="24710" xr:uid="{00000000-0005-0000-0000-0000BA550000}"/>
    <cellStyle name="Input 3 3 7 2 11" xfId="25709" xr:uid="{00000000-0005-0000-0000-0000BB550000}"/>
    <cellStyle name="Input 3 3 7 2 12" xfId="28656" xr:uid="{00000000-0005-0000-0000-0000BC550000}"/>
    <cellStyle name="Input 3 3 7 2 13" xfId="29623" xr:uid="{00000000-0005-0000-0000-0000BD550000}"/>
    <cellStyle name="Input 3 3 7 2 14" xfId="30665" xr:uid="{00000000-0005-0000-0000-0000BE550000}"/>
    <cellStyle name="Input 3 3 7 2 15" xfId="31656" xr:uid="{00000000-0005-0000-0000-0000BF550000}"/>
    <cellStyle name="Input 3 3 7 2 16" xfId="32664" xr:uid="{00000000-0005-0000-0000-0000C0550000}"/>
    <cellStyle name="Input 3 3 7 2 17" xfId="33667" xr:uid="{00000000-0005-0000-0000-0000C1550000}"/>
    <cellStyle name="Input 3 3 7 2 18" xfId="34666" xr:uid="{00000000-0005-0000-0000-0000C2550000}"/>
    <cellStyle name="Input 3 3 7 2 19" xfId="36287" xr:uid="{00000000-0005-0000-0000-0000C3550000}"/>
    <cellStyle name="Input 3 3 7 2 2" xfId="16691" xr:uid="{00000000-0005-0000-0000-0000C4550000}"/>
    <cellStyle name="Input 3 3 7 2 20" xfId="37226" xr:uid="{00000000-0005-0000-0000-0000C5550000}"/>
    <cellStyle name="Input 3 3 7 2 3" xfId="17670" xr:uid="{00000000-0005-0000-0000-0000C6550000}"/>
    <cellStyle name="Input 3 3 7 2 4" xfId="18697" xr:uid="{00000000-0005-0000-0000-0000C7550000}"/>
    <cellStyle name="Input 3 3 7 2 5" xfId="19729" xr:uid="{00000000-0005-0000-0000-0000C8550000}"/>
    <cellStyle name="Input 3 3 7 2 6" xfId="20751" xr:uid="{00000000-0005-0000-0000-0000C9550000}"/>
    <cellStyle name="Input 3 3 7 2 7" xfId="21762" xr:uid="{00000000-0005-0000-0000-0000CA550000}"/>
    <cellStyle name="Input 3 3 7 2 8" xfId="22733" xr:uid="{00000000-0005-0000-0000-0000CB550000}"/>
    <cellStyle name="Input 3 3 7 2 9" xfId="23738" xr:uid="{00000000-0005-0000-0000-0000CC550000}"/>
    <cellStyle name="Input 3 3 7 20" xfId="36286" xr:uid="{00000000-0005-0000-0000-0000CD550000}"/>
    <cellStyle name="Input 3 3 7 21" xfId="37225" xr:uid="{00000000-0005-0000-0000-0000CE550000}"/>
    <cellStyle name="Input 3 3 7 3" xfId="16690" xr:uid="{00000000-0005-0000-0000-0000CF550000}"/>
    <cellStyle name="Input 3 3 7 4" xfId="17669" xr:uid="{00000000-0005-0000-0000-0000D0550000}"/>
    <cellStyle name="Input 3 3 7 5" xfId="18696" xr:uid="{00000000-0005-0000-0000-0000D1550000}"/>
    <cellStyle name="Input 3 3 7 6" xfId="19728" xr:uid="{00000000-0005-0000-0000-0000D2550000}"/>
    <cellStyle name="Input 3 3 7 7" xfId="20750" xr:uid="{00000000-0005-0000-0000-0000D3550000}"/>
    <cellStyle name="Input 3 3 7 8" xfId="21761" xr:uid="{00000000-0005-0000-0000-0000D4550000}"/>
    <cellStyle name="Input 3 3 7 9" xfId="22732" xr:uid="{00000000-0005-0000-0000-0000D5550000}"/>
    <cellStyle name="Input 3 3 8" xfId="4901" xr:uid="{00000000-0005-0000-0000-0000D6550000}"/>
    <cellStyle name="Input 3 3 8 10" xfId="23739" xr:uid="{00000000-0005-0000-0000-0000D7550000}"/>
    <cellStyle name="Input 3 3 8 11" xfId="24711" xr:uid="{00000000-0005-0000-0000-0000D8550000}"/>
    <cellStyle name="Input 3 3 8 12" xfId="25710" xr:uid="{00000000-0005-0000-0000-0000D9550000}"/>
    <cellStyle name="Input 3 3 8 13" xfId="28657" xr:uid="{00000000-0005-0000-0000-0000DA550000}"/>
    <cellStyle name="Input 3 3 8 14" xfId="29624" xr:uid="{00000000-0005-0000-0000-0000DB550000}"/>
    <cellStyle name="Input 3 3 8 15" xfId="30666" xr:uid="{00000000-0005-0000-0000-0000DC550000}"/>
    <cellStyle name="Input 3 3 8 16" xfId="31657" xr:uid="{00000000-0005-0000-0000-0000DD550000}"/>
    <cellStyle name="Input 3 3 8 17" xfId="32665" xr:uid="{00000000-0005-0000-0000-0000DE550000}"/>
    <cellStyle name="Input 3 3 8 18" xfId="33668" xr:uid="{00000000-0005-0000-0000-0000DF550000}"/>
    <cellStyle name="Input 3 3 8 19" xfId="34667" xr:uid="{00000000-0005-0000-0000-0000E0550000}"/>
    <cellStyle name="Input 3 3 8 2" xfId="4902" xr:uid="{00000000-0005-0000-0000-0000E1550000}"/>
    <cellStyle name="Input 3 3 8 2 10" xfId="24712" xr:uid="{00000000-0005-0000-0000-0000E2550000}"/>
    <cellStyle name="Input 3 3 8 2 11" xfId="25711" xr:uid="{00000000-0005-0000-0000-0000E3550000}"/>
    <cellStyle name="Input 3 3 8 2 12" xfId="28658" xr:uid="{00000000-0005-0000-0000-0000E4550000}"/>
    <cellStyle name="Input 3 3 8 2 13" xfId="29625" xr:uid="{00000000-0005-0000-0000-0000E5550000}"/>
    <cellStyle name="Input 3 3 8 2 14" xfId="30667" xr:uid="{00000000-0005-0000-0000-0000E6550000}"/>
    <cellStyle name="Input 3 3 8 2 15" xfId="31658" xr:uid="{00000000-0005-0000-0000-0000E7550000}"/>
    <cellStyle name="Input 3 3 8 2 16" xfId="32666" xr:uid="{00000000-0005-0000-0000-0000E8550000}"/>
    <cellStyle name="Input 3 3 8 2 17" xfId="33669" xr:uid="{00000000-0005-0000-0000-0000E9550000}"/>
    <cellStyle name="Input 3 3 8 2 18" xfId="34668" xr:uid="{00000000-0005-0000-0000-0000EA550000}"/>
    <cellStyle name="Input 3 3 8 2 19" xfId="36289" xr:uid="{00000000-0005-0000-0000-0000EB550000}"/>
    <cellStyle name="Input 3 3 8 2 2" xfId="16693" xr:uid="{00000000-0005-0000-0000-0000EC550000}"/>
    <cellStyle name="Input 3 3 8 2 20" xfId="37228" xr:uid="{00000000-0005-0000-0000-0000ED550000}"/>
    <cellStyle name="Input 3 3 8 2 3" xfId="17672" xr:uid="{00000000-0005-0000-0000-0000EE550000}"/>
    <cellStyle name="Input 3 3 8 2 4" xfId="18699" xr:uid="{00000000-0005-0000-0000-0000EF550000}"/>
    <cellStyle name="Input 3 3 8 2 5" xfId="19731" xr:uid="{00000000-0005-0000-0000-0000F0550000}"/>
    <cellStyle name="Input 3 3 8 2 6" xfId="20753" xr:uid="{00000000-0005-0000-0000-0000F1550000}"/>
    <cellStyle name="Input 3 3 8 2 7" xfId="21764" xr:uid="{00000000-0005-0000-0000-0000F2550000}"/>
    <cellStyle name="Input 3 3 8 2 8" xfId="22735" xr:uid="{00000000-0005-0000-0000-0000F3550000}"/>
    <cellStyle name="Input 3 3 8 2 9" xfId="23740" xr:uid="{00000000-0005-0000-0000-0000F4550000}"/>
    <cellStyle name="Input 3 3 8 20" xfId="36288" xr:uid="{00000000-0005-0000-0000-0000F5550000}"/>
    <cellStyle name="Input 3 3 8 21" xfId="37227" xr:uid="{00000000-0005-0000-0000-0000F6550000}"/>
    <cellStyle name="Input 3 3 8 3" xfId="16692" xr:uid="{00000000-0005-0000-0000-0000F7550000}"/>
    <cellStyle name="Input 3 3 8 4" xfId="17671" xr:uid="{00000000-0005-0000-0000-0000F8550000}"/>
    <cellStyle name="Input 3 3 8 5" xfId="18698" xr:uid="{00000000-0005-0000-0000-0000F9550000}"/>
    <cellStyle name="Input 3 3 8 6" xfId="19730" xr:uid="{00000000-0005-0000-0000-0000FA550000}"/>
    <cellStyle name="Input 3 3 8 7" xfId="20752" xr:uid="{00000000-0005-0000-0000-0000FB550000}"/>
    <cellStyle name="Input 3 3 8 8" xfId="21763" xr:uid="{00000000-0005-0000-0000-0000FC550000}"/>
    <cellStyle name="Input 3 3 8 9" xfId="22734" xr:uid="{00000000-0005-0000-0000-0000FD550000}"/>
    <cellStyle name="Input 3 3 9" xfId="4903" xr:uid="{00000000-0005-0000-0000-0000FE550000}"/>
    <cellStyle name="Input 3 3 9 10" xfId="24713" xr:uid="{00000000-0005-0000-0000-0000FF550000}"/>
    <cellStyle name="Input 3 3 9 11" xfId="25712" xr:uid="{00000000-0005-0000-0000-000000560000}"/>
    <cellStyle name="Input 3 3 9 12" xfId="28659" xr:uid="{00000000-0005-0000-0000-000001560000}"/>
    <cellStyle name="Input 3 3 9 13" xfId="29626" xr:uid="{00000000-0005-0000-0000-000002560000}"/>
    <cellStyle name="Input 3 3 9 14" xfId="30668" xr:uid="{00000000-0005-0000-0000-000003560000}"/>
    <cellStyle name="Input 3 3 9 15" xfId="31659" xr:uid="{00000000-0005-0000-0000-000004560000}"/>
    <cellStyle name="Input 3 3 9 16" xfId="32667" xr:uid="{00000000-0005-0000-0000-000005560000}"/>
    <cellStyle name="Input 3 3 9 17" xfId="33670" xr:uid="{00000000-0005-0000-0000-000006560000}"/>
    <cellStyle name="Input 3 3 9 18" xfId="34669" xr:uid="{00000000-0005-0000-0000-000007560000}"/>
    <cellStyle name="Input 3 3 9 19" xfId="36290" xr:uid="{00000000-0005-0000-0000-000008560000}"/>
    <cellStyle name="Input 3 3 9 2" xfId="16694" xr:uid="{00000000-0005-0000-0000-000009560000}"/>
    <cellStyle name="Input 3 3 9 20" xfId="37229" xr:uid="{00000000-0005-0000-0000-00000A560000}"/>
    <cellStyle name="Input 3 3 9 3" xfId="17673" xr:uid="{00000000-0005-0000-0000-00000B560000}"/>
    <cellStyle name="Input 3 3 9 4" xfId="18700" xr:uid="{00000000-0005-0000-0000-00000C560000}"/>
    <cellStyle name="Input 3 3 9 5" xfId="19732" xr:uid="{00000000-0005-0000-0000-00000D560000}"/>
    <cellStyle name="Input 3 3 9 6" xfId="20754" xr:uid="{00000000-0005-0000-0000-00000E560000}"/>
    <cellStyle name="Input 3 3 9 7" xfId="21765" xr:uid="{00000000-0005-0000-0000-00000F560000}"/>
    <cellStyle name="Input 3 3 9 8" xfId="22736" xr:uid="{00000000-0005-0000-0000-000010560000}"/>
    <cellStyle name="Input 3 3 9 9" xfId="23741" xr:uid="{00000000-0005-0000-0000-000011560000}"/>
    <cellStyle name="Input 3 4" xfId="4904" xr:uid="{00000000-0005-0000-0000-000012560000}"/>
    <cellStyle name="Input 3 4 10" xfId="15842" xr:uid="{00000000-0005-0000-0000-000013560000}"/>
    <cellStyle name="Input 3 4 11" xfId="13671" xr:uid="{00000000-0005-0000-0000-000014560000}"/>
    <cellStyle name="Input 3 4 12" xfId="18852" xr:uid="{00000000-0005-0000-0000-000015560000}"/>
    <cellStyle name="Input 3 4 13" xfId="18891" xr:uid="{00000000-0005-0000-0000-000016560000}"/>
    <cellStyle name="Input 3 4 14" xfId="15233" xr:uid="{00000000-0005-0000-0000-000017560000}"/>
    <cellStyle name="Input 3 4 15" xfId="15260" xr:uid="{00000000-0005-0000-0000-000018560000}"/>
    <cellStyle name="Input 3 4 16" xfId="26081" xr:uid="{00000000-0005-0000-0000-000019560000}"/>
    <cellStyle name="Input 3 4 17" xfId="26239" xr:uid="{00000000-0005-0000-0000-00001A560000}"/>
    <cellStyle name="Input 3 4 18" xfId="25942" xr:uid="{00000000-0005-0000-0000-00001B560000}"/>
    <cellStyle name="Input 3 4 19" xfId="25902" xr:uid="{00000000-0005-0000-0000-00001C560000}"/>
    <cellStyle name="Input 3 4 2" xfId="4905" xr:uid="{00000000-0005-0000-0000-00001D560000}"/>
    <cellStyle name="Input 3 4 2 10" xfId="18849" xr:uid="{00000000-0005-0000-0000-00001E560000}"/>
    <cellStyle name="Input 3 4 2 11" xfId="13700" xr:uid="{00000000-0005-0000-0000-00001F560000}"/>
    <cellStyle name="Input 3 4 2 12" xfId="26303" xr:uid="{00000000-0005-0000-0000-000020560000}"/>
    <cellStyle name="Input 3 4 2 13" xfId="27739" xr:uid="{00000000-0005-0000-0000-000021560000}"/>
    <cellStyle name="Input 3 4 2 14" xfId="26118" xr:uid="{00000000-0005-0000-0000-000022560000}"/>
    <cellStyle name="Input 3 4 2 15" xfId="26540" xr:uid="{00000000-0005-0000-0000-000023560000}"/>
    <cellStyle name="Input 3 4 2 16" xfId="27628" xr:uid="{00000000-0005-0000-0000-000024560000}"/>
    <cellStyle name="Input 3 4 2 17" xfId="26867" xr:uid="{00000000-0005-0000-0000-000025560000}"/>
    <cellStyle name="Input 3 4 2 18" xfId="34999" xr:uid="{00000000-0005-0000-0000-000026560000}"/>
    <cellStyle name="Input 3 4 2 19" xfId="35464" xr:uid="{00000000-0005-0000-0000-000027560000}"/>
    <cellStyle name="Input 3 4 2 2" xfId="4906" xr:uid="{00000000-0005-0000-0000-000028560000}"/>
    <cellStyle name="Input 3 4 2 2 10" xfId="23742" xr:uid="{00000000-0005-0000-0000-000029560000}"/>
    <cellStyle name="Input 3 4 2 2 11" xfId="24714" xr:uid="{00000000-0005-0000-0000-00002A560000}"/>
    <cellStyle name="Input 3 4 2 2 12" xfId="25713" xr:uid="{00000000-0005-0000-0000-00002B560000}"/>
    <cellStyle name="Input 3 4 2 2 13" xfId="28660" xr:uid="{00000000-0005-0000-0000-00002C560000}"/>
    <cellStyle name="Input 3 4 2 2 14" xfId="29627" xr:uid="{00000000-0005-0000-0000-00002D560000}"/>
    <cellStyle name="Input 3 4 2 2 15" xfId="30669" xr:uid="{00000000-0005-0000-0000-00002E560000}"/>
    <cellStyle name="Input 3 4 2 2 16" xfId="31660" xr:uid="{00000000-0005-0000-0000-00002F560000}"/>
    <cellStyle name="Input 3 4 2 2 17" xfId="32668" xr:uid="{00000000-0005-0000-0000-000030560000}"/>
    <cellStyle name="Input 3 4 2 2 18" xfId="33671" xr:uid="{00000000-0005-0000-0000-000031560000}"/>
    <cellStyle name="Input 3 4 2 2 19" xfId="34670" xr:uid="{00000000-0005-0000-0000-000032560000}"/>
    <cellStyle name="Input 3 4 2 2 2" xfId="4907" xr:uid="{00000000-0005-0000-0000-000033560000}"/>
    <cellStyle name="Input 3 4 2 2 2 10" xfId="24715" xr:uid="{00000000-0005-0000-0000-000034560000}"/>
    <cellStyle name="Input 3 4 2 2 2 11" xfId="25714" xr:uid="{00000000-0005-0000-0000-000035560000}"/>
    <cellStyle name="Input 3 4 2 2 2 12" xfId="28661" xr:uid="{00000000-0005-0000-0000-000036560000}"/>
    <cellStyle name="Input 3 4 2 2 2 13" xfId="29628" xr:uid="{00000000-0005-0000-0000-000037560000}"/>
    <cellStyle name="Input 3 4 2 2 2 14" xfId="30670" xr:uid="{00000000-0005-0000-0000-000038560000}"/>
    <cellStyle name="Input 3 4 2 2 2 15" xfId="31661" xr:uid="{00000000-0005-0000-0000-000039560000}"/>
    <cellStyle name="Input 3 4 2 2 2 16" xfId="32669" xr:uid="{00000000-0005-0000-0000-00003A560000}"/>
    <cellStyle name="Input 3 4 2 2 2 17" xfId="33672" xr:uid="{00000000-0005-0000-0000-00003B560000}"/>
    <cellStyle name="Input 3 4 2 2 2 18" xfId="34671" xr:uid="{00000000-0005-0000-0000-00003C560000}"/>
    <cellStyle name="Input 3 4 2 2 2 19" xfId="36292" xr:uid="{00000000-0005-0000-0000-00003D560000}"/>
    <cellStyle name="Input 3 4 2 2 2 2" xfId="16696" xr:uid="{00000000-0005-0000-0000-00003E560000}"/>
    <cellStyle name="Input 3 4 2 2 2 20" xfId="37231" xr:uid="{00000000-0005-0000-0000-00003F560000}"/>
    <cellStyle name="Input 3 4 2 2 2 3" xfId="17675" xr:uid="{00000000-0005-0000-0000-000040560000}"/>
    <cellStyle name="Input 3 4 2 2 2 4" xfId="18702" xr:uid="{00000000-0005-0000-0000-000041560000}"/>
    <cellStyle name="Input 3 4 2 2 2 5" xfId="19734" xr:uid="{00000000-0005-0000-0000-000042560000}"/>
    <cellStyle name="Input 3 4 2 2 2 6" xfId="20756" xr:uid="{00000000-0005-0000-0000-000043560000}"/>
    <cellStyle name="Input 3 4 2 2 2 7" xfId="21767" xr:uid="{00000000-0005-0000-0000-000044560000}"/>
    <cellStyle name="Input 3 4 2 2 2 8" xfId="22738" xr:uid="{00000000-0005-0000-0000-000045560000}"/>
    <cellStyle name="Input 3 4 2 2 2 9" xfId="23743" xr:uid="{00000000-0005-0000-0000-000046560000}"/>
    <cellStyle name="Input 3 4 2 2 20" xfId="36291" xr:uid="{00000000-0005-0000-0000-000047560000}"/>
    <cellStyle name="Input 3 4 2 2 21" xfId="37230" xr:uid="{00000000-0005-0000-0000-000048560000}"/>
    <cellStyle name="Input 3 4 2 2 3" xfId="16695" xr:uid="{00000000-0005-0000-0000-000049560000}"/>
    <cellStyle name="Input 3 4 2 2 4" xfId="17674" xr:uid="{00000000-0005-0000-0000-00004A560000}"/>
    <cellStyle name="Input 3 4 2 2 5" xfId="18701" xr:uid="{00000000-0005-0000-0000-00004B560000}"/>
    <cellStyle name="Input 3 4 2 2 6" xfId="19733" xr:uid="{00000000-0005-0000-0000-00004C560000}"/>
    <cellStyle name="Input 3 4 2 2 7" xfId="20755" xr:uid="{00000000-0005-0000-0000-00004D560000}"/>
    <cellStyle name="Input 3 4 2 2 8" xfId="21766" xr:uid="{00000000-0005-0000-0000-00004E560000}"/>
    <cellStyle name="Input 3 4 2 2 9" xfId="22737" xr:uid="{00000000-0005-0000-0000-00004F560000}"/>
    <cellStyle name="Input 3 4 2 3" xfId="4908" xr:uid="{00000000-0005-0000-0000-000050560000}"/>
    <cellStyle name="Input 3 4 2 3 10" xfId="23744" xr:uid="{00000000-0005-0000-0000-000051560000}"/>
    <cellStyle name="Input 3 4 2 3 11" xfId="24716" xr:uid="{00000000-0005-0000-0000-000052560000}"/>
    <cellStyle name="Input 3 4 2 3 12" xfId="25715" xr:uid="{00000000-0005-0000-0000-000053560000}"/>
    <cellStyle name="Input 3 4 2 3 13" xfId="28662" xr:uid="{00000000-0005-0000-0000-000054560000}"/>
    <cellStyle name="Input 3 4 2 3 14" xfId="29629" xr:uid="{00000000-0005-0000-0000-000055560000}"/>
    <cellStyle name="Input 3 4 2 3 15" xfId="30671" xr:uid="{00000000-0005-0000-0000-000056560000}"/>
    <cellStyle name="Input 3 4 2 3 16" xfId="31662" xr:uid="{00000000-0005-0000-0000-000057560000}"/>
    <cellStyle name="Input 3 4 2 3 17" xfId="32670" xr:uid="{00000000-0005-0000-0000-000058560000}"/>
    <cellStyle name="Input 3 4 2 3 18" xfId="33673" xr:uid="{00000000-0005-0000-0000-000059560000}"/>
    <cellStyle name="Input 3 4 2 3 19" xfId="34672" xr:uid="{00000000-0005-0000-0000-00005A560000}"/>
    <cellStyle name="Input 3 4 2 3 2" xfId="4909" xr:uid="{00000000-0005-0000-0000-00005B560000}"/>
    <cellStyle name="Input 3 4 2 3 2 10" xfId="24717" xr:uid="{00000000-0005-0000-0000-00005C560000}"/>
    <cellStyle name="Input 3 4 2 3 2 11" xfId="25716" xr:uid="{00000000-0005-0000-0000-00005D560000}"/>
    <cellStyle name="Input 3 4 2 3 2 12" xfId="28663" xr:uid="{00000000-0005-0000-0000-00005E560000}"/>
    <cellStyle name="Input 3 4 2 3 2 13" xfId="29630" xr:uid="{00000000-0005-0000-0000-00005F560000}"/>
    <cellStyle name="Input 3 4 2 3 2 14" xfId="30672" xr:uid="{00000000-0005-0000-0000-000060560000}"/>
    <cellStyle name="Input 3 4 2 3 2 15" xfId="31663" xr:uid="{00000000-0005-0000-0000-000061560000}"/>
    <cellStyle name="Input 3 4 2 3 2 16" xfId="32671" xr:uid="{00000000-0005-0000-0000-000062560000}"/>
    <cellStyle name="Input 3 4 2 3 2 17" xfId="33674" xr:uid="{00000000-0005-0000-0000-000063560000}"/>
    <cellStyle name="Input 3 4 2 3 2 18" xfId="34673" xr:uid="{00000000-0005-0000-0000-000064560000}"/>
    <cellStyle name="Input 3 4 2 3 2 19" xfId="36294" xr:uid="{00000000-0005-0000-0000-000065560000}"/>
    <cellStyle name="Input 3 4 2 3 2 2" xfId="16698" xr:uid="{00000000-0005-0000-0000-000066560000}"/>
    <cellStyle name="Input 3 4 2 3 2 20" xfId="37233" xr:uid="{00000000-0005-0000-0000-000067560000}"/>
    <cellStyle name="Input 3 4 2 3 2 3" xfId="17677" xr:uid="{00000000-0005-0000-0000-000068560000}"/>
    <cellStyle name="Input 3 4 2 3 2 4" xfId="18704" xr:uid="{00000000-0005-0000-0000-000069560000}"/>
    <cellStyle name="Input 3 4 2 3 2 5" xfId="19736" xr:uid="{00000000-0005-0000-0000-00006A560000}"/>
    <cellStyle name="Input 3 4 2 3 2 6" xfId="20758" xr:uid="{00000000-0005-0000-0000-00006B560000}"/>
    <cellStyle name="Input 3 4 2 3 2 7" xfId="21769" xr:uid="{00000000-0005-0000-0000-00006C560000}"/>
    <cellStyle name="Input 3 4 2 3 2 8" xfId="22740" xr:uid="{00000000-0005-0000-0000-00006D560000}"/>
    <cellStyle name="Input 3 4 2 3 2 9" xfId="23745" xr:uid="{00000000-0005-0000-0000-00006E560000}"/>
    <cellStyle name="Input 3 4 2 3 20" xfId="36293" xr:uid="{00000000-0005-0000-0000-00006F560000}"/>
    <cellStyle name="Input 3 4 2 3 21" xfId="37232" xr:uid="{00000000-0005-0000-0000-000070560000}"/>
    <cellStyle name="Input 3 4 2 3 3" xfId="16697" xr:uid="{00000000-0005-0000-0000-000071560000}"/>
    <cellStyle name="Input 3 4 2 3 4" xfId="17676" xr:uid="{00000000-0005-0000-0000-000072560000}"/>
    <cellStyle name="Input 3 4 2 3 5" xfId="18703" xr:uid="{00000000-0005-0000-0000-000073560000}"/>
    <cellStyle name="Input 3 4 2 3 6" xfId="19735" xr:uid="{00000000-0005-0000-0000-000074560000}"/>
    <cellStyle name="Input 3 4 2 3 7" xfId="20757" xr:uid="{00000000-0005-0000-0000-000075560000}"/>
    <cellStyle name="Input 3 4 2 3 8" xfId="21768" xr:uid="{00000000-0005-0000-0000-000076560000}"/>
    <cellStyle name="Input 3 4 2 3 9" xfId="22739" xr:uid="{00000000-0005-0000-0000-000077560000}"/>
    <cellStyle name="Input 3 4 2 4" xfId="4910" xr:uid="{00000000-0005-0000-0000-000078560000}"/>
    <cellStyle name="Input 3 4 2 4 10" xfId="23746" xr:uid="{00000000-0005-0000-0000-000079560000}"/>
    <cellStyle name="Input 3 4 2 4 11" xfId="24718" xr:uid="{00000000-0005-0000-0000-00007A560000}"/>
    <cellStyle name="Input 3 4 2 4 12" xfId="25717" xr:uid="{00000000-0005-0000-0000-00007B560000}"/>
    <cellStyle name="Input 3 4 2 4 13" xfId="28664" xr:uid="{00000000-0005-0000-0000-00007C560000}"/>
    <cellStyle name="Input 3 4 2 4 14" xfId="29631" xr:uid="{00000000-0005-0000-0000-00007D560000}"/>
    <cellStyle name="Input 3 4 2 4 15" xfId="30673" xr:uid="{00000000-0005-0000-0000-00007E560000}"/>
    <cellStyle name="Input 3 4 2 4 16" xfId="31664" xr:uid="{00000000-0005-0000-0000-00007F560000}"/>
    <cellStyle name="Input 3 4 2 4 17" xfId="32672" xr:uid="{00000000-0005-0000-0000-000080560000}"/>
    <cellStyle name="Input 3 4 2 4 18" xfId="33675" xr:uid="{00000000-0005-0000-0000-000081560000}"/>
    <cellStyle name="Input 3 4 2 4 19" xfId="34674" xr:uid="{00000000-0005-0000-0000-000082560000}"/>
    <cellStyle name="Input 3 4 2 4 2" xfId="4911" xr:uid="{00000000-0005-0000-0000-000083560000}"/>
    <cellStyle name="Input 3 4 2 4 2 10" xfId="24719" xr:uid="{00000000-0005-0000-0000-000084560000}"/>
    <cellStyle name="Input 3 4 2 4 2 11" xfId="25718" xr:uid="{00000000-0005-0000-0000-000085560000}"/>
    <cellStyle name="Input 3 4 2 4 2 12" xfId="28665" xr:uid="{00000000-0005-0000-0000-000086560000}"/>
    <cellStyle name="Input 3 4 2 4 2 13" xfId="29632" xr:uid="{00000000-0005-0000-0000-000087560000}"/>
    <cellStyle name="Input 3 4 2 4 2 14" xfId="30674" xr:uid="{00000000-0005-0000-0000-000088560000}"/>
    <cellStyle name="Input 3 4 2 4 2 15" xfId="31665" xr:uid="{00000000-0005-0000-0000-000089560000}"/>
    <cellStyle name="Input 3 4 2 4 2 16" xfId="32673" xr:uid="{00000000-0005-0000-0000-00008A560000}"/>
    <cellStyle name="Input 3 4 2 4 2 17" xfId="33676" xr:uid="{00000000-0005-0000-0000-00008B560000}"/>
    <cellStyle name="Input 3 4 2 4 2 18" xfId="34675" xr:uid="{00000000-0005-0000-0000-00008C560000}"/>
    <cellStyle name="Input 3 4 2 4 2 19" xfId="36296" xr:uid="{00000000-0005-0000-0000-00008D560000}"/>
    <cellStyle name="Input 3 4 2 4 2 2" xfId="16700" xr:uid="{00000000-0005-0000-0000-00008E560000}"/>
    <cellStyle name="Input 3 4 2 4 2 20" xfId="37235" xr:uid="{00000000-0005-0000-0000-00008F560000}"/>
    <cellStyle name="Input 3 4 2 4 2 3" xfId="17679" xr:uid="{00000000-0005-0000-0000-000090560000}"/>
    <cellStyle name="Input 3 4 2 4 2 4" xfId="18706" xr:uid="{00000000-0005-0000-0000-000091560000}"/>
    <cellStyle name="Input 3 4 2 4 2 5" xfId="19738" xr:uid="{00000000-0005-0000-0000-000092560000}"/>
    <cellStyle name="Input 3 4 2 4 2 6" xfId="20760" xr:uid="{00000000-0005-0000-0000-000093560000}"/>
    <cellStyle name="Input 3 4 2 4 2 7" xfId="21771" xr:uid="{00000000-0005-0000-0000-000094560000}"/>
    <cellStyle name="Input 3 4 2 4 2 8" xfId="22742" xr:uid="{00000000-0005-0000-0000-000095560000}"/>
    <cellStyle name="Input 3 4 2 4 2 9" xfId="23747" xr:uid="{00000000-0005-0000-0000-000096560000}"/>
    <cellStyle name="Input 3 4 2 4 20" xfId="36295" xr:uid="{00000000-0005-0000-0000-000097560000}"/>
    <cellStyle name="Input 3 4 2 4 21" xfId="37234" xr:uid="{00000000-0005-0000-0000-000098560000}"/>
    <cellStyle name="Input 3 4 2 4 3" xfId="16699" xr:uid="{00000000-0005-0000-0000-000099560000}"/>
    <cellStyle name="Input 3 4 2 4 4" xfId="17678" xr:uid="{00000000-0005-0000-0000-00009A560000}"/>
    <cellStyle name="Input 3 4 2 4 5" xfId="18705" xr:uid="{00000000-0005-0000-0000-00009B560000}"/>
    <cellStyle name="Input 3 4 2 4 6" xfId="19737" xr:uid="{00000000-0005-0000-0000-00009C560000}"/>
    <cellStyle name="Input 3 4 2 4 7" xfId="20759" xr:uid="{00000000-0005-0000-0000-00009D560000}"/>
    <cellStyle name="Input 3 4 2 4 8" xfId="21770" xr:uid="{00000000-0005-0000-0000-00009E560000}"/>
    <cellStyle name="Input 3 4 2 4 9" xfId="22741" xr:uid="{00000000-0005-0000-0000-00009F560000}"/>
    <cellStyle name="Input 3 4 2 5" xfId="4912" xr:uid="{00000000-0005-0000-0000-0000A0560000}"/>
    <cellStyle name="Input 3 4 2 5 10" xfId="24720" xr:uid="{00000000-0005-0000-0000-0000A1560000}"/>
    <cellStyle name="Input 3 4 2 5 11" xfId="25719" xr:uid="{00000000-0005-0000-0000-0000A2560000}"/>
    <cellStyle name="Input 3 4 2 5 12" xfId="28666" xr:uid="{00000000-0005-0000-0000-0000A3560000}"/>
    <cellStyle name="Input 3 4 2 5 13" xfId="29633" xr:uid="{00000000-0005-0000-0000-0000A4560000}"/>
    <cellStyle name="Input 3 4 2 5 14" xfId="30675" xr:uid="{00000000-0005-0000-0000-0000A5560000}"/>
    <cellStyle name="Input 3 4 2 5 15" xfId="31666" xr:uid="{00000000-0005-0000-0000-0000A6560000}"/>
    <cellStyle name="Input 3 4 2 5 16" xfId="32674" xr:uid="{00000000-0005-0000-0000-0000A7560000}"/>
    <cellStyle name="Input 3 4 2 5 17" xfId="33677" xr:uid="{00000000-0005-0000-0000-0000A8560000}"/>
    <cellStyle name="Input 3 4 2 5 18" xfId="34676" xr:uid="{00000000-0005-0000-0000-0000A9560000}"/>
    <cellStyle name="Input 3 4 2 5 19" xfId="36297" xr:uid="{00000000-0005-0000-0000-0000AA560000}"/>
    <cellStyle name="Input 3 4 2 5 2" xfId="16701" xr:uid="{00000000-0005-0000-0000-0000AB560000}"/>
    <cellStyle name="Input 3 4 2 5 20" xfId="37236" xr:uid="{00000000-0005-0000-0000-0000AC560000}"/>
    <cellStyle name="Input 3 4 2 5 3" xfId="17680" xr:uid="{00000000-0005-0000-0000-0000AD560000}"/>
    <cellStyle name="Input 3 4 2 5 4" xfId="18707" xr:uid="{00000000-0005-0000-0000-0000AE560000}"/>
    <cellStyle name="Input 3 4 2 5 5" xfId="19739" xr:uid="{00000000-0005-0000-0000-0000AF560000}"/>
    <cellStyle name="Input 3 4 2 5 6" xfId="20761" xr:uid="{00000000-0005-0000-0000-0000B0560000}"/>
    <cellStyle name="Input 3 4 2 5 7" xfId="21772" xr:uid="{00000000-0005-0000-0000-0000B1560000}"/>
    <cellStyle name="Input 3 4 2 5 8" xfId="22743" xr:uid="{00000000-0005-0000-0000-0000B2560000}"/>
    <cellStyle name="Input 3 4 2 5 9" xfId="23748" xr:uid="{00000000-0005-0000-0000-0000B3560000}"/>
    <cellStyle name="Input 3 4 2 6" xfId="13721" xr:uid="{00000000-0005-0000-0000-0000B4560000}"/>
    <cellStyle name="Input 3 4 2 7" xfId="15595" xr:uid="{00000000-0005-0000-0000-0000B5560000}"/>
    <cellStyle name="Input 3 4 2 8" xfId="15747" xr:uid="{00000000-0005-0000-0000-0000B6560000}"/>
    <cellStyle name="Input 3 4 2 9" xfId="14171" xr:uid="{00000000-0005-0000-0000-0000B7560000}"/>
    <cellStyle name="Input 3 4 20" xfId="26445" xr:uid="{00000000-0005-0000-0000-0000B8560000}"/>
    <cellStyle name="Input 3 4 21" xfId="27552" xr:uid="{00000000-0005-0000-0000-0000B9560000}"/>
    <cellStyle name="Input 3 4 22" xfId="34942" xr:uid="{00000000-0005-0000-0000-0000BA560000}"/>
    <cellStyle name="Input 3 4 23" xfId="34930" xr:uid="{00000000-0005-0000-0000-0000BB560000}"/>
    <cellStyle name="Input 3 4 3" xfId="4913" xr:uid="{00000000-0005-0000-0000-0000BC560000}"/>
    <cellStyle name="Input 3 4 3 10" xfId="14962" xr:uid="{00000000-0005-0000-0000-0000BD560000}"/>
    <cellStyle name="Input 3 4 3 11" xfId="20906" xr:uid="{00000000-0005-0000-0000-0000BE560000}"/>
    <cellStyle name="Input 3 4 3 12" xfId="26383" xr:uid="{00000000-0005-0000-0000-0000BF560000}"/>
    <cellStyle name="Input 3 4 3 13" xfId="27133" xr:uid="{00000000-0005-0000-0000-0000C0560000}"/>
    <cellStyle name="Input 3 4 3 14" xfId="25928" xr:uid="{00000000-0005-0000-0000-0000C1560000}"/>
    <cellStyle name="Input 3 4 3 15" xfId="26773" xr:uid="{00000000-0005-0000-0000-0000C2560000}"/>
    <cellStyle name="Input 3 4 3 16" xfId="26959" xr:uid="{00000000-0005-0000-0000-0000C3560000}"/>
    <cellStyle name="Input 3 4 3 17" xfId="26844" xr:uid="{00000000-0005-0000-0000-0000C4560000}"/>
    <cellStyle name="Input 3 4 3 18" xfId="35074" xr:uid="{00000000-0005-0000-0000-0000C5560000}"/>
    <cellStyle name="Input 3 4 3 19" xfId="35289" xr:uid="{00000000-0005-0000-0000-0000C6560000}"/>
    <cellStyle name="Input 3 4 3 2" xfId="4914" xr:uid="{00000000-0005-0000-0000-0000C7560000}"/>
    <cellStyle name="Input 3 4 3 2 10" xfId="23749" xr:uid="{00000000-0005-0000-0000-0000C8560000}"/>
    <cellStyle name="Input 3 4 3 2 11" xfId="24721" xr:uid="{00000000-0005-0000-0000-0000C9560000}"/>
    <cellStyle name="Input 3 4 3 2 12" xfId="25720" xr:uid="{00000000-0005-0000-0000-0000CA560000}"/>
    <cellStyle name="Input 3 4 3 2 13" xfId="28667" xr:uid="{00000000-0005-0000-0000-0000CB560000}"/>
    <cellStyle name="Input 3 4 3 2 14" xfId="29634" xr:uid="{00000000-0005-0000-0000-0000CC560000}"/>
    <cellStyle name="Input 3 4 3 2 15" xfId="30676" xr:uid="{00000000-0005-0000-0000-0000CD560000}"/>
    <cellStyle name="Input 3 4 3 2 16" xfId="31667" xr:uid="{00000000-0005-0000-0000-0000CE560000}"/>
    <cellStyle name="Input 3 4 3 2 17" xfId="32675" xr:uid="{00000000-0005-0000-0000-0000CF560000}"/>
    <cellStyle name="Input 3 4 3 2 18" xfId="33678" xr:uid="{00000000-0005-0000-0000-0000D0560000}"/>
    <cellStyle name="Input 3 4 3 2 19" xfId="34677" xr:uid="{00000000-0005-0000-0000-0000D1560000}"/>
    <cellStyle name="Input 3 4 3 2 2" xfId="4915" xr:uid="{00000000-0005-0000-0000-0000D2560000}"/>
    <cellStyle name="Input 3 4 3 2 2 10" xfId="24722" xr:uid="{00000000-0005-0000-0000-0000D3560000}"/>
    <cellStyle name="Input 3 4 3 2 2 11" xfId="25721" xr:uid="{00000000-0005-0000-0000-0000D4560000}"/>
    <cellStyle name="Input 3 4 3 2 2 12" xfId="28668" xr:uid="{00000000-0005-0000-0000-0000D5560000}"/>
    <cellStyle name="Input 3 4 3 2 2 13" xfId="29635" xr:uid="{00000000-0005-0000-0000-0000D6560000}"/>
    <cellStyle name="Input 3 4 3 2 2 14" xfId="30677" xr:uid="{00000000-0005-0000-0000-0000D7560000}"/>
    <cellStyle name="Input 3 4 3 2 2 15" xfId="31668" xr:uid="{00000000-0005-0000-0000-0000D8560000}"/>
    <cellStyle name="Input 3 4 3 2 2 16" xfId="32676" xr:uid="{00000000-0005-0000-0000-0000D9560000}"/>
    <cellStyle name="Input 3 4 3 2 2 17" xfId="33679" xr:uid="{00000000-0005-0000-0000-0000DA560000}"/>
    <cellStyle name="Input 3 4 3 2 2 18" xfId="34678" xr:uid="{00000000-0005-0000-0000-0000DB560000}"/>
    <cellStyle name="Input 3 4 3 2 2 19" xfId="36299" xr:uid="{00000000-0005-0000-0000-0000DC560000}"/>
    <cellStyle name="Input 3 4 3 2 2 2" xfId="16703" xr:uid="{00000000-0005-0000-0000-0000DD560000}"/>
    <cellStyle name="Input 3 4 3 2 2 20" xfId="37238" xr:uid="{00000000-0005-0000-0000-0000DE560000}"/>
    <cellStyle name="Input 3 4 3 2 2 3" xfId="17682" xr:uid="{00000000-0005-0000-0000-0000DF560000}"/>
    <cellStyle name="Input 3 4 3 2 2 4" xfId="18709" xr:uid="{00000000-0005-0000-0000-0000E0560000}"/>
    <cellStyle name="Input 3 4 3 2 2 5" xfId="19741" xr:uid="{00000000-0005-0000-0000-0000E1560000}"/>
    <cellStyle name="Input 3 4 3 2 2 6" xfId="20763" xr:uid="{00000000-0005-0000-0000-0000E2560000}"/>
    <cellStyle name="Input 3 4 3 2 2 7" xfId="21774" xr:uid="{00000000-0005-0000-0000-0000E3560000}"/>
    <cellStyle name="Input 3 4 3 2 2 8" xfId="22745" xr:uid="{00000000-0005-0000-0000-0000E4560000}"/>
    <cellStyle name="Input 3 4 3 2 2 9" xfId="23750" xr:uid="{00000000-0005-0000-0000-0000E5560000}"/>
    <cellStyle name="Input 3 4 3 2 20" xfId="36298" xr:uid="{00000000-0005-0000-0000-0000E6560000}"/>
    <cellStyle name="Input 3 4 3 2 21" xfId="37237" xr:uid="{00000000-0005-0000-0000-0000E7560000}"/>
    <cellStyle name="Input 3 4 3 2 3" xfId="16702" xr:uid="{00000000-0005-0000-0000-0000E8560000}"/>
    <cellStyle name="Input 3 4 3 2 4" xfId="17681" xr:uid="{00000000-0005-0000-0000-0000E9560000}"/>
    <cellStyle name="Input 3 4 3 2 5" xfId="18708" xr:uid="{00000000-0005-0000-0000-0000EA560000}"/>
    <cellStyle name="Input 3 4 3 2 6" xfId="19740" xr:uid="{00000000-0005-0000-0000-0000EB560000}"/>
    <cellStyle name="Input 3 4 3 2 7" xfId="20762" xr:uid="{00000000-0005-0000-0000-0000EC560000}"/>
    <cellStyle name="Input 3 4 3 2 8" xfId="21773" xr:uid="{00000000-0005-0000-0000-0000ED560000}"/>
    <cellStyle name="Input 3 4 3 2 9" xfId="22744" xr:uid="{00000000-0005-0000-0000-0000EE560000}"/>
    <cellStyle name="Input 3 4 3 3" xfId="4916" xr:uid="{00000000-0005-0000-0000-0000EF560000}"/>
    <cellStyle name="Input 3 4 3 3 10" xfId="23751" xr:uid="{00000000-0005-0000-0000-0000F0560000}"/>
    <cellStyle name="Input 3 4 3 3 11" xfId="24723" xr:uid="{00000000-0005-0000-0000-0000F1560000}"/>
    <cellStyle name="Input 3 4 3 3 12" xfId="25722" xr:uid="{00000000-0005-0000-0000-0000F2560000}"/>
    <cellStyle name="Input 3 4 3 3 13" xfId="28669" xr:uid="{00000000-0005-0000-0000-0000F3560000}"/>
    <cellStyle name="Input 3 4 3 3 14" xfId="29636" xr:uid="{00000000-0005-0000-0000-0000F4560000}"/>
    <cellStyle name="Input 3 4 3 3 15" xfId="30678" xr:uid="{00000000-0005-0000-0000-0000F5560000}"/>
    <cellStyle name="Input 3 4 3 3 16" xfId="31669" xr:uid="{00000000-0005-0000-0000-0000F6560000}"/>
    <cellStyle name="Input 3 4 3 3 17" xfId="32677" xr:uid="{00000000-0005-0000-0000-0000F7560000}"/>
    <cellStyle name="Input 3 4 3 3 18" xfId="33680" xr:uid="{00000000-0005-0000-0000-0000F8560000}"/>
    <cellStyle name="Input 3 4 3 3 19" xfId="34679" xr:uid="{00000000-0005-0000-0000-0000F9560000}"/>
    <cellStyle name="Input 3 4 3 3 2" xfId="4917" xr:uid="{00000000-0005-0000-0000-0000FA560000}"/>
    <cellStyle name="Input 3 4 3 3 2 10" xfId="24724" xr:uid="{00000000-0005-0000-0000-0000FB560000}"/>
    <cellStyle name="Input 3 4 3 3 2 11" xfId="25723" xr:uid="{00000000-0005-0000-0000-0000FC560000}"/>
    <cellStyle name="Input 3 4 3 3 2 12" xfId="28670" xr:uid="{00000000-0005-0000-0000-0000FD560000}"/>
    <cellStyle name="Input 3 4 3 3 2 13" xfId="29637" xr:uid="{00000000-0005-0000-0000-0000FE560000}"/>
    <cellStyle name="Input 3 4 3 3 2 14" xfId="30679" xr:uid="{00000000-0005-0000-0000-0000FF560000}"/>
    <cellStyle name="Input 3 4 3 3 2 15" xfId="31670" xr:uid="{00000000-0005-0000-0000-000000570000}"/>
    <cellStyle name="Input 3 4 3 3 2 16" xfId="32678" xr:uid="{00000000-0005-0000-0000-000001570000}"/>
    <cellStyle name="Input 3 4 3 3 2 17" xfId="33681" xr:uid="{00000000-0005-0000-0000-000002570000}"/>
    <cellStyle name="Input 3 4 3 3 2 18" xfId="34680" xr:uid="{00000000-0005-0000-0000-000003570000}"/>
    <cellStyle name="Input 3 4 3 3 2 19" xfId="36301" xr:uid="{00000000-0005-0000-0000-000004570000}"/>
    <cellStyle name="Input 3 4 3 3 2 2" xfId="16705" xr:uid="{00000000-0005-0000-0000-000005570000}"/>
    <cellStyle name="Input 3 4 3 3 2 20" xfId="37240" xr:uid="{00000000-0005-0000-0000-000006570000}"/>
    <cellStyle name="Input 3 4 3 3 2 3" xfId="17684" xr:uid="{00000000-0005-0000-0000-000007570000}"/>
    <cellStyle name="Input 3 4 3 3 2 4" xfId="18711" xr:uid="{00000000-0005-0000-0000-000008570000}"/>
    <cellStyle name="Input 3 4 3 3 2 5" xfId="19743" xr:uid="{00000000-0005-0000-0000-000009570000}"/>
    <cellStyle name="Input 3 4 3 3 2 6" xfId="20765" xr:uid="{00000000-0005-0000-0000-00000A570000}"/>
    <cellStyle name="Input 3 4 3 3 2 7" xfId="21776" xr:uid="{00000000-0005-0000-0000-00000B570000}"/>
    <cellStyle name="Input 3 4 3 3 2 8" xfId="22747" xr:uid="{00000000-0005-0000-0000-00000C570000}"/>
    <cellStyle name="Input 3 4 3 3 2 9" xfId="23752" xr:uid="{00000000-0005-0000-0000-00000D570000}"/>
    <cellStyle name="Input 3 4 3 3 20" xfId="36300" xr:uid="{00000000-0005-0000-0000-00000E570000}"/>
    <cellStyle name="Input 3 4 3 3 21" xfId="37239" xr:uid="{00000000-0005-0000-0000-00000F570000}"/>
    <cellStyle name="Input 3 4 3 3 3" xfId="16704" xr:uid="{00000000-0005-0000-0000-000010570000}"/>
    <cellStyle name="Input 3 4 3 3 4" xfId="17683" xr:uid="{00000000-0005-0000-0000-000011570000}"/>
    <cellStyle name="Input 3 4 3 3 5" xfId="18710" xr:uid="{00000000-0005-0000-0000-000012570000}"/>
    <cellStyle name="Input 3 4 3 3 6" xfId="19742" xr:uid="{00000000-0005-0000-0000-000013570000}"/>
    <cellStyle name="Input 3 4 3 3 7" xfId="20764" xr:uid="{00000000-0005-0000-0000-000014570000}"/>
    <cellStyle name="Input 3 4 3 3 8" xfId="21775" xr:uid="{00000000-0005-0000-0000-000015570000}"/>
    <cellStyle name="Input 3 4 3 3 9" xfId="22746" xr:uid="{00000000-0005-0000-0000-000016570000}"/>
    <cellStyle name="Input 3 4 3 4" xfId="4918" xr:uid="{00000000-0005-0000-0000-000017570000}"/>
    <cellStyle name="Input 3 4 3 4 10" xfId="23753" xr:uid="{00000000-0005-0000-0000-000018570000}"/>
    <cellStyle name="Input 3 4 3 4 11" xfId="24725" xr:uid="{00000000-0005-0000-0000-000019570000}"/>
    <cellStyle name="Input 3 4 3 4 12" xfId="25724" xr:uid="{00000000-0005-0000-0000-00001A570000}"/>
    <cellStyle name="Input 3 4 3 4 13" xfId="28671" xr:uid="{00000000-0005-0000-0000-00001B570000}"/>
    <cellStyle name="Input 3 4 3 4 14" xfId="29638" xr:uid="{00000000-0005-0000-0000-00001C570000}"/>
    <cellStyle name="Input 3 4 3 4 15" xfId="30680" xr:uid="{00000000-0005-0000-0000-00001D570000}"/>
    <cellStyle name="Input 3 4 3 4 16" xfId="31671" xr:uid="{00000000-0005-0000-0000-00001E570000}"/>
    <cellStyle name="Input 3 4 3 4 17" xfId="32679" xr:uid="{00000000-0005-0000-0000-00001F570000}"/>
    <cellStyle name="Input 3 4 3 4 18" xfId="33682" xr:uid="{00000000-0005-0000-0000-000020570000}"/>
    <cellStyle name="Input 3 4 3 4 19" xfId="34681" xr:uid="{00000000-0005-0000-0000-000021570000}"/>
    <cellStyle name="Input 3 4 3 4 2" xfId="4919" xr:uid="{00000000-0005-0000-0000-000022570000}"/>
    <cellStyle name="Input 3 4 3 4 2 10" xfId="24726" xr:uid="{00000000-0005-0000-0000-000023570000}"/>
    <cellStyle name="Input 3 4 3 4 2 11" xfId="25725" xr:uid="{00000000-0005-0000-0000-000024570000}"/>
    <cellStyle name="Input 3 4 3 4 2 12" xfId="28672" xr:uid="{00000000-0005-0000-0000-000025570000}"/>
    <cellStyle name="Input 3 4 3 4 2 13" xfId="29639" xr:uid="{00000000-0005-0000-0000-000026570000}"/>
    <cellStyle name="Input 3 4 3 4 2 14" xfId="30681" xr:uid="{00000000-0005-0000-0000-000027570000}"/>
    <cellStyle name="Input 3 4 3 4 2 15" xfId="31672" xr:uid="{00000000-0005-0000-0000-000028570000}"/>
    <cellStyle name="Input 3 4 3 4 2 16" xfId="32680" xr:uid="{00000000-0005-0000-0000-000029570000}"/>
    <cellStyle name="Input 3 4 3 4 2 17" xfId="33683" xr:uid="{00000000-0005-0000-0000-00002A570000}"/>
    <cellStyle name="Input 3 4 3 4 2 18" xfId="34682" xr:uid="{00000000-0005-0000-0000-00002B570000}"/>
    <cellStyle name="Input 3 4 3 4 2 19" xfId="36303" xr:uid="{00000000-0005-0000-0000-00002C570000}"/>
    <cellStyle name="Input 3 4 3 4 2 2" xfId="16707" xr:uid="{00000000-0005-0000-0000-00002D570000}"/>
    <cellStyle name="Input 3 4 3 4 2 20" xfId="37242" xr:uid="{00000000-0005-0000-0000-00002E570000}"/>
    <cellStyle name="Input 3 4 3 4 2 3" xfId="17686" xr:uid="{00000000-0005-0000-0000-00002F570000}"/>
    <cellStyle name="Input 3 4 3 4 2 4" xfId="18713" xr:uid="{00000000-0005-0000-0000-000030570000}"/>
    <cellStyle name="Input 3 4 3 4 2 5" xfId="19745" xr:uid="{00000000-0005-0000-0000-000031570000}"/>
    <cellStyle name="Input 3 4 3 4 2 6" xfId="20767" xr:uid="{00000000-0005-0000-0000-000032570000}"/>
    <cellStyle name="Input 3 4 3 4 2 7" xfId="21778" xr:uid="{00000000-0005-0000-0000-000033570000}"/>
    <cellStyle name="Input 3 4 3 4 2 8" xfId="22749" xr:uid="{00000000-0005-0000-0000-000034570000}"/>
    <cellStyle name="Input 3 4 3 4 2 9" xfId="23754" xr:uid="{00000000-0005-0000-0000-000035570000}"/>
    <cellStyle name="Input 3 4 3 4 20" xfId="36302" xr:uid="{00000000-0005-0000-0000-000036570000}"/>
    <cellStyle name="Input 3 4 3 4 21" xfId="37241" xr:uid="{00000000-0005-0000-0000-000037570000}"/>
    <cellStyle name="Input 3 4 3 4 3" xfId="16706" xr:uid="{00000000-0005-0000-0000-000038570000}"/>
    <cellStyle name="Input 3 4 3 4 4" xfId="17685" xr:uid="{00000000-0005-0000-0000-000039570000}"/>
    <cellStyle name="Input 3 4 3 4 5" xfId="18712" xr:uid="{00000000-0005-0000-0000-00003A570000}"/>
    <cellStyle name="Input 3 4 3 4 6" xfId="19744" xr:uid="{00000000-0005-0000-0000-00003B570000}"/>
    <cellStyle name="Input 3 4 3 4 7" xfId="20766" xr:uid="{00000000-0005-0000-0000-00003C570000}"/>
    <cellStyle name="Input 3 4 3 4 8" xfId="21777" xr:uid="{00000000-0005-0000-0000-00003D570000}"/>
    <cellStyle name="Input 3 4 3 4 9" xfId="22748" xr:uid="{00000000-0005-0000-0000-00003E570000}"/>
    <cellStyle name="Input 3 4 3 5" xfId="4920" xr:uid="{00000000-0005-0000-0000-00003F570000}"/>
    <cellStyle name="Input 3 4 3 5 10" xfId="24727" xr:uid="{00000000-0005-0000-0000-000040570000}"/>
    <cellStyle name="Input 3 4 3 5 11" xfId="25726" xr:uid="{00000000-0005-0000-0000-000041570000}"/>
    <cellStyle name="Input 3 4 3 5 12" xfId="28673" xr:uid="{00000000-0005-0000-0000-000042570000}"/>
    <cellStyle name="Input 3 4 3 5 13" xfId="29640" xr:uid="{00000000-0005-0000-0000-000043570000}"/>
    <cellStyle name="Input 3 4 3 5 14" xfId="30682" xr:uid="{00000000-0005-0000-0000-000044570000}"/>
    <cellStyle name="Input 3 4 3 5 15" xfId="31673" xr:uid="{00000000-0005-0000-0000-000045570000}"/>
    <cellStyle name="Input 3 4 3 5 16" xfId="32681" xr:uid="{00000000-0005-0000-0000-000046570000}"/>
    <cellStyle name="Input 3 4 3 5 17" xfId="33684" xr:uid="{00000000-0005-0000-0000-000047570000}"/>
    <cellStyle name="Input 3 4 3 5 18" xfId="34683" xr:uid="{00000000-0005-0000-0000-000048570000}"/>
    <cellStyle name="Input 3 4 3 5 19" xfId="36304" xr:uid="{00000000-0005-0000-0000-000049570000}"/>
    <cellStyle name="Input 3 4 3 5 2" xfId="16708" xr:uid="{00000000-0005-0000-0000-00004A570000}"/>
    <cellStyle name="Input 3 4 3 5 20" xfId="37243" xr:uid="{00000000-0005-0000-0000-00004B570000}"/>
    <cellStyle name="Input 3 4 3 5 3" xfId="17687" xr:uid="{00000000-0005-0000-0000-00004C570000}"/>
    <cellStyle name="Input 3 4 3 5 4" xfId="18714" xr:uid="{00000000-0005-0000-0000-00004D570000}"/>
    <cellStyle name="Input 3 4 3 5 5" xfId="19746" xr:uid="{00000000-0005-0000-0000-00004E570000}"/>
    <cellStyle name="Input 3 4 3 5 6" xfId="20768" xr:uid="{00000000-0005-0000-0000-00004F570000}"/>
    <cellStyle name="Input 3 4 3 5 7" xfId="21779" xr:uid="{00000000-0005-0000-0000-000050570000}"/>
    <cellStyle name="Input 3 4 3 5 8" xfId="22750" xr:uid="{00000000-0005-0000-0000-000051570000}"/>
    <cellStyle name="Input 3 4 3 5 9" xfId="23755" xr:uid="{00000000-0005-0000-0000-000052570000}"/>
    <cellStyle name="Input 3 4 3 6" xfId="15413" xr:uid="{00000000-0005-0000-0000-000053570000}"/>
    <cellStyle name="Input 3 4 3 7" xfId="14008" xr:uid="{00000000-0005-0000-0000-000054570000}"/>
    <cellStyle name="Input 3 4 3 8" xfId="15841" xr:uid="{00000000-0005-0000-0000-000055570000}"/>
    <cellStyle name="Input 3 4 3 9" xfId="14527" xr:uid="{00000000-0005-0000-0000-000056570000}"/>
    <cellStyle name="Input 3 4 4" xfId="4921" xr:uid="{00000000-0005-0000-0000-000057570000}"/>
    <cellStyle name="Input 3 4 4 10" xfId="14958" xr:uid="{00000000-0005-0000-0000-000058570000}"/>
    <cellStyle name="Input 3 4 4 11" xfId="15653" xr:uid="{00000000-0005-0000-0000-000059570000}"/>
    <cellStyle name="Input 3 4 4 12" xfId="26361" xr:uid="{00000000-0005-0000-0000-00005A570000}"/>
    <cellStyle name="Input 3 4 4 13" xfId="26040" xr:uid="{00000000-0005-0000-0000-00005B570000}"/>
    <cellStyle name="Input 3 4 4 14" xfId="26826" xr:uid="{00000000-0005-0000-0000-00005C570000}"/>
    <cellStyle name="Input 3 4 4 15" xfId="26547" xr:uid="{00000000-0005-0000-0000-00005D570000}"/>
    <cellStyle name="Input 3 4 4 16" xfId="26969" xr:uid="{00000000-0005-0000-0000-00005E570000}"/>
    <cellStyle name="Input 3 4 4 17" xfId="27594" xr:uid="{00000000-0005-0000-0000-00005F570000}"/>
    <cellStyle name="Input 3 4 4 18" xfId="35053" xr:uid="{00000000-0005-0000-0000-000060570000}"/>
    <cellStyle name="Input 3 4 4 19" xfId="35440" xr:uid="{00000000-0005-0000-0000-000061570000}"/>
    <cellStyle name="Input 3 4 4 2" xfId="4922" xr:uid="{00000000-0005-0000-0000-000062570000}"/>
    <cellStyle name="Input 3 4 4 2 10" xfId="23756" xr:uid="{00000000-0005-0000-0000-000063570000}"/>
    <cellStyle name="Input 3 4 4 2 11" xfId="24728" xr:uid="{00000000-0005-0000-0000-000064570000}"/>
    <cellStyle name="Input 3 4 4 2 12" xfId="25727" xr:uid="{00000000-0005-0000-0000-000065570000}"/>
    <cellStyle name="Input 3 4 4 2 13" xfId="28674" xr:uid="{00000000-0005-0000-0000-000066570000}"/>
    <cellStyle name="Input 3 4 4 2 14" xfId="29641" xr:uid="{00000000-0005-0000-0000-000067570000}"/>
    <cellStyle name="Input 3 4 4 2 15" xfId="30683" xr:uid="{00000000-0005-0000-0000-000068570000}"/>
    <cellStyle name="Input 3 4 4 2 16" xfId="31674" xr:uid="{00000000-0005-0000-0000-000069570000}"/>
    <cellStyle name="Input 3 4 4 2 17" xfId="32682" xr:uid="{00000000-0005-0000-0000-00006A570000}"/>
    <cellStyle name="Input 3 4 4 2 18" xfId="33685" xr:uid="{00000000-0005-0000-0000-00006B570000}"/>
    <cellStyle name="Input 3 4 4 2 19" xfId="34684" xr:uid="{00000000-0005-0000-0000-00006C570000}"/>
    <cellStyle name="Input 3 4 4 2 2" xfId="4923" xr:uid="{00000000-0005-0000-0000-00006D570000}"/>
    <cellStyle name="Input 3 4 4 2 2 10" xfId="24729" xr:uid="{00000000-0005-0000-0000-00006E570000}"/>
    <cellStyle name="Input 3 4 4 2 2 11" xfId="25728" xr:uid="{00000000-0005-0000-0000-00006F570000}"/>
    <cellStyle name="Input 3 4 4 2 2 12" xfId="28675" xr:uid="{00000000-0005-0000-0000-000070570000}"/>
    <cellStyle name="Input 3 4 4 2 2 13" xfId="29642" xr:uid="{00000000-0005-0000-0000-000071570000}"/>
    <cellStyle name="Input 3 4 4 2 2 14" xfId="30684" xr:uid="{00000000-0005-0000-0000-000072570000}"/>
    <cellStyle name="Input 3 4 4 2 2 15" xfId="31675" xr:uid="{00000000-0005-0000-0000-000073570000}"/>
    <cellStyle name="Input 3 4 4 2 2 16" xfId="32683" xr:uid="{00000000-0005-0000-0000-000074570000}"/>
    <cellStyle name="Input 3 4 4 2 2 17" xfId="33686" xr:uid="{00000000-0005-0000-0000-000075570000}"/>
    <cellStyle name="Input 3 4 4 2 2 18" xfId="34685" xr:uid="{00000000-0005-0000-0000-000076570000}"/>
    <cellStyle name="Input 3 4 4 2 2 19" xfId="36306" xr:uid="{00000000-0005-0000-0000-000077570000}"/>
    <cellStyle name="Input 3 4 4 2 2 2" xfId="16710" xr:uid="{00000000-0005-0000-0000-000078570000}"/>
    <cellStyle name="Input 3 4 4 2 2 20" xfId="37245" xr:uid="{00000000-0005-0000-0000-000079570000}"/>
    <cellStyle name="Input 3 4 4 2 2 3" xfId="17689" xr:uid="{00000000-0005-0000-0000-00007A570000}"/>
    <cellStyle name="Input 3 4 4 2 2 4" xfId="18716" xr:uid="{00000000-0005-0000-0000-00007B570000}"/>
    <cellStyle name="Input 3 4 4 2 2 5" xfId="19748" xr:uid="{00000000-0005-0000-0000-00007C570000}"/>
    <cellStyle name="Input 3 4 4 2 2 6" xfId="20770" xr:uid="{00000000-0005-0000-0000-00007D570000}"/>
    <cellStyle name="Input 3 4 4 2 2 7" xfId="21781" xr:uid="{00000000-0005-0000-0000-00007E570000}"/>
    <cellStyle name="Input 3 4 4 2 2 8" xfId="22752" xr:uid="{00000000-0005-0000-0000-00007F570000}"/>
    <cellStyle name="Input 3 4 4 2 2 9" xfId="23757" xr:uid="{00000000-0005-0000-0000-000080570000}"/>
    <cellStyle name="Input 3 4 4 2 20" xfId="36305" xr:uid="{00000000-0005-0000-0000-000081570000}"/>
    <cellStyle name="Input 3 4 4 2 21" xfId="37244" xr:uid="{00000000-0005-0000-0000-000082570000}"/>
    <cellStyle name="Input 3 4 4 2 3" xfId="16709" xr:uid="{00000000-0005-0000-0000-000083570000}"/>
    <cellStyle name="Input 3 4 4 2 4" xfId="17688" xr:uid="{00000000-0005-0000-0000-000084570000}"/>
    <cellStyle name="Input 3 4 4 2 5" xfId="18715" xr:uid="{00000000-0005-0000-0000-000085570000}"/>
    <cellStyle name="Input 3 4 4 2 6" xfId="19747" xr:uid="{00000000-0005-0000-0000-000086570000}"/>
    <cellStyle name="Input 3 4 4 2 7" xfId="20769" xr:uid="{00000000-0005-0000-0000-000087570000}"/>
    <cellStyle name="Input 3 4 4 2 8" xfId="21780" xr:uid="{00000000-0005-0000-0000-000088570000}"/>
    <cellStyle name="Input 3 4 4 2 9" xfId="22751" xr:uid="{00000000-0005-0000-0000-000089570000}"/>
    <cellStyle name="Input 3 4 4 3" xfId="4924" xr:uid="{00000000-0005-0000-0000-00008A570000}"/>
    <cellStyle name="Input 3 4 4 3 10" xfId="23758" xr:uid="{00000000-0005-0000-0000-00008B570000}"/>
    <cellStyle name="Input 3 4 4 3 11" xfId="24730" xr:uid="{00000000-0005-0000-0000-00008C570000}"/>
    <cellStyle name="Input 3 4 4 3 12" xfId="25729" xr:uid="{00000000-0005-0000-0000-00008D570000}"/>
    <cellStyle name="Input 3 4 4 3 13" xfId="28676" xr:uid="{00000000-0005-0000-0000-00008E570000}"/>
    <cellStyle name="Input 3 4 4 3 14" xfId="29643" xr:uid="{00000000-0005-0000-0000-00008F570000}"/>
    <cellStyle name="Input 3 4 4 3 15" xfId="30685" xr:uid="{00000000-0005-0000-0000-000090570000}"/>
    <cellStyle name="Input 3 4 4 3 16" xfId="31676" xr:uid="{00000000-0005-0000-0000-000091570000}"/>
    <cellStyle name="Input 3 4 4 3 17" xfId="32684" xr:uid="{00000000-0005-0000-0000-000092570000}"/>
    <cellStyle name="Input 3 4 4 3 18" xfId="33687" xr:uid="{00000000-0005-0000-0000-000093570000}"/>
    <cellStyle name="Input 3 4 4 3 19" xfId="34686" xr:uid="{00000000-0005-0000-0000-000094570000}"/>
    <cellStyle name="Input 3 4 4 3 2" xfId="4925" xr:uid="{00000000-0005-0000-0000-000095570000}"/>
    <cellStyle name="Input 3 4 4 3 2 10" xfId="24731" xr:uid="{00000000-0005-0000-0000-000096570000}"/>
    <cellStyle name="Input 3 4 4 3 2 11" xfId="25730" xr:uid="{00000000-0005-0000-0000-000097570000}"/>
    <cellStyle name="Input 3 4 4 3 2 12" xfId="28677" xr:uid="{00000000-0005-0000-0000-000098570000}"/>
    <cellStyle name="Input 3 4 4 3 2 13" xfId="29644" xr:uid="{00000000-0005-0000-0000-000099570000}"/>
    <cellStyle name="Input 3 4 4 3 2 14" xfId="30686" xr:uid="{00000000-0005-0000-0000-00009A570000}"/>
    <cellStyle name="Input 3 4 4 3 2 15" xfId="31677" xr:uid="{00000000-0005-0000-0000-00009B570000}"/>
    <cellStyle name="Input 3 4 4 3 2 16" xfId="32685" xr:uid="{00000000-0005-0000-0000-00009C570000}"/>
    <cellStyle name="Input 3 4 4 3 2 17" xfId="33688" xr:uid="{00000000-0005-0000-0000-00009D570000}"/>
    <cellStyle name="Input 3 4 4 3 2 18" xfId="34687" xr:uid="{00000000-0005-0000-0000-00009E570000}"/>
    <cellStyle name="Input 3 4 4 3 2 19" xfId="36308" xr:uid="{00000000-0005-0000-0000-00009F570000}"/>
    <cellStyle name="Input 3 4 4 3 2 2" xfId="16712" xr:uid="{00000000-0005-0000-0000-0000A0570000}"/>
    <cellStyle name="Input 3 4 4 3 2 20" xfId="37247" xr:uid="{00000000-0005-0000-0000-0000A1570000}"/>
    <cellStyle name="Input 3 4 4 3 2 3" xfId="17691" xr:uid="{00000000-0005-0000-0000-0000A2570000}"/>
    <cellStyle name="Input 3 4 4 3 2 4" xfId="18718" xr:uid="{00000000-0005-0000-0000-0000A3570000}"/>
    <cellStyle name="Input 3 4 4 3 2 5" xfId="19750" xr:uid="{00000000-0005-0000-0000-0000A4570000}"/>
    <cellStyle name="Input 3 4 4 3 2 6" xfId="20772" xr:uid="{00000000-0005-0000-0000-0000A5570000}"/>
    <cellStyle name="Input 3 4 4 3 2 7" xfId="21783" xr:uid="{00000000-0005-0000-0000-0000A6570000}"/>
    <cellStyle name="Input 3 4 4 3 2 8" xfId="22754" xr:uid="{00000000-0005-0000-0000-0000A7570000}"/>
    <cellStyle name="Input 3 4 4 3 2 9" xfId="23759" xr:uid="{00000000-0005-0000-0000-0000A8570000}"/>
    <cellStyle name="Input 3 4 4 3 20" xfId="36307" xr:uid="{00000000-0005-0000-0000-0000A9570000}"/>
    <cellStyle name="Input 3 4 4 3 21" xfId="37246" xr:uid="{00000000-0005-0000-0000-0000AA570000}"/>
    <cellStyle name="Input 3 4 4 3 3" xfId="16711" xr:uid="{00000000-0005-0000-0000-0000AB570000}"/>
    <cellStyle name="Input 3 4 4 3 4" xfId="17690" xr:uid="{00000000-0005-0000-0000-0000AC570000}"/>
    <cellStyle name="Input 3 4 4 3 5" xfId="18717" xr:uid="{00000000-0005-0000-0000-0000AD570000}"/>
    <cellStyle name="Input 3 4 4 3 6" xfId="19749" xr:uid="{00000000-0005-0000-0000-0000AE570000}"/>
    <cellStyle name="Input 3 4 4 3 7" xfId="20771" xr:uid="{00000000-0005-0000-0000-0000AF570000}"/>
    <cellStyle name="Input 3 4 4 3 8" xfId="21782" xr:uid="{00000000-0005-0000-0000-0000B0570000}"/>
    <cellStyle name="Input 3 4 4 3 9" xfId="22753" xr:uid="{00000000-0005-0000-0000-0000B1570000}"/>
    <cellStyle name="Input 3 4 4 4" xfId="4926" xr:uid="{00000000-0005-0000-0000-0000B2570000}"/>
    <cellStyle name="Input 3 4 4 4 10" xfId="23760" xr:uid="{00000000-0005-0000-0000-0000B3570000}"/>
    <cellStyle name="Input 3 4 4 4 11" xfId="24732" xr:uid="{00000000-0005-0000-0000-0000B4570000}"/>
    <cellStyle name="Input 3 4 4 4 12" xfId="25731" xr:uid="{00000000-0005-0000-0000-0000B5570000}"/>
    <cellStyle name="Input 3 4 4 4 13" xfId="28678" xr:uid="{00000000-0005-0000-0000-0000B6570000}"/>
    <cellStyle name="Input 3 4 4 4 14" xfId="29645" xr:uid="{00000000-0005-0000-0000-0000B7570000}"/>
    <cellStyle name="Input 3 4 4 4 15" xfId="30687" xr:uid="{00000000-0005-0000-0000-0000B8570000}"/>
    <cellStyle name="Input 3 4 4 4 16" xfId="31678" xr:uid="{00000000-0005-0000-0000-0000B9570000}"/>
    <cellStyle name="Input 3 4 4 4 17" xfId="32686" xr:uid="{00000000-0005-0000-0000-0000BA570000}"/>
    <cellStyle name="Input 3 4 4 4 18" xfId="33689" xr:uid="{00000000-0005-0000-0000-0000BB570000}"/>
    <cellStyle name="Input 3 4 4 4 19" xfId="34688" xr:uid="{00000000-0005-0000-0000-0000BC570000}"/>
    <cellStyle name="Input 3 4 4 4 2" xfId="4927" xr:uid="{00000000-0005-0000-0000-0000BD570000}"/>
    <cellStyle name="Input 3 4 4 4 2 10" xfId="24733" xr:uid="{00000000-0005-0000-0000-0000BE570000}"/>
    <cellStyle name="Input 3 4 4 4 2 11" xfId="25732" xr:uid="{00000000-0005-0000-0000-0000BF570000}"/>
    <cellStyle name="Input 3 4 4 4 2 12" xfId="28679" xr:uid="{00000000-0005-0000-0000-0000C0570000}"/>
    <cellStyle name="Input 3 4 4 4 2 13" xfId="29646" xr:uid="{00000000-0005-0000-0000-0000C1570000}"/>
    <cellStyle name="Input 3 4 4 4 2 14" xfId="30688" xr:uid="{00000000-0005-0000-0000-0000C2570000}"/>
    <cellStyle name="Input 3 4 4 4 2 15" xfId="31679" xr:uid="{00000000-0005-0000-0000-0000C3570000}"/>
    <cellStyle name="Input 3 4 4 4 2 16" xfId="32687" xr:uid="{00000000-0005-0000-0000-0000C4570000}"/>
    <cellStyle name="Input 3 4 4 4 2 17" xfId="33690" xr:uid="{00000000-0005-0000-0000-0000C5570000}"/>
    <cellStyle name="Input 3 4 4 4 2 18" xfId="34689" xr:uid="{00000000-0005-0000-0000-0000C6570000}"/>
    <cellStyle name="Input 3 4 4 4 2 19" xfId="36310" xr:uid="{00000000-0005-0000-0000-0000C7570000}"/>
    <cellStyle name="Input 3 4 4 4 2 2" xfId="16714" xr:uid="{00000000-0005-0000-0000-0000C8570000}"/>
    <cellStyle name="Input 3 4 4 4 2 20" xfId="37249" xr:uid="{00000000-0005-0000-0000-0000C9570000}"/>
    <cellStyle name="Input 3 4 4 4 2 3" xfId="17693" xr:uid="{00000000-0005-0000-0000-0000CA570000}"/>
    <cellStyle name="Input 3 4 4 4 2 4" xfId="18720" xr:uid="{00000000-0005-0000-0000-0000CB570000}"/>
    <cellStyle name="Input 3 4 4 4 2 5" xfId="19752" xr:uid="{00000000-0005-0000-0000-0000CC570000}"/>
    <cellStyle name="Input 3 4 4 4 2 6" xfId="20774" xr:uid="{00000000-0005-0000-0000-0000CD570000}"/>
    <cellStyle name="Input 3 4 4 4 2 7" xfId="21785" xr:uid="{00000000-0005-0000-0000-0000CE570000}"/>
    <cellStyle name="Input 3 4 4 4 2 8" xfId="22756" xr:uid="{00000000-0005-0000-0000-0000CF570000}"/>
    <cellStyle name="Input 3 4 4 4 2 9" xfId="23761" xr:uid="{00000000-0005-0000-0000-0000D0570000}"/>
    <cellStyle name="Input 3 4 4 4 20" xfId="36309" xr:uid="{00000000-0005-0000-0000-0000D1570000}"/>
    <cellStyle name="Input 3 4 4 4 21" xfId="37248" xr:uid="{00000000-0005-0000-0000-0000D2570000}"/>
    <cellStyle name="Input 3 4 4 4 3" xfId="16713" xr:uid="{00000000-0005-0000-0000-0000D3570000}"/>
    <cellStyle name="Input 3 4 4 4 4" xfId="17692" xr:uid="{00000000-0005-0000-0000-0000D4570000}"/>
    <cellStyle name="Input 3 4 4 4 5" xfId="18719" xr:uid="{00000000-0005-0000-0000-0000D5570000}"/>
    <cellStyle name="Input 3 4 4 4 6" xfId="19751" xr:uid="{00000000-0005-0000-0000-0000D6570000}"/>
    <cellStyle name="Input 3 4 4 4 7" xfId="20773" xr:uid="{00000000-0005-0000-0000-0000D7570000}"/>
    <cellStyle name="Input 3 4 4 4 8" xfId="21784" xr:uid="{00000000-0005-0000-0000-0000D8570000}"/>
    <cellStyle name="Input 3 4 4 4 9" xfId="22755" xr:uid="{00000000-0005-0000-0000-0000D9570000}"/>
    <cellStyle name="Input 3 4 4 5" xfId="4928" xr:uid="{00000000-0005-0000-0000-0000DA570000}"/>
    <cellStyle name="Input 3 4 4 5 10" xfId="24734" xr:uid="{00000000-0005-0000-0000-0000DB570000}"/>
    <cellStyle name="Input 3 4 4 5 11" xfId="25733" xr:uid="{00000000-0005-0000-0000-0000DC570000}"/>
    <cellStyle name="Input 3 4 4 5 12" xfId="28680" xr:uid="{00000000-0005-0000-0000-0000DD570000}"/>
    <cellStyle name="Input 3 4 4 5 13" xfId="29647" xr:uid="{00000000-0005-0000-0000-0000DE570000}"/>
    <cellStyle name="Input 3 4 4 5 14" xfId="30689" xr:uid="{00000000-0005-0000-0000-0000DF570000}"/>
    <cellStyle name="Input 3 4 4 5 15" xfId="31680" xr:uid="{00000000-0005-0000-0000-0000E0570000}"/>
    <cellStyle name="Input 3 4 4 5 16" xfId="32688" xr:uid="{00000000-0005-0000-0000-0000E1570000}"/>
    <cellStyle name="Input 3 4 4 5 17" xfId="33691" xr:uid="{00000000-0005-0000-0000-0000E2570000}"/>
    <cellStyle name="Input 3 4 4 5 18" xfId="34690" xr:uid="{00000000-0005-0000-0000-0000E3570000}"/>
    <cellStyle name="Input 3 4 4 5 19" xfId="36311" xr:uid="{00000000-0005-0000-0000-0000E4570000}"/>
    <cellStyle name="Input 3 4 4 5 2" xfId="16715" xr:uid="{00000000-0005-0000-0000-0000E5570000}"/>
    <cellStyle name="Input 3 4 4 5 20" xfId="37250" xr:uid="{00000000-0005-0000-0000-0000E6570000}"/>
    <cellStyle name="Input 3 4 4 5 3" xfId="17694" xr:uid="{00000000-0005-0000-0000-0000E7570000}"/>
    <cellStyle name="Input 3 4 4 5 4" xfId="18721" xr:uid="{00000000-0005-0000-0000-0000E8570000}"/>
    <cellStyle name="Input 3 4 4 5 5" xfId="19753" xr:uid="{00000000-0005-0000-0000-0000E9570000}"/>
    <cellStyle name="Input 3 4 4 5 6" xfId="20775" xr:uid="{00000000-0005-0000-0000-0000EA570000}"/>
    <cellStyle name="Input 3 4 4 5 7" xfId="21786" xr:uid="{00000000-0005-0000-0000-0000EB570000}"/>
    <cellStyle name="Input 3 4 4 5 8" xfId="22757" xr:uid="{00000000-0005-0000-0000-0000EC570000}"/>
    <cellStyle name="Input 3 4 4 5 9" xfId="23762" xr:uid="{00000000-0005-0000-0000-0000ED570000}"/>
    <cellStyle name="Input 3 4 4 6" xfId="13758" xr:uid="{00000000-0005-0000-0000-0000EE570000}"/>
    <cellStyle name="Input 3 4 4 7" xfId="14553" xr:uid="{00000000-0005-0000-0000-0000EF570000}"/>
    <cellStyle name="Input 3 4 4 8" xfId="13828" xr:uid="{00000000-0005-0000-0000-0000F0570000}"/>
    <cellStyle name="Input 3 4 4 9" xfId="15575" xr:uid="{00000000-0005-0000-0000-0000F1570000}"/>
    <cellStyle name="Input 3 4 5" xfId="4929" xr:uid="{00000000-0005-0000-0000-0000F2570000}"/>
    <cellStyle name="Input 3 4 5 10" xfId="13570" xr:uid="{00000000-0005-0000-0000-0000F3570000}"/>
    <cellStyle name="Input 3 4 5 11" xfId="13958" xr:uid="{00000000-0005-0000-0000-0000F4570000}"/>
    <cellStyle name="Input 3 4 5 12" xfId="26449" xr:uid="{00000000-0005-0000-0000-0000F5570000}"/>
    <cellStyle name="Input 3 4 5 13" xfId="27091" xr:uid="{00000000-0005-0000-0000-0000F6570000}"/>
    <cellStyle name="Input 3 4 5 14" xfId="27846" xr:uid="{00000000-0005-0000-0000-0000F7570000}"/>
    <cellStyle name="Input 3 4 5 15" xfId="27375" xr:uid="{00000000-0005-0000-0000-0000F8570000}"/>
    <cellStyle name="Input 3 4 5 16" xfId="30848" xr:uid="{00000000-0005-0000-0000-0000F9570000}"/>
    <cellStyle name="Input 3 4 5 17" xfId="26266" xr:uid="{00000000-0005-0000-0000-0000FA570000}"/>
    <cellStyle name="Input 3 4 5 18" xfId="35132" xr:uid="{00000000-0005-0000-0000-0000FB570000}"/>
    <cellStyle name="Input 3 4 5 19" xfId="35247" xr:uid="{00000000-0005-0000-0000-0000FC570000}"/>
    <cellStyle name="Input 3 4 5 2" xfId="4930" xr:uid="{00000000-0005-0000-0000-0000FD570000}"/>
    <cellStyle name="Input 3 4 5 2 10" xfId="23763" xr:uid="{00000000-0005-0000-0000-0000FE570000}"/>
    <cellStyle name="Input 3 4 5 2 11" xfId="24735" xr:uid="{00000000-0005-0000-0000-0000FF570000}"/>
    <cellStyle name="Input 3 4 5 2 12" xfId="25734" xr:uid="{00000000-0005-0000-0000-000000580000}"/>
    <cellStyle name="Input 3 4 5 2 13" xfId="28681" xr:uid="{00000000-0005-0000-0000-000001580000}"/>
    <cellStyle name="Input 3 4 5 2 14" xfId="29648" xr:uid="{00000000-0005-0000-0000-000002580000}"/>
    <cellStyle name="Input 3 4 5 2 15" xfId="30690" xr:uid="{00000000-0005-0000-0000-000003580000}"/>
    <cellStyle name="Input 3 4 5 2 16" xfId="31681" xr:uid="{00000000-0005-0000-0000-000004580000}"/>
    <cellStyle name="Input 3 4 5 2 17" xfId="32689" xr:uid="{00000000-0005-0000-0000-000005580000}"/>
    <cellStyle name="Input 3 4 5 2 18" xfId="33692" xr:uid="{00000000-0005-0000-0000-000006580000}"/>
    <cellStyle name="Input 3 4 5 2 19" xfId="34691" xr:uid="{00000000-0005-0000-0000-000007580000}"/>
    <cellStyle name="Input 3 4 5 2 2" xfId="4931" xr:uid="{00000000-0005-0000-0000-000008580000}"/>
    <cellStyle name="Input 3 4 5 2 2 10" xfId="24736" xr:uid="{00000000-0005-0000-0000-000009580000}"/>
    <cellStyle name="Input 3 4 5 2 2 11" xfId="25735" xr:uid="{00000000-0005-0000-0000-00000A580000}"/>
    <cellStyle name="Input 3 4 5 2 2 12" xfId="28682" xr:uid="{00000000-0005-0000-0000-00000B580000}"/>
    <cellStyle name="Input 3 4 5 2 2 13" xfId="29649" xr:uid="{00000000-0005-0000-0000-00000C580000}"/>
    <cellStyle name="Input 3 4 5 2 2 14" xfId="30691" xr:uid="{00000000-0005-0000-0000-00000D580000}"/>
    <cellStyle name="Input 3 4 5 2 2 15" xfId="31682" xr:uid="{00000000-0005-0000-0000-00000E580000}"/>
    <cellStyle name="Input 3 4 5 2 2 16" xfId="32690" xr:uid="{00000000-0005-0000-0000-00000F580000}"/>
    <cellStyle name="Input 3 4 5 2 2 17" xfId="33693" xr:uid="{00000000-0005-0000-0000-000010580000}"/>
    <cellStyle name="Input 3 4 5 2 2 18" xfId="34692" xr:uid="{00000000-0005-0000-0000-000011580000}"/>
    <cellStyle name="Input 3 4 5 2 2 19" xfId="36313" xr:uid="{00000000-0005-0000-0000-000012580000}"/>
    <cellStyle name="Input 3 4 5 2 2 2" xfId="16717" xr:uid="{00000000-0005-0000-0000-000013580000}"/>
    <cellStyle name="Input 3 4 5 2 2 20" xfId="37252" xr:uid="{00000000-0005-0000-0000-000014580000}"/>
    <cellStyle name="Input 3 4 5 2 2 3" xfId="17696" xr:uid="{00000000-0005-0000-0000-000015580000}"/>
    <cellStyle name="Input 3 4 5 2 2 4" xfId="18723" xr:uid="{00000000-0005-0000-0000-000016580000}"/>
    <cellStyle name="Input 3 4 5 2 2 5" xfId="19755" xr:uid="{00000000-0005-0000-0000-000017580000}"/>
    <cellStyle name="Input 3 4 5 2 2 6" xfId="20777" xr:uid="{00000000-0005-0000-0000-000018580000}"/>
    <cellStyle name="Input 3 4 5 2 2 7" xfId="21788" xr:uid="{00000000-0005-0000-0000-000019580000}"/>
    <cellStyle name="Input 3 4 5 2 2 8" xfId="22759" xr:uid="{00000000-0005-0000-0000-00001A580000}"/>
    <cellStyle name="Input 3 4 5 2 2 9" xfId="23764" xr:uid="{00000000-0005-0000-0000-00001B580000}"/>
    <cellStyle name="Input 3 4 5 2 20" xfId="36312" xr:uid="{00000000-0005-0000-0000-00001C580000}"/>
    <cellStyle name="Input 3 4 5 2 21" xfId="37251" xr:uid="{00000000-0005-0000-0000-00001D580000}"/>
    <cellStyle name="Input 3 4 5 2 3" xfId="16716" xr:uid="{00000000-0005-0000-0000-00001E580000}"/>
    <cellStyle name="Input 3 4 5 2 4" xfId="17695" xr:uid="{00000000-0005-0000-0000-00001F580000}"/>
    <cellStyle name="Input 3 4 5 2 5" xfId="18722" xr:uid="{00000000-0005-0000-0000-000020580000}"/>
    <cellStyle name="Input 3 4 5 2 6" xfId="19754" xr:uid="{00000000-0005-0000-0000-000021580000}"/>
    <cellStyle name="Input 3 4 5 2 7" xfId="20776" xr:uid="{00000000-0005-0000-0000-000022580000}"/>
    <cellStyle name="Input 3 4 5 2 8" xfId="21787" xr:uid="{00000000-0005-0000-0000-000023580000}"/>
    <cellStyle name="Input 3 4 5 2 9" xfId="22758" xr:uid="{00000000-0005-0000-0000-000024580000}"/>
    <cellStyle name="Input 3 4 5 3" xfId="4932" xr:uid="{00000000-0005-0000-0000-000025580000}"/>
    <cellStyle name="Input 3 4 5 3 10" xfId="23765" xr:uid="{00000000-0005-0000-0000-000026580000}"/>
    <cellStyle name="Input 3 4 5 3 11" xfId="24737" xr:uid="{00000000-0005-0000-0000-000027580000}"/>
    <cellStyle name="Input 3 4 5 3 12" xfId="25736" xr:uid="{00000000-0005-0000-0000-000028580000}"/>
    <cellStyle name="Input 3 4 5 3 13" xfId="28683" xr:uid="{00000000-0005-0000-0000-000029580000}"/>
    <cellStyle name="Input 3 4 5 3 14" xfId="29650" xr:uid="{00000000-0005-0000-0000-00002A580000}"/>
    <cellStyle name="Input 3 4 5 3 15" xfId="30692" xr:uid="{00000000-0005-0000-0000-00002B580000}"/>
    <cellStyle name="Input 3 4 5 3 16" xfId="31683" xr:uid="{00000000-0005-0000-0000-00002C580000}"/>
    <cellStyle name="Input 3 4 5 3 17" xfId="32691" xr:uid="{00000000-0005-0000-0000-00002D580000}"/>
    <cellStyle name="Input 3 4 5 3 18" xfId="33694" xr:uid="{00000000-0005-0000-0000-00002E580000}"/>
    <cellStyle name="Input 3 4 5 3 19" xfId="34693" xr:uid="{00000000-0005-0000-0000-00002F580000}"/>
    <cellStyle name="Input 3 4 5 3 2" xfId="4933" xr:uid="{00000000-0005-0000-0000-000030580000}"/>
    <cellStyle name="Input 3 4 5 3 2 10" xfId="24738" xr:uid="{00000000-0005-0000-0000-000031580000}"/>
    <cellStyle name="Input 3 4 5 3 2 11" xfId="25737" xr:uid="{00000000-0005-0000-0000-000032580000}"/>
    <cellStyle name="Input 3 4 5 3 2 12" xfId="28684" xr:uid="{00000000-0005-0000-0000-000033580000}"/>
    <cellStyle name="Input 3 4 5 3 2 13" xfId="29651" xr:uid="{00000000-0005-0000-0000-000034580000}"/>
    <cellStyle name="Input 3 4 5 3 2 14" xfId="30693" xr:uid="{00000000-0005-0000-0000-000035580000}"/>
    <cellStyle name="Input 3 4 5 3 2 15" xfId="31684" xr:uid="{00000000-0005-0000-0000-000036580000}"/>
    <cellStyle name="Input 3 4 5 3 2 16" xfId="32692" xr:uid="{00000000-0005-0000-0000-000037580000}"/>
    <cellStyle name="Input 3 4 5 3 2 17" xfId="33695" xr:uid="{00000000-0005-0000-0000-000038580000}"/>
    <cellStyle name="Input 3 4 5 3 2 18" xfId="34694" xr:uid="{00000000-0005-0000-0000-000039580000}"/>
    <cellStyle name="Input 3 4 5 3 2 19" xfId="36315" xr:uid="{00000000-0005-0000-0000-00003A580000}"/>
    <cellStyle name="Input 3 4 5 3 2 2" xfId="16719" xr:uid="{00000000-0005-0000-0000-00003B580000}"/>
    <cellStyle name="Input 3 4 5 3 2 20" xfId="37254" xr:uid="{00000000-0005-0000-0000-00003C580000}"/>
    <cellStyle name="Input 3 4 5 3 2 3" xfId="17698" xr:uid="{00000000-0005-0000-0000-00003D580000}"/>
    <cellStyle name="Input 3 4 5 3 2 4" xfId="18725" xr:uid="{00000000-0005-0000-0000-00003E580000}"/>
    <cellStyle name="Input 3 4 5 3 2 5" xfId="19757" xr:uid="{00000000-0005-0000-0000-00003F580000}"/>
    <cellStyle name="Input 3 4 5 3 2 6" xfId="20779" xr:uid="{00000000-0005-0000-0000-000040580000}"/>
    <cellStyle name="Input 3 4 5 3 2 7" xfId="21790" xr:uid="{00000000-0005-0000-0000-000041580000}"/>
    <cellStyle name="Input 3 4 5 3 2 8" xfId="22761" xr:uid="{00000000-0005-0000-0000-000042580000}"/>
    <cellStyle name="Input 3 4 5 3 2 9" xfId="23766" xr:uid="{00000000-0005-0000-0000-000043580000}"/>
    <cellStyle name="Input 3 4 5 3 20" xfId="36314" xr:uid="{00000000-0005-0000-0000-000044580000}"/>
    <cellStyle name="Input 3 4 5 3 21" xfId="37253" xr:uid="{00000000-0005-0000-0000-000045580000}"/>
    <cellStyle name="Input 3 4 5 3 3" xfId="16718" xr:uid="{00000000-0005-0000-0000-000046580000}"/>
    <cellStyle name="Input 3 4 5 3 4" xfId="17697" xr:uid="{00000000-0005-0000-0000-000047580000}"/>
    <cellStyle name="Input 3 4 5 3 5" xfId="18724" xr:uid="{00000000-0005-0000-0000-000048580000}"/>
    <cellStyle name="Input 3 4 5 3 6" xfId="19756" xr:uid="{00000000-0005-0000-0000-000049580000}"/>
    <cellStyle name="Input 3 4 5 3 7" xfId="20778" xr:uid="{00000000-0005-0000-0000-00004A580000}"/>
    <cellStyle name="Input 3 4 5 3 8" xfId="21789" xr:uid="{00000000-0005-0000-0000-00004B580000}"/>
    <cellStyle name="Input 3 4 5 3 9" xfId="22760" xr:uid="{00000000-0005-0000-0000-00004C580000}"/>
    <cellStyle name="Input 3 4 5 4" xfId="4934" xr:uid="{00000000-0005-0000-0000-00004D580000}"/>
    <cellStyle name="Input 3 4 5 4 10" xfId="23767" xr:uid="{00000000-0005-0000-0000-00004E580000}"/>
    <cellStyle name="Input 3 4 5 4 11" xfId="24739" xr:uid="{00000000-0005-0000-0000-00004F580000}"/>
    <cellStyle name="Input 3 4 5 4 12" xfId="25738" xr:uid="{00000000-0005-0000-0000-000050580000}"/>
    <cellStyle name="Input 3 4 5 4 13" xfId="28685" xr:uid="{00000000-0005-0000-0000-000051580000}"/>
    <cellStyle name="Input 3 4 5 4 14" xfId="29652" xr:uid="{00000000-0005-0000-0000-000052580000}"/>
    <cellStyle name="Input 3 4 5 4 15" xfId="30694" xr:uid="{00000000-0005-0000-0000-000053580000}"/>
    <cellStyle name="Input 3 4 5 4 16" xfId="31685" xr:uid="{00000000-0005-0000-0000-000054580000}"/>
    <cellStyle name="Input 3 4 5 4 17" xfId="32693" xr:uid="{00000000-0005-0000-0000-000055580000}"/>
    <cellStyle name="Input 3 4 5 4 18" xfId="33696" xr:uid="{00000000-0005-0000-0000-000056580000}"/>
    <cellStyle name="Input 3 4 5 4 19" xfId="34695" xr:uid="{00000000-0005-0000-0000-000057580000}"/>
    <cellStyle name="Input 3 4 5 4 2" xfId="4935" xr:uid="{00000000-0005-0000-0000-000058580000}"/>
    <cellStyle name="Input 3 4 5 4 2 10" xfId="24740" xr:uid="{00000000-0005-0000-0000-000059580000}"/>
    <cellStyle name="Input 3 4 5 4 2 11" xfId="25739" xr:uid="{00000000-0005-0000-0000-00005A580000}"/>
    <cellStyle name="Input 3 4 5 4 2 12" xfId="28686" xr:uid="{00000000-0005-0000-0000-00005B580000}"/>
    <cellStyle name="Input 3 4 5 4 2 13" xfId="29653" xr:uid="{00000000-0005-0000-0000-00005C580000}"/>
    <cellStyle name="Input 3 4 5 4 2 14" xfId="30695" xr:uid="{00000000-0005-0000-0000-00005D580000}"/>
    <cellStyle name="Input 3 4 5 4 2 15" xfId="31686" xr:uid="{00000000-0005-0000-0000-00005E580000}"/>
    <cellStyle name="Input 3 4 5 4 2 16" xfId="32694" xr:uid="{00000000-0005-0000-0000-00005F580000}"/>
    <cellStyle name="Input 3 4 5 4 2 17" xfId="33697" xr:uid="{00000000-0005-0000-0000-000060580000}"/>
    <cellStyle name="Input 3 4 5 4 2 18" xfId="34696" xr:uid="{00000000-0005-0000-0000-000061580000}"/>
    <cellStyle name="Input 3 4 5 4 2 19" xfId="36317" xr:uid="{00000000-0005-0000-0000-000062580000}"/>
    <cellStyle name="Input 3 4 5 4 2 2" xfId="16721" xr:uid="{00000000-0005-0000-0000-000063580000}"/>
    <cellStyle name="Input 3 4 5 4 2 20" xfId="37256" xr:uid="{00000000-0005-0000-0000-000064580000}"/>
    <cellStyle name="Input 3 4 5 4 2 3" xfId="17700" xr:uid="{00000000-0005-0000-0000-000065580000}"/>
    <cellStyle name="Input 3 4 5 4 2 4" xfId="18727" xr:uid="{00000000-0005-0000-0000-000066580000}"/>
    <cellStyle name="Input 3 4 5 4 2 5" xfId="19759" xr:uid="{00000000-0005-0000-0000-000067580000}"/>
    <cellStyle name="Input 3 4 5 4 2 6" xfId="20781" xr:uid="{00000000-0005-0000-0000-000068580000}"/>
    <cellStyle name="Input 3 4 5 4 2 7" xfId="21792" xr:uid="{00000000-0005-0000-0000-000069580000}"/>
    <cellStyle name="Input 3 4 5 4 2 8" xfId="22763" xr:uid="{00000000-0005-0000-0000-00006A580000}"/>
    <cellStyle name="Input 3 4 5 4 2 9" xfId="23768" xr:uid="{00000000-0005-0000-0000-00006B580000}"/>
    <cellStyle name="Input 3 4 5 4 20" xfId="36316" xr:uid="{00000000-0005-0000-0000-00006C580000}"/>
    <cellStyle name="Input 3 4 5 4 21" xfId="37255" xr:uid="{00000000-0005-0000-0000-00006D580000}"/>
    <cellStyle name="Input 3 4 5 4 3" xfId="16720" xr:uid="{00000000-0005-0000-0000-00006E580000}"/>
    <cellStyle name="Input 3 4 5 4 4" xfId="17699" xr:uid="{00000000-0005-0000-0000-00006F580000}"/>
    <cellStyle name="Input 3 4 5 4 5" xfId="18726" xr:uid="{00000000-0005-0000-0000-000070580000}"/>
    <cellStyle name="Input 3 4 5 4 6" xfId="19758" xr:uid="{00000000-0005-0000-0000-000071580000}"/>
    <cellStyle name="Input 3 4 5 4 7" xfId="20780" xr:uid="{00000000-0005-0000-0000-000072580000}"/>
    <cellStyle name="Input 3 4 5 4 8" xfId="21791" xr:uid="{00000000-0005-0000-0000-000073580000}"/>
    <cellStyle name="Input 3 4 5 4 9" xfId="22762" xr:uid="{00000000-0005-0000-0000-000074580000}"/>
    <cellStyle name="Input 3 4 5 5" xfId="4936" xr:uid="{00000000-0005-0000-0000-000075580000}"/>
    <cellStyle name="Input 3 4 5 5 10" xfId="24741" xr:uid="{00000000-0005-0000-0000-000076580000}"/>
    <cellStyle name="Input 3 4 5 5 11" xfId="25740" xr:uid="{00000000-0005-0000-0000-000077580000}"/>
    <cellStyle name="Input 3 4 5 5 12" xfId="28687" xr:uid="{00000000-0005-0000-0000-000078580000}"/>
    <cellStyle name="Input 3 4 5 5 13" xfId="29654" xr:uid="{00000000-0005-0000-0000-000079580000}"/>
    <cellStyle name="Input 3 4 5 5 14" xfId="30696" xr:uid="{00000000-0005-0000-0000-00007A580000}"/>
    <cellStyle name="Input 3 4 5 5 15" xfId="31687" xr:uid="{00000000-0005-0000-0000-00007B580000}"/>
    <cellStyle name="Input 3 4 5 5 16" xfId="32695" xr:uid="{00000000-0005-0000-0000-00007C580000}"/>
    <cellStyle name="Input 3 4 5 5 17" xfId="33698" xr:uid="{00000000-0005-0000-0000-00007D580000}"/>
    <cellStyle name="Input 3 4 5 5 18" xfId="34697" xr:uid="{00000000-0005-0000-0000-00007E580000}"/>
    <cellStyle name="Input 3 4 5 5 19" xfId="36318" xr:uid="{00000000-0005-0000-0000-00007F580000}"/>
    <cellStyle name="Input 3 4 5 5 2" xfId="16722" xr:uid="{00000000-0005-0000-0000-000080580000}"/>
    <cellStyle name="Input 3 4 5 5 20" xfId="37257" xr:uid="{00000000-0005-0000-0000-000081580000}"/>
    <cellStyle name="Input 3 4 5 5 3" xfId="17701" xr:uid="{00000000-0005-0000-0000-000082580000}"/>
    <cellStyle name="Input 3 4 5 5 4" xfId="18728" xr:uid="{00000000-0005-0000-0000-000083580000}"/>
    <cellStyle name="Input 3 4 5 5 5" xfId="19760" xr:uid="{00000000-0005-0000-0000-000084580000}"/>
    <cellStyle name="Input 3 4 5 5 6" xfId="20782" xr:uid="{00000000-0005-0000-0000-000085580000}"/>
    <cellStyle name="Input 3 4 5 5 7" xfId="21793" xr:uid="{00000000-0005-0000-0000-000086580000}"/>
    <cellStyle name="Input 3 4 5 5 8" xfId="22764" xr:uid="{00000000-0005-0000-0000-000087580000}"/>
    <cellStyle name="Input 3 4 5 5 9" xfId="23769" xr:uid="{00000000-0005-0000-0000-000088580000}"/>
    <cellStyle name="Input 3 4 5 6" xfId="13560" xr:uid="{00000000-0005-0000-0000-000089580000}"/>
    <cellStyle name="Input 3 4 5 7" xfId="15178" xr:uid="{00000000-0005-0000-0000-00008A580000}"/>
    <cellStyle name="Input 3 4 5 8" xfId="18915" xr:uid="{00000000-0005-0000-0000-00008B580000}"/>
    <cellStyle name="Input 3 4 5 9" xfId="15042" xr:uid="{00000000-0005-0000-0000-00008C580000}"/>
    <cellStyle name="Input 3 4 6" xfId="4937" xr:uid="{00000000-0005-0000-0000-00008D580000}"/>
    <cellStyle name="Input 3 4 6 10" xfId="23770" xr:uid="{00000000-0005-0000-0000-00008E580000}"/>
    <cellStyle name="Input 3 4 6 11" xfId="24742" xr:uid="{00000000-0005-0000-0000-00008F580000}"/>
    <cellStyle name="Input 3 4 6 12" xfId="25741" xr:uid="{00000000-0005-0000-0000-000090580000}"/>
    <cellStyle name="Input 3 4 6 13" xfId="28688" xr:uid="{00000000-0005-0000-0000-000091580000}"/>
    <cellStyle name="Input 3 4 6 14" xfId="29655" xr:uid="{00000000-0005-0000-0000-000092580000}"/>
    <cellStyle name="Input 3 4 6 15" xfId="30697" xr:uid="{00000000-0005-0000-0000-000093580000}"/>
    <cellStyle name="Input 3 4 6 16" xfId="31688" xr:uid="{00000000-0005-0000-0000-000094580000}"/>
    <cellStyle name="Input 3 4 6 17" xfId="32696" xr:uid="{00000000-0005-0000-0000-000095580000}"/>
    <cellStyle name="Input 3 4 6 18" xfId="33699" xr:uid="{00000000-0005-0000-0000-000096580000}"/>
    <cellStyle name="Input 3 4 6 19" xfId="34698" xr:uid="{00000000-0005-0000-0000-000097580000}"/>
    <cellStyle name="Input 3 4 6 2" xfId="4938" xr:uid="{00000000-0005-0000-0000-000098580000}"/>
    <cellStyle name="Input 3 4 6 2 10" xfId="24743" xr:uid="{00000000-0005-0000-0000-000099580000}"/>
    <cellStyle name="Input 3 4 6 2 11" xfId="25742" xr:uid="{00000000-0005-0000-0000-00009A580000}"/>
    <cellStyle name="Input 3 4 6 2 12" xfId="28689" xr:uid="{00000000-0005-0000-0000-00009B580000}"/>
    <cellStyle name="Input 3 4 6 2 13" xfId="29656" xr:uid="{00000000-0005-0000-0000-00009C580000}"/>
    <cellStyle name="Input 3 4 6 2 14" xfId="30698" xr:uid="{00000000-0005-0000-0000-00009D580000}"/>
    <cellStyle name="Input 3 4 6 2 15" xfId="31689" xr:uid="{00000000-0005-0000-0000-00009E580000}"/>
    <cellStyle name="Input 3 4 6 2 16" xfId="32697" xr:uid="{00000000-0005-0000-0000-00009F580000}"/>
    <cellStyle name="Input 3 4 6 2 17" xfId="33700" xr:uid="{00000000-0005-0000-0000-0000A0580000}"/>
    <cellStyle name="Input 3 4 6 2 18" xfId="34699" xr:uid="{00000000-0005-0000-0000-0000A1580000}"/>
    <cellStyle name="Input 3 4 6 2 19" xfId="36320" xr:uid="{00000000-0005-0000-0000-0000A2580000}"/>
    <cellStyle name="Input 3 4 6 2 2" xfId="16724" xr:uid="{00000000-0005-0000-0000-0000A3580000}"/>
    <cellStyle name="Input 3 4 6 2 20" xfId="37259" xr:uid="{00000000-0005-0000-0000-0000A4580000}"/>
    <cellStyle name="Input 3 4 6 2 3" xfId="17703" xr:uid="{00000000-0005-0000-0000-0000A5580000}"/>
    <cellStyle name="Input 3 4 6 2 4" xfId="18730" xr:uid="{00000000-0005-0000-0000-0000A6580000}"/>
    <cellStyle name="Input 3 4 6 2 5" xfId="19762" xr:uid="{00000000-0005-0000-0000-0000A7580000}"/>
    <cellStyle name="Input 3 4 6 2 6" xfId="20784" xr:uid="{00000000-0005-0000-0000-0000A8580000}"/>
    <cellStyle name="Input 3 4 6 2 7" xfId="21795" xr:uid="{00000000-0005-0000-0000-0000A9580000}"/>
    <cellStyle name="Input 3 4 6 2 8" xfId="22766" xr:uid="{00000000-0005-0000-0000-0000AA580000}"/>
    <cellStyle name="Input 3 4 6 2 9" xfId="23771" xr:uid="{00000000-0005-0000-0000-0000AB580000}"/>
    <cellStyle name="Input 3 4 6 20" xfId="36319" xr:uid="{00000000-0005-0000-0000-0000AC580000}"/>
    <cellStyle name="Input 3 4 6 21" xfId="37258" xr:uid="{00000000-0005-0000-0000-0000AD580000}"/>
    <cellStyle name="Input 3 4 6 3" xfId="16723" xr:uid="{00000000-0005-0000-0000-0000AE580000}"/>
    <cellStyle name="Input 3 4 6 4" xfId="17702" xr:uid="{00000000-0005-0000-0000-0000AF580000}"/>
    <cellStyle name="Input 3 4 6 5" xfId="18729" xr:uid="{00000000-0005-0000-0000-0000B0580000}"/>
    <cellStyle name="Input 3 4 6 6" xfId="19761" xr:uid="{00000000-0005-0000-0000-0000B1580000}"/>
    <cellStyle name="Input 3 4 6 7" xfId="20783" xr:uid="{00000000-0005-0000-0000-0000B2580000}"/>
    <cellStyle name="Input 3 4 6 8" xfId="21794" xr:uid="{00000000-0005-0000-0000-0000B3580000}"/>
    <cellStyle name="Input 3 4 6 9" xfId="22765" xr:uid="{00000000-0005-0000-0000-0000B4580000}"/>
    <cellStyle name="Input 3 4 7" xfId="4939" xr:uid="{00000000-0005-0000-0000-0000B5580000}"/>
    <cellStyle name="Input 3 4 7 10" xfId="23772" xr:uid="{00000000-0005-0000-0000-0000B6580000}"/>
    <cellStyle name="Input 3 4 7 11" xfId="24744" xr:uid="{00000000-0005-0000-0000-0000B7580000}"/>
    <cellStyle name="Input 3 4 7 12" xfId="25743" xr:uid="{00000000-0005-0000-0000-0000B8580000}"/>
    <cellStyle name="Input 3 4 7 13" xfId="28690" xr:uid="{00000000-0005-0000-0000-0000B9580000}"/>
    <cellStyle name="Input 3 4 7 14" xfId="29657" xr:uid="{00000000-0005-0000-0000-0000BA580000}"/>
    <cellStyle name="Input 3 4 7 15" xfId="30699" xr:uid="{00000000-0005-0000-0000-0000BB580000}"/>
    <cellStyle name="Input 3 4 7 16" xfId="31690" xr:uid="{00000000-0005-0000-0000-0000BC580000}"/>
    <cellStyle name="Input 3 4 7 17" xfId="32698" xr:uid="{00000000-0005-0000-0000-0000BD580000}"/>
    <cellStyle name="Input 3 4 7 18" xfId="33701" xr:uid="{00000000-0005-0000-0000-0000BE580000}"/>
    <cellStyle name="Input 3 4 7 19" xfId="34700" xr:uid="{00000000-0005-0000-0000-0000BF580000}"/>
    <cellStyle name="Input 3 4 7 2" xfId="4940" xr:uid="{00000000-0005-0000-0000-0000C0580000}"/>
    <cellStyle name="Input 3 4 7 2 10" xfId="24745" xr:uid="{00000000-0005-0000-0000-0000C1580000}"/>
    <cellStyle name="Input 3 4 7 2 11" xfId="25744" xr:uid="{00000000-0005-0000-0000-0000C2580000}"/>
    <cellStyle name="Input 3 4 7 2 12" xfId="28691" xr:uid="{00000000-0005-0000-0000-0000C3580000}"/>
    <cellStyle name="Input 3 4 7 2 13" xfId="29658" xr:uid="{00000000-0005-0000-0000-0000C4580000}"/>
    <cellStyle name="Input 3 4 7 2 14" xfId="30700" xr:uid="{00000000-0005-0000-0000-0000C5580000}"/>
    <cellStyle name="Input 3 4 7 2 15" xfId="31691" xr:uid="{00000000-0005-0000-0000-0000C6580000}"/>
    <cellStyle name="Input 3 4 7 2 16" xfId="32699" xr:uid="{00000000-0005-0000-0000-0000C7580000}"/>
    <cellStyle name="Input 3 4 7 2 17" xfId="33702" xr:uid="{00000000-0005-0000-0000-0000C8580000}"/>
    <cellStyle name="Input 3 4 7 2 18" xfId="34701" xr:uid="{00000000-0005-0000-0000-0000C9580000}"/>
    <cellStyle name="Input 3 4 7 2 19" xfId="36322" xr:uid="{00000000-0005-0000-0000-0000CA580000}"/>
    <cellStyle name="Input 3 4 7 2 2" xfId="16726" xr:uid="{00000000-0005-0000-0000-0000CB580000}"/>
    <cellStyle name="Input 3 4 7 2 20" xfId="37261" xr:uid="{00000000-0005-0000-0000-0000CC580000}"/>
    <cellStyle name="Input 3 4 7 2 3" xfId="17705" xr:uid="{00000000-0005-0000-0000-0000CD580000}"/>
    <cellStyle name="Input 3 4 7 2 4" xfId="18732" xr:uid="{00000000-0005-0000-0000-0000CE580000}"/>
    <cellStyle name="Input 3 4 7 2 5" xfId="19764" xr:uid="{00000000-0005-0000-0000-0000CF580000}"/>
    <cellStyle name="Input 3 4 7 2 6" xfId="20786" xr:uid="{00000000-0005-0000-0000-0000D0580000}"/>
    <cellStyle name="Input 3 4 7 2 7" xfId="21797" xr:uid="{00000000-0005-0000-0000-0000D1580000}"/>
    <cellStyle name="Input 3 4 7 2 8" xfId="22768" xr:uid="{00000000-0005-0000-0000-0000D2580000}"/>
    <cellStyle name="Input 3 4 7 2 9" xfId="23773" xr:uid="{00000000-0005-0000-0000-0000D3580000}"/>
    <cellStyle name="Input 3 4 7 20" xfId="36321" xr:uid="{00000000-0005-0000-0000-0000D4580000}"/>
    <cellStyle name="Input 3 4 7 21" xfId="37260" xr:uid="{00000000-0005-0000-0000-0000D5580000}"/>
    <cellStyle name="Input 3 4 7 3" xfId="16725" xr:uid="{00000000-0005-0000-0000-0000D6580000}"/>
    <cellStyle name="Input 3 4 7 4" xfId="17704" xr:uid="{00000000-0005-0000-0000-0000D7580000}"/>
    <cellStyle name="Input 3 4 7 5" xfId="18731" xr:uid="{00000000-0005-0000-0000-0000D8580000}"/>
    <cellStyle name="Input 3 4 7 6" xfId="19763" xr:uid="{00000000-0005-0000-0000-0000D9580000}"/>
    <cellStyle name="Input 3 4 7 7" xfId="20785" xr:uid="{00000000-0005-0000-0000-0000DA580000}"/>
    <cellStyle name="Input 3 4 7 8" xfId="21796" xr:uid="{00000000-0005-0000-0000-0000DB580000}"/>
    <cellStyle name="Input 3 4 7 9" xfId="22767" xr:uid="{00000000-0005-0000-0000-0000DC580000}"/>
    <cellStyle name="Input 3 4 8" xfId="4941" xr:uid="{00000000-0005-0000-0000-0000DD580000}"/>
    <cellStyle name="Input 3 4 8 10" xfId="23774" xr:uid="{00000000-0005-0000-0000-0000DE580000}"/>
    <cellStyle name="Input 3 4 8 11" xfId="24746" xr:uid="{00000000-0005-0000-0000-0000DF580000}"/>
    <cellStyle name="Input 3 4 8 12" xfId="25745" xr:uid="{00000000-0005-0000-0000-0000E0580000}"/>
    <cellStyle name="Input 3 4 8 13" xfId="28692" xr:uid="{00000000-0005-0000-0000-0000E1580000}"/>
    <cellStyle name="Input 3 4 8 14" xfId="29659" xr:uid="{00000000-0005-0000-0000-0000E2580000}"/>
    <cellStyle name="Input 3 4 8 15" xfId="30701" xr:uid="{00000000-0005-0000-0000-0000E3580000}"/>
    <cellStyle name="Input 3 4 8 16" xfId="31692" xr:uid="{00000000-0005-0000-0000-0000E4580000}"/>
    <cellStyle name="Input 3 4 8 17" xfId="32700" xr:uid="{00000000-0005-0000-0000-0000E5580000}"/>
    <cellStyle name="Input 3 4 8 18" xfId="33703" xr:uid="{00000000-0005-0000-0000-0000E6580000}"/>
    <cellStyle name="Input 3 4 8 19" xfId="34702" xr:uid="{00000000-0005-0000-0000-0000E7580000}"/>
    <cellStyle name="Input 3 4 8 2" xfId="4942" xr:uid="{00000000-0005-0000-0000-0000E8580000}"/>
    <cellStyle name="Input 3 4 8 2 10" xfId="24747" xr:uid="{00000000-0005-0000-0000-0000E9580000}"/>
    <cellStyle name="Input 3 4 8 2 11" xfId="25746" xr:uid="{00000000-0005-0000-0000-0000EA580000}"/>
    <cellStyle name="Input 3 4 8 2 12" xfId="28693" xr:uid="{00000000-0005-0000-0000-0000EB580000}"/>
    <cellStyle name="Input 3 4 8 2 13" xfId="29660" xr:uid="{00000000-0005-0000-0000-0000EC580000}"/>
    <cellStyle name="Input 3 4 8 2 14" xfId="30702" xr:uid="{00000000-0005-0000-0000-0000ED580000}"/>
    <cellStyle name="Input 3 4 8 2 15" xfId="31693" xr:uid="{00000000-0005-0000-0000-0000EE580000}"/>
    <cellStyle name="Input 3 4 8 2 16" xfId="32701" xr:uid="{00000000-0005-0000-0000-0000EF580000}"/>
    <cellStyle name="Input 3 4 8 2 17" xfId="33704" xr:uid="{00000000-0005-0000-0000-0000F0580000}"/>
    <cellStyle name="Input 3 4 8 2 18" xfId="34703" xr:uid="{00000000-0005-0000-0000-0000F1580000}"/>
    <cellStyle name="Input 3 4 8 2 19" xfId="36324" xr:uid="{00000000-0005-0000-0000-0000F2580000}"/>
    <cellStyle name="Input 3 4 8 2 2" xfId="16728" xr:uid="{00000000-0005-0000-0000-0000F3580000}"/>
    <cellStyle name="Input 3 4 8 2 20" xfId="37263" xr:uid="{00000000-0005-0000-0000-0000F4580000}"/>
    <cellStyle name="Input 3 4 8 2 3" xfId="17707" xr:uid="{00000000-0005-0000-0000-0000F5580000}"/>
    <cellStyle name="Input 3 4 8 2 4" xfId="18734" xr:uid="{00000000-0005-0000-0000-0000F6580000}"/>
    <cellStyle name="Input 3 4 8 2 5" xfId="19766" xr:uid="{00000000-0005-0000-0000-0000F7580000}"/>
    <cellStyle name="Input 3 4 8 2 6" xfId="20788" xr:uid="{00000000-0005-0000-0000-0000F8580000}"/>
    <cellStyle name="Input 3 4 8 2 7" xfId="21799" xr:uid="{00000000-0005-0000-0000-0000F9580000}"/>
    <cellStyle name="Input 3 4 8 2 8" xfId="22770" xr:uid="{00000000-0005-0000-0000-0000FA580000}"/>
    <cellStyle name="Input 3 4 8 2 9" xfId="23775" xr:uid="{00000000-0005-0000-0000-0000FB580000}"/>
    <cellStyle name="Input 3 4 8 20" xfId="36323" xr:uid="{00000000-0005-0000-0000-0000FC580000}"/>
    <cellStyle name="Input 3 4 8 21" xfId="37262" xr:uid="{00000000-0005-0000-0000-0000FD580000}"/>
    <cellStyle name="Input 3 4 8 3" xfId="16727" xr:uid="{00000000-0005-0000-0000-0000FE580000}"/>
    <cellStyle name="Input 3 4 8 4" xfId="17706" xr:uid="{00000000-0005-0000-0000-0000FF580000}"/>
    <cellStyle name="Input 3 4 8 5" xfId="18733" xr:uid="{00000000-0005-0000-0000-000000590000}"/>
    <cellStyle name="Input 3 4 8 6" xfId="19765" xr:uid="{00000000-0005-0000-0000-000001590000}"/>
    <cellStyle name="Input 3 4 8 7" xfId="20787" xr:uid="{00000000-0005-0000-0000-000002590000}"/>
    <cellStyle name="Input 3 4 8 8" xfId="21798" xr:uid="{00000000-0005-0000-0000-000003590000}"/>
    <cellStyle name="Input 3 4 8 9" xfId="22769" xr:uid="{00000000-0005-0000-0000-000004590000}"/>
    <cellStyle name="Input 3 4 9" xfId="4943" xr:uid="{00000000-0005-0000-0000-000005590000}"/>
    <cellStyle name="Input 3 4 9 10" xfId="24748" xr:uid="{00000000-0005-0000-0000-000006590000}"/>
    <cellStyle name="Input 3 4 9 11" xfId="25747" xr:uid="{00000000-0005-0000-0000-000007590000}"/>
    <cellStyle name="Input 3 4 9 12" xfId="28694" xr:uid="{00000000-0005-0000-0000-000008590000}"/>
    <cellStyle name="Input 3 4 9 13" xfId="29661" xr:uid="{00000000-0005-0000-0000-000009590000}"/>
    <cellStyle name="Input 3 4 9 14" xfId="30703" xr:uid="{00000000-0005-0000-0000-00000A590000}"/>
    <cellStyle name="Input 3 4 9 15" xfId="31694" xr:uid="{00000000-0005-0000-0000-00000B590000}"/>
    <cellStyle name="Input 3 4 9 16" xfId="32702" xr:uid="{00000000-0005-0000-0000-00000C590000}"/>
    <cellStyle name="Input 3 4 9 17" xfId="33705" xr:uid="{00000000-0005-0000-0000-00000D590000}"/>
    <cellStyle name="Input 3 4 9 18" xfId="34704" xr:uid="{00000000-0005-0000-0000-00000E590000}"/>
    <cellStyle name="Input 3 4 9 19" xfId="36325" xr:uid="{00000000-0005-0000-0000-00000F590000}"/>
    <cellStyle name="Input 3 4 9 2" xfId="16729" xr:uid="{00000000-0005-0000-0000-000010590000}"/>
    <cellStyle name="Input 3 4 9 20" xfId="37264" xr:uid="{00000000-0005-0000-0000-000011590000}"/>
    <cellStyle name="Input 3 4 9 3" xfId="17708" xr:uid="{00000000-0005-0000-0000-000012590000}"/>
    <cellStyle name="Input 3 4 9 4" xfId="18735" xr:uid="{00000000-0005-0000-0000-000013590000}"/>
    <cellStyle name="Input 3 4 9 5" xfId="19767" xr:uid="{00000000-0005-0000-0000-000014590000}"/>
    <cellStyle name="Input 3 4 9 6" xfId="20789" xr:uid="{00000000-0005-0000-0000-000015590000}"/>
    <cellStyle name="Input 3 4 9 7" xfId="21800" xr:uid="{00000000-0005-0000-0000-000016590000}"/>
    <cellStyle name="Input 3 4 9 8" xfId="22771" xr:uid="{00000000-0005-0000-0000-000017590000}"/>
    <cellStyle name="Input 3 4 9 9" xfId="23776" xr:uid="{00000000-0005-0000-0000-000018590000}"/>
    <cellStyle name="Input 3 5" xfId="4944" xr:uid="{00000000-0005-0000-0000-000019590000}"/>
    <cellStyle name="Input 3 5 10" xfId="23777" xr:uid="{00000000-0005-0000-0000-00001A590000}"/>
    <cellStyle name="Input 3 5 11" xfId="24749" xr:uid="{00000000-0005-0000-0000-00001B590000}"/>
    <cellStyle name="Input 3 5 12" xfId="25748" xr:uid="{00000000-0005-0000-0000-00001C590000}"/>
    <cellStyle name="Input 3 5 13" xfId="28695" xr:uid="{00000000-0005-0000-0000-00001D590000}"/>
    <cellStyle name="Input 3 5 14" xfId="29662" xr:uid="{00000000-0005-0000-0000-00001E590000}"/>
    <cellStyle name="Input 3 5 15" xfId="30704" xr:uid="{00000000-0005-0000-0000-00001F590000}"/>
    <cellStyle name="Input 3 5 16" xfId="31695" xr:uid="{00000000-0005-0000-0000-000020590000}"/>
    <cellStyle name="Input 3 5 17" xfId="32703" xr:uid="{00000000-0005-0000-0000-000021590000}"/>
    <cellStyle name="Input 3 5 18" xfId="33706" xr:uid="{00000000-0005-0000-0000-000022590000}"/>
    <cellStyle name="Input 3 5 19" xfId="34705" xr:uid="{00000000-0005-0000-0000-000023590000}"/>
    <cellStyle name="Input 3 5 2" xfId="4945" xr:uid="{00000000-0005-0000-0000-000024590000}"/>
    <cellStyle name="Input 3 5 2 10" xfId="24750" xr:uid="{00000000-0005-0000-0000-000025590000}"/>
    <cellStyle name="Input 3 5 2 11" xfId="25749" xr:uid="{00000000-0005-0000-0000-000026590000}"/>
    <cellStyle name="Input 3 5 2 12" xfId="28696" xr:uid="{00000000-0005-0000-0000-000027590000}"/>
    <cellStyle name="Input 3 5 2 13" xfId="29663" xr:uid="{00000000-0005-0000-0000-000028590000}"/>
    <cellStyle name="Input 3 5 2 14" xfId="30705" xr:uid="{00000000-0005-0000-0000-000029590000}"/>
    <cellStyle name="Input 3 5 2 15" xfId="31696" xr:uid="{00000000-0005-0000-0000-00002A590000}"/>
    <cellStyle name="Input 3 5 2 16" xfId="32704" xr:uid="{00000000-0005-0000-0000-00002B590000}"/>
    <cellStyle name="Input 3 5 2 17" xfId="33707" xr:uid="{00000000-0005-0000-0000-00002C590000}"/>
    <cellStyle name="Input 3 5 2 18" xfId="34706" xr:uid="{00000000-0005-0000-0000-00002D590000}"/>
    <cellStyle name="Input 3 5 2 19" xfId="36327" xr:uid="{00000000-0005-0000-0000-00002E590000}"/>
    <cellStyle name="Input 3 5 2 2" xfId="16731" xr:uid="{00000000-0005-0000-0000-00002F590000}"/>
    <cellStyle name="Input 3 5 2 20" xfId="37266" xr:uid="{00000000-0005-0000-0000-000030590000}"/>
    <cellStyle name="Input 3 5 2 3" xfId="17710" xr:uid="{00000000-0005-0000-0000-000031590000}"/>
    <cellStyle name="Input 3 5 2 4" xfId="18737" xr:uid="{00000000-0005-0000-0000-000032590000}"/>
    <cellStyle name="Input 3 5 2 5" xfId="19769" xr:uid="{00000000-0005-0000-0000-000033590000}"/>
    <cellStyle name="Input 3 5 2 6" xfId="20791" xr:uid="{00000000-0005-0000-0000-000034590000}"/>
    <cellStyle name="Input 3 5 2 7" xfId="21802" xr:uid="{00000000-0005-0000-0000-000035590000}"/>
    <cellStyle name="Input 3 5 2 8" xfId="22773" xr:uid="{00000000-0005-0000-0000-000036590000}"/>
    <cellStyle name="Input 3 5 2 9" xfId="23778" xr:uid="{00000000-0005-0000-0000-000037590000}"/>
    <cellStyle name="Input 3 5 20" xfId="36326" xr:uid="{00000000-0005-0000-0000-000038590000}"/>
    <cellStyle name="Input 3 5 21" xfId="37265" xr:uid="{00000000-0005-0000-0000-000039590000}"/>
    <cellStyle name="Input 3 5 3" xfId="16730" xr:uid="{00000000-0005-0000-0000-00003A590000}"/>
    <cellStyle name="Input 3 5 4" xfId="17709" xr:uid="{00000000-0005-0000-0000-00003B590000}"/>
    <cellStyle name="Input 3 5 5" xfId="18736" xr:uid="{00000000-0005-0000-0000-00003C590000}"/>
    <cellStyle name="Input 3 5 6" xfId="19768" xr:uid="{00000000-0005-0000-0000-00003D590000}"/>
    <cellStyle name="Input 3 5 7" xfId="20790" xr:uid="{00000000-0005-0000-0000-00003E590000}"/>
    <cellStyle name="Input 3 5 8" xfId="21801" xr:uid="{00000000-0005-0000-0000-00003F590000}"/>
    <cellStyle name="Input 3 5 9" xfId="22772" xr:uid="{00000000-0005-0000-0000-000040590000}"/>
    <cellStyle name="Input 3 6" xfId="4946" xr:uid="{00000000-0005-0000-0000-000041590000}"/>
    <cellStyle name="Input 3 6 10" xfId="23779" xr:uid="{00000000-0005-0000-0000-000042590000}"/>
    <cellStyle name="Input 3 6 11" xfId="24751" xr:uid="{00000000-0005-0000-0000-000043590000}"/>
    <cellStyle name="Input 3 6 12" xfId="25750" xr:uid="{00000000-0005-0000-0000-000044590000}"/>
    <cellStyle name="Input 3 6 13" xfId="28697" xr:uid="{00000000-0005-0000-0000-000045590000}"/>
    <cellStyle name="Input 3 6 14" xfId="29664" xr:uid="{00000000-0005-0000-0000-000046590000}"/>
    <cellStyle name="Input 3 6 15" xfId="30706" xr:uid="{00000000-0005-0000-0000-000047590000}"/>
    <cellStyle name="Input 3 6 16" xfId="31697" xr:uid="{00000000-0005-0000-0000-000048590000}"/>
    <cellStyle name="Input 3 6 17" xfId="32705" xr:uid="{00000000-0005-0000-0000-000049590000}"/>
    <cellStyle name="Input 3 6 18" xfId="33708" xr:uid="{00000000-0005-0000-0000-00004A590000}"/>
    <cellStyle name="Input 3 6 19" xfId="34707" xr:uid="{00000000-0005-0000-0000-00004B590000}"/>
    <cellStyle name="Input 3 6 2" xfId="4947" xr:uid="{00000000-0005-0000-0000-00004C590000}"/>
    <cellStyle name="Input 3 6 2 10" xfId="24752" xr:uid="{00000000-0005-0000-0000-00004D590000}"/>
    <cellStyle name="Input 3 6 2 11" xfId="25751" xr:uid="{00000000-0005-0000-0000-00004E590000}"/>
    <cellStyle name="Input 3 6 2 12" xfId="28698" xr:uid="{00000000-0005-0000-0000-00004F590000}"/>
    <cellStyle name="Input 3 6 2 13" xfId="29665" xr:uid="{00000000-0005-0000-0000-000050590000}"/>
    <cellStyle name="Input 3 6 2 14" xfId="30707" xr:uid="{00000000-0005-0000-0000-000051590000}"/>
    <cellStyle name="Input 3 6 2 15" xfId="31698" xr:uid="{00000000-0005-0000-0000-000052590000}"/>
    <cellStyle name="Input 3 6 2 16" xfId="32706" xr:uid="{00000000-0005-0000-0000-000053590000}"/>
    <cellStyle name="Input 3 6 2 17" xfId="33709" xr:uid="{00000000-0005-0000-0000-000054590000}"/>
    <cellStyle name="Input 3 6 2 18" xfId="34708" xr:uid="{00000000-0005-0000-0000-000055590000}"/>
    <cellStyle name="Input 3 6 2 19" xfId="36329" xr:uid="{00000000-0005-0000-0000-000056590000}"/>
    <cellStyle name="Input 3 6 2 2" xfId="16733" xr:uid="{00000000-0005-0000-0000-000057590000}"/>
    <cellStyle name="Input 3 6 2 20" xfId="37268" xr:uid="{00000000-0005-0000-0000-000058590000}"/>
    <cellStyle name="Input 3 6 2 3" xfId="17712" xr:uid="{00000000-0005-0000-0000-000059590000}"/>
    <cellStyle name="Input 3 6 2 4" xfId="18739" xr:uid="{00000000-0005-0000-0000-00005A590000}"/>
    <cellStyle name="Input 3 6 2 5" xfId="19771" xr:uid="{00000000-0005-0000-0000-00005B590000}"/>
    <cellStyle name="Input 3 6 2 6" xfId="20793" xr:uid="{00000000-0005-0000-0000-00005C590000}"/>
    <cellStyle name="Input 3 6 2 7" xfId="21804" xr:uid="{00000000-0005-0000-0000-00005D590000}"/>
    <cellStyle name="Input 3 6 2 8" xfId="22775" xr:uid="{00000000-0005-0000-0000-00005E590000}"/>
    <cellStyle name="Input 3 6 2 9" xfId="23780" xr:uid="{00000000-0005-0000-0000-00005F590000}"/>
    <cellStyle name="Input 3 6 20" xfId="36328" xr:uid="{00000000-0005-0000-0000-000060590000}"/>
    <cellStyle name="Input 3 6 21" xfId="37267" xr:uid="{00000000-0005-0000-0000-000061590000}"/>
    <cellStyle name="Input 3 6 3" xfId="16732" xr:uid="{00000000-0005-0000-0000-000062590000}"/>
    <cellStyle name="Input 3 6 4" xfId="17711" xr:uid="{00000000-0005-0000-0000-000063590000}"/>
    <cellStyle name="Input 3 6 5" xfId="18738" xr:uid="{00000000-0005-0000-0000-000064590000}"/>
    <cellStyle name="Input 3 6 6" xfId="19770" xr:uid="{00000000-0005-0000-0000-000065590000}"/>
    <cellStyle name="Input 3 6 7" xfId="20792" xr:uid="{00000000-0005-0000-0000-000066590000}"/>
    <cellStyle name="Input 3 6 8" xfId="21803" xr:uid="{00000000-0005-0000-0000-000067590000}"/>
    <cellStyle name="Input 3 6 9" xfId="22774" xr:uid="{00000000-0005-0000-0000-000068590000}"/>
    <cellStyle name="Input 3 7" xfId="4948" xr:uid="{00000000-0005-0000-0000-000069590000}"/>
    <cellStyle name="Input 3 7 10" xfId="23781" xr:uid="{00000000-0005-0000-0000-00006A590000}"/>
    <cellStyle name="Input 3 7 11" xfId="24753" xr:uid="{00000000-0005-0000-0000-00006B590000}"/>
    <cellStyle name="Input 3 7 12" xfId="25752" xr:uid="{00000000-0005-0000-0000-00006C590000}"/>
    <cellStyle name="Input 3 7 13" xfId="28699" xr:uid="{00000000-0005-0000-0000-00006D590000}"/>
    <cellStyle name="Input 3 7 14" xfId="29666" xr:uid="{00000000-0005-0000-0000-00006E590000}"/>
    <cellStyle name="Input 3 7 15" xfId="30708" xr:uid="{00000000-0005-0000-0000-00006F590000}"/>
    <cellStyle name="Input 3 7 16" xfId="31699" xr:uid="{00000000-0005-0000-0000-000070590000}"/>
    <cellStyle name="Input 3 7 17" xfId="32707" xr:uid="{00000000-0005-0000-0000-000071590000}"/>
    <cellStyle name="Input 3 7 18" xfId="33710" xr:uid="{00000000-0005-0000-0000-000072590000}"/>
    <cellStyle name="Input 3 7 19" xfId="34709" xr:uid="{00000000-0005-0000-0000-000073590000}"/>
    <cellStyle name="Input 3 7 2" xfId="4949" xr:uid="{00000000-0005-0000-0000-000074590000}"/>
    <cellStyle name="Input 3 7 2 10" xfId="24754" xr:uid="{00000000-0005-0000-0000-000075590000}"/>
    <cellStyle name="Input 3 7 2 11" xfId="25753" xr:uid="{00000000-0005-0000-0000-000076590000}"/>
    <cellStyle name="Input 3 7 2 12" xfId="28700" xr:uid="{00000000-0005-0000-0000-000077590000}"/>
    <cellStyle name="Input 3 7 2 13" xfId="29667" xr:uid="{00000000-0005-0000-0000-000078590000}"/>
    <cellStyle name="Input 3 7 2 14" xfId="30709" xr:uid="{00000000-0005-0000-0000-000079590000}"/>
    <cellStyle name="Input 3 7 2 15" xfId="31700" xr:uid="{00000000-0005-0000-0000-00007A590000}"/>
    <cellStyle name="Input 3 7 2 16" xfId="32708" xr:uid="{00000000-0005-0000-0000-00007B590000}"/>
    <cellStyle name="Input 3 7 2 17" xfId="33711" xr:uid="{00000000-0005-0000-0000-00007C590000}"/>
    <cellStyle name="Input 3 7 2 18" xfId="34710" xr:uid="{00000000-0005-0000-0000-00007D590000}"/>
    <cellStyle name="Input 3 7 2 19" xfId="36331" xr:uid="{00000000-0005-0000-0000-00007E590000}"/>
    <cellStyle name="Input 3 7 2 2" xfId="16735" xr:uid="{00000000-0005-0000-0000-00007F590000}"/>
    <cellStyle name="Input 3 7 2 20" xfId="37270" xr:uid="{00000000-0005-0000-0000-000080590000}"/>
    <cellStyle name="Input 3 7 2 3" xfId="17714" xr:uid="{00000000-0005-0000-0000-000081590000}"/>
    <cellStyle name="Input 3 7 2 4" xfId="18741" xr:uid="{00000000-0005-0000-0000-000082590000}"/>
    <cellStyle name="Input 3 7 2 5" xfId="19773" xr:uid="{00000000-0005-0000-0000-000083590000}"/>
    <cellStyle name="Input 3 7 2 6" xfId="20795" xr:uid="{00000000-0005-0000-0000-000084590000}"/>
    <cellStyle name="Input 3 7 2 7" xfId="21806" xr:uid="{00000000-0005-0000-0000-000085590000}"/>
    <cellStyle name="Input 3 7 2 8" xfId="22777" xr:uid="{00000000-0005-0000-0000-000086590000}"/>
    <cellStyle name="Input 3 7 2 9" xfId="23782" xr:uid="{00000000-0005-0000-0000-000087590000}"/>
    <cellStyle name="Input 3 7 20" xfId="36330" xr:uid="{00000000-0005-0000-0000-000088590000}"/>
    <cellStyle name="Input 3 7 21" xfId="37269" xr:uid="{00000000-0005-0000-0000-000089590000}"/>
    <cellStyle name="Input 3 7 3" xfId="16734" xr:uid="{00000000-0005-0000-0000-00008A590000}"/>
    <cellStyle name="Input 3 7 4" xfId="17713" xr:uid="{00000000-0005-0000-0000-00008B590000}"/>
    <cellStyle name="Input 3 7 5" xfId="18740" xr:uid="{00000000-0005-0000-0000-00008C590000}"/>
    <cellStyle name="Input 3 7 6" xfId="19772" xr:uid="{00000000-0005-0000-0000-00008D590000}"/>
    <cellStyle name="Input 3 7 7" xfId="20794" xr:uid="{00000000-0005-0000-0000-00008E590000}"/>
    <cellStyle name="Input 3 7 8" xfId="21805" xr:uid="{00000000-0005-0000-0000-00008F590000}"/>
    <cellStyle name="Input 3 7 9" xfId="22776" xr:uid="{00000000-0005-0000-0000-000090590000}"/>
    <cellStyle name="Input 3 8" xfId="4950" xr:uid="{00000000-0005-0000-0000-000091590000}"/>
    <cellStyle name="Input 3 8 10" xfId="24755" xr:uid="{00000000-0005-0000-0000-000092590000}"/>
    <cellStyle name="Input 3 8 11" xfId="25754" xr:uid="{00000000-0005-0000-0000-000093590000}"/>
    <cellStyle name="Input 3 8 12" xfId="28701" xr:uid="{00000000-0005-0000-0000-000094590000}"/>
    <cellStyle name="Input 3 8 13" xfId="29668" xr:uid="{00000000-0005-0000-0000-000095590000}"/>
    <cellStyle name="Input 3 8 14" xfId="30710" xr:uid="{00000000-0005-0000-0000-000096590000}"/>
    <cellStyle name="Input 3 8 15" xfId="31701" xr:uid="{00000000-0005-0000-0000-000097590000}"/>
    <cellStyle name="Input 3 8 16" xfId="32709" xr:uid="{00000000-0005-0000-0000-000098590000}"/>
    <cellStyle name="Input 3 8 17" xfId="33712" xr:uid="{00000000-0005-0000-0000-000099590000}"/>
    <cellStyle name="Input 3 8 18" xfId="34711" xr:uid="{00000000-0005-0000-0000-00009A590000}"/>
    <cellStyle name="Input 3 8 19" xfId="36332" xr:uid="{00000000-0005-0000-0000-00009B590000}"/>
    <cellStyle name="Input 3 8 2" xfId="16736" xr:uid="{00000000-0005-0000-0000-00009C590000}"/>
    <cellStyle name="Input 3 8 20" xfId="37271" xr:uid="{00000000-0005-0000-0000-00009D590000}"/>
    <cellStyle name="Input 3 8 3" xfId="17715" xr:uid="{00000000-0005-0000-0000-00009E590000}"/>
    <cellStyle name="Input 3 8 4" xfId="18742" xr:uid="{00000000-0005-0000-0000-00009F590000}"/>
    <cellStyle name="Input 3 8 5" xfId="19774" xr:uid="{00000000-0005-0000-0000-0000A0590000}"/>
    <cellStyle name="Input 3 8 6" xfId="20796" xr:uid="{00000000-0005-0000-0000-0000A1590000}"/>
    <cellStyle name="Input 3 8 7" xfId="21807" xr:uid="{00000000-0005-0000-0000-0000A2590000}"/>
    <cellStyle name="Input 3 8 8" xfId="22778" xr:uid="{00000000-0005-0000-0000-0000A3590000}"/>
    <cellStyle name="Input 3 8 9" xfId="23783" xr:uid="{00000000-0005-0000-0000-0000A4590000}"/>
    <cellStyle name="Input 3 9" xfId="4951" xr:uid="{00000000-0005-0000-0000-0000A5590000}"/>
    <cellStyle name="Input 3 9 10" xfId="24863" xr:uid="{00000000-0005-0000-0000-0000A6590000}"/>
    <cellStyle name="Input 3 9 11" xfId="25862" xr:uid="{00000000-0005-0000-0000-0000A7590000}"/>
    <cellStyle name="Input 3 9 12" xfId="28768" xr:uid="{00000000-0005-0000-0000-0000A8590000}"/>
    <cellStyle name="Input 3 9 13" xfId="29785" xr:uid="{00000000-0005-0000-0000-0000A9590000}"/>
    <cellStyle name="Input 3 9 14" xfId="30818" xr:uid="{00000000-0005-0000-0000-0000AA590000}"/>
    <cellStyle name="Input 3 9 15" xfId="31813" xr:uid="{00000000-0005-0000-0000-0000AB590000}"/>
    <cellStyle name="Input 3 9 16" xfId="32817" xr:uid="{00000000-0005-0000-0000-0000AC590000}"/>
    <cellStyle name="Input 3 9 17" xfId="33820" xr:uid="{00000000-0005-0000-0000-0000AD590000}"/>
    <cellStyle name="Input 3 9 18" xfId="34819" xr:uid="{00000000-0005-0000-0000-0000AE590000}"/>
    <cellStyle name="Input 3 9 19" xfId="36380" xr:uid="{00000000-0005-0000-0000-0000AF590000}"/>
    <cellStyle name="Input 3 9 2" xfId="16852" xr:uid="{00000000-0005-0000-0000-0000B0590000}"/>
    <cellStyle name="Input 3 9 20" xfId="37379" xr:uid="{00000000-0005-0000-0000-0000B1590000}"/>
    <cellStyle name="Input 3 9 3" xfId="17832" xr:uid="{00000000-0005-0000-0000-0000B2590000}"/>
    <cellStyle name="Input 3 9 4" xfId="18857" xr:uid="{00000000-0005-0000-0000-0000B3590000}"/>
    <cellStyle name="Input 3 9 5" xfId="19891" xr:uid="{00000000-0005-0000-0000-0000B4590000}"/>
    <cellStyle name="Input 3 9 6" xfId="20916" xr:uid="{00000000-0005-0000-0000-0000B5590000}"/>
    <cellStyle name="Input 3 9 7" xfId="21876" xr:uid="{00000000-0005-0000-0000-0000B6590000}"/>
    <cellStyle name="Input 3 9 8" xfId="22888" xr:uid="{00000000-0005-0000-0000-0000B7590000}"/>
    <cellStyle name="Input 3 9 9" xfId="23891" xr:uid="{00000000-0005-0000-0000-0000B8590000}"/>
    <cellStyle name="Input 4" xfId="4952" xr:uid="{00000000-0005-0000-0000-0000B9590000}"/>
    <cellStyle name="input(0)" xfId="144" xr:uid="{00000000-0005-0000-0000-0000BA590000}"/>
    <cellStyle name="Input(2)" xfId="145" xr:uid="{00000000-0005-0000-0000-0000BB590000}"/>
    <cellStyle name="Labels" xfId="4953" xr:uid="{00000000-0005-0000-0000-0000BC590000}"/>
    <cellStyle name="Labels - Style3" xfId="4954" xr:uid="{00000000-0005-0000-0000-0000BD590000}"/>
    <cellStyle name="Labels - Style3 10" xfId="4955" xr:uid="{00000000-0005-0000-0000-0000BE590000}"/>
    <cellStyle name="Labels - Style3 10 10" xfId="24756" xr:uid="{00000000-0005-0000-0000-0000BF590000}"/>
    <cellStyle name="Labels - Style3 10 11" xfId="25755" xr:uid="{00000000-0005-0000-0000-0000C0590000}"/>
    <cellStyle name="Labels - Style3 10 12" xfId="28702" xr:uid="{00000000-0005-0000-0000-0000C1590000}"/>
    <cellStyle name="Labels - Style3 10 13" xfId="29669" xr:uid="{00000000-0005-0000-0000-0000C2590000}"/>
    <cellStyle name="Labels - Style3 10 14" xfId="30711" xr:uid="{00000000-0005-0000-0000-0000C3590000}"/>
    <cellStyle name="Labels - Style3 10 15" xfId="31702" xr:uid="{00000000-0005-0000-0000-0000C4590000}"/>
    <cellStyle name="Labels - Style3 10 16" xfId="32710" xr:uid="{00000000-0005-0000-0000-0000C5590000}"/>
    <cellStyle name="Labels - Style3 10 17" xfId="33713" xr:uid="{00000000-0005-0000-0000-0000C6590000}"/>
    <cellStyle name="Labels - Style3 10 18" xfId="34712" xr:uid="{00000000-0005-0000-0000-0000C7590000}"/>
    <cellStyle name="Labels - Style3 10 19" xfId="36333" xr:uid="{00000000-0005-0000-0000-0000C8590000}"/>
    <cellStyle name="Labels - Style3 10 2" xfId="16737" xr:uid="{00000000-0005-0000-0000-0000C9590000}"/>
    <cellStyle name="Labels - Style3 10 20" xfId="37272" xr:uid="{00000000-0005-0000-0000-0000CA590000}"/>
    <cellStyle name="Labels - Style3 10 3" xfId="17716" xr:uid="{00000000-0005-0000-0000-0000CB590000}"/>
    <cellStyle name="Labels - Style3 10 4" xfId="18743" xr:uid="{00000000-0005-0000-0000-0000CC590000}"/>
    <cellStyle name="Labels - Style3 10 5" xfId="19775" xr:uid="{00000000-0005-0000-0000-0000CD590000}"/>
    <cellStyle name="Labels - Style3 10 6" xfId="20797" xr:uid="{00000000-0005-0000-0000-0000CE590000}"/>
    <cellStyle name="Labels - Style3 10 7" xfId="21808" xr:uid="{00000000-0005-0000-0000-0000CF590000}"/>
    <cellStyle name="Labels - Style3 10 8" xfId="22779" xr:uid="{00000000-0005-0000-0000-0000D0590000}"/>
    <cellStyle name="Labels - Style3 10 9" xfId="23784" xr:uid="{00000000-0005-0000-0000-0000D1590000}"/>
    <cellStyle name="Labels - Style3 11" xfId="15803" xr:uid="{00000000-0005-0000-0000-0000D2590000}"/>
    <cellStyle name="Labels - Style3 12" xfId="13831" xr:uid="{00000000-0005-0000-0000-0000D3590000}"/>
    <cellStyle name="Labels - Style3 13" xfId="14601" xr:uid="{00000000-0005-0000-0000-0000D4590000}"/>
    <cellStyle name="Labels - Style3 14" xfId="14149" xr:uid="{00000000-0005-0000-0000-0000D5590000}"/>
    <cellStyle name="Labels - Style3 15" xfId="26253" xr:uid="{00000000-0005-0000-0000-0000D6590000}"/>
    <cellStyle name="Labels - Style3 16" xfId="27753" xr:uid="{00000000-0005-0000-0000-0000D7590000}"/>
    <cellStyle name="Labels - Style3 17" xfId="31809" xr:uid="{00000000-0005-0000-0000-0000D8590000}"/>
    <cellStyle name="Labels - Style3 2" xfId="4956" xr:uid="{00000000-0005-0000-0000-0000D9590000}"/>
    <cellStyle name="Labels - Style3 2 10" xfId="15608" xr:uid="{00000000-0005-0000-0000-0000DA590000}"/>
    <cellStyle name="Labels - Style3 2 11" xfId="27473" xr:uid="{00000000-0005-0000-0000-0000DB590000}"/>
    <cellStyle name="Labels - Style3 2 12" xfId="25939" xr:uid="{00000000-0005-0000-0000-0000DC590000}"/>
    <cellStyle name="Labels - Style3 2 13" xfId="29821" xr:uid="{00000000-0005-0000-0000-0000DD590000}"/>
    <cellStyle name="Labels - Style3 2 2" xfId="4957" xr:uid="{00000000-0005-0000-0000-0000DE590000}"/>
    <cellStyle name="Labels - Style3 2 2 10" xfId="23785" xr:uid="{00000000-0005-0000-0000-0000DF590000}"/>
    <cellStyle name="Labels - Style3 2 2 11" xfId="24757" xr:uid="{00000000-0005-0000-0000-0000E0590000}"/>
    <cellStyle name="Labels - Style3 2 2 12" xfId="25756" xr:uid="{00000000-0005-0000-0000-0000E1590000}"/>
    <cellStyle name="Labels - Style3 2 2 13" xfId="28703" xr:uid="{00000000-0005-0000-0000-0000E2590000}"/>
    <cellStyle name="Labels - Style3 2 2 14" xfId="29670" xr:uid="{00000000-0005-0000-0000-0000E3590000}"/>
    <cellStyle name="Labels - Style3 2 2 15" xfId="30712" xr:uid="{00000000-0005-0000-0000-0000E4590000}"/>
    <cellStyle name="Labels - Style3 2 2 16" xfId="31703" xr:uid="{00000000-0005-0000-0000-0000E5590000}"/>
    <cellStyle name="Labels - Style3 2 2 17" xfId="32711" xr:uid="{00000000-0005-0000-0000-0000E6590000}"/>
    <cellStyle name="Labels - Style3 2 2 18" xfId="33714" xr:uid="{00000000-0005-0000-0000-0000E7590000}"/>
    <cellStyle name="Labels - Style3 2 2 19" xfId="34713" xr:uid="{00000000-0005-0000-0000-0000E8590000}"/>
    <cellStyle name="Labels - Style3 2 2 2" xfId="4958" xr:uid="{00000000-0005-0000-0000-0000E9590000}"/>
    <cellStyle name="Labels - Style3 2 2 2 10" xfId="24758" xr:uid="{00000000-0005-0000-0000-0000EA590000}"/>
    <cellStyle name="Labels - Style3 2 2 2 11" xfId="25757" xr:uid="{00000000-0005-0000-0000-0000EB590000}"/>
    <cellStyle name="Labels - Style3 2 2 2 12" xfId="28704" xr:uid="{00000000-0005-0000-0000-0000EC590000}"/>
    <cellStyle name="Labels - Style3 2 2 2 13" xfId="29671" xr:uid="{00000000-0005-0000-0000-0000ED590000}"/>
    <cellStyle name="Labels - Style3 2 2 2 14" xfId="30713" xr:uid="{00000000-0005-0000-0000-0000EE590000}"/>
    <cellStyle name="Labels - Style3 2 2 2 15" xfId="31704" xr:uid="{00000000-0005-0000-0000-0000EF590000}"/>
    <cellStyle name="Labels - Style3 2 2 2 16" xfId="32712" xr:uid="{00000000-0005-0000-0000-0000F0590000}"/>
    <cellStyle name="Labels - Style3 2 2 2 17" xfId="33715" xr:uid="{00000000-0005-0000-0000-0000F1590000}"/>
    <cellStyle name="Labels - Style3 2 2 2 18" xfId="34714" xr:uid="{00000000-0005-0000-0000-0000F2590000}"/>
    <cellStyle name="Labels - Style3 2 2 2 19" xfId="36335" xr:uid="{00000000-0005-0000-0000-0000F3590000}"/>
    <cellStyle name="Labels - Style3 2 2 2 2" xfId="16739" xr:uid="{00000000-0005-0000-0000-0000F4590000}"/>
    <cellStyle name="Labels - Style3 2 2 2 20" xfId="37274" xr:uid="{00000000-0005-0000-0000-0000F5590000}"/>
    <cellStyle name="Labels - Style3 2 2 2 3" xfId="17718" xr:uid="{00000000-0005-0000-0000-0000F6590000}"/>
    <cellStyle name="Labels - Style3 2 2 2 4" xfId="18745" xr:uid="{00000000-0005-0000-0000-0000F7590000}"/>
    <cellStyle name="Labels - Style3 2 2 2 5" xfId="19777" xr:uid="{00000000-0005-0000-0000-0000F8590000}"/>
    <cellStyle name="Labels - Style3 2 2 2 6" xfId="20799" xr:uid="{00000000-0005-0000-0000-0000F9590000}"/>
    <cellStyle name="Labels - Style3 2 2 2 7" xfId="21810" xr:uid="{00000000-0005-0000-0000-0000FA590000}"/>
    <cellStyle name="Labels - Style3 2 2 2 8" xfId="22781" xr:uid="{00000000-0005-0000-0000-0000FB590000}"/>
    <cellStyle name="Labels - Style3 2 2 2 9" xfId="23786" xr:uid="{00000000-0005-0000-0000-0000FC590000}"/>
    <cellStyle name="Labels - Style3 2 2 20" xfId="36334" xr:uid="{00000000-0005-0000-0000-0000FD590000}"/>
    <cellStyle name="Labels - Style3 2 2 21" xfId="37273" xr:uid="{00000000-0005-0000-0000-0000FE590000}"/>
    <cellStyle name="Labels - Style3 2 2 3" xfId="16738" xr:uid="{00000000-0005-0000-0000-0000FF590000}"/>
    <cellStyle name="Labels - Style3 2 2 4" xfId="17717" xr:uid="{00000000-0005-0000-0000-0000005A0000}"/>
    <cellStyle name="Labels - Style3 2 2 5" xfId="18744" xr:uid="{00000000-0005-0000-0000-0000015A0000}"/>
    <cellStyle name="Labels - Style3 2 2 6" xfId="19776" xr:uid="{00000000-0005-0000-0000-0000025A0000}"/>
    <cellStyle name="Labels - Style3 2 2 7" xfId="20798" xr:uid="{00000000-0005-0000-0000-0000035A0000}"/>
    <cellStyle name="Labels - Style3 2 2 8" xfId="21809" xr:uid="{00000000-0005-0000-0000-0000045A0000}"/>
    <cellStyle name="Labels - Style3 2 2 9" xfId="22780" xr:uid="{00000000-0005-0000-0000-0000055A0000}"/>
    <cellStyle name="Labels - Style3 2 3" xfId="4959" xr:uid="{00000000-0005-0000-0000-0000065A0000}"/>
    <cellStyle name="Labels - Style3 2 3 10" xfId="23787" xr:uid="{00000000-0005-0000-0000-0000075A0000}"/>
    <cellStyle name="Labels - Style3 2 3 11" xfId="24759" xr:uid="{00000000-0005-0000-0000-0000085A0000}"/>
    <cellStyle name="Labels - Style3 2 3 12" xfId="25758" xr:uid="{00000000-0005-0000-0000-0000095A0000}"/>
    <cellStyle name="Labels - Style3 2 3 13" xfId="28705" xr:uid="{00000000-0005-0000-0000-00000A5A0000}"/>
    <cellStyle name="Labels - Style3 2 3 14" xfId="29672" xr:uid="{00000000-0005-0000-0000-00000B5A0000}"/>
    <cellStyle name="Labels - Style3 2 3 15" xfId="30714" xr:uid="{00000000-0005-0000-0000-00000C5A0000}"/>
    <cellStyle name="Labels - Style3 2 3 16" xfId="31705" xr:uid="{00000000-0005-0000-0000-00000D5A0000}"/>
    <cellStyle name="Labels - Style3 2 3 17" xfId="32713" xr:uid="{00000000-0005-0000-0000-00000E5A0000}"/>
    <cellStyle name="Labels - Style3 2 3 18" xfId="33716" xr:uid="{00000000-0005-0000-0000-00000F5A0000}"/>
    <cellStyle name="Labels - Style3 2 3 19" xfId="34715" xr:uid="{00000000-0005-0000-0000-0000105A0000}"/>
    <cellStyle name="Labels - Style3 2 3 2" xfId="4960" xr:uid="{00000000-0005-0000-0000-0000115A0000}"/>
    <cellStyle name="Labels - Style3 2 3 2 10" xfId="24760" xr:uid="{00000000-0005-0000-0000-0000125A0000}"/>
    <cellStyle name="Labels - Style3 2 3 2 11" xfId="25759" xr:uid="{00000000-0005-0000-0000-0000135A0000}"/>
    <cellStyle name="Labels - Style3 2 3 2 12" xfId="28706" xr:uid="{00000000-0005-0000-0000-0000145A0000}"/>
    <cellStyle name="Labels - Style3 2 3 2 13" xfId="29673" xr:uid="{00000000-0005-0000-0000-0000155A0000}"/>
    <cellStyle name="Labels - Style3 2 3 2 14" xfId="30715" xr:uid="{00000000-0005-0000-0000-0000165A0000}"/>
    <cellStyle name="Labels - Style3 2 3 2 15" xfId="31706" xr:uid="{00000000-0005-0000-0000-0000175A0000}"/>
    <cellStyle name="Labels - Style3 2 3 2 16" xfId="32714" xr:uid="{00000000-0005-0000-0000-0000185A0000}"/>
    <cellStyle name="Labels - Style3 2 3 2 17" xfId="33717" xr:uid="{00000000-0005-0000-0000-0000195A0000}"/>
    <cellStyle name="Labels - Style3 2 3 2 18" xfId="34716" xr:uid="{00000000-0005-0000-0000-00001A5A0000}"/>
    <cellStyle name="Labels - Style3 2 3 2 19" xfId="36337" xr:uid="{00000000-0005-0000-0000-00001B5A0000}"/>
    <cellStyle name="Labels - Style3 2 3 2 2" xfId="16741" xr:uid="{00000000-0005-0000-0000-00001C5A0000}"/>
    <cellStyle name="Labels - Style3 2 3 2 20" xfId="37276" xr:uid="{00000000-0005-0000-0000-00001D5A0000}"/>
    <cellStyle name="Labels - Style3 2 3 2 3" xfId="17720" xr:uid="{00000000-0005-0000-0000-00001E5A0000}"/>
    <cellStyle name="Labels - Style3 2 3 2 4" xfId="18747" xr:uid="{00000000-0005-0000-0000-00001F5A0000}"/>
    <cellStyle name="Labels - Style3 2 3 2 5" xfId="19779" xr:uid="{00000000-0005-0000-0000-0000205A0000}"/>
    <cellStyle name="Labels - Style3 2 3 2 6" xfId="20801" xr:uid="{00000000-0005-0000-0000-0000215A0000}"/>
    <cellStyle name="Labels - Style3 2 3 2 7" xfId="21812" xr:uid="{00000000-0005-0000-0000-0000225A0000}"/>
    <cellStyle name="Labels - Style3 2 3 2 8" xfId="22783" xr:uid="{00000000-0005-0000-0000-0000235A0000}"/>
    <cellStyle name="Labels - Style3 2 3 2 9" xfId="23788" xr:uid="{00000000-0005-0000-0000-0000245A0000}"/>
    <cellStyle name="Labels - Style3 2 3 20" xfId="36336" xr:uid="{00000000-0005-0000-0000-0000255A0000}"/>
    <cellStyle name="Labels - Style3 2 3 21" xfId="37275" xr:uid="{00000000-0005-0000-0000-0000265A0000}"/>
    <cellStyle name="Labels - Style3 2 3 3" xfId="16740" xr:uid="{00000000-0005-0000-0000-0000275A0000}"/>
    <cellStyle name="Labels - Style3 2 3 4" xfId="17719" xr:uid="{00000000-0005-0000-0000-0000285A0000}"/>
    <cellStyle name="Labels - Style3 2 3 5" xfId="18746" xr:uid="{00000000-0005-0000-0000-0000295A0000}"/>
    <cellStyle name="Labels - Style3 2 3 6" xfId="19778" xr:uid="{00000000-0005-0000-0000-00002A5A0000}"/>
    <cellStyle name="Labels - Style3 2 3 7" xfId="20800" xr:uid="{00000000-0005-0000-0000-00002B5A0000}"/>
    <cellStyle name="Labels - Style3 2 3 8" xfId="21811" xr:uid="{00000000-0005-0000-0000-00002C5A0000}"/>
    <cellStyle name="Labels - Style3 2 3 9" xfId="22782" xr:uid="{00000000-0005-0000-0000-00002D5A0000}"/>
    <cellStyle name="Labels - Style3 2 4" xfId="4961" xr:uid="{00000000-0005-0000-0000-00002E5A0000}"/>
    <cellStyle name="Labels - Style3 2 4 10" xfId="23789" xr:uid="{00000000-0005-0000-0000-00002F5A0000}"/>
    <cellStyle name="Labels - Style3 2 4 11" xfId="24761" xr:uid="{00000000-0005-0000-0000-0000305A0000}"/>
    <cellStyle name="Labels - Style3 2 4 12" xfId="25760" xr:uid="{00000000-0005-0000-0000-0000315A0000}"/>
    <cellStyle name="Labels - Style3 2 4 13" xfId="28707" xr:uid="{00000000-0005-0000-0000-0000325A0000}"/>
    <cellStyle name="Labels - Style3 2 4 14" xfId="29674" xr:uid="{00000000-0005-0000-0000-0000335A0000}"/>
    <cellStyle name="Labels - Style3 2 4 15" xfId="30716" xr:uid="{00000000-0005-0000-0000-0000345A0000}"/>
    <cellStyle name="Labels - Style3 2 4 16" xfId="31707" xr:uid="{00000000-0005-0000-0000-0000355A0000}"/>
    <cellStyle name="Labels - Style3 2 4 17" xfId="32715" xr:uid="{00000000-0005-0000-0000-0000365A0000}"/>
    <cellStyle name="Labels - Style3 2 4 18" xfId="33718" xr:uid="{00000000-0005-0000-0000-0000375A0000}"/>
    <cellStyle name="Labels - Style3 2 4 19" xfId="34717" xr:uid="{00000000-0005-0000-0000-0000385A0000}"/>
    <cellStyle name="Labels - Style3 2 4 2" xfId="4962" xr:uid="{00000000-0005-0000-0000-0000395A0000}"/>
    <cellStyle name="Labels - Style3 2 4 2 10" xfId="24762" xr:uid="{00000000-0005-0000-0000-00003A5A0000}"/>
    <cellStyle name="Labels - Style3 2 4 2 11" xfId="25761" xr:uid="{00000000-0005-0000-0000-00003B5A0000}"/>
    <cellStyle name="Labels - Style3 2 4 2 12" xfId="28708" xr:uid="{00000000-0005-0000-0000-00003C5A0000}"/>
    <cellStyle name="Labels - Style3 2 4 2 13" xfId="29675" xr:uid="{00000000-0005-0000-0000-00003D5A0000}"/>
    <cellStyle name="Labels - Style3 2 4 2 14" xfId="30717" xr:uid="{00000000-0005-0000-0000-00003E5A0000}"/>
    <cellStyle name="Labels - Style3 2 4 2 15" xfId="31708" xr:uid="{00000000-0005-0000-0000-00003F5A0000}"/>
    <cellStyle name="Labels - Style3 2 4 2 16" xfId="32716" xr:uid="{00000000-0005-0000-0000-0000405A0000}"/>
    <cellStyle name="Labels - Style3 2 4 2 17" xfId="33719" xr:uid="{00000000-0005-0000-0000-0000415A0000}"/>
    <cellStyle name="Labels - Style3 2 4 2 18" xfId="34718" xr:uid="{00000000-0005-0000-0000-0000425A0000}"/>
    <cellStyle name="Labels - Style3 2 4 2 19" xfId="36339" xr:uid="{00000000-0005-0000-0000-0000435A0000}"/>
    <cellStyle name="Labels - Style3 2 4 2 2" xfId="16743" xr:uid="{00000000-0005-0000-0000-0000445A0000}"/>
    <cellStyle name="Labels - Style3 2 4 2 20" xfId="37278" xr:uid="{00000000-0005-0000-0000-0000455A0000}"/>
    <cellStyle name="Labels - Style3 2 4 2 3" xfId="17722" xr:uid="{00000000-0005-0000-0000-0000465A0000}"/>
    <cellStyle name="Labels - Style3 2 4 2 4" xfId="18749" xr:uid="{00000000-0005-0000-0000-0000475A0000}"/>
    <cellStyle name="Labels - Style3 2 4 2 5" xfId="19781" xr:uid="{00000000-0005-0000-0000-0000485A0000}"/>
    <cellStyle name="Labels - Style3 2 4 2 6" xfId="20803" xr:uid="{00000000-0005-0000-0000-0000495A0000}"/>
    <cellStyle name="Labels - Style3 2 4 2 7" xfId="21814" xr:uid="{00000000-0005-0000-0000-00004A5A0000}"/>
    <cellStyle name="Labels - Style3 2 4 2 8" xfId="22785" xr:uid="{00000000-0005-0000-0000-00004B5A0000}"/>
    <cellStyle name="Labels - Style3 2 4 2 9" xfId="23790" xr:uid="{00000000-0005-0000-0000-00004C5A0000}"/>
    <cellStyle name="Labels - Style3 2 4 20" xfId="36338" xr:uid="{00000000-0005-0000-0000-00004D5A0000}"/>
    <cellStyle name="Labels - Style3 2 4 21" xfId="37277" xr:uid="{00000000-0005-0000-0000-00004E5A0000}"/>
    <cellStyle name="Labels - Style3 2 4 3" xfId="16742" xr:uid="{00000000-0005-0000-0000-00004F5A0000}"/>
    <cellStyle name="Labels - Style3 2 4 4" xfId="17721" xr:uid="{00000000-0005-0000-0000-0000505A0000}"/>
    <cellStyle name="Labels - Style3 2 4 5" xfId="18748" xr:uid="{00000000-0005-0000-0000-0000515A0000}"/>
    <cellStyle name="Labels - Style3 2 4 6" xfId="19780" xr:uid="{00000000-0005-0000-0000-0000525A0000}"/>
    <cellStyle name="Labels - Style3 2 4 7" xfId="20802" xr:uid="{00000000-0005-0000-0000-0000535A0000}"/>
    <cellStyle name="Labels - Style3 2 4 8" xfId="21813" xr:uid="{00000000-0005-0000-0000-0000545A0000}"/>
    <cellStyle name="Labels - Style3 2 4 9" xfId="22784" xr:uid="{00000000-0005-0000-0000-0000555A0000}"/>
    <cellStyle name="Labels - Style3 2 5" xfId="4963" xr:uid="{00000000-0005-0000-0000-0000565A0000}"/>
    <cellStyle name="Labels - Style3 2 5 10" xfId="23791" xr:uid="{00000000-0005-0000-0000-0000575A0000}"/>
    <cellStyle name="Labels - Style3 2 5 11" xfId="24763" xr:uid="{00000000-0005-0000-0000-0000585A0000}"/>
    <cellStyle name="Labels - Style3 2 5 12" xfId="25762" xr:uid="{00000000-0005-0000-0000-0000595A0000}"/>
    <cellStyle name="Labels - Style3 2 5 13" xfId="28709" xr:uid="{00000000-0005-0000-0000-00005A5A0000}"/>
    <cellStyle name="Labels - Style3 2 5 14" xfId="29676" xr:uid="{00000000-0005-0000-0000-00005B5A0000}"/>
    <cellStyle name="Labels - Style3 2 5 15" xfId="30718" xr:uid="{00000000-0005-0000-0000-00005C5A0000}"/>
    <cellStyle name="Labels - Style3 2 5 16" xfId="31709" xr:uid="{00000000-0005-0000-0000-00005D5A0000}"/>
    <cellStyle name="Labels - Style3 2 5 17" xfId="32717" xr:uid="{00000000-0005-0000-0000-00005E5A0000}"/>
    <cellStyle name="Labels - Style3 2 5 18" xfId="33720" xr:uid="{00000000-0005-0000-0000-00005F5A0000}"/>
    <cellStyle name="Labels - Style3 2 5 19" xfId="34719" xr:uid="{00000000-0005-0000-0000-0000605A0000}"/>
    <cellStyle name="Labels - Style3 2 5 2" xfId="4964" xr:uid="{00000000-0005-0000-0000-0000615A0000}"/>
    <cellStyle name="Labels - Style3 2 5 2 10" xfId="24764" xr:uid="{00000000-0005-0000-0000-0000625A0000}"/>
    <cellStyle name="Labels - Style3 2 5 2 11" xfId="25763" xr:uid="{00000000-0005-0000-0000-0000635A0000}"/>
    <cellStyle name="Labels - Style3 2 5 2 12" xfId="28710" xr:uid="{00000000-0005-0000-0000-0000645A0000}"/>
    <cellStyle name="Labels - Style3 2 5 2 13" xfId="29677" xr:uid="{00000000-0005-0000-0000-0000655A0000}"/>
    <cellStyle name="Labels - Style3 2 5 2 14" xfId="30719" xr:uid="{00000000-0005-0000-0000-0000665A0000}"/>
    <cellStyle name="Labels - Style3 2 5 2 15" xfId="31710" xr:uid="{00000000-0005-0000-0000-0000675A0000}"/>
    <cellStyle name="Labels - Style3 2 5 2 16" xfId="32718" xr:uid="{00000000-0005-0000-0000-0000685A0000}"/>
    <cellStyle name="Labels - Style3 2 5 2 17" xfId="33721" xr:uid="{00000000-0005-0000-0000-0000695A0000}"/>
    <cellStyle name="Labels - Style3 2 5 2 18" xfId="34720" xr:uid="{00000000-0005-0000-0000-00006A5A0000}"/>
    <cellStyle name="Labels - Style3 2 5 2 19" xfId="36341" xr:uid="{00000000-0005-0000-0000-00006B5A0000}"/>
    <cellStyle name="Labels - Style3 2 5 2 2" xfId="16745" xr:uid="{00000000-0005-0000-0000-00006C5A0000}"/>
    <cellStyle name="Labels - Style3 2 5 2 20" xfId="37280" xr:uid="{00000000-0005-0000-0000-00006D5A0000}"/>
    <cellStyle name="Labels - Style3 2 5 2 3" xfId="17724" xr:uid="{00000000-0005-0000-0000-00006E5A0000}"/>
    <cellStyle name="Labels - Style3 2 5 2 4" xfId="18751" xr:uid="{00000000-0005-0000-0000-00006F5A0000}"/>
    <cellStyle name="Labels - Style3 2 5 2 5" xfId="19783" xr:uid="{00000000-0005-0000-0000-0000705A0000}"/>
    <cellStyle name="Labels - Style3 2 5 2 6" xfId="20805" xr:uid="{00000000-0005-0000-0000-0000715A0000}"/>
    <cellStyle name="Labels - Style3 2 5 2 7" xfId="21816" xr:uid="{00000000-0005-0000-0000-0000725A0000}"/>
    <cellStyle name="Labels - Style3 2 5 2 8" xfId="22787" xr:uid="{00000000-0005-0000-0000-0000735A0000}"/>
    <cellStyle name="Labels - Style3 2 5 2 9" xfId="23792" xr:uid="{00000000-0005-0000-0000-0000745A0000}"/>
    <cellStyle name="Labels - Style3 2 5 20" xfId="36340" xr:uid="{00000000-0005-0000-0000-0000755A0000}"/>
    <cellStyle name="Labels - Style3 2 5 21" xfId="37279" xr:uid="{00000000-0005-0000-0000-0000765A0000}"/>
    <cellStyle name="Labels - Style3 2 5 3" xfId="16744" xr:uid="{00000000-0005-0000-0000-0000775A0000}"/>
    <cellStyle name="Labels - Style3 2 5 4" xfId="17723" xr:uid="{00000000-0005-0000-0000-0000785A0000}"/>
    <cellStyle name="Labels - Style3 2 5 5" xfId="18750" xr:uid="{00000000-0005-0000-0000-0000795A0000}"/>
    <cellStyle name="Labels - Style3 2 5 6" xfId="19782" xr:uid="{00000000-0005-0000-0000-00007A5A0000}"/>
    <cellStyle name="Labels - Style3 2 5 7" xfId="20804" xr:uid="{00000000-0005-0000-0000-00007B5A0000}"/>
    <cellStyle name="Labels - Style3 2 5 8" xfId="21815" xr:uid="{00000000-0005-0000-0000-00007C5A0000}"/>
    <cellStyle name="Labels - Style3 2 5 9" xfId="22786" xr:uid="{00000000-0005-0000-0000-00007D5A0000}"/>
    <cellStyle name="Labels - Style3 2 6" xfId="4965" xr:uid="{00000000-0005-0000-0000-00007E5A0000}"/>
    <cellStyle name="Labels - Style3 2 6 10" xfId="24765" xr:uid="{00000000-0005-0000-0000-00007F5A0000}"/>
    <cellStyle name="Labels - Style3 2 6 11" xfId="25764" xr:uid="{00000000-0005-0000-0000-0000805A0000}"/>
    <cellStyle name="Labels - Style3 2 6 12" xfId="28711" xr:uid="{00000000-0005-0000-0000-0000815A0000}"/>
    <cellStyle name="Labels - Style3 2 6 13" xfId="29678" xr:uid="{00000000-0005-0000-0000-0000825A0000}"/>
    <cellStyle name="Labels - Style3 2 6 14" xfId="30720" xr:uid="{00000000-0005-0000-0000-0000835A0000}"/>
    <cellStyle name="Labels - Style3 2 6 15" xfId="31711" xr:uid="{00000000-0005-0000-0000-0000845A0000}"/>
    <cellStyle name="Labels - Style3 2 6 16" xfId="32719" xr:uid="{00000000-0005-0000-0000-0000855A0000}"/>
    <cellStyle name="Labels - Style3 2 6 17" xfId="33722" xr:uid="{00000000-0005-0000-0000-0000865A0000}"/>
    <cellStyle name="Labels - Style3 2 6 18" xfId="34721" xr:uid="{00000000-0005-0000-0000-0000875A0000}"/>
    <cellStyle name="Labels - Style3 2 6 19" xfId="36342" xr:uid="{00000000-0005-0000-0000-0000885A0000}"/>
    <cellStyle name="Labels - Style3 2 6 2" xfId="16746" xr:uid="{00000000-0005-0000-0000-0000895A0000}"/>
    <cellStyle name="Labels - Style3 2 6 20" xfId="37281" xr:uid="{00000000-0005-0000-0000-00008A5A0000}"/>
    <cellStyle name="Labels - Style3 2 6 3" xfId="17725" xr:uid="{00000000-0005-0000-0000-00008B5A0000}"/>
    <cellStyle name="Labels - Style3 2 6 4" xfId="18752" xr:uid="{00000000-0005-0000-0000-00008C5A0000}"/>
    <cellStyle name="Labels - Style3 2 6 5" xfId="19784" xr:uid="{00000000-0005-0000-0000-00008D5A0000}"/>
    <cellStyle name="Labels - Style3 2 6 6" xfId="20806" xr:uid="{00000000-0005-0000-0000-00008E5A0000}"/>
    <cellStyle name="Labels - Style3 2 6 7" xfId="21817" xr:uid="{00000000-0005-0000-0000-00008F5A0000}"/>
    <cellStyle name="Labels - Style3 2 6 8" xfId="22788" xr:uid="{00000000-0005-0000-0000-0000905A0000}"/>
    <cellStyle name="Labels - Style3 2 6 9" xfId="23793" xr:uid="{00000000-0005-0000-0000-0000915A0000}"/>
    <cellStyle name="Labels - Style3 2 7" xfId="14042" xr:uid="{00000000-0005-0000-0000-0000925A0000}"/>
    <cellStyle name="Labels - Style3 2 8" xfId="15551" xr:uid="{00000000-0005-0000-0000-0000935A0000}"/>
    <cellStyle name="Labels - Style3 2 9" xfId="15362" xr:uid="{00000000-0005-0000-0000-0000945A0000}"/>
    <cellStyle name="Labels - Style3 3" xfId="4966" xr:uid="{00000000-0005-0000-0000-0000955A0000}"/>
    <cellStyle name="Labels - Style3 3 10" xfId="14294" xr:uid="{00000000-0005-0000-0000-0000965A0000}"/>
    <cellStyle name="Labels - Style3 3 11" xfId="27280" xr:uid="{00000000-0005-0000-0000-0000975A0000}"/>
    <cellStyle name="Labels - Style3 3 12" xfId="26968" xr:uid="{00000000-0005-0000-0000-0000985A0000}"/>
    <cellStyle name="Labels - Style3 3 13" xfId="26596" xr:uid="{00000000-0005-0000-0000-0000995A0000}"/>
    <cellStyle name="Labels - Style3 3 2" xfId="4967" xr:uid="{00000000-0005-0000-0000-00009A5A0000}"/>
    <cellStyle name="Labels - Style3 3 2 10" xfId="23794" xr:uid="{00000000-0005-0000-0000-00009B5A0000}"/>
    <cellStyle name="Labels - Style3 3 2 11" xfId="24766" xr:uid="{00000000-0005-0000-0000-00009C5A0000}"/>
    <cellStyle name="Labels - Style3 3 2 12" xfId="25765" xr:uid="{00000000-0005-0000-0000-00009D5A0000}"/>
    <cellStyle name="Labels - Style3 3 2 13" xfId="28712" xr:uid="{00000000-0005-0000-0000-00009E5A0000}"/>
    <cellStyle name="Labels - Style3 3 2 14" xfId="29679" xr:uid="{00000000-0005-0000-0000-00009F5A0000}"/>
    <cellStyle name="Labels - Style3 3 2 15" xfId="30721" xr:uid="{00000000-0005-0000-0000-0000A05A0000}"/>
    <cellStyle name="Labels - Style3 3 2 16" xfId="31712" xr:uid="{00000000-0005-0000-0000-0000A15A0000}"/>
    <cellStyle name="Labels - Style3 3 2 17" xfId="32720" xr:uid="{00000000-0005-0000-0000-0000A25A0000}"/>
    <cellStyle name="Labels - Style3 3 2 18" xfId="33723" xr:uid="{00000000-0005-0000-0000-0000A35A0000}"/>
    <cellStyle name="Labels - Style3 3 2 19" xfId="34722" xr:uid="{00000000-0005-0000-0000-0000A45A0000}"/>
    <cellStyle name="Labels - Style3 3 2 2" xfId="4968" xr:uid="{00000000-0005-0000-0000-0000A55A0000}"/>
    <cellStyle name="Labels - Style3 3 2 2 10" xfId="24767" xr:uid="{00000000-0005-0000-0000-0000A65A0000}"/>
    <cellStyle name="Labels - Style3 3 2 2 11" xfId="25766" xr:uid="{00000000-0005-0000-0000-0000A75A0000}"/>
    <cellStyle name="Labels - Style3 3 2 2 12" xfId="28713" xr:uid="{00000000-0005-0000-0000-0000A85A0000}"/>
    <cellStyle name="Labels - Style3 3 2 2 13" xfId="29680" xr:uid="{00000000-0005-0000-0000-0000A95A0000}"/>
    <cellStyle name="Labels - Style3 3 2 2 14" xfId="30722" xr:uid="{00000000-0005-0000-0000-0000AA5A0000}"/>
    <cellStyle name="Labels - Style3 3 2 2 15" xfId="31713" xr:uid="{00000000-0005-0000-0000-0000AB5A0000}"/>
    <cellStyle name="Labels - Style3 3 2 2 16" xfId="32721" xr:uid="{00000000-0005-0000-0000-0000AC5A0000}"/>
    <cellStyle name="Labels - Style3 3 2 2 17" xfId="33724" xr:uid="{00000000-0005-0000-0000-0000AD5A0000}"/>
    <cellStyle name="Labels - Style3 3 2 2 18" xfId="34723" xr:uid="{00000000-0005-0000-0000-0000AE5A0000}"/>
    <cellStyle name="Labels - Style3 3 2 2 19" xfId="36344" xr:uid="{00000000-0005-0000-0000-0000AF5A0000}"/>
    <cellStyle name="Labels - Style3 3 2 2 2" xfId="16748" xr:uid="{00000000-0005-0000-0000-0000B05A0000}"/>
    <cellStyle name="Labels - Style3 3 2 2 20" xfId="37283" xr:uid="{00000000-0005-0000-0000-0000B15A0000}"/>
    <cellStyle name="Labels - Style3 3 2 2 3" xfId="17727" xr:uid="{00000000-0005-0000-0000-0000B25A0000}"/>
    <cellStyle name="Labels - Style3 3 2 2 4" xfId="18754" xr:uid="{00000000-0005-0000-0000-0000B35A0000}"/>
    <cellStyle name="Labels - Style3 3 2 2 5" xfId="19786" xr:uid="{00000000-0005-0000-0000-0000B45A0000}"/>
    <cellStyle name="Labels - Style3 3 2 2 6" xfId="20808" xr:uid="{00000000-0005-0000-0000-0000B55A0000}"/>
    <cellStyle name="Labels - Style3 3 2 2 7" xfId="21819" xr:uid="{00000000-0005-0000-0000-0000B65A0000}"/>
    <cellStyle name="Labels - Style3 3 2 2 8" xfId="22790" xr:uid="{00000000-0005-0000-0000-0000B75A0000}"/>
    <cellStyle name="Labels - Style3 3 2 2 9" xfId="23795" xr:uid="{00000000-0005-0000-0000-0000B85A0000}"/>
    <cellStyle name="Labels - Style3 3 2 20" xfId="36343" xr:uid="{00000000-0005-0000-0000-0000B95A0000}"/>
    <cellStyle name="Labels - Style3 3 2 21" xfId="37282" xr:uid="{00000000-0005-0000-0000-0000BA5A0000}"/>
    <cellStyle name="Labels - Style3 3 2 3" xfId="16747" xr:uid="{00000000-0005-0000-0000-0000BB5A0000}"/>
    <cellStyle name="Labels - Style3 3 2 4" xfId="17726" xr:uid="{00000000-0005-0000-0000-0000BC5A0000}"/>
    <cellStyle name="Labels - Style3 3 2 5" xfId="18753" xr:uid="{00000000-0005-0000-0000-0000BD5A0000}"/>
    <cellStyle name="Labels - Style3 3 2 6" xfId="19785" xr:uid="{00000000-0005-0000-0000-0000BE5A0000}"/>
    <cellStyle name="Labels - Style3 3 2 7" xfId="20807" xr:uid="{00000000-0005-0000-0000-0000BF5A0000}"/>
    <cellStyle name="Labels - Style3 3 2 8" xfId="21818" xr:uid="{00000000-0005-0000-0000-0000C05A0000}"/>
    <cellStyle name="Labels - Style3 3 2 9" xfId="22789" xr:uid="{00000000-0005-0000-0000-0000C15A0000}"/>
    <cellStyle name="Labels - Style3 3 3" xfId="4969" xr:uid="{00000000-0005-0000-0000-0000C25A0000}"/>
    <cellStyle name="Labels - Style3 3 3 10" xfId="23796" xr:uid="{00000000-0005-0000-0000-0000C35A0000}"/>
    <cellStyle name="Labels - Style3 3 3 11" xfId="24768" xr:uid="{00000000-0005-0000-0000-0000C45A0000}"/>
    <cellStyle name="Labels - Style3 3 3 12" xfId="25767" xr:uid="{00000000-0005-0000-0000-0000C55A0000}"/>
    <cellStyle name="Labels - Style3 3 3 13" xfId="28714" xr:uid="{00000000-0005-0000-0000-0000C65A0000}"/>
    <cellStyle name="Labels - Style3 3 3 14" xfId="29681" xr:uid="{00000000-0005-0000-0000-0000C75A0000}"/>
    <cellStyle name="Labels - Style3 3 3 15" xfId="30723" xr:uid="{00000000-0005-0000-0000-0000C85A0000}"/>
    <cellStyle name="Labels - Style3 3 3 16" xfId="31714" xr:uid="{00000000-0005-0000-0000-0000C95A0000}"/>
    <cellStyle name="Labels - Style3 3 3 17" xfId="32722" xr:uid="{00000000-0005-0000-0000-0000CA5A0000}"/>
    <cellStyle name="Labels - Style3 3 3 18" xfId="33725" xr:uid="{00000000-0005-0000-0000-0000CB5A0000}"/>
    <cellStyle name="Labels - Style3 3 3 19" xfId="34724" xr:uid="{00000000-0005-0000-0000-0000CC5A0000}"/>
    <cellStyle name="Labels - Style3 3 3 2" xfId="4970" xr:uid="{00000000-0005-0000-0000-0000CD5A0000}"/>
    <cellStyle name="Labels - Style3 3 3 2 10" xfId="24769" xr:uid="{00000000-0005-0000-0000-0000CE5A0000}"/>
    <cellStyle name="Labels - Style3 3 3 2 11" xfId="25768" xr:uid="{00000000-0005-0000-0000-0000CF5A0000}"/>
    <cellStyle name="Labels - Style3 3 3 2 12" xfId="28715" xr:uid="{00000000-0005-0000-0000-0000D05A0000}"/>
    <cellStyle name="Labels - Style3 3 3 2 13" xfId="29682" xr:uid="{00000000-0005-0000-0000-0000D15A0000}"/>
    <cellStyle name="Labels - Style3 3 3 2 14" xfId="30724" xr:uid="{00000000-0005-0000-0000-0000D25A0000}"/>
    <cellStyle name="Labels - Style3 3 3 2 15" xfId="31715" xr:uid="{00000000-0005-0000-0000-0000D35A0000}"/>
    <cellStyle name="Labels - Style3 3 3 2 16" xfId="32723" xr:uid="{00000000-0005-0000-0000-0000D45A0000}"/>
    <cellStyle name="Labels - Style3 3 3 2 17" xfId="33726" xr:uid="{00000000-0005-0000-0000-0000D55A0000}"/>
    <cellStyle name="Labels - Style3 3 3 2 18" xfId="34725" xr:uid="{00000000-0005-0000-0000-0000D65A0000}"/>
    <cellStyle name="Labels - Style3 3 3 2 19" xfId="36346" xr:uid="{00000000-0005-0000-0000-0000D75A0000}"/>
    <cellStyle name="Labels - Style3 3 3 2 2" xfId="16750" xr:uid="{00000000-0005-0000-0000-0000D85A0000}"/>
    <cellStyle name="Labels - Style3 3 3 2 20" xfId="37285" xr:uid="{00000000-0005-0000-0000-0000D95A0000}"/>
    <cellStyle name="Labels - Style3 3 3 2 3" xfId="17729" xr:uid="{00000000-0005-0000-0000-0000DA5A0000}"/>
    <cellStyle name="Labels - Style3 3 3 2 4" xfId="18756" xr:uid="{00000000-0005-0000-0000-0000DB5A0000}"/>
    <cellStyle name="Labels - Style3 3 3 2 5" xfId="19788" xr:uid="{00000000-0005-0000-0000-0000DC5A0000}"/>
    <cellStyle name="Labels - Style3 3 3 2 6" xfId="20810" xr:uid="{00000000-0005-0000-0000-0000DD5A0000}"/>
    <cellStyle name="Labels - Style3 3 3 2 7" xfId="21821" xr:uid="{00000000-0005-0000-0000-0000DE5A0000}"/>
    <cellStyle name="Labels - Style3 3 3 2 8" xfId="22792" xr:uid="{00000000-0005-0000-0000-0000DF5A0000}"/>
    <cellStyle name="Labels - Style3 3 3 2 9" xfId="23797" xr:uid="{00000000-0005-0000-0000-0000E05A0000}"/>
    <cellStyle name="Labels - Style3 3 3 20" xfId="36345" xr:uid="{00000000-0005-0000-0000-0000E15A0000}"/>
    <cellStyle name="Labels - Style3 3 3 21" xfId="37284" xr:uid="{00000000-0005-0000-0000-0000E25A0000}"/>
    <cellStyle name="Labels - Style3 3 3 3" xfId="16749" xr:uid="{00000000-0005-0000-0000-0000E35A0000}"/>
    <cellStyle name="Labels - Style3 3 3 4" xfId="17728" xr:uid="{00000000-0005-0000-0000-0000E45A0000}"/>
    <cellStyle name="Labels - Style3 3 3 5" xfId="18755" xr:uid="{00000000-0005-0000-0000-0000E55A0000}"/>
    <cellStyle name="Labels - Style3 3 3 6" xfId="19787" xr:uid="{00000000-0005-0000-0000-0000E65A0000}"/>
    <cellStyle name="Labels - Style3 3 3 7" xfId="20809" xr:uid="{00000000-0005-0000-0000-0000E75A0000}"/>
    <cellStyle name="Labels - Style3 3 3 8" xfId="21820" xr:uid="{00000000-0005-0000-0000-0000E85A0000}"/>
    <cellStyle name="Labels - Style3 3 3 9" xfId="22791" xr:uid="{00000000-0005-0000-0000-0000E95A0000}"/>
    <cellStyle name="Labels - Style3 3 4" xfId="4971" xr:uid="{00000000-0005-0000-0000-0000EA5A0000}"/>
    <cellStyle name="Labels - Style3 3 4 10" xfId="23798" xr:uid="{00000000-0005-0000-0000-0000EB5A0000}"/>
    <cellStyle name="Labels - Style3 3 4 11" xfId="24770" xr:uid="{00000000-0005-0000-0000-0000EC5A0000}"/>
    <cellStyle name="Labels - Style3 3 4 12" xfId="25769" xr:uid="{00000000-0005-0000-0000-0000ED5A0000}"/>
    <cellStyle name="Labels - Style3 3 4 13" xfId="28716" xr:uid="{00000000-0005-0000-0000-0000EE5A0000}"/>
    <cellStyle name="Labels - Style3 3 4 14" xfId="29683" xr:uid="{00000000-0005-0000-0000-0000EF5A0000}"/>
    <cellStyle name="Labels - Style3 3 4 15" xfId="30725" xr:uid="{00000000-0005-0000-0000-0000F05A0000}"/>
    <cellStyle name="Labels - Style3 3 4 16" xfId="31716" xr:uid="{00000000-0005-0000-0000-0000F15A0000}"/>
    <cellStyle name="Labels - Style3 3 4 17" xfId="32724" xr:uid="{00000000-0005-0000-0000-0000F25A0000}"/>
    <cellStyle name="Labels - Style3 3 4 18" xfId="33727" xr:uid="{00000000-0005-0000-0000-0000F35A0000}"/>
    <cellStyle name="Labels - Style3 3 4 19" xfId="34726" xr:uid="{00000000-0005-0000-0000-0000F45A0000}"/>
    <cellStyle name="Labels - Style3 3 4 2" xfId="4972" xr:uid="{00000000-0005-0000-0000-0000F55A0000}"/>
    <cellStyle name="Labels - Style3 3 4 2 10" xfId="24771" xr:uid="{00000000-0005-0000-0000-0000F65A0000}"/>
    <cellStyle name="Labels - Style3 3 4 2 11" xfId="25770" xr:uid="{00000000-0005-0000-0000-0000F75A0000}"/>
    <cellStyle name="Labels - Style3 3 4 2 12" xfId="28717" xr:uid="{00000000-0005-0000-0000-0000F85A0000}"/>
    <cellStyle name="Labels - Style3 3 4 2 13" xfId="29684" xr:uid="{00000000-0005-0000-0000-0000F95A0000}"/>
    <cellStyle name="Labels - Style3 3 4 2 14" xfId="30726" xr:uid="{00000000-0005-0000-0000-0000FA5A0000}"/>
    <cellStyle name="Labels - Style3 3 4 2 15" xfId="31717" xr:uid="{00000000-0005-0000-0000-0000FB5A0000}"/>
    <cellStyle name="Labels - Style3 3 4 2 16" xfId="32725" xr:uid="{00000000-0005-0000-0000-0000FC5A0000}"/>
    <cellStyle name="Labels - Style3 3 4 2 17" xfId="33728" xr:uid="{00000000-0005-0000-0000-0000FD5A0000}"/>
    <cellStyle name="Labels - Style3 3 4 2 18" xfId="34727" xr:uid="{00000000-0005-0000-0000-0000FE5A0000}"/>
    <cellStyle name="Labels - Style3 3 4 2 19" xfId="36348" xr:uid="{00000000-0005-0000-0000-0000FF5A0000}"/>
    <cellStyle name="Labels - Style3 3 4 2 2" xfId="16752" xr:uid="{00000000-0005-0000-0000-0000005B0000}"/>
    <cellStyle name="Labels - Style3 3 4 2 20" xfId="37287" xr:uid="{00000000-0005-0000-0000-0000015B0000}"/>
    <cellStyle name="Labels - Style3 3 4 2 3" xfId="17731" xr:uid="{00000000-0005-0000-0000-0000025B0000}"/>
    <cellStyle name="Labels - Style3 3 4 2 4" xfId="18758" xr:uid="{00000000-0005-0000-0000-0000035B0000}"/>
    <cellStyle name="Labels - Style3 3 4 2 5" xfId="19790" xr:uid="{00000000-0005-0000-0000-0000045B0000}"/>
    <cellStyle name="Labels - Style3 3 4 2 6" xfId="20812" xr:uid="{00000000-0005-0000-0000-0000055B0000}"/>
    <cellStyle name="Labels - Style3 3 4 2 7" xfId="21823" xr:uid="{00000000-0005-0000-0000-0000065B0000}"/>
    <cellStyle name="Labels - Style3 3 4 2 8" xfId="22794" xr:uid="{00000000-0005-0000-0000-0000075B0000}"/>
    <cellStyle name="Labels - Style3 3 4 2 9" xfId="23799" xr:uid="{00000000-0005-0000-0000-0000085B0000}"/>
    <cellStyle name="Labels - Style3 3 4 20" xfId="36347" xr:uid="{00000000-0005-0000-0000-0000095B0000}"/>
    <cellStyle name="Labels - Style3 3 4 21" xfId="37286" xr:uid="{00000000-0005-0000-0000-00000A5B0000}"/>
    <cellStyle name="Labels - Style3 3 4 3" xfId="16751" xr:uid="{00000000-0005-0000-0000-00000B5B0000}"/>
    <cellStyle name="Labels - Style3 3 4 4" xfId="17730" xr:uid="{00000000-0005-0000-0000-00000C5B0000}"/>
    <cellStyle name="Labels - Style3 3 4 5" xfId="18757" xr:uid="{00000000-0005-0000-0000-00000D5B0000}"/>
    <cellStyle name="Labels - Style3 3 4 6" xfId="19789" xr:uid="{00000000-0005-0000-0000-00000E5B0000}"/>
    <cellStyle name="Labels - Style3 3 4 7" xfId="20811" xr:uid="{00000000-0005-0000-0000-00000F5B0000}"/>
    <cellStyle name="Labels - Style3 3 4 8" xfId="21822" xr:uid="{00000000-0005-0000-0000-0000105B0000}"/>
    <cellStyle name="Labels - Style3 3 4 9" xfId="22793" xr:uid="{00000000-0005-0000-0000-0000115B0000}"/>
    <cellStyle name="Labels - Style3 3 5" xfId="4973" xr:uid="{00000000-0005-0000-0000-0000125B0000}"/>
    <cellStyle name="Labels - Style3 3 5 10" xfId="23800" xr:uid="{00000000-0005-0000-0000-0000135B0000}"/>
    <cellStyle name="Labels - Style3 3 5 11" xfId="24772" xr:uid="{00000000-0005-0000-0000-0000145B0000}"/>
    <cellStyle name="Labels - Style3 3 5 12" xfId="25771" xr:uid="{00000000-0005-0000-0000-0000155B0000}"/>
    <cellStyle name="Labels - Style3 3 5 13" xfId="28718" xr:uid="{00000000-0005-0000-0000-0000165B0000}"/>
    <cellStyle name="Labels - Style3 3 5 14" xfId="29685" xr:uid="{00000000-0005-0000-0000-0000175B0000}"/>
    <cellStyle name="Labels - Style3 3 5 15" xfId="30727" xr:uid="{00000000-0005-0000-0000-0000185B0000}"/>
    <cellStyle name="Labels - Style3 3 5 16" xfId="31718" xr:uid="{00000000-0005-0000-0000-0000195B0000}"/>
    <cellStyle name="Labels - Style3 3 5 17" xfId="32726" xr:uid="{00000000-0005-0000-0000-00001A5B0000}"/>
    <cellStyle name="Labels - Style3 3 5 18" xfId="33729" xr:uid="{00000000-0005-0000-0000-00001B5B0000}"/>
    <cellStyle name="Labels - Style3 3 5 19" xfId="34728" xr:uid="{00000000-0005-0000-0000-00001C5B0000}"/>
    <cellStyle name="Labels - Style3 3 5 2" xfId="4974" xr:uid="{00000000-0005-0000-0000-00001D5B0000}"/>
    <cellStyle name="Labels - Style3 3 5 2 10" xfId="24773" xr:uid="{00000000-0005-0000-0000-00001E5B0000}"/>
    <cellStyle name="Labels - Style3 3 5 2 11" xfId="25772" xr:uid="{00000000-0005-0000-0000-00001F5B0000}"/>
    <cellStyle name="Labels - Style3 3 5 2 12" xfId="28719" xr:uid="{00000000-0005-0000-0000-0000205B0000}"/>
    <cellStyle name="Labels - Style3 3 5 2 13" xfId="29686" xr:uid="{00000000-0005-0000-0000-0000215B0000}"/>
    <cellStyle name="Labels - Style3 3 5 2 14" xfId="30728" xr:uid="{00000000-0005-0000-0000-0000225B0000}"/>
    <cellStyle name="Labels - Style3 3 5 2 15" xfId="31719" xr:uid="{00000000-0005-0000-0000-0000235B0000}"/>
    <cellStyle name="Labels - Style3 3 5 2 16" xfId="32727" xr:uid="{00000000-0005-0000-0000-0000245B0000}"/>
    <cellStyle name="Labels - Style3 3 5 2 17" xfId="33730" xr:uid="{00000000-0005-0000-0000-0000255B0000}"/>
    <cellStyle name="Labels - Style3 3 5 2 18" xfId="34729" xr:uid="{00000000-0005-0000-0000-0000265B0000}"/>
    <cellStyle name="Labels - Style3 3 5 2 19" xfId="36350" xr:uid="{00000000-0005-0000-0000-0000275B0000}"/>
    <cellStyle name="Labels - Style3 3 5 2 2" xfId="16754" xr:uid="{00000000-0005-0000-0000-0000285B0000}"/>
    <cellStyle name="Labels - Style3 3 5 2 20" xfId="37289" xr:uid="{00000000-0005-0000-0000-0000295B0000}"/>
    <cellStyle name="Labels - Style3 3 5 2 3" xfId="17733" xr:uid="{00000000-0005-0000-0000-00002A5B0000}"/>
    <cellStyle name="Labels - Style3 3 5 2 4" xfId="18760" xr:uid="{00000000-0005-0000-0000-00002B5B0000}"/>
    <cellStyle name="Labels - Style3 3 5 2 5" xfId="19792" xr:uid="{00000000-0005-0000-0000-00002C5B0000}"/>
    <cellStyle name="Labels - Style3 3 5 2 6" xfId="20814" xr:uid="{00000000-0005-0000-0000-00002D5B0000}"/>
    <cellStyle name="Labels - Style3 3 5 2 7" xfId="21825" xr:uid="{00000000-0005-0000-0000-00002E5B0000}"/>
    <cellStyle name="Labels - Style3 3 5 2 8" xfId="22796" xr:uid="{00000000-0005-0000-0000-00002F5B0000}"/>
    <cellStyle name="Labels - Style3 3 5 2 9" xfId="23801" xr:uid="{00000000-0005-0000-0000-0000305B0000}"/>
    <cellStyle name="Labels - Style3 3 5 20" xfId="36349" xr:uid="{00000000-0005-0000-0000-0000315B0000}"/>
    <cellStyle name="Labels - Style3 3 5 21" xfId="37288" xr:uid="{00000000-0005-0000-0000-0000325B0000}"/>
    <cellStyle name="Labels - Style3 3 5 3" xfId="16753" xr:uid="{00000000-0005-0000-0000-0000335B0000}"/>
    <cellStyle name="Labels - Style3 3 5 4" xfId="17732" xr:uid="{00000000-0005-0000-0000-0000345B0000}"/>
    <cellStyle name="Labels - Style3 3 5 5" xfId="18759" xr:uid="{00000000-0005-0000-0000-0000355B0000}"/>
    <cellStyle name="Labels - Style3 3 5 6" xfId="19791" xr:uid="{00000000-0005-0000-0000-0000365B0000}"/>
    <cellStyle name="Labels - Style3 3 5 7" xfId="20813" xr:uid="{00000000-0005-0000-0000-0000375B0000}"/>
    <cellStyle name="Labels - Style3 3 5 8" xfId="21824" xr:uid="{00000000-0005-0000-0000-0000385B0000}"/>
    <cellStyle name="Labels - Style3 3 5 9" xfId="22795" xr:uid="{00000000-0005-0000-0000-0000395B0000}"/>
    <cellStyle name="Labels - Style3 3 6" xfId="4975" xr:uid="{00000000-0005-0000-0000-00003A5B0000}"/>
    <cellStyle name="Labels - Style3 3 6 10" xfId="24774" xr:uid="{00000000-0005-0000-0000-00003B5B0000}"/>
    <cellStyle name="Labels - Style3 3 6 11" xfId="25773" xr:uid="{00000000-0005-0000-0000-00003C5B0000}"/>
    <cellStyle name="Labels - Style3 3 6 12" xfId="28720" xr:uid="{00000000-0005-0000-0000-00003D5B0000}"/>
    <cellStyle name="Labels - Style3 3 6 13" xfId="29687" xr:uid="{00000000-0005-0000-0000-00003E5B0000}"/>
    <cellStyle name="Labels - Style3 3 6 14" xfId="30729" xr:uid="{00000000-0005-0000-0000-00003F5B0000}"/>
    <cellStyle name="Labels - Style3 3 6 15" xfId="31720" xr:uid="{00000000-0005-0000-0000-0000405B0000}"/>
    <cellStyle name="Labels - Style3 3 6 16" xfId="32728" xr:uid="{00000000-0005-0000-0000-0000415B0000}"/>
    <cellStyle name="Labels - Style3 3 6 17" xfId="33731" xr:uid="{00000000-0005-0000-0000-0000425B0000}"/>
    <cellStyle name="Labels - Style3 3 6 18" xfId="34730" xr:uid="{00000000-0005-0000-0000-0000435B0000}"/>
    <cellStyle name="Labels - Style3 3 6 19" xfId="36351" xr:uid="{00000000-0005-0000-0000-0000445B0000}"/>
    <cellStyle name="Labels - Style3 3 6 2" xfId="16755" xr:uid="{00000000-0005-0000-0000-0000455B0000}"/>
    <cellStyle name="Labels - Style3 3 6 20" xfId="37290" xr:uid="{00000000-0005-0000-0000-0000465B0000}"/>
    <cellStyle name="Labels - Style3 3 6 3" xfId="17734" xr:uid="{00000000-0005-0000-0000-0000475B0000}"/>
    <cellStyle name="Labels - Style3 3 6 4" xfId="18761" xr:uid="{00000000-0005-0000-0000-0000485B0000}"/>
    <cellStyle name="Labels - Style3 3 6 5" xfId="19793" xr:uid="{00000000-0005-0000-0000-0000495B0000}"/>
    <cellStyle name="Labels - Style3 3 6 6" xfId="20815" xr:uid="{00000000-0005-0000-0000-00004A5B0000}"/>
    <cellStyle name="Labels - Style3 3 6 7" xfId="21826" xr:uid="{00000000-0005-0000-0000-00004B5B0000}"/>
    <cellStyle name="Labels - Style3 3 6 8" xfId="22797" xr:uid="{00000000-0005-0000-0000-00004C5B0000}"/>
    <cellStyle name="Labels - Style3 3 6 9" xfId="23802" xr:uid="{00000000-0005-0000-0000-00004D5B0000}"/>
    <cellStyle name="Labels - Style3 3 7" xfId="13545" xr:uid="{00000000-0005-0000-0000-00004E5B0000}"/>
    <cellStyle name="Labels - Style3 3 8" xfId="14695" xr:uid="{00000000-0005-0000-0000-00004F5B0000}"/>
    <cellStyle name="Labels - Style3 3 9" xfId="15346" xr:uid="{00000000-0005-0000-0000-0000505B0000}"/>
    <cellStyle name="Labels - Style3 4" xfId="4976" xr:uid="{00000000-0005-0000-0000-0000515B0000}"/>
    <cellStyle name="Labels - Style3 4 10" xfId="14706" xr:uid="{00000000-0005-0000-0000-0000525B0000}"/>
    <cellStyle name="Labels - Style3 4 11" xfId="25951" xr:uid="{00000000-0005-0000-0000-0000535B0000}"/>
    <cellStyle name="Labels - Style3 4 12" xfId="26970" xr:uid="{00000000-0005-0000-0000-0000545B0000}"/>
    <cellStyle name="Labels - Style3 4 13" xfId="26050" xr:uid="{00000000-0005-0000-0000-0000555B0000}"/>
    <cellStyle name="Labels - Style3 4 2" xfId="4977" xr:uid="{00000000-0005-0000-0000-0000565B0000}"/>
    <cellStyle name="Labels - Style3 4 2 10" xfId="23803" xr:uid="{00000000-0005-0000-0000-0000575B0000}"/>
    <cellStyle name="Labels - Style3 4 2 11" xfId="24775" xr:uid="{00000000-0005-0000-0000-0000585B0000}"/>
    <cellStyle name="Labels - Style3 4 2 12" xfId="25774" xr:uid="{00000000-0005-0000-0000-0000595B0000}"/>
    <cellStyle name="Labels - Style3 4 2 13" xfId="28721" xr:uid="{00000000-0005-0000-0000-00005A5B0000}"/>
    <cellStyle name="Labels - Style3 4 2 14" xfId="29688" xr:uid="{00000000-0005-0000-0000-00005B5B0000}"/>
    <cellStyle name="Labels - Style3 4 2 15" xfId="30730" xr:uid="{00000000-0005-0000-0000-00005C5B0000}"/>
    <cellStyle name="Labels - Style3 4 2 16" xfId="31721" xr:uid="{00000000-0005-0000-0000-00005D5B0000}"/>
    <cellStyle name="Labels - Style3 4 2 17" xfId="32729" xr:uid="{00000000-0005-0000-0000-00005E5B0000}"/>
    <cellStyle name="Labels - Style3 4 2 18" xfId="33732" xr:uid="{00000000-0005-0000-0000-00005F5B0000}"/>
    <cellStyle name="Labels - Style3 4 2 19" xfId="34731" xr:uid="{00000000-0005-0000-0000-0000605B0000}"/>
    <cellStyle name="Labels - Style3 4 2 2" xfId="4978" xr:uid="{00000000-0005-0000-0000-0000615B0000}"/>
    <cellStyle name="Labels - Style3 4 2 2 10" xfId="24776" xr:uid="{00000000-0005-0000-0000-0000625B0000}"/>
    <cellStyle name="Labels - Style3 4 2 2 11" xfId="25775" xr:uid="{00000000-0005-0000-0000-0000635B0000}"/>
    <cellStyle name="Labels - Style3 4 2 2 12" xfId="28722" xr:uid="{00000000-0005-0000-0000-0000645B0000}"/>
    <cellStyle name="Labels - Style3 4 2 2 13" xfId="29689" xr:uid="{00000000-0005-0000-0000-0000655B0000}"/>
    <cellStyle name="Labels - Style3 4 2 2 14" xfId="30731" xr:uid="{00000000-0005-0000-0000-0000665B0000}"/>
    <cellStyle name="Labels - Style3 4 2 2 15" xfId="31722" xr:uid="{00000000-0005-0000-0000-0000675B0000}"/>
    <cellStyle name="Labels - Style3 4 2 2 16" xfId="32730" xr:uid="{00000000-0005-0000-0000-0000685B0000}"/>
    <cellStyle name="Labels - Style3 4 2 2 17" xfId="33733" xr:uid="{00000000-0005-0000-0000-0000695B0000}"/>
    <cellStyle name="Labels - Style3 4 2 2 18" xfId="34732" xr:uid="{00000000-0005-0000-0000-00006A5B0000}"/>
    <cellStyle name="Labels - Style3 4 2 2 19" xfId="36353" xr:uid="{00000000-0005-0000-0000-00006B5B0000}"/>
    <cellStyle name="Labels - Style3 4 2 2 2" xfId="16757" xr:uid="{00000000-0005-0000-0000-00006C5B0000}"/>
    <cellStyle name="Labels - Style3 4 2 2 20" xfId="37292" xr:uid="{00000000-0005-0000-0000-00006D5B0000}"/>
    <cellStyle name="Labels - Style3 4 2 2 3" xfId="17736" xr:uid="{00000000-0005-0000-0000-00006E5B0000}"/>
    <cellStyle name="Labels - Style3 4 2 2 4" xfId="18763" xr:uid="{00000000-0005-0000-0000-00006F5B0000}"/>
    <cellStyle name="Labels - Style3 4 2 2 5" xfId="19795" xr:uid="{00000000-0005-0000-0000-0000705B0000}"/>
    <cellStyle name="Labels - Style3 4 2 2 6" xfId="20817" xr:uid="{00000000-0005-0000-0000-0000715B0000}"/>
    <cellStyle name="Labels - Style3 4 2 2 7" xfId="21828" xr:uid="{00000000-0005-0000-0000-0000725B0000}"/>
    <cellStyle name="Labels - Style3 4 2 2 8" xfId="22799" xr:uid="{00000000-0005-0000-0000-0000735B0000}"/>
    <cellStyle name="Labels - Style3 4 2 2 9" xfId="23804" xr:uid="{00000000-0005-0000-0000-0000745B0000}"/>
    <cellStyle name="Labels - Style3 4 2 20" xfId="36352" xr:uid="{00000000-0005-0000-0000-0000755B0000}"/>
    <cellStyle name="Labels - Style3 4 2 21" xfId="37291" xr:uid="{00000000-0005-0000-0000-0000765B0000}"/>
    <cellStyle name="Labels - Style3 4 2 3" xfId="16756" xr:uid="{00000000-0005-0000-0000-0000775B0000}"/>
    <cellStyle name="Labels - Style3 4 2 4" xfId="17735" xr:uid="{00000000-0005-0000-0000-0000785B0000}"/>
    <cellStyle name="Labels - Style3 4 2 5" xfId="18762" xr:uid="{00000000-0005-0000-0000-0000795B0000}"/>
    <cellStyle name="Labels - Style3 4 2 6" xfId="19794" xr:uid="{00000000-0005-0000-0000-00007A5B0000}"/>
    <cellStyle name="Labels - Style3 4 2 7" xfId="20816" xr:uid="{00000000-0005-0000-0000-00007B5B0000}"/>
    <cellStyle name="Labels - Style3 4 2 8" xfId="21827" xr:uid="{00000000-0005-0000-0000-00007C5B0000}"/>
    <cellStyle name="Labels - Style3 4 2 9" xfId="22798" xr:uid="{00000000-0005-0000-0000-00007D5B0000}"/>
    <cellStyle name="Labels - Style3 4 3" xfId="4979" xr:uid="{00000000-0005-0000-0000-00007E5B0000}"/>
    <cellStyle name="Labels - Style3 4 3 10" xfId="23805" xr:uid="{00000000-0005-0000-0000-00007F5B0000}"/>
    <cellStyle name="Labels - Style3 4 3 11" xfId="24777" xr:uid="{00000000-0005-0000-0000-0000805B0000}"/>
    <cellStyle name="Labels - Style3 4 3 12" xfId="25776" xr:uid="{00000000-0005-0000-0000-0000815B0000}"/>
    <cellStyle name="Labels - Style3 4 3 13" xfId="28723" xr:uid="{00000000-0005-0000-0000-0000825B0000}"/>
    <cellStyle name="Labels - Style3 4 3 14" xfId="29690" xr:uid="{00000000-0005-0000-0000-0000835B0000}"/>
    <cellStyle name="Labels - Style3 4 3 15" xfId="30732" xr:uid="{00000000-0005-0000-0000-0000845B0000}"/>
    <cellStyle name="Labels - Style3 4 3 16" xfId="31723" xr:uid="{00000000-0005-0000-0000-0000855B0000}"/>
    <cellStyle name="Labels - Style3 4 3 17" xfId="32731" xr:uid="{00000000-0005-0000-0000-0000865B0000}"/>
    <cellStyle name="Labels - Style3 4 3 18" xfId="33734" xr:uid="{00000000-0005-0000-0000-0000875B0000}"/>
    <cellStyle name="Labels - Style3 4 3 19" xfId="34733" xr:uid="{00000000-0005-0000-0000-0000885B0000}"/>
    <cellStyle name="Labels - Style3 4 3 2" xfId="4980" xr:uid="{00000000-0005-0000-0000-0000895B0000}"/>
    <cellStyle name="Labels - Style3 4 3 2 10" xfId="24778" xr:uid="{00000000-0005-0000-0000-00008A5B0000}"/>
    <cellStyle name="Labels - Style3 4 3 2 11" xfId="25777" xr:uid="{00000000-0005-0000-0000-00008B5B0000}"/>
    <cellStyle name="Labels - Style3 4 3 2 12" xfId="28724" xr:uid="{00000000-0005-0000-0000-00008C5B0000}"/>
    <cellStyle name="Labels - Style3 4 3 2 13" xfId="29691" xr:uid="{00000000-0005-0000-0000-00008D5B0000}"/>
    <cellStyle name="Labels - Style3 4 3 2 14" xfId="30733" xr:uid="{00000000-0005-0000-0000-00008E5B0000}"/>
    <cellStyle name="Labels - Style3 4 3 2 15" xfId="31724" xr:uid="{00000000-0005-0000-0000-00008F5B0000}"/>
    <cellStyle name="Labels - Style3 4 3 2 16" xfId="32732" xr:uid="{00000000-0005-0000-0000-0000905B0000}"/>
    <cellStyle name="Labels - Style3 4 3 2 17" xfId="33735" xr:uid="{00000000-0005-0000-0000-0000915B0000}"/>
    <cellStyle name="Labels - Style3 4 3 2 18" xfId="34734" xr:uid="{00000000-0005-0000-0000-0000925B0000}"/>
    <cellStyle name="Labels - Style3 4 3 2 19" xfId="36355" xr:uid="{00000000-0005-0000-0000-0000935B0000}"/>
    <cellStyle name="Labels - Style3 4 3 2 2" xfId="16759" xr:uid="{00000000-0005-0000-0000-0000945B0000}"/>
    <cellStyle name="Labels - Style3 4 3 2 20" xfId="37294" xr:uid="{00000000-0005-0000-0000-0000955B0000}"/>
    <cellStyle name="Labels - Style3 4 3 2 3" xfId="17738" xr:uid="{00000000-0005-0000-0000-0000965B0000}"/>
    <cellStyle name="Labels - Style3 4 3 2 4" xfId="18765" xr:uid="{00000000-0005-0000-0000-0000975B0000}"/>
    <cellStyle name="Labels - Style3 4 3 2 5" xfId="19797" xr:uid="{00000000-0005-0000-0000-0000985B0000}"/>
    <cellStyle name="Labels - Style3 4 3 2 6" xfId="20819" xr:uid="{00000000-0005-0000-0000-0000995B0000}"/>
    <cellStyle name="Labels - Style3 4 3 2 7" xfId="21830" xr:uid="{00000000-0005-0000-0000-00009A5B0000}"/>
    <cellStyle name="Labels - Style3 4 3 2 8" xfId="22801" xr:uid="{00000000-0005-0000-0000-00009B5B0000}"/>
    <cellStyle name="Labels - Style3 4 3 2 9" xfId="23806" xr:uid="{00000000-0005-0000-0000-00009C5B0000}"/>
    <cellStyle name="Labels - Style3 4 3 20" xfId="36354" xr:uid="{00000000-0005-0000-0000-00009D5B0000}"/>
    <cellStyle name="Labels - Style3 4 3 21" xfId="37293" xr:uid="{00000000-0005-0000-0000-00009E5B0000}"/>
    <cellStyle name="Labels - Style3 4 3 3" xfId="16758" xr:uid="{00000000-0005-0000-0000-00009F5B0000}"/>
    <cellStyle name="Labels - Style3 4 3 4" xfId="17737" xr:uid="{00000000-0005-0000-0000-0000A05B0000}"/>
    <cellStyle name="Labels - Style3 4 3 5" xfId="18764" xr:uid="{00000000-0005-0000-0000-0000A15B0000}"/>
    <cellStyle name="Labels - Style3 4 3 6" xfId="19796" xr:uid="{00000000-0005-0000-0000-0000A25B0000}"/>
    <cellStyle name="Labels - Style3 4 3 7" xfId="20818" xr:uid="{00000000-0005-0000-0000-0000A35B0000}"/>
    <cellStyle name="Labels - Style3 4 3 8" xfId="21829" xr:uid="{00000000-0005-0000-0000-0000A45B0000}"/>
    <cellStyle name="Labels - Style3 4 3 9" xfId="22800" xr:uid="{00000000-0005-0000-0000-0000A55B0000}"/>
    <cellStyle name="Labels - Style3 4 4" xfId="4981" xr:uid="{00000000-0005-0000-0000-0000A65B0000}"/>
    <cellStyle name="Labels - Style3 4 4 10" xfId="23807" xr:uid="{00000000-0005-0000-0000-0000A75B0000}"/>
    <cellStyle name="Labels - Style3 4 4 11" xfId="24779" xr:uid="{00000000-0005-0000-0000-0000A85B0000}"/>
    <cellStyle name="Labels - Style3 4 4 12" xfId="25778" xr:uid="{00000000-0005-0000-0000-0000A95B0000}"/>
    <cellStyle name="Labels - Style3 4 4 13" xfId="28725" xr:uid="{00000000-0005-0000-0000-0000AA5B0000}"/>
    <cellStyle name="Labels - Style3 4 4 14" xfId="29692" xr:uid="{00000000-0005-0000-0000-0000AB5B0000}"/>
    <cellStyle name="Labels - Style3 4 4 15" xfId="30734" xr:uid="{00000000-0005-0000-0000-0000AC5B0000}"/>
    <cellStyle name="Labels - Style3 4 4 16" xfId="31725" xr:uid="{00000000-0005-0000-0000-0000AD5B0000}"/>
    <cellStyle name="Labels - Style3 4 4 17" xfId="32733" xr:uid="{00000000-0005-0000-0000-0000AE5B0000}"/>
    <cellStyle name="Labels - Style3 4 4 18" xfId="33736" xr:uid="{00000000-0005-0000-0000-0000AF5B0000}"/>
    <cellStyle name="Labels - Style3 4 4 19" xfId="34735" xr:uid="{00000000-0005-0000-0000-0000B05B0000}"/>
    <cellStyle name="Labels - Style3 4 4 2" xfId="4982" xr:uid="{00000000-0005-0000-0000-0000B15B0000}"/>
    <cellStyle name="Labels - Style3 4 4 2 10" xfId="24780" xr:uid="{00000000-0005-0000-0000-0000B25B0000}"/>
    <cellStyle name="Labels - Style3 4 4 2 11" xfId="25779" xr:uid="{00000000-0005-0000-0000-0000B35B0000}"/>
    <cellStyle name="Labels - Style3 4 4 2 12" xfId="28726" xr:uid="{00000000-0005-0000-0000-0000B45B0000}"/>
    <cellStyle name="Labels - Style3 4 4 2 13" xfId="29693" xr:uid="{00000000-0005-0000-0000-0000B55B0000}"/>
    <cellStyle name="Labels - Style3 4 4 2 14" xfId="30735" xr:uid="{00000000-0005-0000-0000-0000B65B0000}"/>
    <cellStyle name="Labels - Style3 4 4 2 15" xfId="31726" xr:uid="{00000000-0005-0000-0000-0000B75B0000}"/>
    <cellStyle name="Labels - Style3 4 4 2 16" xfId="32734" xr:uid="{00000000-0005-0000-0000-0000B85B0000}"/>
    <cellStyle name="Labels - Style3 4 4 2 17" xfId="33737" xr:uid="{00000000-0005-0000-0000-0000B95B0000}"/>
    <cellStyle name="Labels - Style3 4 4 2 18" xfId="34736" xr:uid="{00000000-0005-0000-0000-0000BA5B0000}"/>
    <cellStyle name="Labels - Style3 4 4 2 19" xfId="36357" xr:uid="{00000000-0005-0000-0000-0000BB5B0000}"/>
    <cellStyle name="Labels - Style3 4 4 2 2" xfId="16761" xr:uid="{00000000-0005-0000-0000-0000BC5B0000}"/>
    <cellStyle name="Labels - Style3 4 4 2 20" xfId="37296" xr:uid="{00000000-0005-0000-0000-0000BD5B0000}"/>
    <cellStyle name="Labels - Style3 4 4 2 3" xfId="17740" xr:uid="{00000000-0005-0000-0000-0000BE5B0000}"/>
    <cellStyle name="Labels - Style3 4 4 2 4" xfId="18767" xr:uid="{00000000-0005-0000-0000-0000BF5B0000}"/>
    <cellStyle name="Labels - Style3 4 4 2 5" xfId="19799" xr:uid="{00000000-0005-0000-0000-0000C05B0000}"/>
    <cellStyle name="Labels - Style3 4 4 2 6" xfId="20821" xr:uid="{00000000-0005-0000-0000-0000C15B0000}"/>
    <cellStyle name="Labels - Style3 4 4 2 7" xfId="21832" xr:uid="{00000000-0005-0000-0000-0000C25B0000}"/>
    <cellStyle name="Labels - Style3 4 4 2 8" xfId="22803" xr:uid="{00000000-0005-0000-0000-0000C35B0000}"/>
    <cellStyle name="Labels - Style3 4 4 2 9" xfId="23808" xr:uid="{00000000-0005-0000-0000-0000C45B0000}"/>
    <cellStyle name="Labels - Style3 4 4 20" xfId="36356" xr:uid="{00000000-0005-0000-0000-0000C55B0000}"/>
    <cellStyle name="Labels - Style3 4 4 21" xfId="37295" xr:uid="{00000000-0005-0000-0000-0000C65B0000}"/>
    <cellStyle name="Labels - Style3 4 4 3" xfId="16760" xr:uid="{00000000-0005-0000-0000-0000C75B0000}"/>
    <cellStyle name="Labels - Style3 4 4 4" xfId="17739" xr:uid="{00000000-0005-0000-0000-0000C85B0000}"/>
    <cellStyle name="Labels - Style3 4 4 5" xfId="18766" xr:uid="{00000000-0005-0000-0000-0000C95B0000}"/>
    <cellStyle name="Labels - Style3 4 4 6" xfId="19798" xr:uid="{00000000-0005-0000-0000-0000CA5B0000}"/>
    <cellStyle name="Labels - Style3 4 4 7" xfId="20820" xr:uid="{00000000-0005-0000-0000-0000CB5B0000}"/>
    <cellStyle name="Labels - Style3 4 4 8" xfId="21831" xr:uid="{00000000-0005-0000-0000-0000CC5B0000}"/>
    <cellStyle name="Labels - Style3 4 4 9" xfId="22802" xr:uid="{00000000-0005-0000-0000-0000CD5B0000}"/>
    <cellStyle name="Labels - Style3 4 5" xfId="4983" xr:uid="{00000000-0005-0000-0000-0000CE5B0000}"/>
    <cellStyle name="Labels - Style3 4 5 10" xfId="23809" xr:uid="{00000000-0005-0000-0000-0000CF5B0000}"/>
    <cellStyle name="Labels - Style3 4 5 11" xfId="24781" xr:uid="{00000000-0005-0000-0000-0000D05B0000}"/>
    <cellStyle name="Labels - Style3 4 5 12" xfId="25780" xr:uid="{00000000-0005-0000-0000-0000D15B0000}"/>
    <cellStyle name="Labels - Style3 4 5 13" xfId="28727" xr:uid="{00000000-0005-0000-0000-0000D25B0000}"/>
    <cellStyle name="Labels - Style3 4 5 14" xfId="29694" xr:uid="{00000000-0005-0000-0000-0000D35B0000}"/>
    <cellStyle name="Labels - Style3 4 5 15" xfId="30736" xr:uid="{00000000-0005-0000-0000-0000D45B0000}"/>
    <cellStyle name="Labels - Style3 4 5 16" xfId="31727" xr:uid="{00000000-0005-0000-0000-0000D55B0000}"/>
    <cellStyle name="Labels - Style3 4 5 17" xfId="32735" xr:uid="{00000000-0005-0000-0000-0000D65B0000}"/>
    <cellStyle name="Labels - Style3 4 5 18" xfId="33738" xr:uid="{00000000-0005-0000-0000-0000D75B0000}"/>
    <cellStyle name="Labels - Style3 4 5 19" xfId="34737" xr:uid="{00000000-0005-0000-0000-0000D85B0000}"/>
    <cellStyle name="Labels - Style3 4 5 2" xfId="4984" xr:uid="{00000000-0005-0000-0000-0000D95B0000}"/>
    <cellStyle name="Labels - Style3 4 5 2 10" xfId="24782" xr:uid="{00000000-0005-0000-0000-0000DA5B0000}"/>
    <cellStyle name="Labels - Style3 4 5 2 11" xfId="25781" xr:uid="{00000000-0005-0000-0000-0000DB5B0000}"/>
    <cellStyle name="Labels - Style3 4 5 2 12" xfId="28728" xr:uid="{00000000-0005-0000-0000-0000DC5B0000}"/>
    <cellStyle name="Labels - Style3 4 5 2 13" xfId="29695" xr:uid="{00000000-0005-0000-0000-0000DD5B0000}"/>
    <cellStyle name="Labels - Style3 4 5 2 14" xfId="30737" xr:uid="{00000000-0005-0000-0000-0000DE5B0000}"/>
    <cellStyle name="Labels - Style3 4 5 2 15" xfId="31728" xr:uid="{00000000-0005-0000-0000-0000DF5B0000}"/>
    <cellStyle name="Labels - Style3 4 5 2 16" xfId="32736" xr:uid="{00000000-0005-0000-0000-0000E05B0000}"/>
    <cellStyle name="Labels - Style3 4 5 2 17" xfId="33739" xr:uid="{00000000-0005-0000-0000-0000E15B0000}"/>
    <cellStyle name="Labels - Style3 4 5 2 18" xfId="34738" xr:uid="{00000000-0005-0000-0000-0000E25B0000}"/>
    <cellStyle name="Labels - Style3 4 5 2 19" xfId="36359" xr:uid="{00000000-0005-0000-0000-0000E35B0000}"/>
    <cellStyle name="Labels - Style3 4 5 2 2" xfId="16763" xr:uid="{00000000-0005-0000-0000-0000E45B0000}"/>
    <cellStyle name="Labels - Style3 4 5 2 20" xfId="37298" xr:uid="{00000000-0005-0000-0000-0000E55B0000}"/>
    <cellStyle name="Labels - Style3 4 5 2 3" xfId="17742" xr:uid="{00000000-0005-0000-0000-0000E65B0000}"/>
    <cellStyle name="Labels - Style3 4 5 2 4" xfId="18769" xr:uid="{00000000-0005-0000-0000-0000E75B0000}"/>
    <cellStyle name="Labels - Style3 4 5 2 5" xfId="19801" xr:uid="{00000000-0005-0000-0000-0000E85B0000}"/>
    <cellStyle name="Labels - Style3 4 5 2 6" xfId="20823" xr:uid="{00000000-0005-0000-0000-0000E95B0000}"/>
    <cellStyle name="Labels - Style3 4 5 2 7" xfId="21834" xr:uid="{00000000-0005-0000-0000-0000EA5B0000}"/>
    <cellStyle name="Labels - Style3 4 5 2 8" xfId="22805" xr:uid="{00000000-0005-0000-0000-0000EB5B0000}"/>
    <cellStyle name="Labels - Style3 4 5 2 9" xfId="23810" xr:uid="{00000000-0005-0000-0000-0000EC5B0000}"/>
    <cellStyle name="Labels - Style3 4 5 20" xfId="36358" xr:uid="{00000000-0005-0000-0000-0000ED5B0000}"/>
    <cellStyle name="Labels - Style3 4 5 21" xfId="37297" xr:uid="{00000000-0005-0000-0000-0000EE5B0000}"/>
    <cellStyle name="Labels - Style3 4 5 3" xfId="16762" xr:uid="{00000000-0005-0000-0000-0000EF5B0000}"/>
    <cellStyle name="Labels - Style3 4 5 4" xfId="17741" xr:uid="{00000000-0005-0000-0000-0000F05B0000}"/>
    <cellStyle name="Labels - Style3 4 5 5" xfId="18768" xr:uid="{00000000-0005-0000-0000-0000F15B0000}"/>
    <cellStyle name="Labels - Style3 4 5 6" xfId="19800" xr:uid="{00000000-0005-0000-0000-0000F25B0000}"/>
    <cellStyle name="Labels - Style3 4 5 7" xfId="20822" xr:uid="{00000000-0005-0000-0000-0000F35B0000}"/>
    <cellStyle name="Labels - Style3 4 5 8" xfId="21833" xr:uid="{00000000-0005-0000-0000-0000F45B0000}"/>
    <cellStyle name="Labels - Style3 4 5 9" xfId="22804" xr:uid="{00000000-0005-0000-0000-0000F55B0000}"/>
    <cellStyle name="Labels - Style3 4 6" xfId="4985" xr:uid="{00000000-0005-0000-0000-0000F65B0000}"/>
    <cellStyle name="Labels - Style3 4 6 10" xfId="24783" xr:uid="{00000000-0005-0000-0000-0000F75B0000}"/>
    <cellStyle name="Labels - Style3 4 6 11" xfId="25782" xr:uid="{00000000-0005-0000-0000-0000F85B0000}"/>
    <cellStyle name="Labels - Style3 4 6 12" xfId="28729" xr:uid="{00000000-0005-0000-0000-0000F95B0000}"/>
    <cellStyle name="Labels - Style3 4 6 13" xfId="29696" xr:uid="{00000000-0005-0000-0000-0000FA5B0000}"/>
    <cellStyle name="Labels - Style3 4 6 14" xfId="30738" xr:uid="{00000000-0005-0000-0000-0000FB5B0000}"/>
    <cellStyle name="Labels - Style3 4 6 15" xfId="31729" xr:uid="{00000000-0005-0000-0000-0000FC5B0000}"/>
    <cellStyle name="Labels - Style3 4 6 16" xfId="32737" xr:uid="{00000000-0005-0000-0000-0000FD5B0000}"/>
    <cellStyle name="Labels - Style3 4 6 17" xfId="33740" xr:uid="{00000000-0005-0000-0000-0000FE5B0000}"/>
    <cellStyle name="Labels - Style3 4 6 18" xfId="34739" xr:uid="{00000000-0005-0000-0000-0000FF5B0000}"/>
    <cellStyle name="Labels - Style3 4 6 19" xfId="36360" xr:uid="{00000000-0005-0000-0000-0000005C0000}"/>
    <cellStyle name="Labels - Style3 4 6 2" xfId="16764" xr:uid="{00000000-0005-0000-0000-0000015C0000}"/>
    <cellStyle name="Labels - Style3 4 6 20" xfId="37299" xr:uid="{00000000-0005-0000-0000-0000025C0000}"/>
    <cellStyle name="Labels - Style3 4 6 3" xfId="17743" xr:uid="{00000000-0005-0000-0000-0000035C0000}"/>
    <cellStyle name="Labels - Style3 4 6 4" xfId="18770" xr:uid="{00000000-0005-0000-0000-0000045C0000}"/>
    <cellStyle name="Labels - Style3 4 6 5" xfId="19802" xr:uid="{00000000-0005-0000-0000-0000055C0000}"/>
    <cellStyle name="Labels - Style3 4 6 6" xfId="20824" xr:uid="{00000000-0005-0000-0000-0000065C0000}"/>
    <cellStyle name="Labels - Style3 4 6 7" xfId="21835" xr:uid="{00000000-0005-0000-0000-0000075C0000}"/>
    <cellStyle name="Labels - Style3 4 6 8" xfId="22806" xr:uid="{00000000-0005-0000-0000-0000085C0000}"/>
    <cellStyle name="Labels - Style3 4 6 9" xfId="23811" xr:uid="{00000000-0005-0000-0000-0000095C0000}"/>
    <cellStyle name="Labels - Style3 4 7" xfId="14046" xr:uid="{00000000-0005-0000-0000-00000A5C0000}"/>
    <cellStyle name="Labels - Style3 4 8" xfId="13516" xr:uid="{00000000-0005-0000-0000-00000B5C0000}"/>
    <cellStyle name="Labels - Style3 4 9" xfId="14989" xr:uid="{00000000-0005-0000-0000-00000C5C0000}"/>
    <cellStyle name="Labels - Style3 5" xfId="4986" xr:uid="{00000000-0005-0000-0000-00000D5C0000}"/>
    <cellStyle name="Labels - Style3 5 10" xfId="15618" xr:uid="{00000000-0005-0000-0000-00000E5C0000}"/>
    <cellStyle name="Labels - Style3 5 11" xfId="29829" xr:uid="{00000000-0005-0000-0000-00000F5C0000}"/>
    <cellStyle name="Labels - Style3 5 12" xfId="27532" xr:uid="{00000000-0005-0000-0000-0000105C0000}"/>
    <cellStyle name="Labels - Style3 5 13" xfId="27204" xr:uid="{00000000-0005-0000-0000-0000115C0000}"/>
    <cellStyle name="Labels - Style3 5 2" xfId="4987" xr:uid="{00000000-0005-0000-0000-0000125C0000}"/>
    <cellStyle name="Labels - Style3 5 2 10" xfId="23812" xr:uid="{00000000-0005-0000-0000-0000135C0000}"/>
    <cellStyle name="Labels - Style3 5 2 11" xfId="24784" xr:uid="{00000000-0005-0000-0000-0000145C0000}"/>
    <cellStyle name="Labels - Style3 5 2 12" xfId="25783" xr:uid="{00000000-0005-0000-0000-0000155C0000}"/>
    <cellStyle name="Labels - Style3 5 2 13" xfId="28730" xr:uid="{00000000-0005-0000-0000-0000165C0000}"/>
    <cellStyle name="Labels - Style3 5 2 14" xfId="29697" xr:uid="{00000000-0005-0000-0000-0000175C0000}"/>
    <cellStyle name="Labels - Style3 5 2 15" xfId="30739" xr:uid="{00000000-0005-0000-0000-0000185C0000}"/>
    <cellStyle name="Labels - Style3 5 2 16" xfId="31730" xr:uid="{00000000-0005-0000-0000-0000195C0000}"/>
    <cellStyle name="Labels - Style3 5 2 17" xfId="32738" xr:uid="{00000000-0005-0000-0000-00001A5C0000}"/>
    <cellStyle name="Labels - Style3 5 2 18" xfId="33741" xr:uid="{00000000-0005-0000-0000-00001B5C0000}"/>
    <cellStyle name="Labels - Style3 5 2 19" xfId="34740" xr:uid="{00000000-0005-0000-0000-00001C5C0000}"/>
    <cellStyle name="Labels - Style3 5 2 2" xfId="4988" xr:uid="{00000000-0005-0000-0000-00001D5C0000}"/>
    <cellStyle name="Labels - Style3 5 2 2 10" xfId="24785" xr:uid="{00000000-0005-0000-0000-00001E5C0000}"/>
    <cellStyle name="Labels - Style3 5 2 2 11" xfId="25784" xr:uid="{00000000-0005-0000-0000-00001F5C0000}"/>
    <cellStyle name="Labels - Style3 5 2 2 12" xfId="28731" xr:uid="{00000000-0005-0000-0000-0000205C0000}"/>
    <cellStyle name="Labels - Style3 5 2 2 13" xfId="29698" xr:uid="{00000000-0005-0000-0000-0000215C0000}"/>
    <cellStyle name="Labels - Style3 5 2 2 14" xfId="30740" xr:uid="{00000000-0005-0000-0000-0000225C0000}"/>
    <cellStyle name="Labels - Style3 5 2 2 15" xfId="31731" xr:uid="{00000000-0005-0000-0000-0000235C0000}"/>
    <cellStyle name="Labels - Style3 5 2 2 16" xfId="32739" xr:uid="{00000000-0005-0000-0000-0000245C0000}"/>
    <cellStyle name="Labels - Style3 5 2 2 17" xfId="33742" xr:uid="{00000000-0005-0000-0000-0000255C0000}"/>
    <cellStyle name="Labels - Style3 5 2 2 18" xfId="34741" xr:uid="{00000000-0005-0000-0000-0000265C0000}"/>
    <cellStyle name="Labels - Style3 5 2 2 19" xfId="36362" xr:uid="{00000000-0005-0000-0000-0000275C0000}"/>
    <cellStyle name="Labels - Style3 5 2 2 2" xfId="16766" xr:uid="{00000000-0005-0000-0000-0000285C0000}"/>
    <cellStyle name="Labels - Style3 5 2 2 20" xfId="37301" xr:uid="{00000000-0005-0000-0000-0000295C0000}"/>
    <cellStyle name="Labels - Style3 5 2 2 3" xfId="17745" xr:uid="{00000000-0005-0000-0000-00002A5C0000}"/>
    <cellStyle name="Labels - Style3 5 2 2 4" xfId="18772" xr:uid="{00000000-0005-0000-0000-00002B5C0000}"/>
    <cellStyle name="Labels - Style3 5 2 2 5" xfId="19804" xr:uid="{00000000-0005-0000-0000-00002C5C0000}"/>
    <cellStyle name="Labels - Style3 5 2 2 6" xfId="20826" xr:uid="{00000000-0005-0000-0000-00002D5C0000}"/>
    <cellStyle name="Labels - Style3 5 2 2 7" xfId="21837" xr:uid="{00000000-0005-0000-0000-00002E5C0000}"/>
    <cellStyle name="Labels - Style3 5 2 2 8" xfId="22808" xr:uid="{00000000-0005-0000-0000-00002F5C0000}"/>
    <cellStyle name="Labels - Style3 5 2 2 9" xfId="23813" xr:uid="{00000000-0005-0000-0000-0000305C0000}"/>
    <cellStyle name="Labels - Style3 5 2 20" xfId="36361" xr:uid="{00000000-0005-0000-0000-0000315C0000}"/>
    <cellStyle name="Labels - Style3 5 2 21" xfId="37300" xr:uid="{00000000-0005-0000-0000-0000325C0000}"/>
    <cellStyle name="Labels - Style3 5 2 3" xfId="16765" xr:uid="{00000000-0005-0000-0000-0000335C0000}"/>
    <cellStyle name="Labels - Style3 5 2 4" xfId="17744" xr:uid="{00000000-0005-0000-0000-0000345C0000}"/>
    <cellStyle name="Labels - Style3 5 2 5" xfId="18771" xr:uid="{00000000-0005-0000-0000-0000355C0000}"/>
    <cellStyle name="Labels - Style3 5 2 6" xfId="19803" xr:uid="{00000000-0005-0000-0000-0000365C0000}"/>
    <cellStyle name="Labels - Style3 5 2 7" xfId="20825" xr:uid="{00000000-0005-0000-0000-0000375C0000}"/>
    <cellStyle name="Labels - Style3 5 2 8" xfId="21836" xr:uid="{00000000-0005-0000-0000-0000385C0000}"/>
    <cellStyle name="Labels - Style3 5 2 9" xfId="22807" xr:uid="{00000000-0005-0000-0000-0000395C0000}"/>
    <cellStyle name="Labels - Style3 5 3" xfId="4989" xr:uid="{00000000-0005-0000-0000-00003A5C0000}"/>
    <cellStyle name="Labels - Style3 5 3 10" xfId="23814" xr:uid="{00000000-0005-0000-0000-00003B5C0000}"/>
    <cellStyle name="Labels - Style3 5 3 11" xfId="24786" xr:uid="{00000000-0005-0000-0000-00003C5C0000}"/>
    <cellStyle name="Labels - Style3 5 3 12" xfId="25785" xr:uid="{00000000-0005-0000-0000-00003D5C0000}"/>
    <cellStyle name="Labels - Style3 5 3 13" xfId="28732" xr:uid="{00000000-0005-0000-0000-00003E5C0000}"/>
    <cellStyle name="Labels - Style3 5 3 14" xfId="29699" xr:uid="{00000000-0005-0000-0000-00003F5C0000}"/>
    <cellStyle name="Labels - Style3 5 3 15" xfId="30741" xr:uid="{00000000-0005-0000-0000-0000405C0000}"/>
    <cellStyle name="Labels - Style3 5 3 16" xfId="31732" xr:uid="{00000000-0005-0000-0000-0000415C0000}"/>
    <cellStyle name="Labels - Style3 5 3 17" xfId="32740" xr:uid="{00000000-0005-0000-0000-0000425C0000}"/>
    <cellStyle name="Labels - Style3 5 3 18" xfId="33743" xr:uid="{00000000-0005-0000-0000-0000435C0000}"/>
    <cellStyle name="Labels - Style3 5 3 19" xfId="34742" xr:uid="{00000000-0005-0000-0000-0000445C0000}"/>
    <cellStyle name="Labels - Style3 5 3 2" xfId="4990" xr:uid="{00000000-0005-0000-0000-0000455C0000}"/>
    <cellStyle name="Labels - Style3 5 3 2 10" xfId="24787" xr:uid="{00000000-0005-0000-0000-0000465C0000}"/>
    <cellStyle name="Labels - Style3 5 3 2 11" xfId="25786" xr:uid="{00000000-0005-0000-0000-0000475C0000}"/>
    <cellStyle name="Labels - Style3 5 3 2 12" xfId="28733" xr:uid="{00000000-0005-0000-0000-0000485C0000}"/>
    <cellStyle name="Labels - Style3 5 3 2 13" xfId="29700" xr:uid="{00000000-0005-0000-0000-0000495C0000}"/>
    <cellStyle name="Labels - Style3 5 3 2 14" xfId="30742" xr:uid="{00000000-0005-0000-0000-00004A5C0000}"/>
    <cellStyle name="Labels - Style3 5 3 2 15" xfId="31733" xr:uid="{00000000-0005-0000-0000-00004B5C0000}"/>
    <cellStyle name="Labels - Style3 5 3 2 16" xfId="32741" xr:uid="{00000000-0005-0000-0000-00004C5C0000}"/>
    <cellStyle name="Labels - Style3 5 3 2 17" xfId="33744" xr:uid="{00000000-0005-0000-0000-00004D5C0000}"/>
    <cellStyle name="Labels - Style3 5 3 2 18" xfId="34743" xr:uid="{00000000-0005-0000-0000-00004E5C0000}"/>
    <cellStyle name="Labels - Style3 5 3 2 19" xfId="36364" xr:uid="{00000000-0005-0000-0000-00004F5C0000}"/>
    <cellStyle name="Labels - Style3 5 3 2 2" xfId="16768" xr:uid="{00000000-0005-0000-0000-0000505C0000}"/>
    <cellStyle name="Labels - Style3 5 3 2 20" xfId="37303" xr:uid="{00000000-0005-0000-0000-0000515C0000}"/>
    <cellStyle name="Labels - Style3 5 3 2 3" xfId="17747" xr:uid="{00000000-0005-0000-0000-0000525C0000}"/>
    <cellStyle name="Labels - Style3 5 3 2 4" xfId="18774" xr:uid="{00000000-0005-0000-0000-0000535C0000}"/>
    <cellStyle name="Labels - Style3 5 3 2 5" xfId="19806" xr:uid="{00000000-0005-0000-0000-0000545C0000}"/>
    <cellStyle name="Labels - Style3 5 3 2 6" xfId="20828" xr:uid="{00000000-0005-0000-0000-0000555C0000}"/>
    <cellStyle name="Labels - Style3 5 3 2 7" xfId="21839" xr:uid="{00000000-0005-0000-0000-0000565C0000}"/>
    <cellStyle name="Labels - Style3 5 3 2 8" xfId="22810" xr:uid="{00000000-0005-0000-0000-0000575C0000}"/>
    <cellStyle name="Labels - Style3 5 3 2 9" xfId="23815" xr:uid="{00000000-0005-0000-0000-0000585C0000}"/>
    <cellStyle name="Labels - Style3 5 3 20" xfId="36363" xr:uid="{00000000-0005-0000-0000-0000595C0000}"/>
    <cellStyle name="Labels - Style3 5 3 21" xfId="37302" xr:uid="{00000000-0005-0000-0000-00005A5C0000}"/>
    <cellStyle name="Labels - Style3 5 3 3" xfId="16767" xr:uid="{00000000-0005-0000-0000-00005B5C0000}"/>
    <cellStyle name="Labels - Style3 5 3 4" xfId="17746" xr:uid="{00000000-0005-0000-0000-00005C5C0000}"/>
    <cellStyle name="Labels - Style3 5 3 5" xfId="18773" xr:uid="{00000000-0005-0000-0000-00005D5C0000}"/>
    <cellStyle name="Labels - Style3 5 3 6" xfId="19805" xr:uid="{00000000-0005-0000-0000-00005E5C0000}"/>
    <cellStyle name="Labels - Style3 5 3 7" xfId="20827" xr:uid="{00000000-0005-0000-0000-00005F5C0000}"/>
    <cellStyle name="Labels - Style3 5 3 8" xfId="21838" xr:uid="{00000000-0005-0000-0000-0000605C0000}"/>
    <cellStyle name="Labels - Style3 5 3 9" xfId="22809" xr:uid="{00000000-0005-0000-0000-0000615C0000}"/>
    <cellStyle name="Labels - Style3 5 4" xfId="4991" xr:uid="{00000000-0005-0000-0000-0000625C0000}"/>
    <cellStyle name="Labels - Style3 5 4 10" xfId="23816" xr:uid="{00000000-0005-0000-0000-0000635C0000}"/>
    <cellStyle name="Labels - Style3 5 4 11" xfId="24788" xr:uid="{00000000-0005-0000-0000-0000645C0000}"/>
    <cellStyle name="Labels - Style3 5 4 12" xfId="25787" xr:uid="{00000000-0005-0000-0000-0000655C0000}"/>
    <cellStyle name="Labels - Style3 5 4 13" xfId="28734" xr:uid="{00000000-0005-0000-0000-0000665C0000}"/>
    <cellStyle name="Labels - Style3 5 4 14" xfId="29701" xr:uid="{00000000-0005-0000-0000-0000675C0000}"/>
    <cellStyle name="Labels - Style3 5 4 15" xfId="30743" xr:uid="{00000000-0005-0000-0000-0000685C0000}"/>
    <cellStyle name="Labels - Style3 5 4 16" xfId="31734" xr:uid="{00000000-0005-0000-0000-0000695C0000}"/>
    <cellStyle name="Labels - Style3 5 4 17" xfId="32742" xr:uid="{00000000-0005-0000-0000-00006A5C0000}"/>
    <cellStyle name="Labels - Style3 5 4 18" xfId="33745" xr:uid="{00000000-0005-0000-0000-00006B5C0000}"/>
    <cellStyle name="Labels - Style3 5 4 19" xfId="34744" xr:uid="{00000000-0005-0000-0000-00006C5C0000}"/>
    <cellStyle name="Labels - Style3 5 4 2" xfId="4992" xr:uid="{00000000-0005-0000-0000-00006D5C0000}"/>
    <cellStyle name="Labels - Style3 5 4 2 10" xfId="24789" xr:uid="{00000000-0005-0000-0000-00006E5C0000}"/>
    <cellStyle name="Labels - Style3 5 4 2 11" xfId="25788" xr:uid="{00000000-0005-0000-0000-00006F5C0000}"/>
    <cellStyle name="Labels - Style3 5 4 2 12" xfId="28735" xr:uid="{00000000-0005-0000-0000-0000705C0000}"/>
    <cellStyle name="Labels - Style3 5 4 2 13" xfId="29702" xr:uid="{00000000-0005-0000-0000-0000715C0000}"/>
    <cellStyle name="Labels - Style3 5 4 2 14" xfId="30744" xr:uid="{00000000-0005-0000-0000-0000725C0000}"/>
    <cellStyle name="Labels - Style3 5 4 2 15" xfId="31735" xr:uid="{00000000-0005-0000-0000-0000735C0000}"/>
    <cellStyle name="Labels - Style3 5 4 2 16" xfId="32743" xr:uid="{00000000-0005-0000-0000-0000745C0000}"/>
    <cellStyle name="Labels - Style3 5 4 2 17" xfId="33746" xr:uid="{00000000-0005-0000-0000-0000755C0000}"/>
    <cellStyle name="Labels - Style3 5 4 2 18" xfId="34745" xr:uid="{00000000-0005-0000-0000-0000765C0000}"/>
    <cellStyle name="Labels - Style3 5 4 2 19" xfId="36366" xr:uid="{00000000-0005-0000-0000-0000775C0000}"/>
    <cellStyle name="Labels - Style3 5 4 2 2" xfId="16770" xr:uid="{00000000-0005-0000-0000-0000785C0000}"/>
    <cellStyle name="Labels - Style3 5 4 2 20" xfId="37305" xr:uid="{00000000-0005-0000-0000-0000795C0000}"/>
    <cellStyle name="Labels - Style3 5 4 2 3" xfId="17749" xr:uid="{00000000-0005-0000-0000-00007A5C0000}"/>
    <cellStyle name="Labels - Style3 5 4 2 4" xfId="18776" xr:uid="{00000000-0005-0000-0000-00007B5C0000}"/>
    <cellStyle name="Labels - Style3 5 4 2 5" xfId="19808" xr:uid="{00000000-0005-0000-0000-00007C5C0000}"/>
    <cellStyle name="Labels - Style3 5 4 2 6" xfId="20830" xr:uid="{00000000-0005-0000-0000-00007D5C0000}"/>
    <cellStyle name="Labels - Style3 5 4 2 7" xfId="21841" xr:uid="{00000000-0005-0000-0000-00007E5C0000}"/>
    <cellStyle name="Labels - Style3 5 4 2 8" xfId="22812" xr:uid="{00000000-0005-0000-0000-00007F5C0000}"/>
    <cellStyle name="Labels - Style3 5 4 2 9" xfId="23817" xr:uid="{00000000-0005-0000-0000-0000805C0000}"/>
    <cellStyle name="Labels - Style3 5 4 20" xfId="36365" xr:uid="{00000000-0005-0000-0000-0000815C0000}"/>
    <cellStyle name="Labels - Style3 5 4 21" xfId="37304" xr:uid="{00000000-0005-0000-0000-0000825C0000}"/>
    <cellStyle name="Labels - Style3 5 4 3" xfId="16769" xr:uid="{00000000-0005-0000-0000-0000835C0000}"/>
    <cellStyle name="Labels - Style3 5 4 4" xfId="17748" xr:uid="{00000000-0005-0000-0000-0000845C0000}"/>
    <cellStyle name="Labels - Style3 5 4 5" xfId="18775" xr:uid="{00000000-0005-0000-0000-0000855C0000}"/>
    <cellStyle name="Labels - Style3 5 4 6" xfId="19807" xr:uid="{00000000-0005-0000-0000-0000865C0000}"/>
    <cellStyle name="Labels - Style3 5 4 7" xfId="20829" xr:uid="{00000000-0005-0000-0000-0000875C0000}"/>
    <cellStyle name="Labels - Style3 5 4 8" xfId="21840" xr:uid="{00000000-0005-0000-0000-0000885C0000}"/>
    <cellStyle name="Labels - Style3 5 4 9" xfId="22811" xr:uid="{00000000-0005-0000-0000-0000895C0000}"/>
    <cellStyle name="Labels - Style3 5 5" xfId="4993" xr:uid="{00000000-0005-0000-0000-00008A5C0000}"/>
    <cellStyle name="Labels - Style3 5 5 10" xfId="23818" xr:uid="{00000000-0005-0000-0000-00008B5C0000}"/>
    <cellStyle name="Labels - Style3 5 5 11" xfId="24790" xr:uid="{00000000-0005-0000-0000-00008C5C0000}"/>
    <cellStyle name="Labels - Style3 5 5 12" xfId="25789" xr:uid="{00000000-0005-0000-0000-00008D5C0000}"/>
    <cellStyle name="Labels - Style3 5 5 13" xfId="28736" xr:uid="{00000000-0005-0000-0000-00008E5C0000}"/>
    <cellStyle name="Labels - Style3 5 5 14" xfId="29703" xr:uid="{00000000-0005-0000-0000-00008F5C0000}"/>
    <cellStyle name="Labels - Style3 5 5 15" xfId="30745" xr:uid="{00000000-0005-0000-0000-0000905C0000}"/>
    <cellStyle name="Labels - Style3 5 5 16" xfId="31736" xr:uid="{00000000-0005-0000-0000-0000915C0000}"/>
    <cellStyle name="Labels - Style3 5 5 17" xfId="32744" xr:uid="{00000000-0005-0000-0000-0000925C0000}"/>
    <cellStyle name="Labels - Style3 5 5 18" xfId="33747" xr:uid="{00000000-0005-0000-0000-0000935C0000}"/>
    <cellStyle name="Labels - Style3 5 5 19" xfId="34746" xr:uid="{00000000-0005-0000-0000-0000945C0000}"/>
    <cellStyle name="Labels - Style3 5 5 2" xfId="4994" xr:uid="{00000000-0005-0000-0000-0000955C0000}"/>
    <cellStyle name="Labels - Style3 5 5 2 10" xfId="24791" xr:uid="{00000000-0005-0000-0000-0000965C0000}"/>
    <cellStyle name="Labels - Style3 5 5 2 11" xfId="25790" xr:uid="{00000000-0005-0000-0000-0000975C0000}"/>
    <cellStyle name="Labels - Style3 5 5 2 12" xfId="28737" xr:uid="{00000000-0005-0000-0000-0000985C0000}"/>
    <cellStyle name="Labels - Style3 5 5 2 13" xfId="29704" xr:uid="{00000000-0005-0000-0000-0000995C0000}"/>
    <cellStyle name="Labels - Style3 5 5 2 14" xfId="30746" xr:uid="{00000000-0005-0000-0000-00009A5C0000}"/>
    <cellStyle name="Labels - Style3 5 5 2 15" xfId="31737" xr:uid="{00000000-0005-0000-0000-00009B5C0000}"/>
    <cellStyle name="Labels - Style3 5 5 2 16" xfId="32745" xr:uid="{00000000-0005-0000-0000-00009C5C0000}"/>
    <cellStyle name="Labels - Style3 5 5 2 17" xfId="33748" xr:uid="{00000000-0005-0000-0000-00009D5C0000}"/>
    <cellStyle name="Labels - Style3 5 5 2 18" xfId="34747" xr:uid="{00000000-0005-0000-0000-00009E5C0000}"/>
    <cellStyle name="Labels - Style3 5 5 2 19" xfId="36368" xr:uid="{00000000-0005-0000-0000-00009F5C0000}"/>
    <cellStyle name="Labels - Style3 5 5 2 2" xfId="16772" xr:uid="{00000000-0005-0000-0000-0000A05C0000}"/>
    <cellStyle name="Labels - Style3 5 5 2 20" xfId="37307" xr:uid="{00000000-0005-0000-0000-0000A15C0000}"/>
    <cellStyle name="Labels - Style3 5 5 2 3" xfId="17751" xr:uid="{00000000-0005-0000-0000-0000A25C0000}"/>
    <cellStyle name="Labels - Style3 5 5 2 4" xfId="18778" xr:uid="{00000000-0005-0000-0000-0000A35C0000}"/>
    <cellStyle name="Labels - Style3 5 5 2 5" xfId="19810" xr:uid="{00000000-0005-0000-0000-0000A45C0000}"/>
    <cellStyle name="Labels - Style3 5 5 2 6" xfId="20832" xr:uid="{00000000-0005-0000-0000-0000A55C0000}"/>
    <cellStyle name="Labels - Style3 5 5 2 7" xfId="21843" xr:uid="{00000000-0005-0000-0000-0000A65C0000}"/>
    <cellStyle name="Labels - Style3 5 5 2 8" xfId="22814" xr:uid="{00000000-0005-0000-0000-0000A75C0000}"/>
    <cellStyle name="Labels - Style3 5 5 2 9" xfId="23819" xr:uid="{00000000-0005-0000-0000-0000A85C0000}"/>
    <cellStyle name="Labels - Style3 5 5 20" xfId="36367" xr:uid="{00000000-0005-0000-0000-0000A95C0000}"/>
    <cellStyle name="Labels - Style3 5 5 21" xfId="37306" xr:uid="{00000000-0005-0000-0000-0000AA5C0000}"/>
    <cellStyle name="Labels - Style3 5 5 3" xfId="16771" xr:uid="{00000000-0005-0000-0000-0000AB5C0000}"/>
    <cellStyle name="Labels - Style3 5 5 4" xfId="17750" xr:uid="{00000000-0005-0000-0000-0000AC5C0000}"/>
    <cellStyle name="Labels - Style3 5 5 5" xfId="18777" xr:uid="{00000000-0005-0000-0000-0000AD5C0000}"/>
    <cellStyle name="Labels - Style3 5 5 6" xfId="19809" xr:uid="{00000000-0005-0000-0000-0000AE5C0000}"/>
    <cellStyle name="Labels - Style3 5 5 7" xfId="20831" xr:uid="{00000000-0005-0000-0000-0000AF5C0000}"/>
    <cellStyle name="Labels - Style3 5 5 8" xfId="21842" xr:uid="{00000000-0005-0000-0000-0000B05C0000}"/>
    <cellStyle name="Labels - Style3 5 5 9" xfId="22813" xr:uid="{00000000-0005-0000-0000-0000B15C0000}"/>
    <cellStyle name="Labels - Style3 5 6" xfId="4995" xr:uid="{00000000-0005-0000-0000-0000B25C0000}"/>
    <cellStyle name="Labels - Style3 5 6 10" xfId="24792" xr:uid="{00000000-0005-0000-0000-0000B35C0000}"/>
    <cellStyle name="Labels - Style3 5 6 11" xfId="25791" xr:uid="{00000000-0005-0000-0000-0000B45C0000}"/>
    <cellStyle name="Labels - Style3 5 6 12" xfId="28738" xr:uid="{00000000-0005-0000-0000-0000B55C0000}"/>
    <cellStyle name="Labels - Style3 5 6 13" xfId="29705" xr:uid="{00000000-0005-0000-0000-0000B65C0000}"/>
    <cellStyle name="Labels - Style3 5 6 14" xfId="30747" xr:uid="{00000000-0005-0000-0000-0000B75C0000}"/>
    <cellStyle name="Labels - Style3 5 6 15" xfId="31738" xr:uid="{00000000-0005-0000-0000-0000B85C0000}"/>
    <cellStyle name="Labels - Style3 5 6 16" xfId="32746" xr:uid="{00000000-0005-0000-0000-0000B95C0000}"/>
    <cellStyle name="Labels - Style3 5 6 17" xfId="33749" xr:uid="{00000000-0005-0000-0000-0000BA5C0000}"/>
    <cellStyle name="Labels - Style3 5 6 18" xfId="34748" xr:uid="{00000000-0005-0000-0000-0000BB5C0000}"/>
    <cellStyle name="Labels - Style3 5 6 19" xfId="36369" xr:uid="{00000000-0005-0000-0000-0000BC5C0000}"/>
    <cellStyle name="Labels - Style3 5 6 2" xfId="16773" xr:uid="{00000000-0005-0000-0000-0000BD5C0000}"/>
    <cellStyle name="Labels - Style3 5 6 20" xfId="37308" xr:uid="{00000000-0005-0000-0000-0000BE5C0000}"/>
    <cellStyle name="Labels - Style3 5 6 3" xfId="17752" xr:uid="{00000000-0005-0000-0000-0000BF5C0000}"/>
    <cellStyle name="Labels - Style3 5 6 4" xfId="18779" xr:uid="{00000000-0005-0000-0000-0000C05C0000}"/>
    <cellStyle name="Labels - Style3 5 6 5" xfId="19811" xr:uid="{00000000-0005-0000-0000-0000C15C0000}"/>
    <cellStyle name="Labels - Style3 5 6 6" xfId="20833" xr:uid="{00000000-0005-0000-0000-0000C25C0000}"/>
    <cellStyle name="Labels - Style3 5 6 7" xfId="21844" xr:uid="{00000000-0005-0000-0000-0000C35C0000}"/>
    <cellStyle name="Labels - Style3 5 6 8" xfId="22815" xr:uid="{00000000-0005-0000-0000-0000C45C0000}"/>
    <cellStyle name="Labels - Style3 5 6 9" xfId="23820" xr:uid="{00000000-0005-0000-0000-0000C55C0000}"/>
    <cellStyle name="Labels - Style3 5 7" xfId="15167" xr:uid="{00000000-0005-0000-0000-0000C65C0000}"/>
    <cellStyle name="Labels - Style3 5 8" xfId="13701" xr:uid="{00000000-0005-0000-0000-0000C75C0000}"/>
    <cellStyle name="Labels - Style3 5 9" xfId="14951" xr:uid="{00000000-0005-0000-0000-0000C85C0000}"/>
    <cellStyle name="Labels - Style3 6" xfId="4996" xr:uid="{00000000-0005-0000-0000-0000C95C0000}"/>
    <cellStyle name="Labels - Style3 6 10" xfId="23821" xr:uid="{00000000-0005-0000-0000-0000CA5C0000}"/>
    <cellStyle name="Labels - Style3 6 11" xfId="24793" xr:uid="{00000000-0005-0000-0000-0000CB5C0000}"/>
    <cellStyle name="Labels - Style3 6 12" xfId="25792" xr:uid="{00000000-0005-0000-0000-0000CC5C0000}"/>
    <cellStyle name="Labels - Style3 6 13" xfId="28739" xr:uid="{00000000-0005-0000-0000-0000CD5C0000}"/>
    <cellStyle name="Labels - Style3 6 14" xfId="29706" xr:uid="{00000000-0005-0000-0000-0000CE5C0000}"/>
    <cellStyle name="Labels - Style3 6 15" xfId="30748" xr:uid="{00000000-0005-0000-0000-0000CF5C0000}"/>
    <cellStyle name="Labels - Style3 6 16" xfId="31739" xr:uid="{00000000-0005-0000-0000-0000D05C0000}"/>
    <cellStyle name="Labels - Style3 6 17" xfId="32747" xr:uid="{00000000-0005-0000-0000-0000D15C0000}"/>
    <cellStyle name="Labels - Style3 6 18" xfId="33750" xr:uid="{00000000-0005-0000-0000-0000D25C0000}"/>
    <cellStyle name="Labels - Style3 6 19" xfId="34749" xr:uid="{00000000-0005-0000-0000-0000D35C0000}"/>
    <cellStyle name="Labels - Style3 6 2" xfId="4997" xr:uid="{00000000-0005-0000-0000-0000D45C0000}"/>
    <cellStyle name="Labels - Style3 6 2 10" xfId="24794" xr:uid="{00000000-0005-0000-0000-0000D55C0000}"/>
    <cellStyle name="Labels - Style3 6 2 11" xfId="25793" xr:uid="{00000000-0005-0000-0000-0000D65C0000}"/>
    <cellStyle name="Labels - Style3 6 2 12" xfId="28740" xr:uid="{00000000-0005-0000-0000-0000D75C0000}"/>
    <cellStyle name="Labels - Style3 6 2 13" xfId="29707" xr:uid="{00000000-0005-0000-0000-0000D85C0000}"/>
    <cellStyle name="Labels - Style3 6 2 14" xfId="30749" xr:uid="{00000000-0005-0000-0000-0000D95C0000}"/>
    <cellStyle name="Labels - Style3 6 2 15" xfId="31740" xr:uid="{00000000-0005-0000-0000-0000DA5C0000}"/>
    <cellStyle name="Labels - Style3 6 2 16" xfId="32748" xr:uid="{00000000-0005-0000-0000-0000DB5C0000}"/>
    <cellStyle name="Labels - Style3 6 2 17" xfId="33751" xr:uid="{00000000-0005-0000-0000-0000DC5C0000}"/>
    <cellStyle name="Labels - Style3 6 2 18" xfId="34750" xr:uid="{00000000-0005-0000-0000-0000DD5C0000}"/>
    <cellStyle name="Labels - Style3 6 2 19" xfId="36371" xr:uid="{00000000-0005-0000-0000-0000DE5C0000}"/>
    <cellStyle name="Labels - Style3 6 2 2" xfId="16775" xr:uid="{00000000-0005-0000-0000-0000DF5C0000}"/>
    <cellStyle name="Labels - Style3 6 2 20" xfId="37310" xr:uid="{00000000-0005-0000-0000-0000E05C0000}"/>
    <cellStyle name="Labels - Style3 6 2 3" xfId="17754" xr:uid="{00000000-0005-0000-0000-0000E15C0000}"/>
    <cellStyle name="Labels - Style3 6 2 4" xfId="18781" xr:uid="{00000000-0005-0000-0000-0000E25C0000}"/>
    <cellStyle name="Labels - Style3 6 2 5" xfId="19813" xr:uid="{00000000-0005-0000-0000-0000E35C0000}"/>
    <cellStyle name="Labels - Style3 6 2 6" xfId="20835" xr:uid="{00000000-0005-0000-0000-0000E45C0000}"/>
    <cellStyle name="Labels - Style3 6 2 7" xfId="21846" xr:uid="{00000000-0005-0000-0000-0000E55C0000}"/>
    <cellStyle name="Labels - Style3 6 2 8" xfId="22817" xr:uid="{00000000-0005-0000-0000-0000E65C0000}"/>
    <cellStyle name="Labels - Style3 6 2 9" xfId="23822" xr:uid="{00000000-0005-0000-0000-0000E75C0000}"/>
    <cellStyle name="Labels - Style3 6 20" xfId="36370" xr:uid="{00000000-0005-0000-0000-0000E85C0000}"/>
    <cellStyle name="Labels - Style3 6 21" xfId="37309" xr:uid="{00000000-0005-0000-0000-0000E95C0000}"/>
    <cellStyle name="Labels - Style3 6 3" xfId="16774" xr:uid="{00000000-0005-0000-0000-0000EA5C0000}"/>
    <cellStyle name="Labels - Style3 6 4" xfId="17753" xr:uid="{00000000-0005-0000-0000-0000EB5C0000}"/>
    <cellStyle name="Labels - Style3 6 5" xfId="18780" xr:uid="{00000000-0005-0000-0000-0000EC5C0000}"/>
    <cellStyle name="Labels - Style3 6 6" xfId="19812" xr:uid="{00000000-0005-0000-0000-0000ED5C0000}"/>
    <cellStyle name="Labels - Style3 6 7" xfId="20834" xr:uid="{00000000-0005-0000-0000-0000EE5C0000}"/>
    <cellStyle name="Labels - Style3 6 8" xfId="21845" xr:uid="{00000000-0005-0000-0000-0000EF5C0000}"/>
    <cellStyle name="Labels - Style3 6 9" xfId="22816" xr:uid="{00000000-0005-0000-0000-0000F05C0000}"/>
    <cellStyle name="Labels - Style3 7" xfId="4998" xr:uid="{00000000-0005-0000-0000-0000F15C0000}"/>
    <cellStyle name="Labels - Style3 7 10" xfId="23823" xr:uid="{00000000-0005-0000-0000-0000F25C0000}"/>
    <cellStyle name="Labels - Style3 7 11" xfId="24795" xr:uid="{00000000-0005-0000-0000-0000F35C0000}"/>
    <cellStyle name="Labels - Style3 7 12" xfId="25794" xr:uid="{00000000-0005-0000-0000-0000F45C0000}"/>
    <cellStyle name="Labels - Style3 7 13" xfId="28741" xr:uid="{00000000-0005-0000-0000-0000F55C0000}"/>
    <cellStyle name="Labels - Style3 7 14" xfId="29708" xr:uid="{00000000-0005-0000-0000-0000F65C0000}"/>
    <cellStyle name="Labels - Style3 7 15" xfId="30750" xr:uid="{00000000-0005-0000-0000-0000F75C0000}"/>
    <cellStyle name="Labels - Style3 7 16" xfId="31741" xr:uid="{00000000-0005-0000-0000-0000F85C0000}"/>
    <cellStyle name="Labels - Style3 7 17" xfId="32749" xr:uid="{00000000-0005-0000-0000-0000F95C0000}"/>
    <cellStyle name="Labels - Style3 7 18" xfId="33752" xr:uid="{00000000-0005-0000-0000-0000FA5C0000}"/>
    <cellStyle name="Labels - Style3 7 19" xfId="34751" xr:uid="{00000000-0005-0000-0000-0000FB5C0000}"/>
    <cellStyle name="Labels - Style3 7 2" xfId="4999" xr:uid="{00000000-0005-0000-0000-0000FC5C0000}"/>
    <cellStyle name="Labels - Style3 7 2 10" xfId="24796" xr:uid="{00000000-0005-0000-0000-0000FD5C0000}"/>
    <cellStyle name="Labels - Style3 7 2 11" xfId="25795" xr:uid="{00000000-0005-0000-0000-0000FE5C0000}"/>
    <cellStyle name="Labels - Style3 7 2 12" xfId="28742" xr:uid="{00000000-0005-0000-0000-0000FF5C0000}"/>
    <cellStyle name="Labels - Style3 7 2 13" xfId="29709" xr:uid="{00000000-0005-0000-0000-0000005D0000}"/>
    <cellStyle name="Labels - Style3 7 2 14" xfId="30751" xr:uid="{00000000-0005-0000-0000-0000015D0000}"/>
    <cellStyle name="Labels - Style3 7 2 15" xfId="31742" xr:uid="{00000000-0005-0000-0000-0000025D0000}"/>
    <cellStyle name="Labels - Style3 7 2 16" xfId="32750" xr:uid="{00000000-0005-0000-0000-0000035D0000}"/>
    <cellStyle name="Labels - Style3 7 2 17" xfId="33753" xr:uid="{00000000-0005-0000-0000-0000045D0000}"/>
    <cellStyle name="Labels - Style3 7 2 18" xfId="34752" xr:uid="{00000000-0005-0000-0000-0000055D0000}"/>
    <cellStyle name="Labels - Style3 7 2 19" xfId="36373" xr:uid="{00000000-0005-0000-0000-0000065D0000}"/>
    <cellStyle name="Labels - Style3 7 2 2" xfId="16777" xr:uid="{00000000-0005-0000-0000-0000075D0000}"/>
    <cellStyle name="Labels - Style3 7 2 20" xfId="37312" xr:uid="{00000000-0005-0000-0000-0000085D0000}"/>
    <cellStyle name="Labels - Style3 7 2 3" xfId="17756" xr:uid="{00000000-0005-0000-0000-0000095D0000}"/>
    <cellStyle name="Labels - Style3 7 2 4" xfId="18783" xr:uid="{00000000-0005-0000-0000-00000A5D0000}"/>
    <cellStyle name="Labels - Style3 7 2 5" xfId="19815" xr:uid="{00000000-0005-0000-0000-00000B5D0000}"/>
    <cellStyle name="Labels - Style3 7 2 6" xfId="20837" xr:uid="{00000000-0005-0000-0000-00000C5D0000}"/>
    <cellStyle name="Labels - Style3 7 2 7" xfId="21848" xr:uid="{00000000-0005-0000-0000-00000D5D0000}"/>
    <cellStyle name="Labels - Style3 7 2 8" xfId="22819" xr:uid="{00000000-0005-0000-0000-00000E5D0000}"/>
    <cellStyle name="Labels - Style3 7 2 9" xfId="23824" xr:uid="{00000000-0005-0000-0000-00000F5D0000}"/>
    <cellStyle name="Labels - Style3 7 20" xfId="36372" xr:uid="{00000000-0005-0000-0000-0000105D0000}"/>
    <cellStyle name="Labels - Style3 7 21" xfId="37311" xr:uid="{00000000-0005-0000-0000-0000115D0000}"/>
    <cellStyle name="Labels - Style3 7 3" xfId="16776" xr:uid="{00000000-0005-0000-0000-0000125D0000}"/>
    <cellStyle name="Labels - Style3 7 4" xfId="17755" xr:uid="{00000000-0005-0000-0000-0000135D0000}"/>
    <cellStyle name="Labels - Style3 7 5" xfId="18782" xr:uid="{00000000-0005-0000-0000-0000145D0000}"/>
    <cellStyle name="Labels - Style3 7 6" xfId="19814" xr:uid="{00000000-0005-0000-0000-0000155D0000}"/>
    <cellStyle name="Labels - Style3 7 7" xfId="20836" xr:uid="{00000000-0005-0000-0000-0000165D0000}"/>
    <cellStyle name="Labels - Style3 7 8" xfId="21847" xr:uid="{00000000-0005-0000-0000-0000175D0000}"/>
    <cellStyle name="Labels - Style3 7 9" xfId="22818" xr:uid="{00000000-0005-0000-0000-0000185D0000}"/>
    <cellStyle name="Labels - Style3 8" xfId="5000" xr:uid="{00000000-0005-0000-0000-0000195D0000}"/>
    <cellStyle name="Labels - Style3 8 10" xfId="23825" xr:uid="{00000000-0005-0000-0000-00001A5D0000}"/>
    <cellStyle name="Labels - Style3 8 11" xfId="24797" xr:uid="{00000000-0005-0000-0000-00001B5D0000}"/>
    <cellStyle name="Labels - Style3 8 12" xfId="25796" xr:uid="{00000000-0005-0000-0000-00001C5D0000}"/>
    <cellStyle name="Labels - Style3 8 13" xfId="28743" xr:uid="{00000000-0005-0000-0000-00001D5D0000}"/>
    <cellStyle name="Labels - Style3 8 14" xfId="29710" xr:uid="{00000000-0005-0000-0000-00001E5D0000}"/>
    <cellStyle name="Labels - Style3 8 15" xfId="30752" xr:uid="{00000000-0005-0000-0000-00001F5D0000}"/>
    <cellStyle name="Labels - Style3 8 16" xfId="31743" xr:uid="{00000000-0005-0000-0000-0000205D0000}"/>
    <cellStyle name="Labels - Style3 8 17" xfId="32751" xr:uid="{00000000-0005-0000-0000-0000215D0000}"/>
    <cellStyle name="Labels - Style3 8 18" xfId="33754" xr:uid="{00000000-0005-0000-0000-0000225D0000}"/>
    <cellStyle name="Labels - Style3 8 19" xfId="34753" xr:uid="{00000000-0005-0000-0000-0000235D0000}"/>
    <cellStyle name="Labels - Style3 8 2" xfId="5001" xr:uid="{00000000-0005-0000-0000-0000245D0000}"/>
    <cellStyle name="Labels - Style3 8 2 10" xfId="24798" xr:uid="{00000000-0005-0000-0000-0000255D0000}"/>
    <cellStyle name="Labels - Style3 8 2 11" xfId="25797" xr:uid="{00000000-0005-0000-0000-0000265D0000}"/>
    <cellStyle name="Labels - Style3 8 2 12" xfId="28744" xr:uid="{00000000-0005-0000-0000-0000275D0000}"/>
    <cellStyle name="Labels - Style3 8 2 13" xfId="29711" xr:uid="{00000000-0005-0000-0000-0000285D0000}"/>
    <cellStyle name="Labels - Style3 8 2 14" xfId="30753" xr:uid="{00000000-0005-0000-0000-0000295D0000}"/>
    <cellStyle name="Labels - Style3 8 2 15" xfId="31744" xr:uid="{00000000-0005-0000-0000-00002A5D0000}"/>
    <cellStyle name="Labels - Style3 8 2 16" xfId="32752" xr:uid="{00000000-0005-0000-0000-00002B5D0000}"/>
    <cellStyle name="Labels - Style3 8 2 17" xfId="33755" xr:uid="{00000000-0005-0000-0000-00002C5D0000}"/>
    <cellStyle name="Labels - Style3 8 2 18" xfId="34754" xr:uid="{00000000-0005-0000-0000-00002D5D0000}"/>
    <cellStyle name="Labels - Style3 8 2 19" xfId="36375" xr:uid="{00000000-0005-0000-0000-00002E5D0000}"/>
    <cellStyle name="Labels - Style3 8 2 2" xfId="16779" xr:uid="{00000000-0005-0000-0000-00002F5D0000}"/>
    <cellStyle name="Labels - Style3 8 2 20" xfId="37314" xr:uid="{00000000-0005-0000-0000-0000305D0000}"/>
    <cellStyle name="Labels - Style3 8 2 3" xfId="17758" xr:uid="{00000000-0005-0000-0000-0000315D0000}"/>
    <cellStyle name="Labels - Style3 8 2 4" xfId="18785" xr:uid="{00000000-0005-0000-0000-0000325D0000}"/>
    <cellStyle name="Labels - Style3 8 2 5" xfId="19817" xr:uid="{00000000-0005-0000-0000-0000335D0000}"/>
    <cellStyle name="Labels - Style3 8 2 6" xfId="20839" xr:uid="{00000000-0005-0000-0000-0000345D0000}"/>
    <cellStyle name="Labels - Style3 8 2 7" xfId="21850" xr:uid="{00000000-0005-0000-0000-0000355D0000}"/>
    <cellStyle name="Labels - Style3 8 2 8" xfId="22821" xr:uid="{00000000-0005-0000-0000-0000365D0000}"/>
    <cellStyle name="Labels - Style3 8 2 9" xfId="23826" xr:uid="{00000000-0005-0000-0000-0000375D0000}"/>
    <cellStyle name="Labels - Style3 8 20" xfId="36374" xr:uid="{00000000-0005-0000-0000-0000385D0000}"/>
    <cellStyle name="Labels - Style3 8 21" xfId="37313" xr:uid="{00000000-0005-0000-0000-0000395D0000}"/>
    <cellStyle name="Labels - Style3 8 3" xfId="16778" xr:uid="{00000000-0005-0000-0000-00003A5D0000}"/>
    <cellStyle name="Labels - Style3 8 4" xfId="17757" xr:uid="{00000000-0005-0000-0000-00003B5D0000}"/>
    <cellStyle name="Labels - Style3 8 5" xfId="18784" xr:uid="{00000000-0005-0000-0000-00003C5D0000}"/>
    <cellStyle name="Labels - Style3 8 6" xfId="19816" xr:uid="{00000000-0005-0000-0000-00003D5D0000}"/>
    <cellStyle name="Labels - Style3 8 7" xfId="20838" xr:uid="{00000000-0005-0000-0000-00003E5D0000}"/>
    <cellStyle name="Labels - Style3 8 8" xfId="21849" xr:uid="{00000000-0005-0000-0000-00003F5D0000}"/>
    <cellStyle name="Labels - Style3 8 9" xfId="22820" xr:uid="{00000000-0005-0000-0000-0000405D0000}"/>
    <cellStyle name="Labels - Style3 9" xfId="5002" xr:uid="{00000000-0005-0000-0000-0000415D0000}"/>
    <cellStyle name="Labels - Style3 9 10" xfId="23827" xr:uid="{00000000-0005-0000-0000-0000425D0000}"/>
    <cellStyle name="Labels - Style3 9 11" xfId="24799" xr:uid="{00000000-0005-0000-0000-0000435D0000}"/>
    <cellStyle name="Labels - Style3 9 12" xfId="25798" xr:uid="{00000000-0005-0000-0000-0000445D0000}"/>
    <cellStyle name="Labels - Style3 9 13" xfId="28745" xr:uid="{00000000-0005-0000-0000-0000455D0000}"/>
    <cellStyle name="Labels - Style3 9 14" xfId="29712" xr:uid="{00000000-0005-0000-0000-0000465D0000}"/>
    <cellStyle name="Labels - Style3 9 15" xfId="30754" xr:uid="{00000000-0005-0000-0000-0000475D0000}"/>
    <cellStyle name="Labels - Style3 9 16" xfId="31745" xr:uid="{00000000-0005-0000-0000-0000485D0000}"/>
    <cellStyle name="Labels - Style3 9 17" xfId="32753" xr:uid="{00000000-0005-0000-0000-0000495D0000}"/>
    <cellStyle name="Labels - Style3 9 18" xfId="33756" xr:uid="{00000000-0005-0000-0000-00004A5D0000}"/>
    <cellStyle name="Labels - Style3 9 19" xfId="34755" xr:uid="{00000000-0005-0000-0000-00004B5D0000}"/>
    <cellStyle name="Labels - Style3 9 2" xfId="5003" xr:uid="{00000000-0005-0000-0000-00004C5D0000}"/>
    <cellStyle name="Labels - Style3 9 2 10" xfId="24800" xr:uid="{00000000-0005-0000-0000-00004D5D0000}"/>
    <cellStyle name="Labels - Style3 9 2 11" xfId="25799" xr:uid="{00000000-0005-0000-0000-00004E5D0000}"/>
    <cellStyle name="Labels - Style3 9 2 12" xfId="28746" xr:uid="{00000000-0005-0000-0000-00004F5D0000}"/>
    <cellStyle name="Labels - Style3 9 2 13" xfId="29713" xr:uid="{00000000-0005-0000-0000-0000505D0000}"/>
    <cellStyle name="Labels - Style3 9 2 14" xfId="30755" xr:uid="{00000000-0005-0000-0000-0000515D0000}"/>
    <cellStyle name="Labels - Style3 9 2 15" xfId="31746" xr:uid="{00000000-0005-0000-0000-0000525D0000}"/>
    <cellStyle name="Labels - Style3 9 2 16" xfId="32754" xr:uid="{00000000-0005-0000-0000-0000535D0000}"/>
    <cellStyle name="Labels - Style3 9 2 17" xfId="33757" xr:uid="{00000000-0005-0000-0000-0000545D0000}"/>
    <cellStyle name="Labels - Style3 9 2 18" xfId="34756" xr:uid="{00000000-0005-0000-0000-0000555D0000}"/>
    <cellStyle name="Labels - Style3 9 2 19" xfId="36377" xr:uid="{00000000-0005-0000-0000-0000565D0000}"/>
    <cellStyle name="Labels - Style3 9 2 2" xfId="16781" xr:uid="{00000000-0005-0000-0000-0000575D0000}"/>
    <cellStyle name="Labels - Style3 9 2 20" xfId="37316" xr:uid="{00000000-0005-0000-0000-0000585D0000}"/>
    <cellStyle name="Labels - Style3 9 2 3" xfId="17760" xr:uid="{00000000-0005-0000-0000-0000595D0000}"/>
    <cellStyle name="Labels - Style3 9 2 4" xfId="18787" xr:uid="{00000000-0005-0000-0000-00005A5D0000}"/>
    <cellStyle name="Labels - Style3 9 2 5" xfId="19819" xr:uid="{00000000-0005-0000-0000-00005B5D0000}"/>
    <cellStyle name="Labels - Style3 9 2 6" xfId="20841" xr:uid="{00000000-0005-0000-0000-00005C5D0000}"/>
    <cellStyle name="Labels - Style3 9 2 7" xfId="21852" xr:uid="{00000000-0005-0000-0000-00005D5D0000}"/>
    <cellStyle name="Labels - Style3 9 2 8" xfId="22823" xr:uid="{00000000-0005-0000-0000-00005E5D0000}"/>
    <cellStyle name="Labels - Style3 9 2 9" xfId="23828" xr:uid="{00000000-0005-0000-0000-00005F5D0000}"/>
    <cellStyle name="Labels - Style3 9 20" xfId="36376" xr:uid="{00000000-0005-0000-0000-0000605D0000}"/>
    <cellStyle name="Labels - Style3 9 21" xfId="37315" xr:uid="{00000000-0005-0000-0000-0000615D0000}"/>
    <cellStyle name="Labels - Style3 9 3" xfId="16780" xr:uid="{00000000-0005-0000-0000-0000625D0000}"/>
    <cellStyle name="Labels - Style3 9 4" xfId="17759" xr:uid="{00000000-0005-0000-0000-0000635D0000}"/>
    <cellStyle name="Labels - Style3 9 5" xfId="18786" xr:uid="{00000000-0005-0000-0000-0000645D0000}"/>
    <cellStyle name="Labels - Style3 9 6" xfId="19818" xr:uid="{00000000-0005-0000-0000-0000655D0000}"/>
    <cellStyle name="Labels - Style3 9 7" xfId="20840" xr:uid="{00000000-0005-0000-0000-0000665D0000}"/>
    <cellStyle name="Labels - Style3 9 8" xfId="21851" xr:uid="{00000000-0005-0000-0000-0000675D0000}"/>
    <cellStyle name="Labels - Style3 9 9" xfId="22822" xr:uid="{00000000-0005-0000-0000-0000685D0000}"/>
    <cellStyle name="Labels 10" xfId="5004" xr:uid="{00000000-0005-0000-0000-0000695D0000}"/>
    <cellStyle name="Labels 10 10" xfId="24801" xr:uid="{00000000-0005-0000-0000-00006A5D0000}"/>
    <cellStyle name="Labels 10 11" xfId="25800" xr:uid="{00000000-0005-0000-0000-00006B5D0000}"/>
    <cellStyle name="Labels 10 12" xfId="29714" xr:uid="{00000000-0005-0000-0000-00006C5D0000}"/>
    <cellStyle name="Labels 10 13" xfId="30756" xr:uid="{00000000-0005-0000-0000-00006D5D0000}"/>
    <cellStyle name="Labels 10 14" xfId="31747" xr:uid="{00000000-0005-0000-0000-00006E5D0000}"/>
    <cellStyle name="Labels 10 15" xfId="32755" xr:uid="{00000000-0005-0000-0000-00006F5D0000}"/>
    <cellStyle name="Labels 10 16" xfId="33758" xr:uid="{00000000-0005-0000-0000-0000705D0000}"/>
    <cellStyle name="Labels 10 17" xfId="34757" xr:uid="{00000000-0005-0000-0000-0000715D0000}"/>
    <cellStyle name="Labels 10 18" xfId="37317" xr:uid="{00000000-0005-0000-0000-0000725D0000}"/>
    <cellStyle name="Labels 10 2" xfId="5005" xr:uid="{00000000-0005-0000-0000-0000735D0000}"/>
    <cellStyle name="Labels 10 2 10" xfId="25801" xr:uid="{00000000-0005-0000-0000-0000745D0000}"/>
    <cellStyle name="Labels 10 2 11" xfId="29715" xr:uid="{00000000-0005-0000-0000-0000755D0000}"/>
    <cellStyle name="Labels 10 2 12" xfId="30757" xr:uid="{00000000-0005-0000-0000-0000765D0000}"/>
    <cellStyle name="Labels 10 2 13" xfId="31748" xr:uid="{00000000-0005-0000-0000-0000775D0000}"/>
    <cellStyle name="Labels 10 2 14" xfId="32756" xr:uid="{00000000-0005-0000-0000-0000785D0000}"/>
    <cellStyle name="Labels 10 2 15" xfId="33759" xr:uid="{00000000-0005-0000-0000-0000795D0000}"/>
    <cellStyle name="Labels 10 2 16" xfId="34758" xr:uid="{00000000-0005-0000-0000-00007A5D0000}"/>
    <cellStyle name="Labels 10 2 17" xfId="37318" xr:uid="{00000000-0005-0000-0000-00007B5D0000}"/>
    <cellStyle name="Labels 10 2 2" xfId="16783" xr:uid="{00000000-0005-0000-0000-00007C5D0000}"/>
    <cellStyle name="Labels 10 2 3" xfId="17762" xr:uid="{00000000-0005-0000-0000-00007D5D0000}"/>
    <cellStyle name="Labels 10 2 4" xfId="18789" xr:uid="{00000000-0005-0000-0000-00007E5D0000}"/>
    <cellStyle name="Labels 10 2 5" xfId="19821" xr:uid="{00000000-0005-0000-0000-00007F5D0000}"/>
    <cellStyle name="Labels 10 2 6" xfId="20843" xr:uid="{00000000-0005-0000-0000-0000805D0000}"/>
    <cellStyle name="Labels 10 2 7" xfId="22825" xr:uid="{00000000-0005-0000-0000-0000815D0000}"/>
    <cellStyle name="Labels 10 2 8" xfId="23830" xr:uid="{00000000-0005-0000-0000-0000825D0000}"/>
    <cellStyle name="Labels 10 2 9" xfId="24802" xr:uid="{00000000-0005-0000-0000-0000835D0000}"/>
    <cellStyle name="Labels 10 3" xfId="16782" xr:uid="{00000000-0005-0000-0000-0000845D0000}"/>
    <cellStyle name="Labels 10 4" xfId="17761" xr:uid="{00000000-0005-0000-0000-0000855D0000}"/>
    <cellStyle name="Labels 10 5" xfId="18788" xr:uid="{00000000-0005-0000-0000-0000865D0000}"/>
    <cellStyle name="Labels 10 6" xfId="19820" xr:uid="{00000000-0005-0000-0000-0000875D0000}"/>
    <cellStyle name="Labels 10 7" xfId="20842" xr:uid="{00000000-0005-0000-0000-0000885D0000}"/>
    <cellStyle name="Labels 10 8" xfId="22824" xr:uid="{00000000-0005-0000-0000-0000895D0000}"/>
    <cellStyle name="Labels 10 9" xfId="23829" xr:uid="{00000000-0005-0000-0000-00008A5D0000}"/>
    <cellStyle name="Labels 11" xfId="5006" xr:uid="{00000000-0005-0000-0000-00008B5D0000}"/>
    <cellStyle name="Labels 11 10" xfId="24803" xr:uid="{00000000-0005-0000-0000-00008C5D0000}"/>
    <cellStyle name="Labels 11 11" xfId="25802" xr:uid="{00000000-0005-0000-0000-00008D5D0000}"/>
    <cellStyle name="Labels 11 12" xfId="29716" xr:uid="{00000000-0005-0000-0000-00008E5D0000}"/>
    <cellStyle name="Labels 11 13" xfId="30758" xr:uid="{00000000-0005-0000-0000-00008F5D0000}"/>
    <cellStyle name="Labels 11 14" xfId="31749" xr:uid="{00000000-0005-0000-0000-0000905D0000}"/>
    <cellStyle name="Labels 11 15" xfId="32757" xr:uid="{00000000-0005-0000-0000-0000915D0000}"/>
    <cellStyle name="Labels 11 16" xfId="33760" xr:uid="{00000000-0005-0000-0000-0000925D0000}"/>
    <cellStyle name="Labels 11 17" xfId="34759" xr:uid="{00000000-0005-0000-0000-0000935D0000}"/>
    <cellStyle name="Labels 11 18" xfId="37319" xr:uid="{00000000-0005-0000-0000-0000945D0000}"/>
    <cellStyle name="Labels 11 2" xfId="5007" xr:uid="{00000000-0005-0000-0000-0000955D0000}"/>
    <cellStyle name="Labels 11 2 10" xfId="25803" xr:uid="{00000000-0005-0000-0000-0000965D0000}"/>
    <cellStyle name="Labels 11 2 11" xfId="29717" xr:uid="{00000000-0005-0000-0000-0000975D0000}"/>
    <cellStyle name="Labels 11 2 12" xfId="30759" xr:uid="{00000000-0005-0000-0000-0000985D0000}"/>
    <cellStyle name="Labels 11 2 13" xfId="31750" xr:uid="{00000000-0005-0000-0000-0000995D0000}"/>
    <cellStyle name="Labels 11 2 14" xfId="32758" xr:uid="{00000000-0005-0000-0000-00009A5D0000}"/>
    <cellStyle name="Labels 11 2 15" xfId="33761" xr:uid="{00000000-0005-0000-0000-00009B5D0000}"/>
    <cellStyle name="Labels 11 2 16" xfId="34760" xr:uid="{00000000-0005-0000-0000-00009C5D0000}"/>
    <cellStyle name="Labels 11 2 17" xfId="37320" xr:uid="{00000000-0005-0000-0000-00009D5D0000}"/>
    <cellStyle name="Labels 11 2 2" xfId="16785" xr:uid="{00000000-0005-0000-0000-00009E5D0000}"/>
    <cellStyle name="Labels 11 2 3" xfId="17764" xr:uid="{00000000-0005-0000-0000-00009F5D0000}"/>
    <cellStyle name="Labels 11 2 4" xfId="18791" xr:uid="{00000000-0005-0000-0000-0000A05D0000}"/>
    <cellStyle name="Labels 11 2 5" xfId="19823" xr:uid="{00000000-0005-0000-0000-0000A15D0000}"/>
    <cellStyle name="Labels 11 2 6" xfId="20845" xr:uid="{00000000-0005-0000-0000-0000A25D0000}"/>
    <cellStyle name="Labels 11 2 7" xfId="22827" xr:uid="{00000000-0005-0000-0000-0000A35D0000}"/>
    <cellStyle name="Labels 11 2 8" xfId="23832" xr:uid="{00000000-0005-0000-0000-0000A45D0000}"/>
    <cellStyle name="Labels 11 2 9" xfId="24804" xr:uid="{00000000-0005-0000-0000-0000A55D0000}"/>
    <cellStyle name="Labels 11 3" xfId="16784" xr:uid="{00000000-0005-0000-0000-0000A65D0000}"/>
    <cellStyle name="Labels 11 4" xfId="17763" xr:uid="{00000000-0005-0000-0000-0000A75D0000}"/>
    <cellStyle name="Labels 11 5" xfId="18790" xr:uid="{00000000-0005-0000-0000-0000A85D0000}"/>
    <cellStyle name="Labels 11 6" xfId="19822" xr:uid="{00000000-0005-0000-0000-0000A95D0000}"/>
    <cellStyle name="Labels 11 7" xfId="20844" xr:uid="{00000000-0005-0000-0000-0000AA5D0000}"/>
    <cellStyle name="Labels 11 8" xfId="22826" xr:uid="{00000000-0005-0000-0000-0000AB5D0000}"/>
    <cellStyle name="Labels 11 9" xfId="23831" xr:uid="{00000000-0005-0000-0000-0000AC5D0000}"/>
    <cellStyle name="Labels 12" xfId="5008" xr:uid="{00000000-0005-0000-0000-0000AD5D0000}"/>
    <cellStyle name="Labels 12 10" xfId="24805" xr:uid="{00000000-0005-0000-0000-0000AE5D0000}"/>
    <cellStyle name="Labels 12 11" xfId="25804" xr:uid="{00000000-0005-0000-0000-0000AF5D0000}"/>
    <cellStyle name="Labels 12 12" xfId="29718" xr:uid="{00000000-0005-0000-0000-0000B05D0000}"/>
    <cellStyle name="Labels 12 13" xfId="30760" xr:uid="{00000000-0005-0000-0000-0000B15D0000}"/>
    <cellStyle name="Labels 12 14" xfId="31751" xr:uid="{00000000-0005-0000-0000-0000B25D0000}"/>
    <cellStyle name="Labels 12 15" xfId="32759" xr:uid="{00000000-0005-0000-0000-0000B35D0000}"/>
    <cellStyle name="Labels 12 16" xfId="33762" xr:uid="{00000000-0005-0000-0000-0000B45D0000}"/>
    <cellStyle name="Labels 12 17" xfId="34761" xr:uid="{00000000-0005-0000-0000-0000B55D0000}"/>
    <cellStyle name="Labels 12 18" xfId="37321" xr:uid="{00000000-0005-0000-0000-0000B65D0000}"/>
    <cellStyle name="Labels 12 2" xfId="5009" xr:uid="{00000000-0005-0000-0000-0000B75D0000}"/>
    <cellStyle name="Labels 12 2 10" xfId="25805" xr:uid="{00000000-0005-0000-0000-0000B85D0000}"/>
    <cellStyle name="Labels 12 2 11" xfId="29719" xr:uid="{00000000-0005-0000-0000-0000B95D0000}"/>
    <cellStyle name="Labels 12 2 12" xfId="30761" xr:uid="{00000000-0005-0000-0000-0000BA5D0000}"/>
    <cellStyle name="Labels 12 2 13" xfId="31752" xr:uid="{00000000-0005-0000-0000-0000BB5D0000}"/>
    <cellStyle name="Labels 12 2 14" xfId="32760" xr:uid="{00000000-0005-0000-0000-0000BC5D0000}"/>
    <cellStyle name="Labels 12 2 15" xfId="33763" xr:uid="{00000000-0005-0000-0000-0000BD5D0000}"/>
    <cellStyle name="Labels 12 2 16" xfId="34762" xr:uid="{00000000-0005-0000-0000-0000BE5D0000}"/>
    <cellStyle name="Labels 12 2 17" xfId="37322" xr:uid="{00000000-0005-0000-0000-0000BF5D0000}"/>
    <cellStyle name="Labels 12 2 2" xfId="16787" xr:uid="{00000000-0005-0000-0000-0000C05D0000}"/>
    <cellStyle name="Labels 12 2 3" xfId="17766" xr:uid="{00000000-0005-0000-0000-0000C15D0000}"/>
    <cellStyle name="Labels 12 2 4" xfId="18793" xr:uid="{00000000-0005-0000-0000-0000C25D0000}"/>
    <cellStyle name="Labels 12 2 5" xfId="19825" xr:uid="{00000000-0005-0000-0000-0000C35D0000}"/>
    <cellStyle name="Labels 12 2 6" xfId="20847" xr:uid="{00000000-0005-0000-0000-0000C45D0000}"/>
    <cellStyle name="Labels 12 2 7" xfId="22829" xr:uid="{00000000-0005-0000-0000-0000C55D0000}"/>
    <cellStyle name="Labels 12 2 8" xfId="23834" xr:uid="{00000000-0005-0000-0000-0000C65D0000}"/>
    <cellStyle name="Labels 12 2 9" xfId="24806" xr:uid="{00000000-0005-0000-0000-0000C75D0000}"/>
    <cellStyle name="Labels 12 3" xfId="16786" xr:uid="{00000000-0005-0000-0000-0000C85D0000}"/>
    <cellStyle name="Labels 12 4" xfId="17765" xr:uid="{00000000-0005-0000-0000-0000C95D0000}"/>
    <cellStyle name="Labels 12 5" xfId="18792" xr:uid="{00000000-0005-0000-0000-0000CA5D0000}"/>
    <cellStyle name="Labels 12 6" xfId="19824" xr:uid="{00000000-0005-0000-0000-0000CB5D0000}"/>
    <cellStyle name="Labels 12 7" xfId="20846" xr:uid="{00000000-0005-0000-0000-0000CC5D0000}"/>
    <cellStyle name="Labels 12 8" xfId="22828" xr:uid="{00000000-0005-0000-0000-0000CD5D0000}"/>
    <cellStyle name="Labels 12 9" xfId="23833" xr:uid="{00000000-0005-0000-0000-0000CE5D0000}"/>
    <cellStyle name="Labels 13" xfId="5010" xr:uid="{00000000-0005-0000-0000-0000CF5D0000}"/>
    <cellStyle name="Labels 13 10" xfId="24807" xr:uid="{00000000-0005-0000-0000-0000D05D0000}"/>
    <cellStyle name="Labels 13 11" xfId="25806" xr:uid="{00000000-0005-0000-0000-0000D15D0000}"/>
    <cellStyle name="Labels 13 12" xfId="29720" xr:uid="{00000000-0005-0000-0000-0000D25D0000}"/>
    <cellStyle name="Labels 13 13" xfId="30762" xr:uid="{00000000-0005-0000-0000-0000D35D0000}"/>
    <cellStyle name="Labels 13 14" xfId="31753" xr:uid="{00000000-0005-0000-0000-0000D45D0000}"/>
    <cellStyle name="Labels 13 15" xfId="32761" xr:uid="{00000000-0005-0000-0000-0000D55D0000}"/>
    <cellStyle name="Labels 13 16" xfId="33764" xr:uid="{00000000-0005-0000-0000-0000D65D0000}"/>
    <cellStyle name="Labels 13 17" xfId="34763" xr:uid="{00000000-0005-0000-0000-0000D75D0000}"/>
    <cellStyle name="Labels 13 18" xfId="37323" xr:uid="{00000000-0005-0000-0000-0000D85D0000}"/>
    <cellStyle name="Labels 13 2" xfId="5011" xr:uid="{00000000-0005-0000-0000-0000D95D0000}"/>
    <cellStyle name="Labels 13 2 10" xfId="25807" xr:uid="{00000000-0005-0000-0000-0000DA5D0000}"/>
    <cellStyle name="Labels 13 2 11" xfId="29721" xr:uid="{00000000-0005-0000-0000-0000DB5D0000}"/>
    <cellStyle name="Labels 13 2 12" xfId="30763" xr:uid="{00000000-0005-0000-0000-0000DC5D0000}"/>
    <cellStyle name="Labels 13 2 13" xfId="31754" xr:uid="{00000000-0005-0000-0000-0000DD5D0000}"/>
    <cellStyle name="Labels 13 2 14" xfId="32762" xr:uid="{00000000-0005-0000-0000-0000DE5D0000}"/>
    <cellStyle name="Labels 13 2 15" xfId="33765" xr:uid="{00000000-0005-0000-0000-0000DF5D0000}"/>
    <cellStyle name="Labels 13 2 16" xfId="34764" xr:uid="{00000000-0005-0000-0000-0000E05D0000}"/>
    <cellStyle name="Labels 13 2 17" xfId="37324" xr:uid="{00000000-0005-0000-0000-0000E15D0000}"/>
    <cellStyle name="Labels 13 2 2" xfId="16789" xr:uid="{00000000-0005-0000-0000-0000E25D0000}"/>
    <cellStyle name="Labels 13 2 3" xfId="17768" xr:uid="{00000000-0005-0000-0000-0000E35D0000}"/>
    <cellStyle name="Labels 13 2 4" xfId="18795" xr:uid="{00000000-0005-0000-0000-0000E45D0000}"/>
    <cellStyle name="Labels 13 2 5" xfId="19827" xr:uid="{00000000-0005-0000-0000-0000E55D0000}"/>
    <cellStyle name="Labels 13 2 6" xfId="20849" xr:uid="{00000000-0005-0000-0000-0000E65D0000}"/>
    <cellStyle name="Labels 13 2 7" xfId="22831" xr:uid="{00000000-0005-0000-0000-0000E75D0000}"/>
    <cellStyle name="Labels 13 2 8" xfId="23836" xr:uid="{00000000-0005-0000-0000-0000E85D0000}"/>
    <cellStyle name="Labels 13 2 9" xfId="24808" xr:uid="{00000000-0005-0000-0000-0000E95D0000}"/>
    <cellStyle name="Labels 13 3" xfId="16788" xr:uid="{00000000-0005-0000-0000-0000EA5D0000}"/>
    <cellStyle name="Labels 13 4" xfId="17767" xr:uid="{00000000-0005-0000-0000-0000EB5D0000}"/>
    <cellStyle name="Labels 13 5" xfId="18794" xr:uid="{00000000-0005-0000-0000-0000EC5D0000}"/>
    <cellStyle name="Labels 13 6" xfId="19826" xr:uid="{00000000-0005-0000-0000-0000ED5D0000}"/>
    <cellStyle name="Labels 13 7" xfId="20848" xr:uid="{00000000-0005-0000-0000-0000EE5D0000}"/>
    <cellStyle name="Labels 13 8" xfId="22830" xr:uid="{00000000-0005-0000-0000-0000EF5D0000}"/>
    <cellStyle name="Labels 13 9" xfId="23835" xr:uid="{00000000-0005-0000-0000-0000F05D0000}"/>
    <cellStyle name="Labels 14" xfId="5012" xr:uid="{00000000-0005-0000-0000-0000F15D0000}"/>
    <cellStyle name="Labels 14 10" xfId="24809" xr:uid="{00000000-0005-0000-0000-0000F25D0000}"/>
    <cellStyle name="Labels 14 11" xfId="25808" xr:uid="{00000000-0005-0000-0000-0000F35D0000}"/>
    <cellStyle name="Labels 14 12" xfId="29722" xr:uid="{00000000-0005-0000-0000-0000F45D0000}"/>
    <cellStyle name="Labels 14 13" xfId="30764" xr:uid="{00000000-0005-0000-0000-0000F55D0000}"/>
    <cellStyle name="Labels 14 14" xfId="31755" xr:uid="{00000000-0005-0000-0000-0000F65D0000}"/>
    <cellStyle name="Labels 14 15" xfId="32763" xr:uid="{00000000-0005-0000-0000-0000F75D0000}"/>
    <cellStyle name="Labels 14 16" xfId="33766" xr:uid="{00000000-0005-0000-0000-0000F85D0000}"/>
    <cellStyle name="Labels 14 17" xfId="34765" xr:uid="{00000000-0005-0000-0000-0000F95D0000}"/>
    <cellStyle name="Labels 14 18" xfId="37325" xr:uid="{00000000-0005-0000-0000-0000FA5D0000}"/>
    <cellStyle name="Labels 14 2" xfId="5013" xr:uid="{00000000-0005-0000-0000-0000FB5D0000}"/>
    <cellStyle name="Labels 14 2 10" xfId="25809" xr:uid="{00000000-0005-0000-0000-0000FC5D0000}"/>
    <cellStyle name="Labels 14 2 11" xfId="29723" xr:uid="{00000000-0005-0000-0000-0000FD5D0000}"/>
    <cellStyle name="Labels 14 2 12" xfId="30765" xr:uid="{00000000-0005-0000-0000-0000FE5D0000}"/>
    <cellStyle name="Labels 14 2 13" xfId="31756" xr:uid="{00000000-0005-0000-0000-0000FF5D0000}"/>
    <cellStyle name="Labels 14 2 14" xfId="32764" xr:uid="{00000000-0005-0000-0000-0000005E0000}"/>
    <cellStyle name="Labels 14 2 15" xfId="33767" xr:uid="{00000000-0005-0000-0000-0000015E0000}"/>
    <cellStyle name="Labels 14 2 16" xfId="34766" xr:uid="{00000000-0005-0000-0000-0000025E0000}"/>
    <cellStyle name="Labels 14 2 17" xfId="37326" xr:uid="{00000000-0005-0000-0000-0000035E0000}"/>
    <cellStyle name="Labels 14 2 2" xfId="16791" xr:uid="{00000000-0005-0000-0000-0000045E0000}"/>
    <cellStyle name="Labels 14 2 3" xfId="17770" xr:uid="{00000000-0005-0000-0000-0000055E0000}"/>
    <cellStyle name="Labels 14 2 4" xfId="18797" xr:uid="{00000000-0005-0000-0000-0000065E0000}"/>
    <cellStyle name="Labels 14 2 5" xfId="19829" xr:uid="{00000000-0005-0000-0000-0000075E0000}"/>
    <cellStyle name="Labels 14 2 6" xfId="20851" xr:uid="{00000000-0005-0000-0000-0000085E0000}"/>
    <cellStyle name="Labels 14 2 7" xfId="22833" xr:uid="{00000000-0005-0000-0000-0000095E0000}"/>
    <cellStyle name="Labels 14 2 8" xfId="23838" xr:uid="{00000000-0005-0000-0000-00000A5E0000}"/>
    <cellStyle name="Labels 14 2 9" xfId="24810" xr:uid="{00000000-0005-0000-0000-00000B5E0000}"/>
    <cellStyle name="Labels 14 3" xfId="16790" xr:uid="{00000000-0005-0000-0000-00000C5E0000}"/>
    <cellStyle name="Labels 14 4" xfId="17769" xr:uid="{00000000-0005-0000-0000-00000D5E0000}"/>
    <cellStyle name="Labels 14 5" xfId="18796" xr:uid="{00000000-0005-0000-0000-00000E5E0000}"/>
    <cellStyle name="Labels 14 6" xfId="19828" xr:uid="{00000000-0005-0000-0000-00000F5E0000}"/>
    <cellStyle name="Labels 14 7" xfId="20850" xr:uid="{00000000-0005-0000-0000-0000105E0000}"/>
    <cellStyle name="Labels 14 8" xfId="22832" xr:uid="{00000000-0005-0000-0000-0000115E0000}"/>
    <cellStyle name="Labels 14 9" xfId="23837" xr:uid="{00000000-0005-0000-0000-0000125E0000}"/>
    <cellStyle name="Labels 15" xfId="5014" xr:uid="{00000000-0005-0000-0000-0000135E0000}"/>
    <cellStyle name="Labels 15 10" xfId="25810" xr:uid="{00000000-0005-0000-0000-0000145E0000}"/>
    <cellStyle name="Labels 15 11" xfId="29724" xr:uid="{00000000-0005-0000-0000-0000155E0000}"/>
    <cellStyle name="Labels 15 12" xfId="30766" xr:uid="{00000000-0005-0000-0000-0000165E0000}"/>
    <cellStyle name="Labels 15 13" xfId="31757" xr:uid="{00000000-0005-0000-0000-0000175E0000}"/>
    <cellStyle name="Labels 15 14" xfId="32765" xr:uid="{00000000-0005-0000-0000-0000185E0000}"/>
    <cellStyle name="Labels 15 15" xfId="33768" xr:uid="{00000000-0005-0000-0000-0000195E0000}"/>
    <cellStyle name="Labels 15 16" xfId="34767" xr:uid="{00000000-0005-0000-0000-00001A5E0000}"/>
    <cellStyle name="Labels 15 17" xfId="37327" xr:uid="{00000000-0005-0000-0000-00001B5E0000}"/>
    <cellStyle name="Labels 15 2" xfId="16792" xr:uid="{00000000-0005-0000-0000-00001C5E0000}"/>
    <cellStyle name="Labels 15 3" xfId="17771" xr:uid="{00000000-0005-0000-0000-00001D5E0000}"/>
    <cellStyle name="Labels 15 4" xfId="18798" xr:uid="{00000000-0005-0000-0000-00001E5E0000}"/>
    <cellStyle name="Labels 15 5" xfId="19830" xr:uid="{00000000-0005-0000-0000-00001F5E0000}"/>
    <cellStyle name="Labels 15 6" xfId="20852" xr:uid="{00000000-0005-0000-0000-0000205E0000}"/>
    <cellStyle name="Labels 15 7" xfId="22834" xr:uid="{00000000-0005-0000-0000-0000215E0000}"/>
    <cellStyle name="Labels 15 8" xfId="23839" xr:uid="{00000000-0005-0000-0000-0000225E0000}"/>
    <cellStyle name="Labels 15 9" xfId="24811" xr:uid="{00000000-0005-0000-0000-0000235E0000}"/>
    <cellStyle name="Labels 16" xfId="5015" xr:uid="{00000000-0005-0000-0000-0000245E0000}"/>
    <cellStyle name="Labels 16 10" xfId="25811" xr:uid="{00000000-0005-0000-0000-0000255E0000}"/>
    <cellStyle name="Labels 16 11" xfId="29725" xr:uid="{00000000-0005-0000-0000-0000265E0000}"/>
    <cellStyle name="Labels 16 12" xfId="30767" xr:uid="{00000000-0005-0000-0000-0000275E0000}"/>
    <cellStyle name="Labels 16 13" xfId="31758" xr:uid="{00000000-0005-0000-0000-0000285E0000}"/>
    <cellStyle name="Labels 16 14" xfId="32766" xr:uid="{00000000-0005-0000-0000-0000295E0000}"/>
    <cellStyle name="Labels 16 15" xfId="33769" xr:uid="{00000000-0005-0000-0000-00002A5E0000}"/>
    <cellStyle name="Labels 16 16" xfId="34768" xr:uid="{00000000-0005-0000-0000-00002B5E0000}"/>
    <cellStyle name="Labels 16 17" xfId="37328" xr:uid="{00000000-0005-0000-0000-00002C5E0000}"/>
    <cellStyle name="Labels 16 2" xfId="16793" xr:uid="{00000000-0005-0000-0000-00002D5E0000}"/>
    <cellStyle name="Labels 16 3" xfId="17772" xr:uid="{00000000-0005-0000-0000-00002E5E0000}"/>
    <cellStyle name="Labels 16 4" xfId="18799" xr:uid="{00000000-0005-0000-0000-00002F5E0000}"/>
    <cellStyle name="Labels 16 5" xfId="19831" xr:uid="{00000000-0005-0000-0000-0000305E0000}"/>
    <cellStyle name="Labels 16 6" xfId="20853" xr:uid="{00000000-0005-0000-0000-0000315E0000}"/>
    <cellStyle name="Labels 16 7" xfId="22835" xr:uid="{00000000-0005-0000-0000-0000325E0000}"/>
    <cellStyle name="Labels 16 8" xfId="23840" xr:uid="{00000000-0005-0000-0000-0000335E0000}"/>
    <cellStyle name="Labels 16 9" xfId="24812" xr:uid="{00000000-0005-0000-0000-0000345E0000}"/>
    <cellStyle name="Labels 17" xfId="5016" xr:uid="{00000000-0005-0000-0000-0000355E0000}"/>
    <cellStyle name="Labels 17 10" xfId="25812" xr:uid="{00000000-0005-0000-0000-0000365E0000}"/>
    <cellStyle name="Labels 17 11" xfId="29726" xr:uid="{00000000-0005-0000-0000-0000375E0000}"/>
    <cellStyle name="Labels 17 12" xfId="30768" xr:uid="{00000000-0005-0000-0000-0000385E0000}"/>
    <cellStyle name="Labels 17 13" xfId="31759" xr:uid="{00000000-0005-0000-0000-0000395E0000}"/>
    <cellStyle name="Labels 17 14" xfId="32767" xr:uid="{00000000-0005-0000-0000-00003A5E0000}"/>
    <cellStyle name="Labels 17 15" xfId="33770" xr:uid="{00000000-0005-0000-0000-00003B5E0000}"/>
    <cellStyle name="Labels 17 16" xfId="34769" xr:uid="{00000000-0005-0000-0000-00003C5E0000}"/>
    <cellStyle name="Labels 17 17" xfId="37329" xr:uid="{00000000-0005-0000-0000-00003D5E0000}"/>
    <cellStyle name="Labels 17 2" xfId="16794" xr:uid="{00000000-0005-0000-0000-00003E5E0000}"/>
    <cellStyle name="Labels 17 3" xfId="17773" xr:uid="{00000000-0005-0000-0000-00003F5E0000}"/>
    <cellStyle name="Labels 17 4" xfId="18800" xr:uid="{00000000-0005-0000-0000-0000405E0000}"/>
    <cellStyle name="Labels 17 5" xfId="19832" xr:uid="{00000000-0005-0000-0000-0000415E0000}"/>
    <cellStyle name="Labels 17 6" xfId="20854" xr:uid="{00000000-0005-0000-0000-0000425E0000}"/>
    <cellStyle name="Labels 17 7" xfId="22836" xr:uid="{00000000-0005-0000-0000-0000435E0000}"/>
    <cellStyle name="Labels 17 8" xfId="23841" xr:uid="{00000000-0005-0000-0000-0000445E0000}"/>
    <cellStyle name="Labels 17 9" xfId="24813" xr:uid="{00000000-0005-0000-0000-0000455E0000}"/>
    <cellStyle name="Labels 18" xfId="5017" xr:uid="{00000000-0005-0000-0000-0000465E0000}"/>
    <cellStyle name="Labels 18 10" xfId="25813" xr:uid="{00000000-0005-0000-0000-0000475E0000}"/>
    <cellStyle name="Labels 18 11" xfId="29727" xr:uid="{00000000-0005-0000-0000-0000485E0000}"/>
    <cellStyle name="Labels 18 12" xfId="30769" xr:uid="{00000000-0005-0000-0000-0000495E0000}"/>
    <cellStyle name="Labels 18 13" xfId="31760" xr:uid="{00000000-0005-0000-0000-00004A5E0000}"/>
    <cellStyle name="Labels 18 14" xfId="32768" xr:uid="{00000000-0005-0000-0000-00004B5E0000}"/>
    <cellStyle name="Labels 18 15" xfId="33771" xr:uid="{00000000-0005-0000-0000-00004C5E0000}"/>
    <cellStyle name="Labels 18 16" xfId="34770" xr:uid="{00000000-0005-0000-0000-00004D5E0000}"/>
    <cellStyle name="Labels 18 17" xfId="37330" xr:uid="{00000000-0005-0000-0000-00004E5E0000}"/>
    <cellStyle name="Labels 18 2" xfId="16795" xr:uid="{00000000-0005-0000-0000-00004F5E0000}"/>
    <cellStyle name="Labels 18 3" xfId="17774" xr:uid="{00000000-0005-0000-0000-0000505E0000}"/>
    <cellStyle name="Labels 18 4" xfId="18801" xr:uid="{00000000-0005-0000-0000-0000515E0000}"/>
    <cellStyle name="Labels 18 5" xfId="19833" xr:uid="{00000000-0005-0000-0000-0000525E0000}"/>
    <cellStyle name="Labels 18 6" xfId="20855" xr:uid="{00000000-0005-0000-0000-0000535E0000}"/>
    <cellStyle name="Labels 18 7" xfId="22837" xr:uid="{00000000-0005-0000-0000-0000545E0000}"/>
    <cellStyle name="Labels 18 8" xfId="23842" xr:uid="{00000000-0005-0000-0000-0000555E0000}"/>
    <cellStyle name="Labels 18 9" xfId="24814" xr:uid="{00000000-0005-0000-0000-0000565E0000}"/>
    <cellStyle name="Labels 19" xfId="15085" xr:uid="{00000000-0005-0000-0000-0000575E0000}"/>
    <cellStyle name="Labels 2" xfId="5018" xr:uid="{00000000-0005-0000-0000-0000585E0000}"/>
    <cellStyle name="Labels 2 10" xfId="18922" xr:uid="{00000000-0005-0000-0000-0000595E0000}"/>
    <cellStyle name="Labels 2 11" xfId="13590" xr:uid="{00000000-0005-0000-0000-00005A5E0000}"/>
    <cellStyle name="Labels 2 12" xfId="21897" xr:uid="{00000000-0005-0000-0000-00005B5E0000}"/>
    <cellStyle name="Labels 2 13" xfId="27261" xr:uid="{00000000-0005-0000-0000-00005C5E0000}"/>
    <cellStyle name="Labels 2 14" xfId="25884" xr:uid="{00000000-0005-0000-0000-00005D5E0000}"/>
    <cellStyle name="Labels 2 15" xfId="29827" xr:uid="{00000000-0005-0000-0000-00005E5E0000}"/>
    <cellStyle name="Labels 2 16" xfId="30853" xr:uid="{00000000-0005-0000-0000-00005F5E0000}"/>
    <cellStyle name="Labels 2 17" xfId="27771" xr:uid="{00000000-0005-0000-0000-0000605E0000}"/>
    <cellStyle name="Labels 2 18" xfId="35367" xr:uid="{00000000-0005-0000-0000-0000615E0000}"/>
    <cellStyle name="Labels 2 2" xfId="5019" xr:uid="{00000000-0005-0000-0000-0000625E0000}"/>
    <cellStyle name="Labels 2 2 10" xfId="20959" xr:uid="{00000000-0005-0000-0000-0000635E0000}"/>
    <cellStyle name="Labels 2 2 11" xfId="14177" xr:uid="{00000000-0005-0000-0000-0000645E0000}"/>
    <cellStyle name="Labels 2 2 12" xfId="27690" xr:uid="{00000000-0005-0000-0000-0000655E0000}"/>
    <cellStyle name="Labels 2 2 13" xfId="25982" xr:uid="{00000000-0005-0000-0000-0000665E0000}"/>
    <cellStyle name="Labels 2 2 14" xfId="26580" xr:uid="{00000000-0005-0000-0000-0000675E0000}"/>
    <cellStyle name="Labels 2 2 15" xfId="27773" xr:uid="{00000000-0005-0000-0000-0000685E0000}"/>
    <cellStyle name="Labels 2 2 16" xfId="26906" xr:uid="{00000000-0005-0000-0000-0000695E0000}"/>
    <cellStyle name="Labels 2 2 17" xfId="35252" xr:uid="{00000000-0005-0000-0000-00006A5E0000}"/>
    <cellStyle name="Labels 2 2 2" xfId="5020" xr:uid="{00000000-0005-0000-0000-00006B5E0000}"/>
    <cellStyle name="Labels 2 2 2 10" xfId="24815" xr:uid="{00000000-0005-0000-0000-00006C5E0000}"/>
    <cellStyle name="Labels 2 2 2 11" xfId="25814" xr:uid="{00000000-0005-0000-0000-00006D5E0000}"/>
    <cellStyle name="Labels 2 2 2 12" xfId="29728" xr:uid="{00000000-0005-0000-0000-00006E5E0000}"/>
    <cellStyle name="Labels 2 2 2 13" xfId="30770" xr:uid="{00000000-0005-0000-0000-00006F5E0000}"/>
    <cellStyle name="Labels 2 2 2 14" xfId="31761" xr:uid="{00000000-0005-0000-0000-0000705E0000}"/>
    <cellStyle name="Labels 2 2 2 15" xfId="32769" xr:uid="{00000000-0005-0000-0000-0000715E0000}"/>
    <cellStyle name="Labels 2 2 2 16" xfId="33772" xr:uid="{00000000-0005-0000-0000-0000725E0000}"/>
    <cellStyle name="Labels 2 2 2 17" xfId="34771" xr:uid="{00000000-0005-0000-0000-0000735E0000}"/>
    <cellStyle name="Labels 2 2 2 18" xfId="37331" xr:uid="{00000000-0005-0000-0000-0000745E0000}"/>
    <cellStyle name="Labels 2 2 2 2" xfId="5021" xr:uid="{00000000-0005-0000-0000-0000755E0000}"/>
    <cellStyle name="Labels 2 2 2 2 10" xfId="25815" xr:uid="{00000000-0005-0000-0000-0000765E0000}"/>
    <cellStyle name="Labels 2 2 2 2 11" xfId="29729" xr:uid="{00000000-0005-0000-0000-0000775E0000}"/>
    <cellStyle name="Labels 2 2 2 2 12" xfId="30771" xr:uid="{00000000-0005-0000-0000-0000785E0000}"/>
    <cellStyle name="Labels 2 2 2 2 13" xfId="31762" xr:uid="{00000000-0005-0000-0000-0000795E0000}"/>
    <cellStyle name="Labels 2 2 2 2 14" xfId="32770" xr:uid="{00000000-0005-0000-0000-00007A5E0000}"/>
    <cellStyle name="Labels 2 2 2 2 15" xfId="33773" xr:uid="{00000000-0005-0000-0000-00007B5E0000}"/>
    <cellStyle name="Labels 2 2 2 2 16" xfId="34772" xr:uid="{00000000-0005-0000-0000-00007C5E0000}"/>
    <cellStyle name="Labels 2 2 2 2 17" xfId="37332" xr:uid="{00000000-0005-0000-0000-00007D5E0000}"/>
    <cellStyle name="Labels 2 2 2 2 2" xfId="16797" xr:uid="{00000000-0005-0000-0000-00007E5E0000}"/>
    <cellStyle name="Labels 2 2 2 2 3" xfId="17776" xr:uid="{00000000-0005-0000-0000-00007F5E0000}"/>
    <cellStyle name="Labels 2 2 2 2 4" xfId="18803" xr:uid="{00000000-0005-0000-0000-0000805E0000}"/>
    <cellStyle name="Labels 2 2 2 2 5" xfId="19835" xr:uid="{00000000-0005-0000-0000-0000815E0000}"/>
    <cellStyle name="Labels 2 2 2 2 6" xfId="20857" xr:uid="{00000000-0005-0000-0000-0000825E0000}"/>
    <cellStyle name="Labels 2 2 2 2 7" xfId="22839" xr:uid="{00000000-0005-0000-0000-0000835E0000}"/>
    <cellStyle name="Labels 2 2 2 2 8" xfId="23844" xr:uid="{00000000-0005-0000-0000-0000845E0000}"/>
    <cellStyle name="Labels 2 2 2 2 9" xfId="24816" xr:uid="{00000000-0005-0000-0000-0000855E0000}"/>
    <cellStyle name="Labels 2 2 2 3" xfId="16796" xr:uid="{00000000-0005-0000-0000-0000865E0000}"/>
    <cellStyle name="Labels 2 2 2 4" xfId="17775" xr:uid="{00000000-0005-0000-0000-0000875E0000}"/>
    <cellStyle name="Labels 2 2 2 5" xfId="18802" xr:uid="{00000000-0005-0000-0000-0000885E0000}"/>
    <cellStyle name="Labels 2 2 2 6" xfId="19834" xr:uid="{00000000-0005-0000-0000-0000895E0000}"/>
    <cellStyle name="Labels 2 2 2 7" xfId="20856" xr:uid="{00000000-0005-0000-0000-00008A5E0000}"/>
    <cellStyle name="Labels 2 2 2 8" xfId="22838" xr:uid="{00000000-0005-0000-0000-00008B5E0000}"/>
    <cellStyle name="Labels 2 2 2 9" xfId="23843" xr:uid="{00000000-0005-0000-0000-00008C5E0000}"/>
    <cellStyle name="Labels 2 2 3" xfId="5022" xr:uid="{00000000-0005-0000-0000-00008D5E0000}"/>
    <cellStyle name="Labels 2 2 3 10" xfId="24817" xr:uid="{00000000-0005-0000-0000-00008E5E0000}"/>
    <cellStyle name="Labels 2 2 3 11" xfId="25816" xr:uid="{00000000-0005-0000-0000-00008F5E0000}"/>
    <cellStyle name="Labels 2 2 3 12" xfId="29730" xr:uid="{00000000-0005-0000-0000-0000905E0000}"/>
    <cellStyle name="Labels 2 2 3 13" xfId="30772" xr:uid="{00000000-0005-0000-0000-0000915E0000}"/>
    <cellStyle name="Labels 2 2 3 14" xfId="31763" xr:uid="{00000000-0005-0000-0000-0000925E0000}"/>
    <cellStyle name="Labels 2 2 3 15" xfId="32771" xr:uid="{00000000-0005-0000-0000-0000935E0000}"/>
    <cellStyle name="Labels 2 2 3 16" xfId="33774" xr:uid="{00000000-0005-0000-0000-0000945E0000}"/>
    <cellStyle name="Labels 2 2 3 17" xfId="34773" xr:uid="{00000000-0005-0000-0000-0000955E0000}"/>
    <cellStyle name="Labels 2 2 3 18" xfId="37333" xr:uid="{00000000-0005-0000-0000-0000965E0000}"/>
    <cellStyle name="Labels 2 2 3 2" xfId="5023" xr:uid="{00000000-0005-0000-0000-0000975E0000}"/>
    <cellStyle name="Labels 2 2 3 2 10" xfId="25817" xr:uid="{00000000-0005-0000-0000-0000985E0000}"/>
    <cellStyle name="Labels 2 2 3 2 11" xfId="29731" xr:uid="{00000000-0005-0000-0000-0000995E0000}"/>
    <cellStyle name="Labels 2 2 3 2 12" xfId="30773" xr:uid="{00000000-0005-0000-0000-00009A5E0000}"/>
    <cellStyle name="Labels 2 2 3 2 13" xfId="31764" xr:uid="{00000000-0005-0000-0000-00009B5E0000}"/>
    <cellStyle name="Labels 2 2 3 2 14" xfId="32772" xr:uid="{00000000-0005-0000-0000-00009C5E0000}"/>
    <cellStyle name="Labels 2 2 3 2 15" xfId="33775" xr:uid="{00000000-0005-0000-0000-00009D5E0000}"/>
    <cellStyle name="Labels 2 2 3 2 16" xfId="34774" xr:uid="{00000000-0005-0000-0000-00009E5E0000}"/>
    <cellStyle name="Labels 2 2 3 2 17" xfId="37334" xr:uid="{00000000-0005-0000-0000-00009F5E0000}"/>
    <cellStyle name="Labels 2 2 3 2 2" xfId="16799" xr:uid="{00000000-0005-0000-0000-0000A05E0000}"/>
    <cellStyle name="Labels 2 2 3 2 3" xfId="17778" xr:uid="{00000000-0005-0000-0000-0000A15E0000}"/>
    <cellStyle name="Labels 2 2 3 2 4" xfId="18805" xr:uid="{00000000-0005-0000-0000-0000A25E0000}"/>
    <cellStyle name="Labels 2 2 3 2 5" xfId="19837" xr:uid="{00000000-0005-0000-0000-0000A35E0000}"/>
    <cellStyle name="Labels 2 2 3 2 6" xfId="20859" xr:uid="{00000000-0005-0000-0000-0000A45E0000}"/>
    <cellStyle name="Labels 2 2 3 2 7" xfId="22841" xr:uid="{00000000-0005-0000-0000-0000A55E0000}"/>
    <cellStyle name="Labels 2 2 3 2 8" xfId="23846" xr:uid="{00000000-0005-0000-0000-0000A65E0000}"/>
    <cellStyle name="Labels 2 2 3 2 9" xfId="24818" xr:uid="{00000000-0005-0000-0000-0000A75E0000}"/>
    <cellStyle name="Labels 2 2 3 3" xfId="16798" xr:uid="{00000000-0005-0000-0000-0000A85E0000}"/>
    <cellStyle name="Labels 2 2 3 4" xfId="17777" xr:uid="{00000000-0005-0000-0000-0000A95E0000}"/>
    <cellStyle name="Labels 2 2 3 5" xfId="18804" xr:uid="{00000000-0005-0000-0000-0000AA5E0000}"/>
    <cellStyle name="Labels 2 2 3 6" xfId="19836" xr:uid="{00000000-0005-0000-0000-0000AB5E0000}"/>
    <cellStyle name="Labels 2 2 3 7" xfId="20858" xr:uid="{00000000-0005-0000-0000-0000AC5E0000}"/>
    <cellStyle name="Labels 2 2 3 8" xfId="22840" xr:uid="{00000000-0005-0000-0000-0000AD5E0000}"/>
    <cellStyle name="Labels 2 2 3 9" xfId="23845" xr:uid="{00000000-0005-0000-0000-0000AE5E0000}"/>
    <cellStyle name="Labels 2 2 4" xfId="5024" xr:uid="{00000000-0005-0000-0000-0000AF5E0000}"/>
    <cellStyle name="Labels 2 2 4 10" xfId="25818" xr:uid="{00000000-0005-0000-0000-0000B05E0000}"/>
    <cellStyle name="Labels 2 2 4 11" xfId="29732" xr:uid="{00000000-0005-0000-0000-0000B15E0000}"/>
    <cellStyle name="Labels 2 2 4 12" xfId="30774" xr:uid="{00000000-0005-0000-0000-0000B25E0000}"/>
    <cellStyle name="Labels 2 2 4 13" xfId="31765" xr:uid="{00000000-0005-0000-0000-0000B35E0000}"/>
    <cellStyle name="Labels 2 2 4 14" xfId="32773" xr:uid="{00000000-0005-0000-0000-0000B45E0000}"/>
    <cellStyle name="Labels 2 2 4 15" xfId="33776" xr:uid="{00000000-0005-0000-0000-0000B55E0000}"/>
    <cellStyle name="Labels 2 2 4 16" xfId="34775" xr:uid="{00000000-0005-0000-0000-0000B65E0000}"/>
    <cellStyle name="Labels 2 2 4 17" xfId="37335" xr:uid="{00000000-0005-0000-0000-0000B75E0000}"/>
    <cellStyle name="Labels 2 2 4 2" xfId="16800" xr:uid="{00000000-0005-0000-0000-0000B85E0000}"/>
    <cellStyle name="Labels 2 2 4 3" xfId="17779" xr:uid="{00000000-0005-0000-0000-0000B95E0000}"/>
    <cellStyle name="Labels 2 2 4 4" xfId="18806" xr:uid="{00000000-0005-0000-0000-0000BA5E0000}"/>
    <cellStyle name="Labels 2 2 4 5" xfId="19838" xr:uid="{00000000-0005-0000-0000-0000BB5E0000}"/>
    <cellStyle name="Labels 2 2 4 6" xfId="20860" xr:uid="{00000000-0005-0000-0000-0000BC5E0000}"/>
    <cellStyle name="Labels 2 2 4 7" xfId="22842" xr:uid="{00000000-0005-0000-0000-0000BD5E0000}"/>
    <cellStyle name="Labels 2 2 4 8" xfId="23847" xr:uid="{00000000-0005-0000-0000-0000BE5E0000}"/>
    <cellStyle name="Labels 2 2 4 9" xfId="24819" xr:uid="{00000000-0005-0000-0000-0000BF5E0000}"/>
    <cellStyle name="Labels 2 2 5" xfId="5025" xr:uid="{00000000-0005-0000-0000-0000C05E0000}"/>
    <cellStyle name="Labels 2 2 5 10" xfId="25819" xr:uid="{00000000-0005-0000-0000-0000C15E0000}"/>
    <cellStyle name="Labels 2 2 5 11" xfId="29733" xr:uid="{00000000-0005-0000-0000-0000C25E0000}"/>
    <cellStyle name="Labels 2 2 5 12" xfId="30775" xr:uid="{00000000-0005-0000-0000-0000C35E0000}"/>
    <cellStyle name="Labels 2 2 5 13" xfId="31766" xr:uid="{00000000-0005-0000-0000-0000C45E0000}"/>
    <cellStyle name="Labels 2 2 5 14" xfId="32774" xr:uid="{00000000-0005-0000-0000-0000C55E0000}"/>
    <cellStyle name="Labels 2 2 5 15" xfId="33777" xr:uid="{00000000-0005-0000-0000-0000C65E0000}"/>
    <cellStyle name="Labels 2 2 5 16" xfId="34776" xr:uid="{00000000-0005-0000-0000-0000C75E0000}"/>
    <cellStyle name="Labels 2 2 5 17" xfId="37336" xr:uid="{00000000-0005-0000-0000-0000C85E0000}"/>
    <cellStyle name="Labels 2 2 5 2" xfId="16801" xr:uid="{00000000-0005-0000-0000-0000C95E0000}"/>
    <cellStyle name="Labels 2 2 5 3" xfId="17780" xr:uid="{00000000-0005-0000-0000-0000CA5E0000}"/>
    <cellStyle name="Labels 2 2 5 4" xfId="18807" xr:uid="{00000000-0005-0000-0000-0000CB5E0000}"/>
    <cellStyle name="Labels 2 2 5 5" xfId="19839" xr:uid="{00000000-0005-0000-0000-0000CC5E0000}"/>
    <cellStyle name="Labels 2 2 5 6" xfId="20861" xr:uid="{00000000-0005-0000-0000-0000CD5E0000}"/>
    <cellStyle name="Labels 2 2 5 7" xfId="22843" xr:uid="{00000000-0005-0000-0000-0000CE5E0000}"/>
    <cellStyle name="Labels 2 2 5 8" xfId="23848" xr:uid="{00000000-0005-0000-0000-0000CF5E0000}"/>
    <cellStyle name="Labels 2 2 5 9" xfId="24820" xr:uid="{00000000-0005-0000-0000-0000D05E0000}"/>
    <cellStyle name="Labels 2 2 6" xfId="13931" xr:uid="{00000000-0005-0000-0000-0000D15E0000}"/>
    <cellStyle name="Labels 2 2 7" xfId="15811" xr:uid="{00000000-0005-0000-0000-0000D25E0000}"/>
    <cellStyle name="Labels 2 2 8" xfId="13664" xr:uid="{00000000-0005-0000-0000-0000D35E0000}"/>
    <cellStyle name="Labels 2 2 9" xfId="14246" xr:uid="{00000000-0005-0000-0000-0000D45E0000}"/>
    <cellStyle name="Labels 2 3" xfId="5026" xr:uid="{00000000-0005-0000-0000-0000D55E0000}"/>
    <cellStyle name="Labels 2 3 10" xfId="24821" xr:uid="{00000000-0005-0000-0000-0000D65E0000}"/>
    <cellStyle name="Labels 2 3 11" xfId="25820" xr:uid="{00000000-0005-0000-0000-0000D75E0000}"/>
    <cellStyle name="Labels 2 3 12" xfId="29734" xr:uid="{00000000-0005-0000-0000-0000D85E0000}"/>
    <cellStyle name="Labels 2 3 13" xfId="30776" xr:uid="{00000000-0005-0000-0000-0000D95E0000}"/>
    <cellStyle name="Labels 2 3 14" xfId="31767" xr:uid="{00000000-0005-0000-0000-0000DA5E0000}"/>
    <cellStyle name="Labels 2 3 15" xfId="32775" xr:uid="{00000000-0005-0000-0000-0000DB5E0000}"/>
    <cellStyle name="Labels 2 3 16" xfId="33778" xr:uid="{00000000-0005-0000-0000-0000DC5E0000}"/>
    <cellStyle name="Labels 2 3 17" xfId="34777" xr:uid="{00000000-0005-0000-0000-0000DD5E0000}"/>
    <cellStyle name="Labels 2 3 18" xfId="37337" xr:uid="{00000000-0005-0000-0000-0000DE5E0000}"/>
    <cellStyle name="Labels 2 3 2" xfId="5027" xr:uid="{00000000-0005-0000-0000-0000DF5E0000}"/>
    <cellStyle name="Labels 2 3 2 10" xfId="25821" xr:uid="{00000000-0005-0000-0000-0000E05E0000}"/>
    <cellStyle name="Labels 2 3 2 11" xfId="29735" xr:uid="{00000000-0005-0000-0000-0000E15E0000}"/>
    <cellStyle name="Labels 2 3 2 12" xfId="30777" xr:uid="{00000000-0005-0000-0000-0000E25E0000}"/>
    <cellStyle name="Labels 2 3 2 13" xfId="31768" xr:uid="{00000000-0005-0000-0000-0000E35E0000}"/>
    <cellStyle name="Labels 2 3 2 14" xfId="32776" xr:uid="{00000000-0005-0000-0000-0000E45E0000}"/>
    <cellStyle name="Labels 2 3 2 15" xfId="33779" xr:uid="{00000000-0005-0000-0000-0000E55E0000}"/>
    <cellStyle name="Labels 2 3 2 16" xfId="34778" xr:uid="{00000000-0005-0000-0000-0000E65E0000}"/>
    <cellStyle name="Labels 2 3 2 17" xfId="37338" xr:uid="{00000000-0005-0000-0000-0000E75E0000}"/>
    <cellStyle name="Labels 2 3 2 2" xfId="16803" xr:uid="{00000000-0005-0000-0000-0000E85E0000}"/>
    <cellStyle name="Labels 2 3 2 3" xfId="17782" xr:uid="{00000000-0005-0000-0000-0000E95E0000}"/>
    <cellStyle name="Labels 2 3 2 4" xfId="18809" xr:uid="{00000000-0005-0000-0000-0000EA5E0000}"/>
    <cellStyle name="Labels 2 3 2 5" xfId="19841" xr:uid="{00000000-0005-0000-0000-0000EB5E0000}"/>
    <cellStyle name="Labels 2 3 2 6" xfId="20863" xr:uid="{00000000-0005-0000-0000-0000EC5E0000}"/>
    <cellStyle name="Labels 2 3 2 7" xfId="22845" xr:uid="{00000000-0005-0000-0000-0000ED5E0000}"/>
    <cellStyle name="Labels 2 3 2 8" xfId="23850" xr:uid="{00000000-0005-0000-0000-0000EE5E0000}"/>
    <cellStyle name="Labels 2 3 2 9" xfId="24822" xr:uid="{00000000-0005-0000-0000-0000EF5E0000}"/>
    <cellStyle name="Labels 2 3 3" xfId="16802" xr:uid="{00000000-0005-0000-0000-0000F05E0000}"/>
    <cellStyle name="Labels 2 3 4" xfId="17781" xr:uid="{00000000-0005-0000-0000-0000F15E0000}"/>
    <cellStyle name="Labels 2 3 5" xfId="18808" xr:uid="{00000000-0005-0000-0000-0000F25E0000}"/>
    <cellStyle name="Labels 2 3 6" xfId="19840" xr:uid="{00000000-0005-0000-0000-0000F35E0000}"/>
    <cellStyle name="Labels 2 3 7" xfId="20862" xr:uid="{00000000-0005-0000-0000-0000F45E0000}"/>
    <cellStyle name="Labels 2 3 8" xfId="22844" xr:uid="{00000000-0005-0000-0000-0000F55E0000}"/>
    <cellStyle name="Labels 2 3 9" xfId="23849" xr:uid="{00000000-0005-0000-0000-0000F65E0000}"/>
    <cellStyle name="Labels 2 4" xfId="5028" xr:uid="{00000000-0005-0000-0000-0000F75E0000}"/>
    <cellStyle name="Labels 2 4 10" xfId="24823" xr:uid="{00000000-0005-0000-0000-0000F85E0000}"/>
    <cellStyle name="Labels 2 4 11" xfId="25822" xr:uid="{00000000-0005-0000-0000-0000F95E0000}"/>
    <cellStyle name="Labels 2 4 12" xfId="29736" xr:uid="{00000000-0005-0000-0000-0000FA5E0000}"/>
    <cellStyle name="Labels 2 4 13" xfId="30778" xr:uid="{00000000-0005-0000-0000-0000FB5E0000}"/>
    <cellStyle name="Labels 2 4 14" xfId="31769" xr:uid="{00000000-0005-0000-0000-0000FC5E0000}"/>
    <cellStyle name="Labels 2 4 15" xfId="32777" xr:uid="{00000000-0005-0000-0000-0000FD5E0000}"/>
    <cellStyle name="Labels 2 4 16" xfId="33780" xr:uid="{00000000-0005-0000-0000-0000FE5E0000}"/>
    <cellStyle name="Labels 2 4 17" xfId="34779" xr:uid="{00000000-0005-0000-0000-0000FF5E0000}"/>
    <cellStyle name="Labels 2 4 18" xfId="37339" xr:uid="{00000000-0005-0000-0000-0000005F0000}"/>
    <cellStyle name="Labels 2 4 2" xfId="5029" xr:uid="{00000000-0005-0000-0000-0000015F0000}"/>
    <cellStyle name="Labels 2 4 2 10" xfId="25823" xr:uid="{00000000-0005-0000-0000-0000025F0000}"/>
    <cellStyle name="Labels 2 4 2 11" xfId="29737" xr:uid="{00000000-0005-0000-0000-0000035F0000}"/>
    <cellStyle name="Labels 2 4 2 12" xfId="30779" xr:uid="{00000000-0005-0000-0000-0000045F0000}"/>
    <cellStyle name="Labels 2 4 2 13" xfId="31770" xr:uid="{00000000-0005-0000-0000-0000055F0000}"/>
    <cellStyle name="Labels 2 4 2 14" xfId="32778" xr:uid="{00000000-0005-0000-0000-0000065F0000}"/>
    <cellStyle name="Labels 2 4 2 15" xfId="33781" xr:uid="{00000000-0005-0000-0000-0000075F0000}"/>
    <cellStyle name="Labels 2 4 2 16" xfId="34780" xr:uid="{00000000-0005-0000-0000-0000085F0000}"/>
    <cellStyle name="Labels 2 4 2 17" xfId="37340" xr:uid="{00000000-0005-0000-0000-0000095F0000}"/>
    <cellStyle name="Labels 2 4 2 2" xfId="16805" xr:uid="{00000000-0005-0000-0000-00000A5F0000}"/>
    <cellStyle name="Labels 2 4 2 3" xfId="17784" xr:uid="{00000000-0005-0000-0000-00000B5F0000}"/>
    <cellStyle name="Labels 2 4 2 4" xfId="18811" xr:uid="{00000000-0005-0000-0000-00000C5F0000}"/>
    <cellStyle name="Labels 2 4 2 5" xfId="19843" xr:uid="{00000000-0005-0000-0000-00000D5F0000}"/>
    <cellStyle name="Labels 2 4 2 6" xfId="20865" xr:uid="{00000000-0005-0000-0000-00000E5F0000}"/>
    <cellStyle name="Labels 2 4 2 7" xfId="22847" xr:uid="{00000000-0005-0000-0000-00000F5F0000}"/>
    <cellStyle name="Labels 2 4 2 8" xfId="23852" xr:uid="{00000000-0005-0000-0000-0000105F0000}"/>
    <cellStyle name="Labels 2 4 2 9" xfId="24824" xr:uid="{00000000-0005-0000-0000-0000115F0000}"/>
    <cellStyle name="Labels 2 4 3" xfId="16804" xr:uid="{00000000-0005-0000-0000-0000125F0000}"/>
    <cellStyle name="Labels 2 4 4" xfId="17783" xr:uid="{00000000-0005-0000-0000-0000135F0000}"/>
    <cellStyle name="Labels 2 4 5" xfId="18810" xr:uid="{00000000-0005-0000-0000-0000145F0000}"/>
    <cellStyle name="Labels 2 4 6" xfId="19842" xr:uid="{00000000-0005-0000-0000-0000155F0000}"/>
    <cellStyle name="Labels 2 4 7" xfId="20864" xr:uid="{00000000-0005-0000-0000-0000165F0000}"/>
    <cellStyle name="Labels 2 4 8" xfId="22846" xr:uid="{00000000-0005-0000-0000-0000175F0000}"/>
    <cellStyle name="Labels 2 4 9" xfId="23851" xr:uid="{00000000-0005-0000-0000-0000185F0000}"/>
    <cellStyle name="Labels 2 5" xfId="5030" xr:uid="{00000000-0005-0000-0000-0000195F0000}"/>
    <cellStyle name="Labels 2 5 10" xfId="25824" xr:uid="{00000000-0005-0000-0000-00001A5F0000}"/>
    <cellStyle name="Labels 2 5 11" xfId="29738" xr:uid="{00000000-0005-0000-0000-00001B5F0000}"/>
    <cellStyle name="Labels 2 5 12" xfId="30780" xr:uid="{00000000-0005-0000-0000-00001C5F0000}"/>
    <cellStyle name="Labels 2 5 13" xfId="31771" xr:uid="{00000000-0005-0000-0000-00001D5F0000}"/>
    <cellStyle name="Labels 2 5 14" xfId="32779" xr:uid="{00000000-0005-0000-0000-00001E5F0000}"/>
    <cellStyle name="Labels 2 5 15" xfId="33782" xr:uid="{00000000-0005-0000-0000-00001F5F0000}"/>
    <cellStyle name="Labels 2 5 16" xfId="34781" xr:uid="{00000000-0005-0000-0000-0000205F0000}"/>
    <cellStyle name="Labels 2 5 17" xfId="37341" xr:uid="{00000000-0005-0000-0000-0000215F0000}"/>
    <cellStyle name="Labels 2 5 2" xfId="16806" xr:uid="{00000000-0005-0000-0000-0000225F0000}"/>
    <cellStyle name="Labels 2 5 3" xfId="17785" xr:uid="{00000000-0005-0000-0000-0000235F0000}"/>
    <cellStyle name="Labels 2 5 4" xfId="18812" xr:uid="{00000000-0005-0000-0000-0000245F0000}"/>
    <cellStyle name="Labels 2 5 5" xfId="19844" xr:uid="{00000000-0005-0000-0000-0000255F0000}"/>
    <cellStyle name="Labels 2 5 6" xfId="20866" xr:uid="{00000000-0005-0000-0000-0000265F0000}"/>
    <cellStyle name="Labels 2 5 7" xfId="22848" xr:uid="{00000000-0005-0000-0000-0000275F0000}"/>
    <cellStyle name="Labels 2 5 8" xfId="23853" xr:uid="{00000000-0005-0000-0000-0000285F0000}"/>
    <cellStyle name="Labels 2 5 9" xfId="24825" xr:uid="{00000000-0005-0000-0000-0000295F0000}"/>
    <cellStyle name="Labels 2 6" xfId="5031" xr:uid="{00000000-0005-0000-0000-00002A5F0000}"/>
    <cellStyle name="Labels 2 6 10" xfId="25825" xr:uid="{00000000-0005-0000-0000-00002B5F0000}"/>
    <cellStyle name="Labels 2 6 11" xfId="29739" xr:uid="{00000000-0005-0000-0000-00002C5F0000}"/>
    <cellStyle name="Labels 2 6 12" xfId="30781" xr:uid="{00000000-0005-0000-0000-00002D5F0000}"/>
    <cellStyle name="Labels 2 6 13" xfId="31772" xr:uid="{00000000-0005-0000-0000-00002E5F0000}"/>
    <cellStyle name="Labels 2 6 14" xfId="32780" xr:uid="{00000000-0005-0000-0000-00002F5F0000}"/>
    <cellStyle name="Labels 2 6 15" xfId="33783" xr:uid="{00000000-0005-0000-0000-0000305F0000}"/>
    <cellStyle name="Labels 2 6 16" xfId="34782" xr:uid="{00000000-0005-0000-0000-0000315F0000}"/>
    <cellStyle name="Labels 2 6 17" xfId="37342" xr:uid="{00000000-0005-0000-0000-0000325F0000}"/>
    <cellStyle name="Labels 2 6 2" xfId="16807" xr:uid="{00000000-0005-0000-0000-0000335F0000}"/>
    <cellStyle name="Labels 2 6 3" xfId="17786" xr:uid="{00000000-0005-0000-0000-0000345F0000}"/>
    <cellStyle name="Labels 2 6 4" xfId="18813" xr:uid="{00000000-0005-0000-0000-0000355F0000}"/>
    <cellStyle name="Labels 2 6 5" xfId="19845" xr:uid="{00000000-0005-0000-0000-0000365F0000}"/>
    <cellStyle name="Labels 2 6 6" xfId="20867" xr:uid="{00000000-0005-0000-0000-0000375F0000}"/>
    <cellStyle name="Labels 2 6 7" xfId="22849" xr:uid="{00000000-0005-0000-0000-0000385F0000}"/>
    <cellStyle name="Labels 2 6 8" xfId="23854" xr:uid="{00000000-0005-0000-0000-0000395F0000}"/>
    <cellStyle name="Labels 2 6 9" xfId="24826" xr:uid="{00000000-0005-0000-0000-00003A5F0000}"/>
    <cellStyle name="Labels 2 7" xfId="13650" xr:uid="{00000000-0005-0000-0000-00003B5F0000}"/>
    <cellStyle name="Labels 2 8" xfId="15163" xr:uid="{00000000-0005-0000-0000-00003C5F0000}"/>
    <cellStyle name="Labels 2 9" xfId="13633" xr:uid="{00000000-0005-0000-0000-00003D5F0000}"/>
    <cellStyle name="Labels 20" xfId="13395" xr:uid="{00000000-0005-0000-0000-00003E5F0000}"/>
    <cellStyle name="Labels 21" xfId="14342" xr:uid="{00000000-0005-0000-0000-00003F5F0000}"/>
    <cellStyle name="Labels 22" xfId="18913" xr:uid="{00000000-0005-0000-0000-0000405F0000}"/>
    <cellStyle name="Labels 23" xfId="19919" xr:uid="{00000000-0005-0000-0000-0000415F0000}"/>
    <cellStyle name="Labels 24" xfId="20956" xr:uid="{00000000-0005-0000-0000-0000425F0000}"/>
    <cellStyle name="Labels 25" xfId="21903" xr:uid="{00000000-0005-0000-0000-0000435F0000}"/>
    <cellStyle name="Labels 26" xfId="22910" xr:uid="{00000000-0005-0000-0000-0000445F0000}"/>
    <cellStyle name="Labels 27" xfId="23911" xr:uid="{00000000-0005-0000-0000-0000455F0000}"/>
    <cellStyle name="Labels 28" xfId="25996" xr:uid="{00000000-0005-0000-0000-0000465F0000}"/>
    <cellStyle name="Labels 29" xfId="26070" xr:uid="{00000000-0005-0000-0000-0000475F0000}"/>
    <cellStyle name="Labels 3" xfId="5032" xr:uid="{00000000-0005-0000-0000-0000485F0000}"/>
    <cellStyle name="Labels 3 10" xfId="15400" xr:uid="{00000000-0005-0000-0000-0000495F0000}"/>
    <cellStyle name="Labels 3 11" xfId="15452" xr:uid="{00000000-0005-0000-0000-00004A5F0000}"/>
    <cellStyle name="Labels 3 12" xfId="27193" xr:uid="{00000000-0005-0000-0000-00004B5F0000}"/>
    <cellStyle name="Labels 3 13" xfId="27517" xr:uid="{00000000-0005-0000-0000-00004C5F0000}"/>
    <cellStyle name="Labels 3 14" xfId="29775" xr:uid="{00000000-0005-0000-0000-00004D5F0000}"/>
    <cellStyle name="Labels 3 15" xfId="27302" xr:uid="{00000000-0005-0000-0000-00004E5F0000}"/>
    <cellStyle name="Labels 3 16" xfId="26840" xr:uid="{00000000-0005-0000-0000-00004F5F0000}"/>
    <cellStyle name="Labels 3 17" xfId="35347" xr:uid="{00000000-0005-0000-0000-0000505F0000}"/>
    <cellStyle name="Labels 3 2" xfId="5033" xr:uid="{00000000-0005-0000-0000-0000515F0000}"/>
    <cellStyle name="Labels 3 2 10" xfId="24827" xr:uid="{00000000-0005-0000-0000-0000525F0000}"/>
    <cellStyle name="Labels 3 2 11" xfId="25826" xr:uid="{00000000-0005-0000-0000-0000535F0000}"/>
    <cellStyle name="Labels 3 2 12" xfId="29740" xr:uid="{00000000-0005-0000-0000-0000545F0000}"/>
    <cellStyle name="Labels 3 2 13" xfId="30782" xr:uid="{00000000-0005-0000-0000-0000555F0000}"/>
    <cellStyle name="Labels 3 2 14" xfId="31773" xr:uid="{00000000-0005-0000-0000-0000565F0000}"/>
    <cellStyle name="Labels 3 2 15" xfId="32781" xr:uid="{00000000-0005-0000-0000-0000575F0000}"/>
    <cellStyle name="Labels 3 2 16" xfId="33784" xr:uid="{00000000-0005-0000-0000-0000585F0000}"/>
    <cellStyle name="Labels 3 2 17" xfId="34783" xr:uid="{00000000-0005-0000-0000-0000595F0000}"/>
    <cellStyle name="Labels 3 2 18" xfId="37343" xr:uid="{00000000-0005-0000-0000-00005A5F0000}"/>
    <cellStyle name="Labels 3 2 2" xfId="5034" xr:uid="{00000000-0005-0000-0000-00005B5F0000}"/>
    <cellStyle name="Labels 3 2 2 10" xfId="25827" xr:uid="{00000000-0005-0000-0000-00005C5F0000}"/>
    <cellStyle name="Labels 3 2 2 11" xfId="29741" xr:uid="{00000000-0005-0000-0000-00005D5F0000}"/>
    <cellStyle name="Labels 3 2 2 12" xfId="30783" xr:uid="{00000000-0005-0000-0000-00005E5F0000}"/>
    <cellStyle name="Labels 3 2 2 13" xfId="31774" xr:uid="{00000000-0005-0000-0000-00005F5F0000}"/>
    <cellStyle name="Labels 3 2 2 14" xfId="32782" xr:uid="{00000000-0005-0000-0000-0000605F0000}"/>
    <cellStyle name="Labels 3 2 2 15" xfId="33785" xr:uid="{00000000-0005-0000-0000-0000615F0000}"/>
    <cellStyle name="Labels 3 2 2 16" xfId="34784" xr:uid="{00000000-0005-0000-0000-0000625F0000}"/>
    <cellStyle name="Labels 3 2 2 17" xfId="37344" xr:uid="{00000000-0005-0000-0000-0000635F0000}"/>
    <cellStyle name="Labels 3 2 2 2" xfId="16809" xr:uid="{00000000-0005-0000-0000-0000645F0000}"/>
    <cellStyle name="Labels 3 2 2 3" xfId="17788" xr:uid="{00000000-0005-0000-0000-0000655F0000}"/>
    <cellStyle name="Labels 3 2 2 4" xfId="18815" xr:uid="{00000000-0005-0000-0000-0000665F0000}"/>
    <cellStyle name="Labels 3 2 2 5" xfId="19847" xr:uid="{00000000-0005-0000-0000-0000675F0000}"/>
    <cellStyle name="Labels 3 2 2 6" xfId="20869" xr:uid="{00000000-0005-0000-0000-0000685F0000}"/>
    <cellStyle name="Labels 3 2 2 7" xfId="22851" xr:uid="{00000000-0005-0000-0000-0000695F0000}"/>
    <cellStyle name="Labels 3 2 2 8" xfId="23856" xr:uid="{00000000-0005-0000-0000-00006A5F0000}"/>
    <cellStyle name="Labels 3 2 2 9" xfId="24828" xr:uid="{00000000-0005-0000-0000-00006B5F0000}"/>
    <cellStyle name="Labels 3 2 3" xfId="16808" xr:uid="{00000000-0005-0000-0000-00006C5F0000}"/>
    <cellStyle name="Labels 3 2 4" xfId="17787" xr:uid="{00000000-0005-0000-0000-00006D5F0000}"/>
    <cellStyle name="Labels 3 2 5" xfId="18814" xr:uid="{00000000-0005-0000-0000-00006E5F0000}"/>
    <cellStyle name="Labels 3 2 6" xfId="19846" xr:uid="{00000000-0005-0000-0000-00006F5F0000}"/>
    <cellStyle name="Labels 3 2 7" xfId="20868" xr:uid="{00000000-0005-0000-0000-0000705F0000}"/>
    <cellStyle name="Labels 3 2 8" xfId="22850" xr:uid="{00000000-0005-0000-0000-0000715F0000}"/>
    <cellStyle name="Labels 3 2 9" xfId="23855" xr:uid="{00000000-0005-0000-0000-0000725F0000}"/>
    <cellStyle name="Labels 3 3" xfId="5035" xr:uid="{00000000-0005-0000-0000-0000735F0000}"/>
    <cellStyle name="Labels 3 3 10" xfId="24829" xr:uid="{00000000-0005-0000-0000-0000745F0000}"/>
    <cellStyle name="Labels 3 3 11" xfId="25828" xr:uid="{00000000-0005-0000-0000-0000755F0000}"/>
    <cellStyle name="Labels 3 3 12" xfId="29742" xr:uid="{00000000-0005-0000-0000-0000765F0000}"/>
    <cellStyle name="Labels 3 3 13" xfId="30784" xr:uid="{00000000-0005-0000-0000-0000775F0000}"/>
    <cellStyle name="Labels 3 3 14" xfId="31775" xr:uid="{00000000-0005-0000-0000-0000785F0000}"/>
    <cellStyle name="Labels 3 3 15" xfId="32783" xr:uid="{00000000-0005-0000-0000-0000795F0000}"/>
    <cellStyle name="Labels 3 3 16" xfId="33786" xr:uid="{00000000-0005-0000-0000-00007A5F0000}"/>
    <cellStyle name="Labels 3 3 17" xfId="34785" xr:uid="{00000000-0005-0000-0000-00007B5F0000}"/>
    <cellStyle name="Labels 3 3 18" xfId="37345" xr:uid="{00000000-0005-0000-0000-00007C5F0000}"/>
    <cellStyle name="Labels 3 3 2" xfId="5036" xr:uid="{00000000-0005-0000-0000-00007D5F0000}"/>
    <cellStyle name="Labels 3 3 2 10" xfId="25829" xr:uid="{00000000-0005-0000-0000-00007E5F0000}"/>
    <cellStyle name="Labels 3 3 2 11" xfId="29743" xr:uid="{00000000-0005-0000-0000-00007F5F0000}"/>
    <cellStyle name="Labels 3 3 2 12" xfId="30785" xr:uid="{00000000-0005-0000-0000-0000805F0000}"/>
    <cellStyle name="Labels 3 3 2 13" xfId="31776" xr:uid="{00000000-0005-0000-0000-0000815F0000}"/>
    <cellStyle name="Labels 3 3 2 14" xfId="32784" xr:uid="{00000000-0005-0000-0000-0000825F0000}"/>
    <cellStyle name="Labels 3 3 2 15" xfId="33787" xr:uid="{00000000-0005-0000-0000-0000835F0000}"/>
    <cellStyle name="Labels 3 3 2 16" xfId="34786" xr:uid="{00000000-0005-0000-0000-0000845F0000}"/>
    <cellStyle name="Labels 3 3 2 17" xfId="37346" xr:uid="{00000000-0005-0000-0000-0000855F0000}"/>
    <cellStyle name="Labels 3 3 2 2" xfId="16811" xr:uid="{00000000-0005-0000-0000-0000865F0000}"/>
    <cellStyle name="Labels 3 3 2 3" xfId="17790" xr:uid="{00000000-0005-0000-0000-0000875F0000}"/>
    <cellStyle name="Labels 3 3 2 4" xfId="18817" xr:uid="{00000000-0005-0000-0000-0000885F0000}"/>
    <cellStyle name="Labels 3 3 2 5" xfId="19849" xr:uid="{00000000-0005-0000-0000-0000895F0000}"/>
    <cellStyle name="Labels 3 3 2 6" xfId="20871" xr:uid="{00000000-0005-0000-0000-00008A5F0000}"/>
    <cellStyle name="Labels 3 3 2 7" xfId="22853" xr:uid="{00000000-0005-0000-0000-00008B5F0000}"/>
    <cellStyle name="Labels 3 3 2 8" xfId="23858" xr:uid="{00000000-0005-0000-0000-00008C5F0000}"/>
    <cellStyle name="Labels 3 3 2 9" xfId="24830" xr:uid="{00000000-0005-0000-0000-00008D5F0000}"/>
    <cellStyle name="Labels 3 3 3" xfId="16810" xr:uid="{00000000-0005-0000-0000-00008E5F0000}"/>
    <cellStyle name="Labels 3 3 4" xfId="17789" xr:uid="{00000000-0005-0000-0000-00008F5F0000}"/>
    <cellStyle name="Labels 3 3 5" xfId="18816" xr:uid="{00000000-0005-0000-0000-0000905F0000}"/>
    <cellStyle name="Labels 3 3 6" xfId="19848" xr:uid="{00000000-0005-0000-0000-0000915F0000}"/>
    <cellStyle name="Labels 3 3 7" xfId="20870" xr:uid="{00000000-0005-0000-0000-0000925F0000}"/>
    <cellStyle name="Labels 3 3 8" xfId="22852" xr:uid="{00000000-0005-0000-0000-0000935F0000}"/>
    <cellStyle name="Labels 3 3 9" xfId="23857" xr:uid="{00000000-0005-0000-0000-0000945F0000}"/>
    <cellStyle name="Labels 3 4" xfId="5037" xr:uid="{00000000-0005-0000-0000-0000955F0000}"/>
    <cellStyle name="Labels 3 4 10" xfId="25830" xr:uid="{00000000-0005-0000-0000-0000965F0000}"/>
    <cellStyle name="Labels 3 4 11" xfId="29744" xr:uid="{00000000-0005-0000-0000-0000975F0000}"/>
    <cellStyle name="Labels 3 4 12" xfId="30786" xr:uid="{00000000-0005-0000-0000-0000985F0000}"/>
    <cellStyle name="Labels 3 4 13" xfId="31777" xr:uid="{00000000-0005-0000-0000-0000995F0000}"/>
    <cellStyle name="Labels 3 4 14" xfId="32785" xr:uid="{00000000-0005-0000-0000-00009A5F0000}"/>
    <cellStyle name="Labels 3 4 15" xfId="33788" xr:uid="{00000000-0005-0000-0000-00009B5F0000}"/>
    <cellStyle name="Labels 3 4 16" xfId="34787" xr:uid="{00000000-0005-0000-0000-00009C5F0000}"/>
    <cellStyle name="Labels 3 4 17" xfId="37347" xr:uid="{00000000-0005-0000-0000-00009D5F0000}"/>
    <cellStyle name="Labels 3 4 2" xfId="16812" xr:uid="{00000000-0005-0000-0000-00009E5F0000}"/>
    <cellStyle name="Labels 3 4 3" xfId="17791" xr:uid="{00000000-0005-0000-0000-00009F5F0000}"/>
    <cellStyle name="Labels 3 4 4" xfId="18818" xr:uid="{00000000-0005-0000-0000-0000A05F0000}"/>
    <cellStyle name="Labels 3 4 5" xfId="19850" xr:uid="{00000000-0005-0000-0000-0000A15F0000}"/>
    <cellStyle name="Labels 3 4 6" xfId="20872" xr:uid="{00000000-0005-0000-0000-0000A25F0000}"/>
    <cellStyle name="Labels 3 4 7" xfId="22854" xr:uid="{00000000-0005-0000-0000-0000A35F0000}"/>
    <cellStyle name="Labels 3 4 8" xfId="23859" xr:uid="{00000000-0005-0000-0000-0000A45F0000}"/>
    <cellStyle name="Labels 3 4 9" xfId="24831" xr:uid="{00000000-0005-0000-0000-0000A55F0000}"/>
    <cellStyle name="Labels 3 5" xfId="5038" xr:uid="{00000000-0005-0000-0000-0000A65F0000}"/>
    <cellStyle name="Labels 3 5 10" xfId="25831" xr:uid="{00000000-0005-0000-0000-0000A75F0000}"/>
    <cellStyle name="Labels 3 5 11" xfId="29745" xr:uid="{00000000-0005-0000-0000-0000A85F0000}"/>
    <cellStyle name="Labels 3 5 12" xfId="30787" xr:uid="{00000000-0005-0000-0000-0000A95F0000}"/>
    <cellStyle name="Labels 3 5 13" xfId="31778" xr:uid="{00000000-0005-0000-0000-0000AA5F0000}"/>
    <cellStyle name="Labels 3 5 14" xfId="32786" xr:uid="{00000000-0005-0000-0000-0000AB5F0000}"/>
    <cellStyle name="Labels 3 5 15" xfId="33789" xr:uid="{00000000-0005-0000-0000-0000AC5F0000}"/>
    <cellStyle name="Labels 3 5 16" xfId="34788" xr:uid="{00000000-0005-0000-0000-0000AD5F0000}"/>
    <cellStyle name="Labels 3 5 17" xfId="37348" xr:uid="{00000000-0005-0000-0000-0000AE5F0000}"/>
    <cellStyle name="Labels 3 5 2" xfId="16813" xr:uid="{00000000-0005-0000-0000-0000AF5F0000}"/>
    <cellStyle name="Labels 3 5 3" xfId="17792" xr:uid="{00000000-0005-0000-0000-0000B05F0000}"/>
    <cellStyle name="Labels 3 5 4" xfId="18819" xr:uid="{00000000-0005-0000-0000-0000B15F0000}"/>
    <cellStyle name="Labels 3 5 5" xfId="19851" xr:uid="{00000000-0005-0000-0000-0000B25F0000}"/>
    <cellStyle name="Labels 3 5 6" xfId="20873" xr:uid="{00000000-0005-0000-0000-0000B35F0000}"/>
    <cellStyle name="Labels 3 5 7" xfId="22855" xr:uid="{00000000-0005-0000-0000-0000B45F0000}"/>
    <cellStyle name="Labels 3 5 8" xfId="23860" xr:uid="{00000000-0005-0000-0000-0000B55F0000}"/>
    <cellStyle name="Labels 3 5 9" xfId="24832" xr:uid="{00000000-0005-0000-0000-0000B65F0000}"/>
    <cellStyle name="Labels 3 6" xfId="13904" xr:uid="{00000000-0005-0000-0000-0000B75F0000}"/>
    <cellStyle name="Labels 3 7" xfId="13713" xr:uid="{00000000-0005-0000-0000-0000B85F0000}"/>
    <cellStyle name="Labels 3 8" xfId="14730" xr:uid="{00000000-0005-0000-0000-0000B95F0000}"/>
    <cellStyle name="Labels 3 9" xfId="14815" xr:uid="{00000000-0005-0000-0000-0000BA5F0000}"/>
    <cellStyle name="Labels 30" xfId="28790" xr:uid="{00000000-0005-0000-0000-0000BB5F0000}"/>
    <cellStyle name="Labels 31" xfId="29805" xr:uid="{00000000-0005-0000-0000-0000BC5F0000}"/>
    <cellStyle name="Labels 32" xfId="30846" xr:uid="{00000000-0005-0000-0000-0000BD5F0000}"/>
    <cellStyle name="Labels 33" xfId="31834" xr:uid="{00000000-0005-0000-0000-0000BE5F0000}"/>
    <cellStyle name="Labels 34" xfId="26680" xr:uid="{00000000-0005-0000-0000-0000BF5F0000}"/>
    <cellStyle name="Labels 35" xfId="34873" xr:uid="{00000000-0005-0000-0000-0000C05F0000}"/>
    <cellStyle name="Labels 36" xfId="34863" xr:uid="{00000000-0005-0000-0000-0000C15F0000}"/>
    <cellStyle name="Labels 37" xfId="34936" xr:uid="{00000000-0005-0000-0000-0000C25F0000}"/>
    <cellStyle name="Labels 4" xfId="5039" xr:uid="{00000000-0005-0000-0000-0000C35F0000}"/>
    <cellStyle name="Labels 4 10" xfId="15774" xr:uid="{00000000-0005-0000-0000-0000C45F0000}"/>
    <cellStyle name="Labels 4 11" xfId="20938" xr:uid="{00000000-0005-0000-0000-0000C55F0000}"/>
    <cellStyle name="Labels 4 12" xfId="25936" xr:uid="{00000000-0005-0000-0000-0000C65F0000}"/>
    <cellStyle name="Labels 4 13" xfId="25889" xr:uid="{00000000-0005-0000-0000-0000C75F0000}"/>
    <cellStyle name="Labels 4 14" xfId="26766" xr:uid="{00000000-0005-0000-0000-0000C85F0000}"/>
    <cellStyle name="Labels 4 15" xfId="29814" xr:uid="{00000000-0005-0000-0000-0000C95F0000}"/>
    <cellStyle name="Labels 4 16" xfId="26267" xr:uid="{00000000-0005-0000-0000-0000CA5F0000}"/>
    <cellStyle name="Labels 4 17" xfId="34840" xr:uid="{00000000-0005-0000-0000-0000CB5F0000}"/>
    <cellStyle name="Labels 4 2" xfId="5040" xr:uid="{00000000-0005-0000-0000-0000CC5F0000}"/>
    <cellStyle name="Labels 4 2 10" xfId="24833" xr:uid="{00000000-0005-0000-0000-0000CD5F0000}"/>
    <cellStyle name="Labels 4 2 11" xfId="25832" xr:uid="{00000000-0005-0000-0000-0000CE5F0000}"/>
    <cellStyle name="Labels 4 2 12" xfId="29746" xr:uid="{00000000-0005-0000-0000-0000CF5F0000}"/>
    <cellStyle name="Labels 4 2 13" xfId="30788" xr:uid="{00000000-0005-0000-0000-0000D05F0000}"/>
    <cellStyle name="Labels 4 2 14" xfId="31779" xr:uid="{00000000-0005-0000-0000-0000D15F0000}"/>
    <cellStyle name="Labels 4 2 15" xfId="32787" xr:uid="{00000000-0005-0000-0000-0000D25F0000}"/>
    <cellStyle name="Labels 4 2 16" xfId="33790" xr:uid="{00000000-0005-0000-0000-0000D35F0000}"/>
    <cellStyle name="Labels 4 2 17" xfId="34789" xr:uid="{00000000-0005-0000-0000-0000D45F0000}"/>
    <cellStyle name="Labels 4 2 18" xfId="37349" xr:uid="{00000000-0005-0000-0000-0000D55F0000}"/>
    <cellStyle name="Labels 4 2 2" xfId="5041" xr:uid="{00000000-0005-0000-0000-0000D65F0000}"/>
    <cellStyle name="Labels 4 2 2 10" xfId="25833" xr:uid="{00000000-0005-0000-0000-0000D75F0000}"/>
    <cellStyle name="Labels 4 2 2 11" xfId="29747" xr:uid="{00000000-0005-0000-0000-0000D85F0000}"/>
    <cellStyle name="Labels 4 2 2 12" xfId="30789" xr:uid="{00000000-0005-0000-0000-0000D95F0000}"/>
    <cellStyle name="Labels 4 2 2 13" xfId="31780" xr:uid="{00000000-0005-0000-0000-0000DA5F0000}"/>
    <cellStyle name="Labels 4 2 2 14" xfId="32788" xr:uid="{00000000-0005-0000-0000-0000DB5F0000}"/>
    <cellStyle name="Labels 4 2 2 15" xfId="33791" xr:uid="{00000000-0005-0000-0000-0000DC5F0000}"/>
    <cellStyle name="Labels 4 2 2 16" xfId="34790" xr:uid="{00000000-0005-0000-0000-0000DD5F0000}"/>
    <cellStyle name="Labels 4 2 2 17" xfId="37350" xr:uid="{00000000-0005-0000-0000-0000DE5F0000}"/>
    <cellStyle name="Labels 4 2 2 2" xfId="16815" xr:uid="{00000000-0005-0000-0000-0000DF5F0000}"/>
    <cellStyle name="Labels 4 2 2 3" xfId="17794" xr:uid="{00000000-0005-0000-0000-0000E05F0000}"/>
    <cellStyle name="Labels 4 2 2 4" xfId="18821" xr:uid="{00000000-0005-0000-0000-0000E15F0000}"/>
    <cellStyle name="Labels 4 2 2 5" xfId="19853" xr:uid="{00000000-0005-0000-0000-0000E25F0000}"/>
    <cellStyle name="Labels 4 2 2 6" xfId="20875" xr:uid="{00000000-0005-0000-0000-0000E35F0000}"/>
    <cellStyle name="Labels 4 2 2 7" xfId="22857" xr:uid="{00000000-0005-0000-0000-0000E45F0000}"/>
    <cellStyle name="Labels 4 2 2 8" xfId="23862" xr:uid="{00000000-0005-0000-0000-0000E55F0000}"/>
    <cellStyle name="Labels 4 2 2 9" xfId="24834" xr:uid="{00000000-0005-0000-0000-0000E65F0000}"/>
    <cellStyle name="Labels 4 2 3" xfId="16814" xr:uid="{00000000-0005-0000-0000-0000E75F0000}"/>
    <cellStyle name="Labels 4 2 4" xfId="17793" xr:uid="{00000000-0005-0000-0000-0000E85F0000}"/>
    <cellStyle name="Labels 4 2 5" xfId="18820" xr:uid="{00000000-0005-0000-0000-0000E95F0000}"/>
    <cellStyle name="Labels 4 2 6" xfId="19852" xr:uid="{00000000-0005-0000-0000-0000EA5F0000}"/>
    <cellStyle name="Labels 4 2 7" xfId="20874" xr:uid="{00000000-0005-0000-0000-0000EB5F0000}"/>
    <cellStyle name="Labels 4 2 8" xfId="22856" xr:uid="{00000000-0005-0000-0000-0000EC5F0000}"/>
    <cellStyle name="Labels 4 2 9" xfId="23861" xr:uid="{00000000-0005-0000-0000-0000ED5F0000}"/>
    <cellStyle name="Labels 4 3" xfId="5042" xr:uid="{00000000-0005-0000-0000-0000EE5F0000}"/>
    <cellStyle name="Labels 4 3 10" xfId="24835" xr:uid="{00000000-0005-0000-0000-0000EF5F0000}"/>
    <cellStyle name="Labels 4 3 11" xfId="25834" xr:uid="{00000000-0005-0000-0000-0000F05F0000}"/>
    <cellStyle name="Labels 4 3 12" xfId="29748" xr:uid="{00000000-0005-0000-0000-0000F15F0000}"/>
    <cellStyle name="Labels 4 3 13" xfId="30790" xr:uid="{00000000-0005-0000-0000-0000F25F0000}"/>
    <cellStyle name="Labels 4 3 14" xfId="31781" xr:uid="{00000000-0005-0000-0000-0000F35F0000}"/>
    <cellStyle name="Labels 4 3 15" xfId="32789" xr:uid="{00000000-0005-0000-0000-0000F45F0000}"/>
    <cellStyle name="Labels 4 3 16" xfId="33792" xr:uid="{00000000-0005-0000-0000-0000F55F0000}"/>
    <cellStyle name="Labels 4 3 17" xfId="34791" xr:uid="{00000000-0005-0000-0000-0000F65F0000}"/>
    <cellStyle name="Labels 4 3 18" xfId="37351" xr:uid="{00000000-0005-0000-0000-0000F75F0000}"/>
    <cellStyle name="Labels 4 3 2" xfId="5043" xr:uid="{00000000-0005-0000-0000-0000F85F0000}"/>
    <cellStyle name="Labels 4 3 2 10" xfId="25835" xr:uid="{00000000-0005-0000-0000-0000F95F0000}"/>
    <cellStyle name="Labels 4 3 2 11" xfId="29749" xr:uid="{00000000-0005-0000-0000-0000FA5F0000}"/>
    <cellStyle name="Labels 4 3 2 12" xfId="30791" xr:uid="{00000000-0005-0000-0000-0000FB5F0000}"/>
    <cellStyle name="Labels 4 3 2 13" xfId="31782" xr:uid="{00000000-0005-0000-0000-0000FC5F0000}"/>
    <cellStyle name="Labels 4 3 2 14" xfId="32790" xr:uid="{00000000-0005-0000-0000-0000FD5F0000}"/>
    <cellStyle name="Labels 4 3 2 15" xfId="33793" xr:uid="{00000000-0005-0000-0000-0000FE5F0000}"/>
    <cellStyle name="Labels 4 3 2 16" xfId="34792" xr:uid="{00000000-0005-0000-0000-0000FF5F0000}"/>
    <cellStyle name="Labels 4 3 2 17" xfId="37352" xr:uid="{00000000-0005-0000-0000-000000600000}"/>
    <cellStyle name="Labels 4 3 2 2" xfId="16817" xr:uid="{00000000-0005-0000-0000-000001600000}"/>
    <cellStyle name="Labels 4 3 2 3" xfId="17796" xr:uid="{00000000-0005-0000-0000-000002600000}"/>
    <cellStyle name="Labels 4 3 2 4" xfId="18823" xr:uid="{00000000-0005-0000-0000-000003600000}"/>
    <cellStyle name="Labels 4 3 2 5" xfId="19855" xr:uid="{00000000-0005-0000-0000-000004600000}"/>
    <cellStyle name="Labels 4 3 2 6" xfId="20877" xr:uid="{00000000-0005-0000-0000-000005600000}"/>
    <cellStyle name="Labels 4 3 2 7" xfId="22859" xr:uid="{00000000-0005-0000-0000-000006600000}"/>
    <cellStyle name="Labels 4 3 2 8" xfId="23864" xr:uid="{00000000-0005-0000-0000-000007600000}"/>
    <cellStyle name="Labels 4 3 2 9" xfId="24836" xr:uid="{00000000-0005-0000-0000-000008600000}"/>
    <cellStyle name="Labels 4 3 3" xfId="16816" xr:uid="{00000000-0005-0000-0000-000009600000}"/>
    <cellStyle name="Labels 4 3 4" xfId="17795" xr:uid="{00000000-0005-0000-0000-00000A600000}"/>
    <cellStyle name="Labels 4 3 5" xfId="18822" xr:uid="{00000000-0005-0000-0000-00000B600000}"/>
    <cellStyle name="Labels 4 3 6" xfId="19854" xr:uid="{00000000-0005-0000-0000-00000C600000}"/>
    <cellStyle name="Labels 4 3 7" xfId="20876" xr:uid="{00000000-0005-0000-0000-00000D600000}"/>
    <cellStyle name="Labels 4 3 8" xfId="22858" xr:uid="{00000000-0005-0000-0000-00000E600000}"/>
    <cellStyle name="Labels 4 3 9" xfId="23863" xr:uid="{00000000-0005-0000-0000-00000F600000}"/>
    <cellStyle name="Labels 4 4" xfId="5044" xr:uid="{00000000-0005-0000-0000-000010600000}"/>
    <cellStyle name="Labels 4 4 10" xfId="25836" xr:uid="{00000000-0005-0000-0000-000011600000}"/>
    <cellStyle name="Labels 4 4 11" xfId="29750" xr:uid="{00000000-0005-0000-0000-000012600000}"/>
    <cellStyle name="Labels 4 4 12" xfId="30792" xr:uid="{00000000-0005-0000-0000-000013600000}"/>
    <cellStyle name="Labels 4 4 13" xfId="31783" xr:uid="{00000000-0005-0000-0000-000014600000}"/>
    <cellStyle name="Labels 4 4 14" xfId="32791" xr:uid="{00000000-0005-0000-0000-000015600000}"/>
    <cellStyle name="Labels 4 4 15" xfId="33794" xr:uid="{00000000-0005-0000-0000-000016600000}"/>
    <cellStyle name="Labels 4 4 16" xfId="34793" xr:uid="{00000000-0005-0000-0000-000017600000}"/>
    <cellStyle name="Labels 4 4 17" xfId="37353" xr:uid="{00000000-0005-0000-0000-000018600000}"/>
    <cellStyle name="Labels 4 4 2" xfId="16818" xr:uid="{00000000-0005-0000-0000-000019600000}"/>
    <cellStyle name="Labels 4 4 3" xfId="17797" xr:uid="{00000000-0005-0000-0000-00001A600000}"/>
    <cellStyle name="Labels 4 4 4" xfId="18824" xr:uid="{00000000-0005-0000-0000-00001B600000}"/>
    <cellStyle name="Labels 4 4 5" xfId="19856" xr:uid="{00000000-0005-0000-0000-00001C600000}"/>
    <cellStyle name="Labels 4 4 6" xfId="20878" xr:uid="{00000000-0005-0000-0000-00001D600000}"/>
    <cellStyle name="Labels 4 4 7" xfId="22860" xr:uid="{00000000-0005-0000-0000-00001E600000}"/>
    <cellStyle name="Labels 4 4 8" xfId="23865" xr:uid="{00000000-0005-0000-0000-00001F600000}"/>
    <cellStyle name="Labels 4 4 9" xfId="24837" xr:uid="{00000000-0005-0000-0000-000020600000}"/>
    <cellStyle name="Labels 4 5" xfId="5045" xr:uid="{00000000-0005-0000-0000-000021600000}"/>
    <cellStyle name="Labels 4 5 10" xfId="25837" xr:uid="{00000000-0005-0000-0000-000022600000}"/>
    <cellStyle name="Labels 4 5 11" xfId="29751" xr:uid="{00000000-0005-0000-0000-000023600000}"/>
    <cellStyle name="Labels 4 5 12" xfId="30793" xr:uid="{00000000-0005-0000-0000-000024600000}"/>
    <cellStyle name="Labels 4 5 13" xfId="31784" xr:uid="{00000000-0005-0000-0000-000025600000}"/>
    <cellStyle name="Labels 4 5 14" xfId="32792" xr:uid="{00000000-0005-0000-0000-000026600000}"/>
    <cellStyle name="Labels 4 5 15" xfId="33795" xr:uid="{00000000-0005-0000-0000-000027600000}"/>
    <cellStyle name="Labels 4 5 16" xfId="34794" xr:uid="{00000000-0005-0000-0000-000028600000}"/>
    <cellStyle name="Labels 4 5 17" xfId="37354" xr:uid="{00000000-0005-0000-0000-000029600000}"/>
    <cellStyle name="Labels 4 5 2" xfId="16819" xr:uid="{00000000-0005-0000-0000-00002A600000}"/>
    <cellStyle name="Labels 4 5 3" xfId="17798" xr:uid="{00000000-0005-0000-0000-00002B600000}"/>
    <cellStyle name="Labels 4 5 4" xfId="18825" xr:uid="{00000000-0005-0000-0000-00002C600000}"/>
    <cellStyle name="Labels 4 5 5" xfId="19857" xr:uid="{00000000-0005-0000-0000-00002D600000}"/>
    <cellStyle name="Labels 4 5 6" xfId="20879" xr:uid="{00000000-0005-0000-0000-00002E600000}"/>
    <cellStyle name="Labels 4 5 7" xfId="22861" xr:uid="{00000000-0005-0000-0000-00002F600000}"/>
    <cellStyle name="Labels 4 5 8" xfId="23866" xr:uid="{00000000-0005-0000-0000-000030600000}"/>
    <cellStyle name="Labels 4 5 9" xfId="24838" xr:uid="{00000000-0005-0000-0000-000031600000}"/>
    <cellStyle name="Labels 4 6" xfId="13917" xr:uid="{00000000-0005-0000-0000-000032600000}"/>
    <cellStyle name="Labels 4 7" xfId="13753" xr:uid="{00000000-0005-0000-0000-000033600000}"/>
    <cellStyle name="Labels 4 8" xfId="15249" xr:uid="{00000000-0005-0000-0000-000034600000}"/>
    <cellStyle name="Labels 4 9" xfId="15723" xr:uid="{00000000-0005-0000-0000-000035600000}"/>
    <cellStyle name="Labels 5" xfId="5046" xr:uid="{00000000-0005-0000-0000-000036600000}"/>
    <cellStyle name="Labels 5 10" xfId="15617" xr:uid="{00000000-0005-0000-0000-000037600000}"/>
    <cellStyle name="Labels 5 11" xfId="13414" xr:uid="{00000000-0005-0000-0000-000038600000}"/>
    <cellStyle name="Labels 5 12" xfId="27693" xr:uid="{00000000-0005-0000-0000-000039600000}"/>
    <cellStyle name="Labels 5 13" xfId="27351" xr:uid="{00000000-0005-0000-0000-00003A600000}"/>
    <cellStyle name="Labels 5 14" xfId="27450" xr:uid="{00000000-0005-0000-0000-00003B600000}"/>
    <cellStyle name="Labels 5 15" xfId="26951" xr:uid="{00000000-0005-0000-0000-00003C600000}"/>
    <cellStyle name="Labels 5 16" xfId="34851" xr:uid="{00000000-0005-0000-0000-00003D600000}"/>
    <cellStyle name="Labels 5 2" xfId="5047" xr:uid="{00000000-0005-0000-0000-00003E600000}"/>
    <cellStyle name="Labels 5 2 10" xfId="24839" xr:uid="{00000000-0005-0000-0000-00003F600000}"/>
    <cellStyle name="Labels 5 2 11" xfId="25838" xr:uid="{00000000-0005-0000-0000-000040600000}"/>
    <cellStyle name="Labels 5 2 12" xfId="29752" xr:uid="{00000000-0005-0000-0000-000041600000}"/>
    <cellStyle name="Labels 5 2 13" xfId="30794" xr:uid="{00000000-0005-0000-0000-000042600000}"/>
    <cellStyle name="Labels 5 2 14" xfId="31785" xr:uid="{00000000-0005-0000-0000-000043600000}"/>
    <cellStyle name="Labels 5 2 15" xfId="32793" xr:uid="{00000000-0005-0000-0000-000044600000}"/>
    <cellStyle name="Labels 5 2 16" xfId="33796" xr:uid="{00000000-0005-0000-0000-000045600000}"/>
    <cellStyle name="Labels 5 2 17" xfId="34795" xr:uid="{00000000-0005-0000-0000-000046600000}"/>
    <cellStyle name="Labels 5 2 18" xfId="37355" xr:uid="{00000000-0005-0000-0000-000047600000}"/>
    <cellStyle name="Labels 5 2 2" xfId="5048" xr:uid="{00000000-0005-0000-0000-000048600000}"/>
    <cellStyle name="Labels 5 2 2 10" xfId="25839" xr:uid="{00000000-0005-0000-0000-000049600000}"/>
    <cellStyle name="Labels 5 2 2 11" xfId="29753" xr:uid="{00000000-0005-0000-0000-00004A600000}"/>
    <cellStyle name="Labels 5 2 2 12" xfId="30795" xr:uid="{00000000-0005-0000-0000-00004B600000}"/>
    <cellStyle name="Labels 5 2 2 13" xfId="31786" xr:uid="{00000000-0005-0000-0000-00004C600000}"/>
    <cellStyle name="Labels 5 2 2 14" xfId="32794" xr:uid="{00000000-0005-0000-0000-00004D600000}"/>
    <cellStyle name="Labels 5 2 2 15" xfId="33797" xr:uid="{00000000-0005-0000-0000-00004E600000}"/>
    <cellStyle name="Labels 5 2 2 16" xfId="34796" xr:uid="{00000000-0005-0000-0000-00004F600000}"/>
    <cellStyle name="Labels 5 2 2 17" xfId="37356" xr:uid="{00000000-0005-0000-0000-000050600000}"/>
    <cellStyle name="Labels 5 2 2 2" xfId="16821" xr:uid="{00000000-0005-0000-0000-000051600000}"/>
    <cellStyle name="Labels 5 2 2 3" xfId="17800" xr:uid="{00000000-0005-0000-0000-000052600000}"/>
    <cellStyle name="Labels 5 2 2 4" xfId="18827" xr:uid="{00000000-0005-0000-0000-000053600000}"/>
    <cellStyle name="Labels 5 2 2 5" xfId="19859" xr:uid="{00000000-0005-0000-0000-000054600000}"/>
    <cellStyle name="Labels 5 2 2 6" xfId="20881" xr:uid="{00000000-0005-0000-0000-000055600000}"/>
    <cellStyle name="Labels 5 2 2 7" xfId="22863" xr:uid="{00000000-0005-0000-0000-000056600000}"/>
    <cellStyle name="Labels 5 2 2 8" xfId="23868" xr:uid="{00000000-0005-0000-0000-000057600000}"/>
    <cellStyle name="Labels 5 2 2 9" xfId="24840" xr:uid="{00000000-0005-0000-0000-000058600000}"/>
    <cellStyle name="Labels 5 2 3" xfId="16820" xr:uid="{00000000-0005-0000-0000-000059600000}"/>
    <cellStyle name="Labels 5 2 4" xfId="17799" xr:uid="{00000000-0005-0000-0000-00005A600000}"/>
    <cellStyle name="Labels 5 2 5" xfId="18826" xr:uid="{00000000-0005-0000-0000-00005B600000}"/>
    <cellStyle name="Labels 5 2 6" xfId="19858" xr:uid="{00000000-0005-0000-0000-00005C600000}"/>
    <cellStyle name="Labels 5 2 7" xfId="20880" xr:uid="{00000000-0005-0000-0000-00005D600000}"/>
    <cellStyle name="Labels 5 2 8" xfId="22862" xr:uid="{00000000-0005-0000-0000-00005E600000}"/>
    <cellStyle name="Labels 5 2 9" xfId="23867" xr:uid="{00000000-0005-0000-0000-00005F600000}"/>
    <cellStyle name="Labels 5 3" xfId="5049" xr:uid="{00000000-0005-0000-0000-000060600000}"/>
    <cellStyle name="Labels 5 3 10" xfId="24841" xr:uid="{00000000-0005-0000-0000-000061600000}"/>
    <cellStyle name="Labels 5 3 11" xfId="25840" xr:uid="{00000000-0005-0000-0000-000062600000}"/>
    <cellStyle name="Labels 5 3 12" xfId="29754" xr:uid="{00000000-0005-0000-0000-000063600000}"/>
    <cellStyle name="Labels 5 3 13" xfId="30796" xr:uid="{00000000-0005-0000-0000-000064600000}"/>
    <cellStyle name="Labels 5 3 14" xfId="31787" xr:uid="{00000000-0005-0000-0000-000065600000}"/>
    <cellStyle name="Labels 5 3 15" xfId="32795" xr:uid="{00000000-0005-0000-0000-000066600000}"/>
    <cellStyle name="Labels 5 3 16" xfId="33798" xr:uid="{00000000-0005-0000-0000-000067600000}"/>
    <cellStyle name="Labels 5 3 17" xfId="34797" xr:uid="{00000000-0005-0000-0000-000068600000}"/>
    <cellStyle name="Labels 5 3 18" xfId="37357" xr:uid="{00000000-0005-0000-0000-000069600000}"/>
    <cellStyle name="Labels 5 3 2" xfId="5050" xr:uid="{00000000-0005-0000-0000-00006A600000}"/>
    <cellStyle name="Labels 5 3 2 10" xfId="25841" xr:uid="{00000000-0005-0000-0000-00006B600000}"/>
    <cellStyle name="Labels 5 3 2 11" xfId="29755" xr:uid="{00000000-0005-0000-0000-00006C600000}"/>
    <cellStyle name="Labels 5 3 2 12" xfId="30797" xr:uid="{00000000-0005-0000-0000-00006D600000}"/>
    <cellStyle name="Labels 5 3 2 13" xfId="31788" xr:uid="{00000000-0005-0000-0000-00006E600000}"/>
    <cellStyle name="Labels 5 3 2 14" xfId="32796" xr:uid="{00000000-0005-0000-0000-00006F600000}"/>
    <cellStyle name="Labels 5 3 2 15" xfId="33799" xr:uid="{00000000-0005-0000-0000-000070600000}"/>
    <cellStyle name="Labels 5 3 2 16" xfId="34798" xr:uid="{00000000-0005-0000-0000-000071600000}"/>
    <cellStyle name="Labels 5 3 2 17" xfId="37358" xr:uid="{00000000-0005-0000-0000-000072600000}"/>
    <cellStyle name="Labels 5 3 2 2" xfId="16823" xr:uid="{00000000-0005-0000-0000-000073600000}"/>
    <cellStyle name="Labels 5 3 2 3" xfId="17802" xr:uid="{00000000-0005-0000-0000-000074600000}"/>
    <cellStyle name="Labels 5 3 2 4" xfId="18829" xr:uid="{00000000-0005-0000-0000-000075600000}"/>
    <cellStyle name="Labels 5 3 2 5" xfId="19861" xr:uid="{00000000-0005-0000-0000-000076600000}"/>
    <cellStyle name="Labels 5 3 2 6" xfId="20883" xr:uid="{00000000-0005-0000-0000-000077600000}"/>
    <cellStyle name="Labels 5 3 2 7" xfId="22865" xr:uid="{00000000-0005-0000-0000-000078600000}"/>
    <cellStyle name="Labels 5 3 2 8" xfId="23870" xr:uid="{00000000-0005-0000-0000-000079600000}"/>
    <cellStyle name="Labels 5 3 2 9" xfId="24842" xr:uid="{00000000-0005-0000-0000-00007A600000}"/>
    <cellStyle name="Labels 5 3 3" xfId="16822" xr:uid="{00000000-0005-0000-0000-00007B600000}"/>
    <cellStyle name="Labels 5 3 4" xfId="17801" xr:uid="{00000000-0005-0000-0000-00007C600000}"/>
    <cellStyle name="Labels 5 3 5" xfId="18828" xr:uid="{00000000-0005-0000-0000-00007D600000}"/>
    <cellStyle name="Labels 5 3 6" xfId="19860" xr:uid="{00000000-0005-0000-0000-00007E600000}"/>
    <cellStyle name="Labels 5 3 7" xfId="20882" xr:uid="{00000000-0005-0000-0000-00007F600000}"/>
    <cellStyle name="Labels 5 3 8" xfId="22864" xr:uid="{00000000-0005-0000-0000-000080600000}"/>
    <cellStyle name="Labels 5 3 9" xfId="23869" xr:uid="{00000000-0005-0000-0000-000081600000}"/>
    <cellStyle name="Labels 5 4" xfId="5051" xr:uid="{00000000-0005-0000-0000-000082600000}"/>
    <cellStyle name="Labels 5 4 10" xfId="25842" xr:uid="{00000000-0005-0000-0000-000083600000}"/>
    <cellStyle name="Labels 5 4 11" xfId="29756" xr:uid="{00000000-0005-0000-0000-000084600000}"/>
    <cellStyle name="Labels 5 4 12" xfId="30798" xr:uid="{00000000-0005-0000-0000-000085600000}"/>
    <cellStyle name="Labels 5 4 13" xfId="31789" xr:uid="{00000000-0005-0000-0000-000086600000}"/>
    <cellStyle name="Labels 5 4 14" xfId="32797" xr:uid="{00000000-0005-0000-0000-000087600000}"/>
    <cellStyle name="Labels 5 4 15" xfId="33800" xr:uid="{00000000-0005-0000-0000-000088600000}"/>
    <cellStyle name="Labels 5 4 16" xfId="34799" xr:uid="{00000000-0005-0000-0000-000089600000}"/>
    <cellStyle name="Labels 5 4 17" xfId="37359" xr:uid="{00000000-0005-0000-0000-00008A600000}"/>
    <cellStyle name="Labels 5 4 2" xfId="16824" xr:uid="{00000000-0005-0000-0000-00008B600000}"/>
    <cellStyle name="Labels 5 4 3" xfId="17803" xr:uid="{00000000-0005-0000-0000-00008C600000}"/>
    <cellStyle name="Labels 5 4 4" xfId="18830" xr:uid="{00000000-0005-0000-0000-00008D600000}"/>
    <cellStyle name="Labels 5 4 5" xfId="19862" xr:uid="{00000000-0005-0000-0000-00008E600000}"/>
    <cellStyle name="Labels 5 4 6" xfId="20884" xr:uid="{00000000-0005-0000-0000-00008F600000}"/>
    <cellStyle name="Labels 5 4 7" xfId="22866" xr:uid="{00000000-0005-0000-0000-000090600000}"/>
    <cellStyle name="Labels 5 4 8" xfId="23871" xr:uid="{00000000-0005-0000-0000-000091600000}"/>
    <cellStyle name="Labels 5 4 9" xfId="24843" xr:uid="{00000000-0005-0000-0000-000092600000}"/>
    <cellStyle name="Labels 5 5" xfId="5052" xr:uid="{00000000-0005-0000-0000-000093600000}"/>
    <cellStyle name="Labels 5 5 10" xfId="25843" xr:uid="{00000000-0005-0000-0000-000094600000}"/>
    <cellStyle name="Labels 5 5 11" xfId="29757" xr:uid="{00000000-0005-0000-0000-000095600000}"/>
    <cellStyle name="Labels 5 5 12" xfId="30799" xr:uid="{00000000-0005-0000-0000-000096600000}"/>
    <cellStyle name="Labels 5 5 13" xfId="31790" xr:uid="{00000000-0005-0000-0000-000097600000}"/>
    <cellStyle name="Labels 5 5 14" xfId="32798" xr:uid="{00000000-0005-0000-0000-000098600000}"/>
    <cellStyle name="Labels 5 5 15" xfId="33801" xr:uid="{00000000-0005-0000-0000-000099600000}"/>
    <cellStyle name="Labels 5 5 16" xfId="34800" xr:uid="{00000000-0005-0000-0000-00009A600000}"/>
    <cellStyle name="Labels 5 5 17" xfId="37360" xr:uid="{00000000-0005-0000-0000-00009B600000}"/>
    <cellStyle name="Labels 5 5 2" xfId="16825" xr:uid="{00000000-0005-0000-0000-00009C600000}"/>
    <cellStyle name="Labels 5 5 3" xfId="17804" xr:uid="{00000000-0005-0000-0000-00009D600000}"/>
    <cellStyle name="Labels 5 5 4" xfId="18831" xr:uid="{00000000-0005-0000-0000-00009E600000}"/>
    <cellStyle name="Labels 5 5 5" xfId="19863" xr:uid="{00000000-0005-0000-0000-00009F600000}"/>
    <cellStyle name="Labels 5 5 6" xfId="20885" xr:uid="{00000000-0005-0000-0000-0000A0600000}"/>
    <cellStyle name="Labels 5 5 7" xfId="22867" xr:uid="{00000000-0005-0000-0000-0000A1600000}"/>
    <cellStyle name="Labels 5 5 8" xfId="23872" xr:uid="{00000000-0005-0000-0000-0000A2600000}"/>
    <cellStyle name="Labels 5 5 9" xfId="24844" xr:uid="{00000000-0005-0000-0000-0000A3600000}"/>
    <cellStyle name="Labels 5 6" xfId="13552" xr:uid="{00000000-0005-0000-0000-0000A4600000}"/>
    <cellStyle name="Labels 5 7" xfId="14270" xr:uid="{00000000-0005-0000-0000-0000A5600000}"/>
    <cellStyle name="Labels 5 8" xfId="13923" xr:uid="{00000000-0005-0000-0000-0000A6600000}"/>
    <cellStyle name="Labels 5 9" xfId="15481" xr:uid="{00000000-0005-0000-0000-0000A7600000}"/>
    <cellStyle name="Labels 6" xfId="5053" xr:uid="{00000000-0005-0000-0000-0000A8600000}"/>
    <cellStyle name="Labels 6 10" xfId="14242" xr:uid="{00000000-0005-0000-0000-0000A9600000}"/>
    <cellStyle name="Labels 6 11" xfId="15310" xr:uid="{00000000-0005-0000-0000-0000AA600000}"/>
    <cellStyle name="Labels 6 12" xfId="27113" xr:uid="{00000000-0005-0000-0000-0000AB600000}"/>
    <cellStyle name="Labels 6 13" xfId="26152" xr:uid="{00000000-0005-0000-0000-0000AC600000}"/>
    <cellStyle name="Labels 6 14" xfId="26195" xr:uid="{00000000-0005-0000-0000-0000AD600000}"/>
    <cellStyle name="Labels 6 15" xfId="27640" xr:uid="{00000000-0005-0000-0000-0000AE600000}"/>
    <cellStyle name="Labels 6 16" xfId="26131" xr:uid="{00000000-0005-0000-0000-0000AF600000}"/>
    <cellStyle name="Labels 6 17" xfId="35268" xr:uid="{00000000-0005-0000-0000-0000B0600000}"/>
    <cellStyle name="Labels 6 2" xfId="5054" xr:uid="{00000000-0005-0000-0000-0000B1600000}"/>
    <cellStyle name="Labels 6 2 10" xfId="24845" xr:uid="{00000000-0005-0000-0000-0000B2600000}"/>
    <cellStyle name="Labels 6 2 11" xfId="25844" xr:uid="{00000000-0005-0000-0000-0000B3600000}"/>
    <cellStyle name="Labels 6 2 12" xfId="29758" xr:uid="{00000000-0005-0000-0000-0000B4600000}"/>
    <cellStyle name="Labels 6 2 13" xfId="30800" xr:uid="{00000000-0005-0000-0000-0000B5600000}"/>
    <cellStyle name="Labels 6 2 14" xfId="31791" xr:uid="{00000000-0005-0000-0000-0000B6600000}"/>
    <cellStyle name="Labels 6 2 15" xfId="32799" xr:uid="{00000000-0005-0000-0000-0000B7600000}"/>
    <cellStyle name="Labels 6 2 16" xfId="33802" xr:uid="{00000000-0005-0000-0000-0000B8600000}"/>
    <cellStyle name="Labels 6 2 17" xfId="34801" xr:uid="{00000000-0005-0000-0000-0000B9600000}"/>
    <cellStyle name="Labels 6 2 18" xfId="37361" xr:uid="{00000000-0005-0000-0000-0000BA600000}"/>
    <cellStyle name="Labels 6 2 2" xfId="5055" xr:uid="{00000000-0005-0000-0000-0000BB600000}"/>
    <cellStyle name="Labels 6 2 2 10" xfId="25845" xr:uid="{00000000-0005-0000-0000-0000BC600000}"/>
    <cellStyle name="Labels 6 2 2 11" xfId="29759" xr:uid="{00000000-0005-0000-0000-0000BD600000}"/>
    <cellStyle name="Labels 6 2 2 12" xfId="30801" xr:uid="{00000000-0005-0000-0000-0000BE600000}"/>
    <cellStyle name="Labels 6 2 2 13" xfId="31792" xr:uid="{00000000-0005-0000-0000-0000BF600000}"/>
    <cellStyle name="Labels 6 2 2 14" xfId="32800" xr:uid="{00000000-0005-0000-0000-0000C0600000}"/>
    <cellStyle name="Labels 6 2 2 15" xfId="33803" xr:uid="{00000000-0005-0000-0000-0000C1600000}"/>
    <cellStyle name="Labels 6 2 2 16" xfId="34802" xr:uid="{00000000-0005-0000-0000-0000C2600000}"/>
    <cellStyle name="Labels 6 2 2 17" xfId="37362" xr:uid="{00000000-0005-0000-0000-0000C3600000}"/>
    <cellStyle name="Labels 6 2 2 2" xfId="16827" xr:uid="{00000000-0005-0000-0000-0000C4600000}"/>
    <cellStyle name="Labels 6 2 2 3" xfId="17806" xr:uid="{00000000-0005-0000-0000-0000C5600000}"/>
    <cellStyle name="Labels 6 2 2 4" xfId="18833" xr:uid="{00000000-0005-0000-0000-0000C6600000}"/>
    <cellStyle name="Labels 6 2 2 5" xfId="19865" xr:uid="{00000000-0005-0000-0000-0000C7600000}"/>
    <cellStyle name="Labels 6 2 2 6" xfId="20887" xr:uid="{00000000-0005-0000-0000-0000C8600000}"/>
    <cellStyle name="Labels 6 2 2 7" xfId="22869" xr:uid="{00000000-0005-0000-0000-0000C9600000}"/>
    <cellStyle name="Labels 6 2 2 8" xfId="23874" xr:uid="{00000000-0005-0000-0000-0000CA600000}"/>
    <cellStyle name="Labels 6 2 2 9" xfId="24846" xr:uid="{00000000-0005-0000-0000-0000CB600000}"/>
    <cellStyle name="Labels 6 2 3" xfId="16826" xr:uid="{00000000-0005-0000-0000-0000CC600000}"/>
    <cellStyle name="Labels 6 2 4" xfId="17805" xr:uid="{00000000-0005-0000-0000-0000CD600000}"/>
    <cellStyle name="Labels 6 2 5" xfId="18832" xr:uid="{00000000-0005-0000-0000-0000CE600000}"/>
    <cellStyle name="Labels 6 2 6" xfId="19864" xr:uid="{00000000-0005-0000-0000-0000CF600000}"/>
    <cellStyle name="Labels 6 2 7" xfId="20886" xr:uid="{00000000-0005-0000-0000-0000D0600000}"/>
    <cellStyle name="Labels 6 2 8" xfId="22868" xr:uid="{00000000-0005-0000-0000-0000D1600000}"/>
    <cellStyle name="Labels 6 2 9" xfId="23873" xr:uid="{00000000-0005-0000-0000-0000D2600000}"/>
    <cellStyle name="Labels 6 3" xfId="5056" xr:uid="{00000000-0005-0000-0000-0000D3600000}"/>
    <cellStyle name="Labels 6 3 10" xfId="24847" xr:uid="{00000000-0005-0000-0000-0000D4600000}"/>
    <cellStyle name="Labels 6 3 11" xfId="25846" xr:uid="{00000000-0005-0000-0000-0000D5600000}"/>
    <cellStyle name="Labels 6 3 12" xfId="29760" xr:uid="{00000000-0005-0000-0000-0000D6600000}"/>
    <cellStyle name="Labels 6 3 13" xfId="30802" xr:uid="{00000000-0005-0000-0000-0000D7600000}"/>
    <cellStyle name="Labels 6 3 14" xfId="31793" xr:uid="{00000000-0005-0000-0000-0000D8600000}"/>
    <cellStyle name="Labels 6 3 15" xfId="32801" xr:uid="{00000000-0005-0000-0000-0000D9600000}"/>
    <cellStyle name="Labels 6 3 16" xfId="33804" xr:uid="{00000000-0005-0000-0000-0000DA600000}"/>
    <cellStyle name="Labels 6 3 17" xfId="34803" xr:uid="{00000000-0005-0000-0000-0000DB600000}"/>
    <cellStyle name="Labels 6 3 18" xfId="37363" xr:uid="{00000000-0005-0000-0000-0000DC600000}"/>
    <cellStyle name="Labels 6 3 2" xfId="5057" xr:uid="{00000000-0005-0000-0000-0000DD600000}"/>
    <cellStyle name="Labels 6 3 2 10" xfId="25847" xr:uid="{00000000-0005-0000-0000-0000DE600000}"/>
    <cellStyle name="Labels 6 3 2 11" xfId="29761" xr:uid="{00000000-0005-0000-0000-0000DF600000}"/>
    <cellStyle name="Labels 6 3 2 12" xfId="30803" xr:uid="{00000000-0005-0000-0000-0000E0600000}"/>
    <cellStyle name="Labels 6 3 2 13" xfId="31794" xr:uid="{00000000-0005-0000-0000-0000E1600000}"/>
    <cellStyle name="Labels 6 3 2 14" xfId="32802" xr:uid="{00000000-0005-0000-0000-0000E2600000}"/>
    <cellStyle name="Labels 6 3 2 15" xfId="33805" xr:uid="{00000000-0005-0000-0000-0000E3600000}"/>
    <cellStyle name="Labels 6 3 2 16" xfId="34804" xr:uid="{00000000-0005-0000-0000-0000E4600000}"/>
    <cellStyle name="Labels 6 3 2 17" xfId="37364" xr:uid="{00000000-0005-0000-0000-0000E5600000}"/>
    <cellStyle name="Labels 6 3 2 2" xfId="16829" xr:uid="{00000000-0005-0000-0000-0000E6600000}"/>
    <cellStyle name="Labels 6 3 2 3" xfId="17808" xr:uid="{00000000-0005-0000-0000-0000E7600000}"/>
    <cellStyle name="Labels 6 3 2 4" xfId="18835" xr:uid="{00000000-0005-0000-0000-0000E8600000}"/>
    <cellStyle name="Labels 6 3 2 5" xfId="19867" xr:uid="{00000000-0005-0000-0000-0000E9600000}"/>
    <cellStyle name="Labels 6 3 2 6" xfId="20889" xr:uid="{00000000-0005-0000-0000-0000EA600000}"/>
    <cellStyle name="Labels 6 3 2 7" xfId="22871" xr:uid="{00000000-0005-0000-0000-0000EB600000}"/>
    <cellStyle name="Labels 6 3 2 8" xfId="23876" xr:uid="{00000000-0005-0000-0000-0000EC600000}"/>
    <cellStyle name="Labels 6 3 2 9" xfId="24848" xr:uid="{00000000-0005-0000-0000-0000ED600000}"/>
    <cellStyle name="Labels 6 3 3" xfId="16828" xr:uid="{00000000-0005-0000-0000-0000EE600000}"/>
    <cellStyle name="Labels 6 3 4" xfId="17807" xr:uid="{00000000-0005-0000-0000-0000EF600000}"/>
    <cellStyle name="Labels 6 3 5" xfId="18834" xr:uid="{00000000-0005-0000-0000-0000F0600000}"/>
    <cellStyle name="Labels 6 3 6" xfId="19866" xr:uid="{00000000-0005-0000-0000-0000F1600000}"/>
    <cellStyle name="Labels 6 3 7" xfId="20888" xr:uid="{00000000-0005-0000-0000-0000F2600000}"/>
    <cellStyle name="Labels 6 3 8" xfId="22870" xr:uid="{00000000-0005-0000-0000-0000F3600000}"/>
    <cellStyle name="Labels 6 3 9" xfId="23875" xr:uid="{00000000-0005-0000-0000-0000F4600000}"/>
    <cellStyle name="Labels 6 4" xfId="5058" xr:uid="{00000000-0005-0000-0000-0000F5600000}"/>
    <cellStyle name="Labels 6 4 10" xfId="25848" xr:uid="{00000000-0005-0000-0000-0000F6600000}"/>
    <cellStyle name="Labels 6 4 11" xfId="29762" xr:uid="{00000000-0005-0000-0000-0000F7600000}"/>
    <cellStyle name="Labels 6 4 12" xfId="30804" xr:uid="{00000000-0005-0000-0000-0000F8600000}"/>
    <cellStyle name="Labels 6 4 13" xfId="31795" xr:uid="{00000000-0005-0000-0000-0000F9600000}"/>
    <cellStyle name="Labels 6 4 14" xfId="32803" xr:uid="{00000000-0005-0000-0000-0000FA600000}"/>
    <cellStyle name="Labels 6 4 15" xfId="33806" xr:uid="{00000000-0005-0000-0000-0000FB600000}"/>
    <cellStyle name="Labels 6 4 16" xfId="34805" xr:uid="{00000000-0005-0000-0000-0000FC600000}"/>
    <cellStyle name="Labels 6 4 17" xfId="37365" xr:uid="{00000000-0005-0000-0000-0000FD600000}"/>
    <cellStyle name="Labels 6 4 2" xfId="16830" xr:uid="{00000000-0005-0000-0000-0000FE600000}"/>
    <cellStyle name="Labels 6 4 3" xfId="17809" xr:uid="{00000000-0005-0000-0000-0000FF600000}"/>
    <cellStyle name="Labels 6 4 4" xfId="18836" xr:uid="{00000000-0005-0000-0000-000000610000}"/>
    <cellStyle name="Labels 6 4 5" xfId="19868" xr:uid="{00000000-0005-0000-0000-000001610000}"/>
    <cellStyle name="Labels 6 4 6" xfId="20890" xr:uid="{00000000-0005-0000-0000-000002610000}"/>
    <cellStyle name="Labels 6 4 7" xfId="22872" xr:uid="{00000000-0005-0000-0000-000003610000}"/>
    <cellStyle name="Labels 6 4 8" xfId="23877" xr:uid="{00000000-0005-0000-0000-000004610000}"/>
    <cellStyle name="Labels 6 4 9" xfId="24849" xr:uid="{00000000-0005-0000-0000-000005610000}"/>
    <cellStyle name="Labels 6 5" xfId="5059" xr:uid="{00000000-0005-0000-0000-000006610000}"/>
    <cellStyle name="Labels 6 5 10" xfId="25849" xr:uid="{00000000-0005-0000-0000-000007610000}"/>
    <cellStyle name="Labels 6 5 11" xfId="29763" xr:uid="{00000000-0005-0000-0000-000008610000}"/>
    <cellStyle name="Labels 6 5 12" xfId="30805" xr:uid="{00000000-0005-0000-0000-000009610000}"/>
    <cellStyle name="Labels 6 5 13" xfId="31796" xr:uid="{00000000-0005-0000-0000-00000A610000}"/>
    <cellStyle name="Labels 6 5 14" xfId="32804" xr:uid="{00000000-0005-0000-0000-00000B610000}"/>
    <cellStyle name="Labels 6 5 15" xfId="33807" xr:uid="{00000000-0005-0000-0000-00000C610000}"/>
    <cellStyle name="Labels 6 5 16" xfId="34806" xr:uid="{00000000-0005-0000-0000-00000D610000}"/>
    <cellStyle name="Labels 6 5 17" xfId="37366" xr:uid="{00000000-0005-0000-0000-00000E610000}"/>
    <cellStyle name="Labels 6 5 2" xfId="16831" xr:uid="{00000000-0005-0000-0000-00000F610000}"/>
    <cellStyle name="Labels 6 5 3" xfId="17810" xr:uid="{00000000-0005-0000-0000-000010610000}"/>
    <cellStyle name="Labels 6 5 4" xfId="18837" xr:uid="{00000000-0005-0000-0000-000011610000}"/>
    <cellStyle name="Labels 6 5 5" xfId="19869" xr:uid="{00000000-0005-0000-0000-000012610000}"/>
    <cellStyle name="Labels 6 5 6" xfId="20891" xr:uid="{00000000-0005-0000-0000-000013610000}"/>
    <cellStyle name="Labels 6 5 7" xfId="22873" xr:uid="{00000000-0005-0000-0000-000014610000}"/>
    <cellStyle name="Labels 6 5 8" xfId="23878" xr:uid="{00000000-0005-0000-0000-000015610000}"/>
    <cellStyle name="Labels 6 5 9" xfId="24850" xr:uid="{00000000-0005-0000-0000-000016610000}"/>
    <cellStyle name="Labels 6 6" xfId="13924" xr:uid="{00000000-0005-0000-0000-000017610000}"/>
    <cellStyle name="Labels 6 7" xfId="14059" xr:uid="{00000000-0005-0000-0000-000018610000}"/>
    <cellStyle name="Labels 6 8" xfId="14475" xr:uid="{00000000-0005-0000-0000-000019610000}"/>
    <cellStyle name="Labels 6 9" xfId="13476" xr:uid="{00000000-0005-0000-0000-00001A610000}"/>
    <cellStyle name="Labels 7" xfId="5060" xr:uid="{00000000-0005-0000-0000-00001B610000}"/>
    <cellStyle name="Labels 7 10" xfId="14512" xr:uid="{00000000-0005-0000-0000-00001C610000}"/>
    <cellStyle name="Labels 7 11" xfId="15745" xr:uid="{00000000-0005-0000-0000-00001D610000}"/>
    <cellStyle name="Labels 7 12" xfId="27685" xr:uid="{00000000-0005-0000-0000-00001E610000}"/>
    <cellStyle name="Labels 7 13" xfId="30343" xr:uid="{00000000-0005-0000-0000-00001F610000}"/>
    <cellStyle name="Labels 7 14" xfId="26505" xr:uid="{00000000-0005-0000-0000-000020610000}"/>
    <cellStyle name="Labels 7 15" xfId="26833" xr:uid="{00000000-0005-0000-0000-000021610000}"/>
    <cellStyle name="Labels 7 16" xfId="35409" xr:uid="{00000000-0005-0000-0000-000022610000}"/>
    <cellStyle name="Labels 7 2" xfId="5061" xr:uid="{00000000-0005-0000-0000-000023610000}"/>
    <cellStyle name="Labels 7 2 10" xfId="24851" xr:uid="{00000000-0005-0000-0000-000024610000}"/>
    <cellStyle name="Labels 7 2 11" xfId="25850" xr:uid="{00000000-0005-0000-0000-000025610000}"/>
    <cellStyle name="Labels 7 2 12" xfId="29764" xr:uid="{00000000-0005-0000-0000-000026610000}"/>
    <cellStyle name="Labels 7 2 13" xfId="30806" xr:uid="{00000000-0005-0000-0000-000027610000}"/>
    <cellStyle name="Labels 7 2 14" xfId="31797" xr:uid="{00000000-0005-0000-0000-000028610000}"/>
    <cellStyle name="Labels 7 2 15" xfId="32805" xr:uid="{00000000-0005-0000-0000-000029610000}"/>
    <cellStyle name="Labels 7 2 16" xfId="33808" xr:uid="{00000000-0005-0000-0000-00002A610000}"/>
    <cellStyle name="Labels 7 2 17" xfId="34807" xr:uid="{00000000-0005-0000-0000-00002B610000}"/>
    <cellStyle name="Labels 7 2 18" xfId="37367" xr:uid="{00000000-0005-0000-0000-00002C610000}"/>
    <cellStyle name="Labels 7 2 2" xfId="5062" xr:uid="{00000000-0005-0000-0000-00002D610000}"/>
    <cellStyle name="Labels 7 2 2 10" xfId="25851" xr:uid="{00000000-0005-0000-0000-00002E610000}"/>
    <cellStyle name="Labels 7 2 2 11" xfId="29765" xr:uid="{00000000-0005-0000-0000-00002F610000}"/>
    <cellStyle name="Labels 7 2 2 12" xfId="30807" xr:uid="{00000000-0005-0000-0000-000030610000}"/>
    <cellStyle name="Labels 7 2 2 13" xfId="31798" xr:uid="{00000000-0005-0000-0000-000031610000}"/>
    <cellStyle name="Labels 7 2 2 14" xfId="32806" xr:uid="{00000000-0005-0000-0000-000032610000}"/>
    <cellStyle name="Labels 7 2 2 15" xfId="33809" xr:uid="{00000000-0005-0000-0000-000033610000}"/>
    <cellStyle name="Labels 7 2 2 16" xfId="34808" xr:uid="{00000000-0005-0000-0000-000034610000}"/>
    <cellStyle name="Labels 7 2 2 17" xfId="37368" xr:uid="{00000000-0005-0000-0000-000035610000}"/>
    <cellStyle name="Labels 7 2 2 2" xfId="16833" xr:uid="{00000000-0005-0000-0000-000036610000}"/>
    <cellStyle name="Labels 7 2 2 3" xfId="17812" xr:uid="{00000000-0005-0000-0000-000037610000}"/>
    <cellStyle name="Labels 7 2 2 4" xfId="18839" xr:uid="{00000000-0005-0000-0000-000038610000}"/>
    <cellStyle name="Labels 7 2 2 5" xfId="19871" xr:uid="{00000000-0005-0000-0000-000039610000}"/>
    <cellStyle name="Labels 7 2 2 6" xfId="20893" xr:uid="{00000000-0005-0000-0000-00003A610000}"/>
    <cellStyle name="Labels 7 2 2 7" xfId="22875" xr:uid="{00000000-0005-0000-0000-00003B610000}"/>
    <cellStyle name="Labels 7 2 2 8" xfId="23880" xr:uid="{00000000-0005-0000-0000-00003C610000}"/>
    <cellStyle name="Labels 7 2 2 9" xfId="24852" xr:uid="{00000000-0005-0000-0000-00003D610000}"/>
    <cellStyle name="Labels 7 2 3" xfId="16832" xr:uid="{00000000-0005-0000-0000-00003E610000}"/>
    <cellStyle name="Labels 7 2 4" xfId="17811" xr:uid="{00000000-0005-0000-0000-00003F610000}"/>
    <cellStyle name="Labels 7 2 5" xfId="18838" xr:uid="{00000000-0005-0000-0000-000040610000}"/>
    <cellStyle name="Labels 7 2 6" xfId="19870" xr:uid="{00000000-0005-0000-0000-000041610000}"/>
    <cellStyle name="Labels 7 2 7" xfId="20892" xr:uid="{00000000-0005-0000-0000-000042610000}"/>
    <cellStyle name="Labels 7 2 8" xfId="22874" xr:uid="{00000000-0005-0000-0000-000043610000}"/>
    <cellStyle name="Labels 7 2 9" xfId="23879" xr:uid="{00000000-0005-0000-0000-000044610000}"/>
    <cellStyle name="Labels 7 3" xfId="5063" xr:uid="{00000000-0005-0000-0000-000045610000}"/>
    <cellStyle name="Labels 7 3 10" xfId="24853" xr:uid="{00000000-0005-0000-0000-000046610000}"/>
    <cellStyle name="Labels 7 3 11" xfId="25852" xr:uid="{00000000-0005-0000-0000-000047610000}"/>
    <cellStyle name="Labels 7 3 12" xfId="29766" xr:uid="{00000000-0005-0000-0000-000048610000}"/>
    <cellStyle name="Labels 7 3 13" xfId="30808" xr:uid="{00000000-0005-0000-0000-000049610000}"/>
    <cellStyle name="Labels 7 3 14" xfId="31799" xr:uid="{00000000-0005-0000-0000-00004A610000}"/>
    <cellStyle name="Labels 7 3 15" xfId="32807" xr:uid="{00000000-0005-0000-0000-00004B610000}"/>
    <cellStyle name="Labels 7 3 16" xfId="33810" xr:uid="{00000000-0005-0000-0000-00004C610000}"/>
    <cellStyle name="Labels 7 3 17" xfId="34809" xr:uid="{00000000-0005-0000-0000-00004D610000}"/>
    <cellStyle name="Labels 7 3 18" xfId="37369" xr:uid="{00000000-0005-0000-0000-00004E610000}"/>
    <cellStyle name="Labels 7 3 2" xfId="5064" xr:uid="{00000000-0005-0000-0000-00004F610000}"/>
    <cellStyle name="Labels 7 3 2 10" xfId="25853" xr:uid="{00000000-0005-0000-0000-000050610000}"/>
    <cellStyle name="Labels 7 3 2 11" xfId="29767" xr:uid="{00000000-0005-0000-0000-000051610000}"/>
    <cellStyle name="Labels 7 3 2 12" xfId="30809" xr:uid="{00000000-0005-0000-0000-000052610000}"/>
    <cellStyle name="Labels 7 3 2 13" xfId="31800" xr:uid="{00000000-0005-0000-0000-000053610000}"/>
    <cellStyle name="Labels 7 3 2 14" xfId="32808" xr:uid="{00000000-0005-0000-0000-000054610000}"/>
    <cellStyle name="Labels 7 3 2 15" xfId="33811" xr:uid="{00000000-0005-0000-0000-000055610000}"/>
    <cellStyle name="Labels 7 3 2 16" xfId="34810" xr:uid="{00000000-0005-0000-0000-000056610000}"/>
    <cellStyle name="Labels 7 3 2 17" xfId="37370" xr:uid="{00000000-0005-0000-0000-000057610000}"/>
    <cellStyle name="Labels 7 3 2 2" xfId="16835" xr:uid="{00000000-0005-0000-0000-000058610000}"/>
    <cellStyle name="Labels 7 3 2 3" xfId="17814" xr:uid="{00000000-0005-0000-0000-000059610000}"/>
    <cellStyle name="Labels 7 3 2 4" xfId="18841" xr:uid="{00000000-0005-0000-0000-00005A610000}"/>
    <cellStyle name="Labels 7 3 2 5" xfId="19873" xr:uid="{00000000-0005-0000-0000-00005B610000}"/>
    <cellStyle name="Labels 7 3 2 6" xfId="20895" xr:uid="{00000000-0005-0000-0000-00005C610000}"/>
    <cellStyle name="Labels 7 3 2 7" xfId="22877" xr:uid="{00000000-0005-0000-0000-00005D610000}"/>
    <cellStyle name="Labels 7 3 2 8" xfId="23882" xr:uid="{00000000-0005-0000-0000-00005E610000}"/>
    <cellStyle name="Labels 7 3 2 9" xfId="24854" xr:uid="{00000000-0005-0000-0000-00005F610000}"/>
    <cellStyle name="Labels 7 3 3" xfId="16834" xr:uid="{00000000-0005-0000-0000-000060610000}"/>
    <cellStyle name="Labels 7 3 4" xfId="17813" xr:uid="{00000000-0005-0000-0000-000061610000}"/>
    <cellStyle name="Labels 7 3 5" xfId="18840" xr:uid="{00000000-0005-0000-0000-000062610000}"/>
    <cellStyle name="Labels 7 3 6" xfId="19872" xr:uid="{00000000-0005-0000-0000-000063610000}"/>
    <cellStyle name="Labels 7 3 7" xfId="20894" xr:uid="{00000000-0005-0000-0000-000064610000}"/>
    <cellStyle name="Labels 7 3 8" xfId="22876" xr:uid="{00000000-0005-0000-0000-000065610000}"/>
    <cellStyle name="Labels 7 3 9" xfId="23881" xr:uid="{00000000-0005-0000-0000-000066610000}"/>
    <cellStyle name="Labels 7 4" xfId="5065" xr:uid="{00000000-0005-0000-0000-000067610000}"/>
    <cellStyle name="Labels 7 4 10" xfId="25854" xr:uid="{00000000-0005-0000-0000-000068610000}"/>
    <cellStyle name="Labels 7 4 11" xfId="29768" xr:uid="{00000000-0005-0000-0000-000069610000}"/>
    <cellStyle name="Labels 7 4 12" xfId="30810" xr:uid="{00000000-0005-0000-0000-00006A610000}"/>
    <cellStyle name="Labels 7 4 13" xfId="31801" xr:uid="{00000000-0005-0000-0000-00006B610000}"/>
    <cellStyle name="Labels 7 4 14" xfId="32809" xr:uid="{00000000-0005-0000-0000-00006C610000}"/>
    <cellStyle name="Labels 7 4 15" xfId="33812" xr:uid="{00000000-0005-0000-0000-00006D610000}"/>
    <cellStyle name="Labels 7 4 16" xfId="34811" xr:uid="{00000000-0005-0000-0000-00006E610000}"/>
    <cellStyle name="Labels 7 4 17" xfId="37371" xr:uid="{00000000-0005-0000-0000-00006F610000}"/>
    <cellStyle name="Labels 7 4 2" xfId="16836" xr:uid="{00000000-0005-0000-0000-000070610000}"/>
    <cellStyle name="Labels 7 4 3" xfId="17815" xr:uid="{00000000-0005-0000-0000-000071610000}"/>
    <cellStyle name="Labels 7 4 4" xfId="18842" xr:uid="{00000000-0005-0000-0000-000072610000}"/>
    <cellStyle name="Labels 7 4 5" xfId="19874" xr:uid="{00000000-0005-0000-0000-000073610000}"/>
    <cellStyle name="Labels 7 4 6" xfId="20896" xr:uid="{00000000-0005-0000-0000-000074610000}"/>
    <cellStyle name="Labels 7 4 7" xfId="22878" xr:uid="{00000000-0005-0000-0000-000075610000}"/>
    <cellStyle name="Labels 7 4 8" xfId="23883" xr:uid="{00000000-0005-0000-0000-000076610000}"/>
    <cellStyle name="Labels 7 4 9" xfId="24855" xr:uid="{00000000-0005-0000-0000-000077610000}"/>
    <cellStyle name="Labels 7 5" xfId="5066" xr:uid="{00000000-0005-0000-0000-000078610000}"/>
    <cellStyle name="Labels 7 5 10" xfId="25855" xr:uid="{00000000-0005-0000-0000-000079610000}"/>
    <cellStyle name="Labels 7 5 11" xfId="29769" xr:uid="{00000000-0005-0000-0000-00007A610000}"/>
    <cellStyle name="Labels 7 5 12" xfId="30811" xr:uid="{00000000-0005-0000-0000-00007B610000}"/>
    <cellStyle name="Labels 7 5 13" xfId="31802" xr:uid="{00000000-0005-0000-0000-00007C610000}"/>
    <cellStyle name="Labels 7 5 14" xfId="32810" xr:uid="{00000000-0005-0000-0000-00007D610000}"/>
    <cellStyle name="Labels 7 5 15" xfId="33813" xr:uid="{00000000-0005-0000-0000-00007E610000}"/>
    <cellStyle name="Labels 7 5 16" xfId="34812" xr:uid="{00000000-0005-0000-0000-00007F610000}"/>
    <cellStyle name="Labels 7 5 17" xfId="37372" xr:uid="{00000000-0005-0000-0000-000080610000}"/>
    <cellStyle name="Labels 7 5 2" xfId="16837" xr:uid="{00000000-0005-0000-0000-000081610000}"/>
    <cellStyle name="Labels 7 5 3" xfId="17816" xr:uid="{00000000-0005-0000-0000-000082610000}"/>
    <cellStyle name="Labels 7 5 4" xfId="18843" xr:uid="{00000000-0005-0000-0000-000083610000}"/>
    <cellStyle name="Labels 7 5 5" xfId="19875" xr:uid="{00000000-0005-0000-0000-000084610000}"/>
    <cellStyle name="Labels 7 5 6" xfId="20897" xr:uid="{00000000-0005-0000-0000-000085610000}"/>
    <cellStyle name="Labels 7 5 7" xfId="22879" xr:uid="{00000000-0005-0000-0000-000086610000}"/>
    <cellStyle name="Labels 7 5 8" xfId="23884" xr:uid="{00000000-0005-0000-0000-000087610000}"/>
    <cellStyle name="Labels 7 5 9" xfId="24856" xr:uid="{00000000-0005-0000-0000-000088610000}"/>
    <cellStyle name="Labels 7 6" xfId="15214" xr:uid="{00000000-0005-0000-0000-000089610000}"/>
    <cellStyle name="Labels 7 7" xfId="14095" xr:uid="{00000000-0005-0000-0000-00008A610000}"/>
    <cellStyle name="Labels 7 8" xfId="15348" xr:uid="{00000000-0005-0000-0000-00008B610000}"/>
    <cellStyle name="Labels 7 9" xfId="14410" xr:uid="{00000000-0005-0000-0000-00008C610000}"/>
    <cellStyle name="Labels 8" xfId="5067" xr:uid="{00000000-0005-0000-0000-00008D610000}"/>
    <cellStyle name="Labels 8 10" xfId="24857" xr:uid="{00000000-0005-0000-0000-00008E610000}"/>
    <cellStyle name="Labels 8 11" xfId="25856" xr:uid="{00000000-0005-0000-0000-00008F610000}"/>
    <cellStyle name="Labels 8 12" xfId="29770" xr:uid="{00000000-0005-0000-0000-000090610000}"/>
    <cellStyle name="Labels 8 13" xfId="30812" xr:uid="{00000000-0005-0000-0000-000091610000}"/>
    <cellStyle name="Labels 8 14" xfId="31803" xr:uid="{00000000-0005-0000-0000-000092610000}"/>
    <cellStyle name="Labels 8 15" xfId="32811" xr:uid="{00000000-0005-0000-0000-000093610000}"/>
    <cellStyle name="Labels 8 16" xfId="33814" xr:uid="{00000000-0005-0000-0000-000094610000}"/>
    <cellStyle name="Labels 8 17" xfId="34813" xr:uid="{00000000-0005-0000-0000-000095610000}"/>
    <cellStyle name="Labels 8 18" xfId="37373" xr:uid="{00000000-0005-0000-0000-000096610000}"/>
    <cellStyle name="Labels 8 2" xfId="5068" xr:uid="{00000000-0005-0000-0000-000097610000}"/>
    <cellStyle name="Labels 8 2 10" xfId="25857" xr:uid="{00000000-0005-0000-0000-000098610000}"/>
    <cellStyle name="Labels 8 2 11" xfId="29771" xr:uid="{00000000-0005-0000-0000-000099610000}"/>
    <cellStyle name="Labels 8 2 12" xfId="30813" xr:uid="{00000000-0005-0000-0000-00009A610000}"/>
    <cellStyle name="Labels 8 2 13" xfId="31804" xr:uid="{00000000-0005-0000-0000-00009B610000}"/>
    <cellStyle name="Labels 8 2 14" xfId="32812" xr:uid="{00000000-0005-0000-0000-00009C610000}"/>
    <cellStyle name="Labels 8 2 15" xfId="33815" xr:uid="{00000000-0005-0000-0000-00009D610000}"/>
    <cellStyle name="Labels 8 2 16" xfId="34814" xr:uid="{00000000-0005-0000-0000-00009E610000}"/>
    <cellStyle name="Labels 8 2 17" xfId="37374" xr:uid="{00000000-0005-0000-0000-00009F610000}"/>
    <cellStyle name="Labels 8 2 2" xfId="16839" xr:uid="{00000000-0005-0000-0000-0000A0610000}"/>
    <cellStyle name="Labels 8 2 3" xfId="17818" xr:uid="{00000000-0005-0000-0000-0000A1610000}"/>
    <cellStyle name="Labels 8 2 4" xfId="18845" xr:uid="{00000000-0005-0000-0000-0000A2610000}"/>
    <cellStyle name="Labels 8 2 5" xfId="19877" xr:uid="{00000000-0005-0000-0000-0000A3610000}"/>
    <cellStyle name="Labels 8 2 6" xfId="20899" xr:uid="{00000000-0005-0000-0000-0000A4610000}"/>
    <cellStyle name="Labels 8 2 7" xfId="22881" xr:uid="{00000000-0005-0000-0000-0000A5610000}"/>
    <cellStyle name="Labels 8 2 8" xfId="23886" xr:uid="{00000000-0005-0000-0000-0000A6610000}"/>
    <cellStyle name="Labels 8 2 9" xfId="24858" xr:uid="{00000000-0005-0000-0000-0000A7610000}"/>
    <cellStyle name="Labels 8 3" xfId="16838" xr:uid="{00000000-0005-0000-0000-0000A8610000}"/>
    <cellStyle name="Labels 8 4" xfId="17817" xr:uid="{00000000-0005-0000-0000-0000A9610000}"/>
    <cellStyle name="Labels 8 5" xfId="18844" xr:uid="{00000000-0005-0000-0000-0000AA610000}"/>
    <cellStyle name="Labels 8 6" xfId="19876" xr:uid="{00000000-0005-0000-0000-0000AB610000}"/>
    <cellStyle name="Labels 8 7" xfId="20898" xr:uid="{00000000-0005-0000-0000-0000AC610000}"/>
    <cellStyle name="Labels 8 8" xfId="22880" xr:uid="{00000000-0005-0000-0000-0000AD610000}"/>
    <cellStyle name="Labels 8 9" xfId="23885" xr:uid="{00000000-0005-0000-0000-0000AE610000}"/>
    <cellStyle name="Labels 9" xfId="5069" xr:uid="{00000000-0005-0000-0000-0000AF610000}"/>
    <cellStyle name="Labels 9 10" xfId="24859" xr:uid="{00000000-0005-0000-0000-0000B0610000}"/>
    <cellStyle name="Labels 9 11" xfId="25858" xr:uid="{00000000-0005-0000-0000-0000B1610000}"/>
    <cellStyle name="Labels 9 12" xfId="29772" xr:uid="{00000000-0005-0000-0000-0000B2610000}"/>
    <cellStyle name="Labels 9 13" xfId="30814" xr:uid="{00000000-0005-0000-0000-0000B3610000}"/>
    <cellStyle name="Labels 9 14" xfId="31805" xr:uid="{00000000-0005-0000-0000-0000B4610000}"/>
    <cellStyle name="Labels 9 15" xfId="32813" xr:uid="{00000000-0005-0000-0000-0000B5610000}"/>
    <cellStyle name="Labels 9 16" xfId="33816" xr:uid="{00000000-0005-0000-0000-0000B6610000}"/>
    <cellStyle name="Labels 9 17" xfId="34815" xr:uid="{00000000-0005-0000-0000-0000B7610000}"/>
    <cellStyle name="Labels 9 18" xfId="37375" xr:uid="{00000000-0005-0000-0000-0000B8610000}"/>
    <cellStyle name="Labels 9 2" xfId="5070" xr:uid="{00000000-0005-0000-0000-0000B9610000}"/>
    <cellStyle name="Labels 9 2 10" xfId="25859" xr:uid="{00000000-0005-0000-0000-0000BA610000}"/>
    <cellStyle name="Labels 9 2 11" xfId="29773" xr:uid="{00000000-0005-0000-0000-0000BB610000}"/>
    <cellStyle name="Labels 9 2 12" xfId="30815" xr:uid="{00000000-0005-0000-0000-0000BC610000}"/>
    <cellStyle name="Labels 9 2 13" xfId="31806" xr:uid="{00000000-0005-0000-0000-0000BD610000}"/>
    <cellStyle name="Labels 9 2 14" xfId="32814" xr:uid="{00000000-0005-0000-0000-0000BE610000}"/>
    <cellStyle name="Labels 9 2 15" xfId="33817" xr:uid="{00000000-0005-0000-0000-0000BF610000}"/>
    <cellStyle name="Labels 9 2 16" xfId="34816" xr:uid="{00000000-0005-0000-0000-0000C0610000}"/>
    <cellStyle name="Labels 9 2 17" xfId="37376" xr:uid="{00000000-0005-0000-0000-0000C1610000}"/>
    <cellStyle name="Labels 9 2 2" xfId="16841" xr:uid="{00000000-0005-0000-0000-0000C2610000}"/>
    <cellStyle name="Labels 9 2 3" xfId="17820" xr:uid="{00000000-0005-0000-0000-0000C3610000}"/>
    <cellStyle name="Labels 9 2 4" xfId="18847" xr:uid="{00000000-0005-0000-0000-0000C4610000}"/>
    <cellStyle name="Labels 9 2 5" xfId="19879" xr:uid="{00000000-0005-0000-0000-0000C5610000}"/>
    <cellStyle name="Labels 9 2 6" xfId="20901" xr:uid="{00000000-0005-0000-0000-0000C6610000}"/>
    <cellStyle name="Labels 9 2 7" xfId="22883" xr:uid="{00000000-0005-0000-0000-0000C7610000}"/>
    <cellStyle name="Labels 9 2 8" xfId="23888" xr:uid="{00000000-0005-0000-0000-0000C8610000}"/>
    <cellStyle name="Labels 9 2 9" xfId="24860" xr:uid="{00000000-0005-0000-0000-0000C9610000}"/>
    <cellStyle name="Labels 9 3" xfId="16840" xr:uid="{00000000-0005-0000-0000-0000CA610000}"/>
    <cellStyle name="Labels 9 4" xfId="17819" xr:uid="{00000000-0005-0000-0000-0000CB610000}"/>
    <cellStyle name="Labels 9 5" xfId="18846" xr:uid="{00000000-0005-0000-0000-0000CC610000}"/>
    <cellStyle name="Labels 9 6" xfId="19878" xr:uid="{00000000-0005-0000-0000-0000CD610000}"/>
    <cellStyle name="Labels 9 7" xfId="20900" xr:uid="{00000000-0005-0000-0000-0000CE610000}"/>
    <cellStyle name="Labels 9 8" xfId="22882" xr:uid="{00000000-0005-0000-0000-0000CF610000}"/>
    <cellStyle name="Labels 9 9" xfId="23887" xr:uid="{00000000-0005-0000-0000-0000D0610000}"/>
    <cellStyle name="Linked Cell" xfId="13363" builtinId="24" customBuiltin="1"/>
    <cellStyle name="Linked Cell 2" xfId="147" xr:uid="{00000000-0005-0000-0000-0000D2610000}"/>
    <cellStyle name="Linked Cell 2 2" xfId="334" xr:uid="{00000000-0005-0000-0000-0000D3610000}"/>
    <cellStyle name="Linked Cell 2 3" xfId="5071" xr:uid="{00000000-0005-0000-0000-0000D4610000}"/>
    <cellStyle name="Linked Cell 2 4" xfId="5072" xr:uid="{00000000-0005-0000-0000-0000D5610000}"/>
    <cellStyle name="Linked Cell 3" xfId="146" xr:uid="{00000000-0005-0000-0000-0000D6610000}"/>
    <cellStyle name="Linked Cell 3 2" xfId="5074" xr:uid="{00000000-0005-0000-0000-0000D7610000}"/>
    <cellStyle name="Linked Cell 3 3" xfId="5073" xr:uid="{00000000-0005-0000-0000-0000D8610000}"/>
    <cellStyle name="Linked Cell 4" xfId="5075" xr:uid="{00000000-0005-0000-0000-0000D9610000}"/>
    <cellStyle name="Neutral" xfId="13359" builtinId="28" customBuiltin="1"/>
    <cellStyle name="Neutral 2" xfId="149" xr:uid="{00000000-0005-0000-0000-0000DB610000}"/>
    <cellStyle name="Neutral 2 2" xfId="335" xr:uid="{00000000-0005-0000-0000-0000DC610000}"/>
    <cellStyle name="Neutral 2 2 2" xfId="5076" xr:uid="{00000000-0005-0000-0000-0000DD610000}"/>
    <cellStyle name="Neutral 2 3" xfId="5077" xr:uid="{00000000-0005-0000-0000-0000DE610000}"/>
    <cellStyle name="Neutral 2 4" xfId="5078" xr:uid="{00000000-0005-0000-0000-0000DF610000}"/>
    <cellStyle name="Neutral 3" xfId="148" xr:uid="{00000000-0005-0000-0000-0000E0610000}"/>
    <cellStyle name="Neutral 3 2" xfId="5080" xr:uid="{00000000-0005-0000-0000-0000E1610000}"/>
    <cellStyle name="Neutral 3 3" xfId="5079" xr:uid="{00000000-0005-0000-0000-0000E2610000}"/>
    <cellStyle name="Neutral 4" xfId="5081" xr:uid="{00000000-0005-0000-0000-0000E3610000}"/>
    <cellStyle name="New_normal" xfId="150" xr:uid="{00000000-0005-0000-0000-0000E4610000}"/>
    <cellStyle name="Normal" xfId="0" builtinId="0"/>
    <cellStyle name="Normal - Style1" xfId="151" xr:uid="{00000000-0005-0000-0000-0000E6610000}"/>
    <cellStyle name="Normal - Style2" xfId="152" xr:uid="{00000000-0005-0000-0000-0000E7610000}"/>
    <cellStyle name="Normal - Style3" xfId="153" xr:uid="{00000000-0005-0000-0000-0000E8610000}"/>
    <cellStyle name="Normal - Style4" xfId="154" xr:uid="{00000000-0005-0000-0000-0000E9610000}"/>
    <cellStyle name="Normal - Style5" xfId="155" xr:uid="{00000000-0005-0000-0000-0000EA610000}"/>
    <cellStyle name="Normal - Style6" xfId="5082" xr:uid="{00000000-0005-0000-0000-0000EB610000}"/>
    <cellStyle name="Normal - Style7" xfId="5083" xr:uid="{00000000-0005-0000-0000-0000EC610000}"/>
    <cellStyle name="Normal - Style8" xfId="5084" xr:uid="{00000000-0005-0000-0000-0000ED610000}"/>
    <cellStyle name="Normal 10" xfId="156" xr:uid="{00000000-0005-0000-0000-0000EE610000}"/>
    <cellStyle name="Normal 10 10" xfId="5085" xr:uid="{00000000-0005-0000-0000-0000EF610000}"/>
    <cellStyle name="Normal 10 11" xfId="5086" xr:uid="{00000000-0005-0000-0000-0000F0610000}"/>
    <cellStyle name="Normal 10 2" xfId="17" xr:uid="{00000000-0005-0000-0000-0000F1610000}"/>
    <cellStyle name="Normal 10 2 2" xfId="337" xr:uid="{00000000-0005-0000-0000-0000F2610000}"/>
    <cellStyle name="Normal 10 2 2 2" xfId="5087" xr:uid="{00000000-0005-0000-0000-0000F3610000}"/>
    <cellStyle name="Normal 10 2 2 2 2" xfId="5088" xr:uid="{00000000-0005-0000-0000-0000F4610000}"/>
    <cellStyle name="Normal 10 2 2 2 2 2" xfId="5089" xr:uid="{00000000-0005-0000-0000-0000F5610000}"/>
    <cellStyle name="Normal 10 2 2 2 2 2 2" xfId="5090" xr:uid="{00000000-0005-0000-0000-0000F6610000}"/>
    <cellStyle name="Normal 10 2 2 2 2 2 2 2" xfId="5091" xr:uid="{00000000-0005-0000-0000-0000F7610000}"/>
    <cellStyle name="Normal 10 2 2 2 2 2 2 3" xfId="5092" xr:uid="{00000000-0005-0000-0000-0000F8610000}"/>
    <cellStyle name="Normal 10 2 2 2 2 2 3" xfId="5093" xr:uid="{00000000-0005-0000-0000-0000F9610000}"/>
    <cellStyle name="Normal 10 2 2 2 2 2 3 2" xfId="5094" xr:uid="{00000000-0005-0000-0000-0000FA610000}"/>
    <cellStyle name="Normal 10 2 2 2 2 2 3 3" xfId="5095" xr:uid="{00000000-0005-0000-0000-0000FB610000}"/>
    <cellStyle name="Normal 10 2 2 2 2 2 4" xfId="5096" xr:uid="{00000000-0005-0000-0000-0000FC610000}"/>
    <cellStyle name="Normal 10 2 2 2 2 2 5" xfId="5097" xr:uid="{00000000-0005-0000-0000-0000FD610000}"/>
    <cellStyle name="Normal 10 2 2 2 2 3" xfId="5098" xr:uid="{00000000-0005-0000-0000-0000FE610000}"/>
    <cellStyle name="Normal 10 2 2 2 2 3 2" xfId="5099" xr:uid="{00000000-0005-0000-0000-0000FF610000}"/>
    <cellStyle name="Normal 10 2 2 2 2 3 3" xfId="5100" xr:uid="{00000000-0005-0000-0000-000000620000}"/>
    <cellStyle name="Normal 10 2 2 2 2 4" xfId="5101" xr:uid="{00000000-0005-0000-0000-000001620000}"/>
    <cellStyle name="Normal 10 2 2 2 2 4 2" xfId="5102" xr:uid="{00000000-0005-0000-0000-000002620000}"/>
    <cellStyle name="Normal 10 2 2 2 2 4 3" xfId="5103" xr:uid="{00000000-0005-0000-0000-000003620000}"/>
    <cellStyle name="Normal 10 2 2 2 2 5" xfId="5104" xr:uid="{00000000-0005-0000-0000-000004620000}"/>
    <cellStyle name="Normal 10 2 2 2 2 6" xfId="5105" xr:uid="{00000000-0005-0000-0000-000005620000}"/>
    <cellStyle name="Normal 10 2 2 2 3" xfId="5106" xr:uid="{00000000-0005-0000-0000-000006620000}"/>
    <cellStyle name="Normal 10 2 2 2 3 2" xfId="5107" xr:uid="{00000000-0005-0000-0000-000007620000}"/>
    <cellStyle name="Normal 10 2 2 2 3 2 2" xfId="5108" xr:uid="{00000000-0005-0000-0000-000008620000}"/>
    <cellStyle name="Normal 10 2 2 2 3 2 3" xfId="5109" xr:uid="{00000000-0005-0000-0000-000009620000}"/>
    <cellStyle name="Normal 10 2 2 2 3 3" xfId="5110" xr:uid="{00000000-0005-0000-0000-00000A620000}"/>
    <cellStyle name="Normal 10 2 2 2 3 3 2" xfId="5111" xr:uid="{00000000-0005-0000-0000-00000B620000}"/>
    <cellStyle name="Normal 10 2 2 2 3 3 3" xfId="5112" xr:uid="{00000000-0005-0000-0000-00000C620000}"/>
    <cellStyle name="Normal 10 2 2 2 3 4" xfId="5113" xr:uid="{00000000-0005-0000-0000-00000D620000}"/>
    <cellStyle name="Normal 10 2 2 2 3 5" xfId="5114" xr:uid="{00000000-0005-0000-0000-00000E620000}"/>
    <cellStyle name="Normal 10 2 2 2 4" xfId="5115" xr:uid="{00000000-0005-0000-0000-00000F620000}"/>
    <cellStyle name="Normal 10 2 2 2 4 2" xfId="5116" xr:uid="{00000000-0005-0000-0000-000010620000}"/>
    <cellStyle name="Normal 10 2 2 2 4 3" xfId="5117" xr:uid="{00000000-0005-0000-0000-000011620000}"/>
    <cellStyle name="Normal 10 2 2 2 5" xfId="5118" xr:uid="{00000000-0005-0000-0000-000012620000}"/>
    <cellStyle name="Normal 10 2 2 2 5 2" xfId="5119" xr:uid="{00000000-0005-0000-0000-000013620000}"/>
    <cellStyle name="Normal 10 2 2 2 5 3" xfId="5120" xr:uid="{00000000-0005-0000-0000-000014620000}"/>
    <cellStyle name="Normal 10 2 2 2 6" xfId="5121" xr:uid="{00000000-0005-0000-0000-000015620000}"/>
    <cellStyle name="Normal 10 2 2 2 7" xfId="5122" xr:uid="{00000000-0005-0000-0000-000016620000}"/>
    <cellStyle name="Normal 10 2 2 3" xfId="5123" xr:uid="{00000000-0005-0000-0000-000017620000}"/>
    <cellStyle name="Normal 10 2 2 3 2" xfId="5124" xr:uid="{00000000-0005-0000-0000-000018620000}"/>
    <cellStyle name="Normal 10 2 2 3 2 2" xfId="5125" xr:uid="{00000000-0005-0000-0000-000019620000}"/>
    <cellStyle name="Normal 10 2 2 3 2 2 2" xfId="5126" xr:uid="{00000000-0005-0000-0000-00001A620000}"/>
    <cellStyle name="Normal 10 2 2 3 2 2 3" xfId="5127" xr:uid="{00000000-0005-0000-0000-00001B620000}"/>
    <cellStyle name="Normal 10 2 2 3 2 3" xfId="5128" xr:uid="{00000000-0005-0000-0000-00001C620000}"/>
    <cellStyle name="Normal 10 2 2 3 2 3 2" xfId="5129" xr:uid="{00000000-0005-0000-0000-00001D620000}"/>
    <cellStyle name="Normal 10 2 2 3 2 3 3" xfId="5130" xr:uid="{00000000-0005-0000-0000-00001E620000}"/>
    <cellStyle name="Normal 10 2 2 3 2 4" xfId="5131" xr:uid="{00000000-0005-0000-0000-00001F620000}"/>
    <cellStyle name="Normal 10 2 2 3 2 5" xfId="5132" xr:uid="{00000000-0005-0000-0000-000020620000}"/>
    <cellStyle name="Normal 10 2 2 3 3" xfId="5133" xr:uid="{00000000-0005-0000-0000-000021620000}"/>
    <cellStyle name="Normal 10 2 2 3 3 2" xfId="5134" xr:uid="{00000000-0005-0000-0000-000022620000}"/>
    <cellStyle name="Normal 10 2 2 3 3 3" xfId="5135" xr:uid="{00000000-0005-0000-0000-000023620000}"/>
    <cellStyle name="Normal 10 2 2 3 4" xfId="5136" xr:uid="{00000000-0005-0000-0000-000024620000}"/>
    <cellStyle name="Normal 10 2 2 3 4 2" xfId="5137" xr:uid="{00000000-0005-0000-0000-000025620000}"/>
    <cellStyle name="Normal 10 2 2 3 4 3" xfId="5138" xr:uid="{00000000-0005-0000-0000-000026620000}"/>
    <cellStyle name="Normal 10 2 2 3 5" xfId="5139" xr:uid="{00000000-0005-0000-0000-000027620000}"/>
    <cellStyle name="Normal 10 2 2 3 6" xfId="5140" xr:uid="{00000000-0005-0000-0000-000028620000}"/>
    <cellStyle name="Normal 10 2 2 4" xfId="5141" xr:uid="{00000000-0005-0000-0000-000029620000}"/>
    <cellStyle name="Normal 10 2 2 4 2" xfId="5142" xr:uid="{00000000-0005-0000-0000-00002A620000}"/>
    <cellStyle name="Normal 10 2 2 4 2 2" xfId="5143" xr:uid="{00000000-0005-0000-0000-00002B620000}"/>
    <cellStyle name="Normal 10 2 2 4 2 3" xfId="5144" xr:uid="{00000000-0005-0000-0000-00002C620000}"/>
    <cellStyle name="Normal 10 2 2 4 3" xfId="5145" xr:uid="{00000000-0005-0000-0000-00002D620000}"/>
    <cellStyle name="Normal 10 2 2 4 3 2" xfId="5146" xr:uid="{00000000-0005-0000-0000-00002E620000}"/>
    <cellStyle name="Normal 10 2 2 4 3 3" xfId="5147" xr:uid="{00000000-0005-0000-0000-00002F620000}"/>
    <cellStyle name="Normal 10 2 2 4 4" xfId="5148" xr:uid="{00000000-0005-0000-0000-000030620000}"/>
    <cellStyle name="Normal 10 2 2 4 5" xfId="5149" xr:uid="{00000000-0005-0000-0000-000031620000}"/>
    <cellStyle name="Normal 10 2 2 5" xfId="5150" xr:uid="{00000000-0005-0000-0000-000032620000}"/>
    <cellStyle name="Normal 10 2 2 5 2" xfId="5151" xr:uid="{00000000-0005-0000-0000-000033620000}"/>
    <cellStyle name="Normal 10 2 2 5 3" xfId="5152" xr:uid="{00000000-0005-0000-0000-000034620000}"/>
    <cellStyle name="Normal 10 2 2 6" xfId="5153" xr:uid="{00000000-0005-0000-0000-000035620000}"/>
    <cellStyle name="Normal 10 2 2 6 2" xfId="5154" xr:uid="{00000000-0005-0000-0000-000036620000}"/>
    <cellStyle name="Normal 10 2 2 6 3" xfId="5155" xr:uid="{00000000-0005-0000-0000-000037620000}"/>
    <cellStyle name="Normal 10 2 2 7" xfId="5156" xr:uid="{00000000-0005-0000-0000-000038620000}"/>
    <cellStyle name="Normal 10 2 2 8" xfId="5157" xr:uid="{00000000-0005-0000-0000-000039620000}"/>
    <cellStyle name="Normal 10 2 3" xfId="336" xr:uid="{00000000-0005-0000-0000-00003A620000}"/>
    <cellStyle name="Normal 10 2 3 2" xfId="5158" xr:uid="{00000000-0005-0000-0000-00003B620000}"/>
    <cellStyle name="Normal 10 2 3 2 2" xfId="5159" xr:uid="{00000000-0005-0000-0000-00003C620000}"/>
    <cellStyle name="Normal 10 2 3 2 2 2" xfId="5160" xr:uid="{00000000-0005-0000-0000-00003D620000}"/>
    <cellStyle name="Normal 10 2 3 2 2 2 2" xfId="5161" xr:uid="{00000000-0005-0000-0000-00003E620000}"/>
    <cellStyle name="Normal 10 2 3 2 2 2 3" xfId="5162" xr:uid="{00000000-0005-0000-0000-00003F620000}"/>
    <cellStyle name="Normal 10 2 3 2 2 3" xfId="5163" xr:uid="{00000000-0005-0000-0000-000040620000}"/>
    <cellStyle name="Normal 10 2 3 2 2 3 2" xfId="5164" xr:uid="{00000000-0005-0000-0000-000041620000}"/>
    <cellStyle name="Normal 10 2 3 2 2 3 3" xfId="5165" xr:uid="{00000000-0005-0000-0000-000042620000}"/>
    <cellStyle name="Normal 10 2 3 2 2 4" xfId="5166" xr:uid="{00000000-0005-0000-0000-000043620000}"/>
    <cellStyle name="Normal 10 2 3 2 2 5" xfId="5167" xr:uid="{00000000-0005-0000-0000-000044620000}"/>
    <cellStyle name="Normal 10 2 3 2 3" xfId="5168" xr:uid="{00000000-0005-0000-0000-000045620000}"/>
    <cellStyle name="Normal 10 2 3 2 3 2" xfId="5169" xr:uid="{00000000-0005-0000-0000-000046620000}"/>
    <cellStyle name="Normal 10 2 3 2 3 3" xfId="5170" xr:uid="{00000000-0005-0000-0000-000047620000}"/>
    <cellStyle name="Normal 10 2 3 2 4" xfId="5171" xr:uid="{00000000-0005-0000-0000-000048620000}"/>
    <cellStyle name="Normal 10 2 3 2 4 2" xfId="5172" xr:uid="{00000000-0005-0000-0000-000049620000}"/>
    <cellStyle name="Normal 10 2 3 2 4 3" xfId="5173" xr:uid="{00000000-0005-0000-0000-00004A620000}"/>
    <cellStyle name="Normal 10 2 3 2 5" xfId="5174" xr:uid="{00000000-0005-0000-0000-00004B620000}"/>
    <cellStyle name="Normal 10 2 3 2 6" xfId="5175" xr:uid="{00000000-0005-0000-0000-00004C620000}"/>
    <cellStyle name="Normal 10 2 3 3" xfId="5176" xr:uid="{00000000-0005-0000-0000-00004D620000}"/>
    <cellStyle name="Normal 10 2 3 3 2" xfId="5177" xr:uid="{00000000-0005-0000-0000-00004E620000}"/>
    <cellStyle name="Normal 10 2 3 3 2 2" xfId="5178" xr:uid="{00000000-0005-0000-0000-00004F620000}"/>
    <cellStyle name="Normal 10 2 3 3 2 3" xfId="5179" xr:uid="{00000000-0005-0000-0000-000050620000}"/>
    <cellStyle name="Normal 10 2 3 3 3" xfId="5180" xr:uid="{00000000-0005-0000-0000-000051620000}"/>
    <cellStyle name="Normal 10 2 3 3 3 2" xfId="5181" xr:uid="{00000000-0005-0000-0000-000052620000}"/>
    <cellStyle name="Normal 10 2 3 3 3 3" xfId="5182" xr:uid="{00000000-0005-0000-0000-000053620000}"/>
    <cellStyle name="Normal 10 2 3 3 4" xfId="5183" xr:uid="{00000000-0005-0000-0000-000054620000}"/>
    <cellStyle name="Normal 10 2 3 3 5" xfId="5184" xr:uid="{00000000-0005-0000-0000-000055620000}"/>
    <cellStyle name="Normal 10 2 3 4" xfId="5185" xr:uid="{00000000-0005-0000-0000-000056620000}"/>
    <cellStyle name="Normal 10 2 3 4 2" xfId="5186" xr:uid="{00000000-0005-0000-0000-000057620000}"/>
    <cellStyle name="Normal 10 2 3 4 3" xfId="5187" xr:uid="{00000000-0005-0000-0000-000058620000}"/>
    <cellStyle name="Normal 10 2 3 5" xfId="5188" xr:uid="{00000000-0005-0000-0000-000059620000}"/>
    <cellStyle name="Normal 10 2 3 5 2" xfId="5189" xr:uid="{00000000-0005-0000-0000-00005A620000}"/>
    <cellStyle name="Normal 10 2 3 5 3" xfId="5190" xr:uid="{00000000-0005-0000-0000-00005B620000}"/>
    <cellStyle name="Normal 10 2 3 6" xfId="5191" xr:uid="{00000000-0005-0000-0000-00005C620000}"/>
    <cellStyle name="Normal 10 2 3 7" xfId="5192" xr:uid="{00000000-0005-0000-0000-00005D620000}"/>
    <cellStyle name="Normal 10 2 4" xfId="5193" xr:uid="{00000000-0005-0000-0000-00005E620000}"/>
    <cellStyle name="Normal 10 2 4 2" xfId="5194" xr:uid="{00000000-0005-0000-0000-00005F620000}"/>
    <cellStyle name="Normal 10 2 4 2 2" xfId="5195" xr:uid="{00000000-0005-0000-0000-000060620000}"/>
    <cellStyle name="Normal 10 2 4 2 2 2" xfId="5196" xr:uid="{00000000-0005-0000-0000-000061620000}"/>
    <cellStyle name="Normal 10 2 4 2 2 3" xfId="5197" xr:uid="{00000000-0005-0000-0000-000062620000}"/>
    <cellStyle name="Normal 10 2 4 2 3" xfId="5198" xr:uid="{00000000-0005-0000-0000-000063620000}"/>
    <cellStyle name="Normal 10 2 4 2 3 2" xfId="5199" xr:uid="{00000000-0005-0000-0000-000064620000}"/>
    <cellStyle name="Normal 10 2 4 2 3 3" xfId="5200" xr:uid="{00000000-0005-0000-0000-000065620000}"/>
    <cellStyle name="Normal 10 2 4 2 4" xfId="5201" xr:uid="{00000000-0005-0000-0000-000066620000}"/>
    <cellStyle name="Normal 10 2 4 2 5" xfId="5202" xr:uid="{00000000-0005-0000-0000-000067620000}"/>
    <cellStyle name="Normal 10 2 4 3" xfId="5203" xr:uid="{00000000-0005-0000-0000-000068620000}"/>
    <cellStyle name="Normal 10 2 4 3 2" xfId="5204" xr:uid="{00000000-0005-0000-0000-000069620000}"/>
    <cellStyle name="Normal 10 2 4 3 3" xfId="5205" xr:uid="{00000000-0005-0000-0000-00006A620000}"/>
    <cellStyle name="Normal 10 2 4 4" xfId="5206" xr:uid="{00000000-0005-0000-0000-00006B620000}"/>
    <cellStyle name="Normal 10 2 4 4 2" xfId="5207" xr:uid="{00000000-0005-0000-0000-00006C620000}"/>
    <cellStyle name="Normal 10 2 4 4 3" xfId="5208" xr:uid="{00000000-0005-0000-0000-00006D620000}"/>
    <cellStyle name="Normal 10 2 4 5" xfId="5209" xr:uid="{00000000-0005-0000-0000-00006E620000}"/>
    <cellStyle name="Normal 10 2 4 6" xfId="5210" xr:uid="{00000000-0005-0000-0000-00006F620000}"/>
    <cellStyle name="Normal 10 2 5" xfId="5211" xr:uid="{00000000-0005-0000-0000-000070620000}"/>
    <cellStyle name="Normal 10 2 5 2" xfId="5212" xr:uid="{00000000-0005-0000-0000-000071620000}"/>
    <cellStyle name="Normal 10 2 5 2 2" xfId="5213" xr:uid="{00000000-0005-0000-0000-000072620000}"/>
    <cellStyle name="Normal 10 2 5 2 3" xfId="5214" xr:uid="{00000000-0005-0000-0000-000073620000}"/>
    <cellStyle name="Normal 10 2 5 3" xfId="5215" xr:uid="{00000000-0005-0000-0000-000074620000}"/>
    <cellStyle name="Normal 10 2 5 3 2" xfId="5216" xr:uid="{00000000-0005-0000-0000-000075620000}"/>
    <cellStyle name="Normal 10 2 5 3 3" xfId="5217" xr:uid="{00000000-0005-0000-0000-000076620000}"/>
    <cellStyle name="Normal 10 2 5 4" xfId="5218" xr:uid="{00000000-0005-0000-0000-000077620000}"/>
    <cellStyle name="Normal 10 2 5 5" xfId="5219" xr:uid="{00000000-0005-0000-0000-000078620000}"/>
    <cellStyle name="Normal 10 2 6" xfId="5220" xr:uid="{00000000-0005-0000-0000-000079620000}"/>
    <cellStyle name="Normal 10 2 6 2" xfId="5221" xr:uid="{00000000-0005-0000-0000-00007A620000}"/>
    <cellStyle name="Normal 10 2 6 3" xfId="5222" xr:uid="{00000000-0005-0000-0000-00007B620000}"/>
    <cellStyle name="Normal 10 2 7" xfId="5223" xr:uid="{00000000-0005-0000-0000-00007C620000}"/>
    <cellStyle name="Normal 10 2 7 2" xfId="5224" xr:uid="{00000000-0005-0000-0000-00007D620000}"/>
    <cellStyle name="Normal 10 2 7 3" xfId="5225" xr:uid="{00000000-0005-0000-0000-00007E620000}"/>
    <cellStyle name="Normal 10 2 8" xfId="5226" xr:uid="{00000000-0005-0000-0000-00007F620000}"/>
    <cellStyle name="Normal 10 2 9" xfId="5227" xr:uid="{00000000-0005-0000-0000-000080620000}"/>
    <cellStyle name="Normal 10 3" xfId="5228" xr:uid="{00000000-0005-0000-0000-000081620000}"/>
    <cellStyle name="Normal 10 3 2" xfId="5229" xr:uid="{00000000-0005-0000-0000-000082620000}"/>
    <cellStyle name="Normal 10 3 2 2" xfId="5230" xr:uid="{00000000-0005-0000-0000-000083620000}"/>
    <cellStyle name="Normal 10 3 2 2 2" xfId="5231" xr:uid="{00000000-0005-0000-0000-000084620000}"/>
    <cellStyle name="Normal 10 3 2 2 2 2" xfId="5232" xr:uid="{00000000-0005-0000-0000-000085620000}"/>
    <cellStyle name="Normal 10 3 2 2 2 2 2" xfId="5233" xr:uid="{00000000-0005-0000-0000-000086620000}"/>
    <cellStyle name="Normal 10 3 2 2 2 2 3" xfId="5234" xr:uid="{00000000-0005-0000-0000-000087620000}"/>
    <cellStyle name="Normal 10 3 2 2 2 3" xfId="5235" xr:uid="{00000000-0005-0000-0000-000088620000}"/>
    <cellStyle name="Normal 10 3 2 2 2 3 2" xfId="5236" xr:uid="{00000000-0005-0000-0000-000089620000}"/>
    <cellStyle name="Normal 10 3 2 2 2 3 3" xfId="5237" xr:uid="{00000000-0005-0000-0000-00008A620000}"/>
    <cellStyle name="Normal 10 3 2 2 2 4" xfId="5238" xr:uid="{00000000-0005-0000-0000-00008B620000}"/>
    <cellStyle name="Normal 10 3 2 2 2 5" xfId="5239" xr:uid="{00000000-0005-0000-0000-00008C620000}"/>
    <cellStyle name="Normal 10 3 2 2 3" xfId="5240" xr:uid="{00000000-0005-0000-0000-00008D620000}"/>
    <cellStyle name="Normal 10 3 2 2 3 2" xfId="5241" xr:uid="{00000000-0005-0000-0000-00008E620000}"/>
    <cellStyle name="Normal 10 3 2 2 3 3" xfId="5242" xr:uid="{00000000-0005-0000-0000-00008F620000}"/>
    <cellStyle name="Normal 10 3 2 2 4" xfId="5243" xr:uid="{00000000-0005-0000-0000-000090620000}"/>
    <cellStyle name="Normal 10 3 2 2 4 2" xfId="5244" xr:uid="{00000000-0005-0000-0000-000091620000}"/>
    <cellStyle name="Normal 10 3 2 2 4 3" xfId="5245" xr:uid="{00000000-0005-0000-0000-000092620000}"/>
    <cellStyle name="Normal 10 3 2 2 5" xfId="5246" xr:uid="{00000000-0005-0000-0000-000093620000}"/>
    <cellStyle name="Normal 10 3 2 2 6" xfId="5247" xr:uid="{00000000-0005-0000-0000-000094620000}"/>
    <cellStyle name="Normal 10 3 2 3" xfId="5248" xr:uid="{00000000-0005-0000-0000-000095620000}"/>
    <cellStyle name="Normal 10 3 2 3 2" xfId="5249" xr:uid="{00000000-0005-0000-0000-000096620000}"/>
    <cellStyle name="Normal 10 3 2 3 2 2" xfId="5250" xr:uid="{00000000-0005-0000-0000-000097620000}"/>
    <cellStyle name="Normal 10 3 2 3 2 3" xfId="5251" xr:uid="{00000000-0005-0000-0000-000098620000}"/>
    <cellStyle name="Normal 10 3 2 3 3" xfId="5252" xr:uid="{00000000-0005-0000-0000-000099620000}"/>
    <cellStyle name="Normal 10 3 2 3 3 2" xfId="5253" xr:uid="{00000000-0005-0000-0000-00009A620000}"/>
    <cellStyle name="Normal 10 3 2 3 3 3" xfId="5254" xr:uid="{00000000-0005-0000-0000-00009B620000}"/>
    <cellStyle name="Normal 10 3 2 3 4" xfId="5255" xr:uid="{00000000-0005-0000-0000-00009C620000}"/>
    <cellStyle name="Normal 10 3 2 3 5" xfId="5256" xr:uid="{00000000-0005-0000-0000-00009D620000}"/>
    <cellStyle name="Normal 10 3 2 4" xfId="5257" xr:uid="{00000000-0005-0000-0000-00009E620000}"/>
    <cellStyle name="Normal 10 3 2 4 2" xfId="5258" xr:uid="{00000000-0005-0000-0000-00009F620000}"/>
    <cellStyle name="Normal 10 3 2 4 3" xfId="5259" xr:uid="{00000000-0005-0000-0000-0000A0620000}"/>
    <cellStyle name="Normal 10 3 2 5" xfId="5260" xr:uid="{00000000-0005-0000-0000-0000A1620000}"/>
    <cellStyle name="Normal 10 3 2 5 2" xfId="5261" xr:uid="{00000000-0005-0000-0000-0000A2620000}"/>
    <cellStyle name="Normal 10 3 2 5 3" xfId="5262" xr:uid="{00000000-0005-0000-0000-0000A3620000}"/>
    <cellStyle name="Normal 10 3 2 6" xfId="5263" xr:uid="{00000000-0005-0000-0000-0000A4620000}"/>
    <cellStyle name="Normal 10 3 2 7" xfId="5264" xr:uid="{00000000-0005-0000-0000-0000A5620000}"/>
    <cellStyle name="Normal 10 3 3" xfId="5265" xr:uid="{00000000-0005-0000-0000-0000A6620000}"/>
    <cellStyle name="Normal 10 3 3 2" xfId="5266" xr:uid="{00000000-0005-0000-0000-0000A7620000}"/>
    <cellStyle name="Normal 10 3 3 2 2" xfId="5267" xr:uid="{00000000-0005-0000-0000-0000A8620000}"/>
    <cellStyle name="Normal 10 3 3 2 2 2" xfId="5268" xr:uid="{00000000-0005-0000-0000-0000A9620000}"/>
    <cellStyle name="Normal 10 3 3 2 2 3" xfId="5269" xr:uid="{00000000-0005-0000-0000-0000AA620000}"/>
    <cellStyle name="Normal 10 3 3 2 3" xfId="5270" xr:uid="{00000000-0005-0000-0000-0000AB620000}"/>
    <cellStyle name="Normal 10 3 3 2 3 2" xfId="5271" xr:uid="{00000000-0005-0000-0000-0000AC620000}"/>
    <cellStyle name="Normal 10 3 3 2 3 3" xfId="5272" xr:uid="{00000000-0005-0000-0000-0000AD620000}"/>
    <cellStyle name="Normal 10 3 3 2 4" xfId="5273" xr:uid="{00000000-0005-0000-0000-0000AE620000}"/>
    <cellStyle name="Normal 10 3 3 2 5" xfId="5274" xr:uid="{00000000-0005-0000-0000-0000AF620000}"/>
    <cellStyle name="Normal 10 3 3 3" xfId="5275" xr:uid="{00000000-0005-0000-0000-0000B0620000}"/>
    <cellStyle name="Normal 10 3 3 3 2" xfId="5276" xr:uid="{00000000-0005-0000-0000-0000B1620000}"/>
    <cellStyle name="Normal 10 3 3 3 3" xfId="5277" xr:uid="{00000000-0005-0000-0000-0000B2620000}"/>
    <cellStyle name="Normal 10 3 3 4" xfId="5278" xr:uid="{00000000-0005-0000-0000-0000B3620000}"/>
    <cellStyle name="Normal 10 3 3 4 2" xfId="5279" xr:uid="{00000000-0005-0000-0000-0000B4620000}"/>
    <cellStyle name="Normal 10 3 3 4 3" xfId="5280" xr:uid="{00000000-0005-0000-0000-0000B5620000}"/>
    <cellStyle name="Normal 10 3 3 5" xfId="5281" xr:uid="{00000000-0005-0000-0000-0000B6620000}"/>
    <cellStyle name="Normal 10 3 3 6" xfId="5282" xr:uid="{00000000-0005-0000-0000-0000B7620000}"/>
    <cellStyle name="Normal 10 3 4" xfId="5283" xr:uid="{00000000-0005-0000-0000-0000B8620000}"/>
    <cellStyle name="Normal 10 3 4 2" xfId="5284" xr:uid="{00000000-0005-0000-0000-0000B9620000}"/>
    <cellStyle name="Normal 10 3 4 2 2" xfId="5285" xr:uid="{00000000-0005-0000-0000-0000BA620000}"/>
    <cellStyle name="Normal 10 3 4 2 3" xfId="5286" xr:uid="{00000000-0005-0000-0000-0000BB620000}"/>
    <cellStyle name="Normal 10 3 4 3" xfId="5287" xr:uid="{00000000-0005-0000-0000-0000BC620000}"/>
    <cellStyle name="Normal 10 3 4 3 2" xfId="5288" xr:uid="{00000000-0005-0000-0000-0000BD620000}"/>
    <cellStyle name="Normal 10 3 4 3 3" xfId="5289" xr:uid="{00000000-0005-0000-0000-0000BE620000}"/>
    <cellStyle name="Normal 10 3 4 4" xfId="5290" xr:uid="{00000000-0005-0000-0000-0000BF620000}"/>
    <cellStyle name="Normal 10 3 4 5" xfId="5291" xr:uid="{00000000-0005-0000-0000-0000C0620000}"/>
    <cellStyle name="Normal 10 3 5" xfId="5292" xr:uid="{00000000-0005-0000-0000-0000C1620000}"/>
    <cellStyle name="Normal 10 3 5 2" xfId="5293" xr:uid="{00000000-0005-0000-0000-0000C2620000}"/>
    <cellStyle name="Normal 10 3 5 3" xfId="5294" xr:uid="{00000000-0005-0000-0000-0000C3620000}"/>
    <cellStyle name="Normal 10 3 6" xfId="5295" xr:uid="{00000000-0005-0000-0000-0000C4620000}"/>
    <cellStyle name="Normal 10 3 6 2" xfId="5296" xr:uid="{00000000-0005-0000-0000-0000C5620000}"/>
    <cellStyle name="Normal 10 3 6 3" xfId="5297" xr:uid="{00000000-0005-0000-0000-0000C6620000}"/>
    <cellStyle name="Normal 10 3 7" xfId="5298" xr:uid="{00000000-0005-0000-0000-0000C7620000}"/>
    <cellStyle name="Normal 10 3 8" xfId="5299" xr:uid="{00000000-0005-0000-0000-0000C8620000}"/>
    <cellStyle name="Normal 10 4" xfId="5300" xr:uid="{00000000-0005-0000-0000-0000C9620000}"/>
    <cellStyle name="Normal 10 4 2" xfId="5301" xr:uid="{00000000-0005-0000-0000-0000CA620000}"/>
    <cellStyle name="Normal 10 4 2 2" xfId="5302" xr:uid="{00000000-0005-0000-0000-0000CB620000}"/>
    <cellStyle name="Normal 10 4 2 2 2" xfId="5303" xr:uid="{00000000-0005-0000-0000-0000CC620000}"/>
    <cellStyle name="Normal 10 4 2 2 2 2" xfId="5304" xr:uid="{00000000-0005-0000-0000-0000CD620000}"/>
    <cellStyle name="Normal 10 4 2 2 2 2 2" xfId="5305" xr:uid="{00000000-0005-0000-0000-0000CE620000}"/>
    <cellStyle name="Normal 10 4 2 2 2 2 3" xfId="5306" xr:uid="{00000000-0005-0000-0000-0000CF620000}"/>
    <cellStyle name="Normal 10 4 2 2 2 3" xfId="5307" xr:uid="{00000000-0005-0000-0000-0000D0620000}"/>
    <cellStyle name="Normal 10 4 2 2 2 3 2" xfId="5308" xr:uid="{00000000-0005-0000-0000-0000D1620000}"/>
    <cellStyle name="Normal 10 4 2 2 2 3 3" xfId="5309" xr:uid="{00000000-0005-0000-0000-0000D2620000}"/>
    <cellStyle name="Normal 10 4 2 2 2 4" xfId="5310" xr:uid="{00000000-0005-0000-0000-0000D3620000}"/>
    <cellStyle name="Normal 10 4 2 2 2 5" xfId="5311" xr:uid="{00000000-0005-0000-0000-0000D4620000}"/>
    <cellStyle name="Normal 10 4 2 2 3" xfId="5312" xr:uid="{00000000-0005-0000-0000-0000D5620000}"/>
    <cellStyle name="Normal 10 4 2 2 3 2" xfId="5313" xr:uid="{00000000-0005-0000-0000-0000D6620000}"/>
    <cellStyle name="Normal 10 4 2 2 3 3" xfId="5314" xr:uid="{00000000-0005-0000-0000-0000D7620000}"/>
    <cellStyle name="Normal 10 4 2 2 4" xfId="5315" xr:uid="{00000000-0005-0000-0000-0000D8620000}"/>
    <cellStyle name="Normal 10 4 2 2 4 2" xfId="5316" xr:uid="{00000000-0005-0000-0000-0000D9620000}"/>
    <cellStyle name="Normal 10 4 2 2 4 3" xfId="5317" xr:uid="{00000000-0005-0000-0000-0000DA620000}"/>
    <cellStyle name="Normal 10 4 2 2 5" xfId="5318" xr:uid="{00000000-0005-0000-0000-0000DB620000}"/>
    <cellStyle name="Normal 10 4 2 2 6" xfId="5319" xr:uid="{00000000-0005-0000-0000-0000DC620000}"/>
    <cellStyle name="Normal 10 4 2 3" xfId="5320" xr:uid="{00000000-0005-0000-0000-0000DD620000}"/>
    <cellStyle name="Normal 10 4 2 3 2" xfId="5321" xr:uid="{00000000-0005-0000-0000-0000DE620000}"/>
    <cellStyle name="Normal 10 4 2 3 2 2" xfId="5322" xr:uid="{00000000-0005-0000-0000-0000DF620000}"/>
    <cellStyle name="Normal 10 4 2 3 2 3" xfId="5323" xr:uid="{00000000-0005-0000-0000-0000E0620000}"/>
    <cellStyle name="Normal 10 4 2 3 3" xfId="5324" xr:uid="{00000000-0005-0000-0000-0000E1620000}"/>
    <cellStyle name="Normal 10 4 2 3 3 2" xfId="5325" xr:uid="{00000000-0005-0000-0000-0000E2620000}"/>
    <cellStyle name="Normal 10 4 2 3 3 3" xfId="5326" xr:uid="{00000000-0005-0000-0000-0000E3620000}"/>
    <cellStyle name="Normal 10 4 2 3 4" xfId="5327" xr:uid="{00000000-0005-0000-0000-0000E4620000}"/>
    <cellStyle name="Normal 10 4 2 3 5" xfId="5328" xr:uid="{00000000-0005-0000-0000-0000E5620000}"/>
    <cellStyle name="Normal 10 4 2 4" xfId="5329" xr:uid="{00000000-0005-0000-0000-0000E6620000}"/>
    <cellStyle name="Normal 10 4 2 4 2" xfId="5330" xr:uid="{00000000-0005-0000-0000-0000E7620000}"/>
    <cellStyle name="Normal 10 4 2 4 3" xfId="5331" xr:uid="{00000000-0005-0000-0000-0000E8620000}"/>
    <cellStyle name="Normal 10 4 2 5" xfId="5332" xr:uid="{00000000-0005-0000-0000-0000E9620000}"/>
    <cellStyle name="Normal 10 4 2 5 2" xfId="5333" xr:uid="{00000000-0005-0000-0000-0000EA620000}"/>
    <cellStyle name="Normal 10 4 2 5 3" xfId="5334" xr:uid="{00000000-0005-0000-0000-0000EB620000}"/>
    <cellStyle name="Normal 10 4 2 6" xfId="5335" xr:uid="{00000000-0005-0000-0000-0000EC620000}"/>
    <cellStyle name="Normal 10 4 2 7" xfId="5336" xr:uid="{00000000-0005-0000-0000-0000ED620000}"/>
    <cellStyle name="Normal 10 4 3" xfId="5337" xr:uid="{00000000-0005-0000-0000-0000EE620000}"/>
    <cellStyle name="Normal 10 4 3 2" xfId="5338" xr:uid="{00000000-0005-0000-0000-0000EF620000}"/>
    <cellStyle name="Normal 10 4 3 2 2" xfId="5339" xr:uid="{00000000-0005-0000-0000-0000F0620000}"/>
    <cellStyle name="Normal 10 4 3 2 2 2" xfId="5340" xr:uid="{00000000-0005-0000-0000-0000F1620000}"/>
    <cellStyle name="Normal 10 4 3 2 2 3" xfId="5341" xr:uid="{00000000-0005-0000-0000-0000F2620000}"/>
    <cellStyle name="Normal 10 4 3 2 3" xfId="5342" xr:uid="{00000000-0005-0000-0000-0000F3620000}"/>
    <cellStyle name="Normal 10 4 3 2 3 2" xfId="5343" xr:uid="{00000000-0005-0000-0000-0000F4620000}"/>
    <cellStyle name="Normal 10 4 3 2 3 3" xfId="5344" xr:uid="{00000000-0005-0000-0000-0000F5620000}"/>
    <cellStyle name="Normal 10 4 3 2 4" xfId="5345" xr:uid="{00000000-0005-0000-0000-0000F6620000}"/>
    <cellStyle name="Normal 10 4 3 2 5" xfId="5346" xr:uid="{00000000-0005-0000-0000-0000F7620000}"/>
    <cellStyle name="Normal 10 4 3 3" xfId="5347" xr:uid="{00000000-0005-0000-0000-0000F8620000}"/>
    <cellStyle name="Normal 10 4 3 3 2" xfId="5348" xr:uid="{00000000-0005-0000-0000-0000F9620000}"/>
    <cellStyle name="Normal 10 4 3 3 3" xfId="5349" xr:uid="{00000000-0005-0000-0000-0000FA620000}"/>
    <cellStyle name="Normal 10 4 3 4" xfId="5350" xr:uid="{00000000-0005-0000-0000-0000FB620000}"/>
    <cellStyle name="Normal 10 4 3 4 2" xfId="5351" xr:uid="{00000000-0005-0000-0000-0000FC620000}"/>
    <cellStyle name="Normal 10 4 3 4 3" xfId="5352" xr:uid="{00000000-0005-0000-0000-0000FD620000}"/>
    <cellStyle name="Normal 10 4 3 5" xfId="5353" xr:uid="{00000000-0005-0000-0000-0000FE620000}"/>
    <cellStyle name="Normal 10 4 3 6" xfId="5354" xr:uid="{00000000-0005-0000-0000-0000FF620000}"/>
    <cellStyle name="Normal 10 4 4" xfId="5355" xr:uid="{00000000-0005-0000-0000-000000630000}"/>
    <cellStyle name="Normal 10 4 4 2" xfId="5356" xr:uid="{00000000-0005-0000-0000-000001630000}"/>
    <cellStyle name="Normal 10 4 4 2 2" xfId="5357" xr:uid="{00000000-0005-0000-0000-000002630000}"/>
    <cellStyle name="Normal 10 4 4 2 3" xfId="5358" xr:uid="{00000000-0005-0000-0000-000003630000}"/>
    <cellStyle name="Normal 10 4 4 3" xfId="5359" xr:uid="{00000000-0005-0000-0000-000004630000}"/>
    <cellStyle name="Normal 10 4 4 3 2" xfId="5360" xr:uid="{00000000-0005-0000-0000-000005630000}"/>
    <cellStyle name="Normal 10 4 4 3 3" xfId="5361" xr:uid="{00000000-0005-0000-0000-000006630000}"/>
    <cellStyle name="Normal 10 4 4 4" xfId="5362" xr:uid="{00000000-0005-0000-0000-000007630000}"/>
    <cellStyle name="Normal 10 4 4 5" xfId="5363" xr:uid="{00000000-0005-0000-0000-000008630000}"/>
    <cellStyle name="Normal 10 4 5" xfId="5364" xr:uid="{00000000-0005-0000-0000-000009630000}"/>
    <cellStyle name="Normal 10 4 5 2" xfId="5365" xr:uid="{00000000-0005-0000-0000-00000A630000}"/>
    <cellStyle name="Normal 10 4 5 3" xfId="5366" xr:uid="{00000000-0005-0000-0000-00000B630000}"/>
    <cellStyle name="Normal 10 4 6" xfId="5367" xr:uid="{00000000-0005-0000-0000-00000C630000}"/>
    <cellStyle name="Normal 10 4 6 2" xfId="5368" xr:uid="{00000000-0005-0000-0000-00000D630000}"/>
    <cellStyle name="Normal 10 4 6 3" xfId="5369" xr:uid="{00000000-0005-0000-0000-00000E630000}"/>
    <cellStyle name="Normal 10 4 7" xfId="5370" xr:uid="{00000000-0005-0000-0000-00000F630000}"/>
    <cellStyle name="Normal 10 4 8" xfId="5371" xr:uid="{00000000-0005-0000-0000-000010630000}"/>
    <cellStyle name="Normal 10 5" xfId="5372" xr:uid="{00000000-0005-0000-0000-000011630000}"/>
    <cellStyle name="Normal 10 5 2" xfId="5373" xr:uid="{00000000-0005-0000-0000-000012630000}"/>
    <cellStyle name="Normal 10 5 2 2" xfId="5374" xr:uid="{00000000-0005-0000-0000-000013630000}"/>
    <cellStyle name="Normal 10 5 2 2 2" xfId="5375" xr:uid="{00000000-0005-0000-0000-000014630000}"/>
    <cellStyle name="Normal 10 5 2 2 2 2" xfId="5376" xr:uid="{00000000-0005-0000-0000-000015630000}"/>
    <cellStyle name="Normal 10 5 2 2 2 3" xfId="5377" xr:uid="{00000000-0005-0000-0000-000016630000}"/>
    <cellStyle name="Normal 10 5 2 2 3" xfId="5378" xr:uid="{00000000-0005-0000-0000-000017630000}"/>
    <cellStyle name="Normal 10 5 2 2 3 2" xfId="5379" xr:uid="{00000000-0005-0000-0000-000018630000}"/>
    <cellStyle name="Normal 10 5 2 2 3 3" xfId="5380" xr:uid="{00000000-0005-0000-0000-000019630000}"/>
    <cellStyle name="Normal 10 5 2 2 4" xfId="5381" xr:uid="{00000000-0005-0000-0000-00001A630000}"/>
    <cellStyle name="Normal 10 5 2 2 5" xfId="5382" xr:uid="{00000000-0005-0000-0000-00001B630000}"/>
    <cellStyle name="Normal 10 5 2 3" xfId="5383" xr:uid="{00000000-0005-0000-0000-00001C630000}"/>
    <cellStyle name="Normal 10 5 2 3 2" xfId="5384" xr:uid="{00000000-0005-0000-0000-00001D630000}"/>
    <cellStyle name="Normal 10 5 2 3 3" xfId="5385" xr:uid="{00000000-0005-0000-0000-00001E630000}"/>
    <cellStyle name="Normal 10 5 2 4" xfId="5386" xr:uid="{00000000-0005-0000-0000-00001F630000}"/>
    <cellStyle name="Normal 10 5 2 4 2" xfId="5387" xr:uid="{00000000-0005-0000-0000-000020630000}"/>
    <cellStyle name="Normal 10 5 2 4 3" xfId="5388" xr:uid="{00000000-0005-0000-0000-000021630000}"/>
    <cellStyle name="Normal 10 5 2 5" xfId="5389" xr:uid="{00000000-0005-0000-0000-000022630000}"/>
    <cellStyle name="Normal 10 5 2 6" xfId="5390" xr:uid="{00000000-0005-0000-0000-000023630000}"/>
    <cellStyle name="Normal 10 5 3" xfId="5391" xr:uid="{00000000-0005-0000-0000-000024630000}"/>
    <cellStyle name="Normal 10 5 3 2" xfId="5392" xr:uid="{00000000-0005-0000-0000-000025630000}"/>
    <cellStyle name="Normal 10 5 3 2 2" xfId="5393" xr:uid="{00000000-0005-0000-0000-000026630000}"/>
    <cellStyle name="Normal 10 5 3 2 3" xfId="5394" xr:uid="{00000000-0005-0000-0000-000027630000}"/>
    <cellStyle name="Normal 10 5 3 3" xfId="5395" xr:uid="{00000000-0005-0000-0000-000028630000}"/>
    <cellStyle name="Normal 10 5 3 3 2" xfId="5396" xr:uid="{00000000-0005-0000-0000-000029630000}"/>
    <cellStyle name="Normal 10 5 3 3 3" xfId="5397" xr:uid="{00000000-0005-0000-0000-00002A630000}"/>
    <cellStyle name="Normal 10 5 3 4" xfId="5398" xr:uid="{00000000-0005-0000-0000-00002B630000}"/>
    <cellStyle name="Normal 10 5 3 5" xfId="5399" xr:uid="{00000000-0005-0000-0000-00002C630000}"/>
    <cellStyle name="Normal 10 5 4" xfId="5400" xr:uid="{00000000-0005-0000-0000-00002D630000}"/>
    <cellStyle name="Normal 10 5 4 2" xfId="5401" xr:uid="{00000000-0005-0000-0000-00002E630000}"/>
    <cellStyle name="Normal 10 5 4 3" xfId="5402" xr:uid="{00000000-0005-0000-0000-00002F630000}"/>
    <cellStyle name="Normal 10 5 5" xfId="5403" xr:uid="{00000000-0005-0000-0000-000030630000}"/>
    <cellStyle name="Normal 10 5 5 2" xfId="5404" xr:uid="{00000000-0005-0000-0000-000031630000}"/>
    <cellStyle name="Normal 10 5 5 3" xfId="5405" xr:uid="{00000000-0005-0000-0000-000032630000}"/>
    <cellStyle name="Normal 10 5 6" xfId="5406" xr:uid="{00000000-0005-0000-0000-000033630000}"/>
    <cellStyle name="Normal 10 5 7" xfId="5407" xr:uid="{00000000-0005-0000-0000-000034630000}"/>
    <cellStyle name="Normal 10 6" xfId="5408" xr:uid="{00000000-0005-0000-0000-000035630000}"/>
    <cellStyle name="Normal 10 6 2" xfId="5409" xr:uid="{00000000-0005-0000-0000-000036630000}"/>
    <cellStyle name="Normal 10 6 2 2" xfId="5410" xr:uid="{00000000-0005-0000-0000-000037630000}"/>
    <cellStyle name="Normal 10 6 2 2 2" xfId="5411" xr:uid="{00000000-0005-0000-0000-000038630000}"/>
    <cellStyle name="Normal 10 6 2 2 3" xfId="5412" xr:uid="{00000000-0005-0000-0000-000039630000}"/>
    <cellStyle name="Normal 10 6 2 3" xfId="5413" xr:uid="{00000000-0005-0000-0000-00003A630000}"/>
    <cellStyle name="Normal 10 6 2 3 2" xfId="5414" xr:uid="{00000000-0005-0000-0000-00003B630000}"/>
    <cellStyle name="Normal 10 6 2 3 3" xfId="5415" xr:uid="{00000000-0005-0000-0000-00003C630000}"/>
    <cellStyle name="Normal 10 6 2 4" xfId="5416" xr:uid="{00000000-0005-0000-0000-00003D630000}"/>
    <cellStyle name="Normal 10 6 2 5" xfId="5417" xr:uid="{00000000-0005-0000-0000-00003E630000}"/>
    <cellStyle name="Normal 10 6 3" xfId="5418" xr:uid="{00000000-0005-0000-0000-00003F630000}"/>
    <cellStyle name="Normal 10 6 3 2" xfId="5419" xr:uid="{00000000-0005-0000-0000-000040630000}"/>
    <cellStyle name="Normal 10 6 3 3" xfId="5420" xr:uid="{00000000-0005-0000-0000-000041630000}"/>
    <cellStyle name="Normal 10 6 4" xfId="5421" xr:uid="{00000000-0005-0000-0000-000042630000}"/>
    <cellStyle name="Normal 10 6 4 2" xfId="5422" xr:uid="{00000000-0005-0000-0000-000043630000}"/>
    <cellStyle name="Normal 10 6 4 3" xfId="5423" xr:uid="{00000000-0005-0000-0000-000044630000}"/>
    <cellStyle name="Normal 10 6 5" xfId="5424" xr:uid="{00000000-0005-0000-0000-000045630000}"/>
    <cellStyle name="Normal 10 6 6" xfId="5425" xr:uid="{00000000-0005-0000-0000-000046630000}"/>
    <cellStyle name="Normal 10 7" xfId="5426" xr:uid="{00000000-0005-0000-0000-000047630000}"/>
    <cellStyle name="Normal 10 7 2" xfId="5427" xr:uid="{00000000-0005-0000-0000-000048630000}"/>
    <cellStyle name="Normal 10 7 2 2" xfId="5428" xr:uid="{00000000-0005-0000-0000-000049630000}"/>
    <cellStyle name="Normal 10 7 2 3" xfId="5429" xr:uid="{00000000-0005-0000-0000-00004A630000}"/>
    <cellStyle name="Normal 10 7 3" xfId="5430" xr:uid="{00000000-0005-0000-0000-00004B630000}"/>
    <cellStyle name="Normal 10 7 3 2" xfId="5431" xr:uid="{00000000-0005-0000-0000-00004C630000}"/>
    <cellStyle name="Normal 10 7 3 3" xfId="5432" xr:uid="{00000000-0005-0000-0000-00004D630000}"/>
    <cellStyle name="Normal 10 7 4" xfId="5433" xr:uid="{00000000-0005-0000-0000-00004E630000}"/>
    <cellStyle name="Normal 10 7 5" xfId="5434" xr:uid="{00000000-0005-0000-0000-00004F630000}"/>
    <cellStyle name="Normal 10 8" xfId="5435" xr:uid="{00000000-0005-0000-0000-000050630000}"/>
    <cellStyle name="Normal 10 8 2" xfId="5436" xr:uid="{00000000-0005-0000-0000-000051630000}"/>
    <cellStyle name="Normal 10 8 3" xfId="5437" xr:uid="{00000000-0005-0000-0000-000052630000}"/>
    <cellStyle name="Normal 10 9" xfId="5438" xr:uid="{00000000-0005-0000-0000-000053630000}"/>
    <cellStyle name="Normal 10 9 2" xfId="5439" xr:uid="{00000000-0005-0000-0000-000054630000}"/>
    <cellStyle name="Normal 10 9 3" xfId="5440" xr:uid="{00000000-0005-0000-0000-000055630000}"/>
    <cellStyle name="Normal 10_2112 DF Schedule" xfId="338" xr:uid="{00000000-0005-0000-0000-000056630000}"/>
    <cellStyle name="Normal 100" xfId="5441" xr:uid="{00000000-0005-0000-0000-000057630000}"/>
    <cellStyle name="Normal 100 2" xfId="5442" xr:uid="{00000000-0005-0000-0000-000058630000}"/>
    <cellStyle name="Normal 100 3" xfId="5443" xr:uid="{00000000-0005-0000-0000-000059630000}"/>
    <cellStyle name="Normal 101" xfId="5444" xr:uid="{00000000-0005-0000-0000-00005A630000}"/>
    <cellStyle name="Normal 101 2" xfId="5445" xr:uid="{00000000-0005-0000-0000-00005B630000}"/>
    <cellStyle name="Normal 102" xfId="5446" xr:uid="{00000000-0005-0000-0000-00005C630000}"/>
    <cellStyle name="Normal 102 2" xfId="5447" xr:uid="{00000000-0005-0000-0000-00005D630000}"/>
    <cellStyle name="Normal 103" xfId="5448" xr:uid="{00000000-0005-0000-0000-00005E630000}"/>
    <cellStyle name="Normal 103 2" xfId="5449" xr:uid="{00000000-0005-0000-0000-00005F630000}"/>
    <cellStyle name="Normal 104" xfId="5450" xr:uid="{00000000-0005-0000-0000-000060630000}"/>
    <cellStyle name="Normal 104 2" xfId="5451" xr:uid="{00000000-0005-0000-0000-000061630000}"/>
    <cellStyle name="Normal 105" xfId="5452" xr:uid="{00000000-0005-0000-0000-000062630000}"/>
    <cellStyle name="Normal 105 2" xfId="5453" xr:uid="{00000000-0005-0000-0000-000063630000}"/>
    <cellStyle name="Normal 106" xfId="5454" xr:uid="{00000000-0005-0000-0000-000064630000}"/>
    <cellStyle name="Normal 107" xfId="5455" xr:uid="{00000000-0005-0000-0000-000065630000}"/>
    <cellStyle name="Normal 107 2" xfId="5456" xr:uid="{00000000-0005-0000-0000-000066630000}"/>
    <cellStyle name="Normal 108" xfId="5457" xr:uid="{00000000-0005-0000-0000-000067630000}"/>
    <cellStyle name="Normal 108 2" xfId="5458" xr:uid="{00000000-0005-0000-0000-000068630000}"/>
    <cellStyle name="Normal 109" xfId="5459" xr:uid="{00000000-0005-0000-0000-000069630000}"/>
    <cellStyle name="Normal 109 2" xfId="5460" xr:uid="{00000000-0005-0000-0000-00006A630000}"/>
    <cellStyle name="Normal 109 2 2" xfId="5461" xr:uid="{00000000-0005-0000-0000-00006B630000}"/>
    <cellStyle name="Normal 109 3" xfId="5462" xr:uid="{00000000-0005-0000-0000-00006C630000}"/>
    <cellStyle name="Normal 109 4" xfId="5463" xr:uid="{00000000-0005-0000-0000-00006D630000}"/>
    <cellStyle name="Normal 11" xfId="157" xr:uid="{00000000-0005-0000-0000-00006E630000}"/>
    <cellStyle name="Normal 11 10" xfId="5464" xr:uid="{00000000-0005-0000-0000-00006F630000}"/>
    <cellStyle name="Normal 11 11" xfId="5465" xr:uid="{00000000-0005-0000-0000-000070630000}"/>
    <cellStyle name="Normal 11 12" xfId="5466" xr:uid="{00000000-0005-0000-0000-000071630000}"/>
    <cellStyle name="Normal 11 2" xfId="5467" xr:uid="{00000000-0005-0000-0000-000072630000}"/>
    <cellStyle name="Normal 11 2 2" xfId="5468" xr:uid="{00000000-0005-0000-0000-000073630000}"/>
    <cellStyle name="Normal 11 2 2 2" xfId="5469" xr:uid="{00000000-0005-0000-0000-000074630000}"/>
    <cellStyle name="Normal 11 2 2 2 2" xfId="5470" xr:uid="{00000000-0005-0000-0000-000075630000}"/>
    <cellStyle name="Normal 11 2 2 2 2 2" xfId="5471" xr:uid="{00000000-0005-0000-0000-000076630000}"/>
    <cellStyle name="Normal 11 2 2 2 2 2 2" xfId="5472" xr:uid="{00000000-0005-0000-0000-000077630000}"/>
    <cellStyle name="Normal 11 2 2 2 2 2 2 2" xfId="5473" xr:uid="{00000000-0005-0000-0000-000078630000}"/>
    <cellStyle name="Normal 11 2 2 2 2 2 2 3" xfId="5474" xr:uid="{00000000-0005-0000-0000-000079630000}"/>
    <cellStyle name="Normal 11 2 2 2 2 2 3" xfId="5475" xr:uid="{00000000-0005-0000-0000-00007A630000}"/>
    <cellStyle name="Normal 11 2 2 2 2 2 3 2" xfId="5476" xr:uid="{00000000-0005-0000-0000-00007B630000}"/>
    <cellStyle name="Normal 11 2 2 2 2 2 3 3" xfId="5477" xr:uid="{00000000-0005-0000-0000-00007C630000}"/>
    <cellStyle name="Normal 11 2 2 2 2 2 4" xfId="5478" xr:uid="{00000000-0005-0000-0000-00007D630000}"/>
    <cellStyle name="Normal 11 2 2 2 2 2 5" xfId="5479" xr:uid="{00000000-0005-0000-0000-00007E630000}"/>
    <cellStyle name="Normal 11 2 2 2 2 3" xfId="5480" xr:uid="{00000000-0005-0000-0000-00007F630000}"/>
    <cellStyle name="Normal 11 2 2 2 2 3 2" xfId="5481" xr:uid="{00000000-0005-0000-0000-000080630000}"/>
    <cellStyle name="Normal 11 2 2 2 2 3 3" xfId="5482" xr:uid="{00000000-0005-0000-0000-000081630000}"/>
    <cellStyle name="Normal 11 2 2 2 2 4" xfId="5483" xr:uid="{00000000-0005-0000-0000-000082630000}"/>
    <cellStyle name="Normal 11 2 2 2 2 4 2" xfId="5484" xr:uid="{00000000-0005-0000-0000-000083630000}"/>
    <cellStyle name="Normal 11 2 2 2 2 4 3" xfId="5485" xr:uid="{00000000-0005-0000-0000-000084630000}"/>
    <cellStyle name="Normal 11 2 2 2 2 5" xfId="5486" xr:uid="{00000000-0005-0000-0000-000085630000}"/>
    <cellStyle name="Normal 11 2 2 2 2 6" xfId="5487" xr:uid="{00000000-0005-0000-0000-000086630000}"/>
    <cellStyle name="Normal 11 2 2 2 3" xfId="5488" xr:uid="{00000000-0005-0000-0000-000087630000}"/>
    <cellStyle name="Normal 11 2 2 2 3 2" xfId="5489" xr:uid="{00000000-0005-0000-0000-000088630000}"/>
    <cellStyle name="Normal 11 2 2 2 3 2 2" xfId="5490" xr:uid="{00000000-0005-0000-0000-000089630000}"/>
    <cellStyle name="Normal 11 2 2 2 3 2 3" xfId="5491" xr:uid="{00000000-0005-0000-0000-00008A630000}"/>
    <cellStyle name="Normal 11 2 2 2 3 3" xfId="5492" xr:uid="{00000000-0005-0000-0000-00008B630000}"/>
    <cellStyle name="Normal 11 2 2 2 3 3 2" xfId="5493" xr:uid="{00000000-0005-0000-0000-00008C630000}"/>
    <cellStyle name="Normal 11 2 2 2 3 3 3" xfId="5494" xr:uid="{00000000-0005-0000-0000-00008D630000}"/>
    <cellStyle name="Normal 11 2 2 2 3 4" xfId="5495" xr:uid="{00000000-0005-0000-0000-00008E630000}"/>
    <cellStyle name="Normal 11 2 2 2 3 5" xfId="5496" xr:uid="{00000000-0005-0000-0000-00008F630000}"/>
    <cellStyle name="Normal 11 2 2 2 3 6" xfId="34874" xr:uid="{00000000-0005-0000-0000-000090630000}"/>
    <cellStyle name="Normal 11 2 2 2 4" xfId="5497" xr:uid="{00000000-0005-0000-0000-000091630000}"/>
    <cellStyle name="Normal 11 2 2 2 4 2" xfId="5498" xr:uid="{00000000-0005-0000-0000-000092630000}"/>
    <cellStyle name="Normal 11 2 2 2 4 3" xfId="5499" xr:uid="{00000000-0005-0000-0000-000093630000}"/>
    <cellStyle name="Normal 11 2 2 2 5" xfId="5500" xr:uid="{00000000-0005-0000-0000-000094630000}"/>
    <cellStyle name="Normal 11 2 2 2 5 2" xfId="5501" xr:uid="{00000000-0005-0000-0000-000095630000}"/>
    <cellStyle name="Normal 11 2 2 2 5 3" xfId="5502" xr:uid="{00000000-0005-0000-0000-000096630000}"/>
    <cellStyle name="Normal 11 2 2 2 6" xfId="5503" xr:uid="{00000000-0005-0000-0000-000097630000}"/>
    <cellStyle name="Normal 11 2 2 2 7" xfId="5504" xr:uid="{00000000-0005-0000-0000-000098630000}"/>
    <cellStyle name="Normal 11 2 2 3" xfId="5505" xr:uid="{00000000-0005-0000-0000-000099630000}"/>
    <cellStyle name="Normal 11 2 2 3 2" xfId="5506" xr:uid="{00000000-0005-0000-0000-00009A630000}"/>
    <cellStyle name="Normal 11 2 2 3 2 2" xfId="5507" xr:uid="{00000000-0005-0000-0000-00009B630000}"/>
    <cellStyle name="Normal 11 2 2 3 2 2 2" xfId="5508" xr:uid="{00000000-0005-0000-0000-00009C630000}"/>
    <cellStyle name="Normal 11 2 2 3 2 2 3" xfId="5509" xr:uid="{00000000-0005-0000-0000-00009D630000}"/>
    <cellStyle name="Normal 11 2 2 3 2 3" xfId="5510" xr:uid="{00000000-0005-0000-0000-00009E630000}"/>
    <cellStyle name="Normal 11 2 2 3 2 3 2" xfId="5511" xr:uid="{00000000-0005-0000-0000-00009F630000}"/>
    <cellStyle name="Normal 11 2 2 3 2 3 3" xfId="5512" xr:uid="{00000000-0005-0000-0000-0000A0630000}"/>
    <cellStyle name="Normal 11 2 2 3 2 4" xfId="5513" xr:uid="{00000000-0005-0000-0000-0000A1630000}"/>
    <cellStyle name="Normal 11 2 2 3 2 5" xfId="5514" xr:uid="{00000000-0005-0000-0000-0000A2630000}"/>
    <cellStyle name="Normal 11 2 2 3 3" xfId="5515" xr:uid="{00000000-0005-0000-0000-0000A3630000}"/>
    <cellStyle name="Normal 11 2 2 3 3 2" xfId="5516" xr:uid="{00000000-0005-0000-0000-0000A4630000}"/>
    <cellStyle name="Normal 11 2 2 3 3 3" xfId="5517" xr:uid="{00000000-0005-0000-0000-0000A5630000}"/>
    <cellStyle name="Normal 11 2 2 3 4" xfId="5518" xr:uid="{00000000-0005-0000-0000-0000A6630000}"/>
    <cellStyle name="Normal 11 2 2 3 4 2" xfId="5519" xr:uid="{00000000-0005-0000-0000-0000A7630000}"/>
    <cellStyle name="Normal 11 2 2 3 4 3" xfId="5520" xr:uid="{00000000-0005-0000-0000-0000A8630000}"/>
    <cellStyle name="Normal 11 2 2 3 5" xfId="5521" xr:uid="{00000000-0005-0000-0000-0000A9630000}"/>
    <cellStyle name="Normal 11 2 2 3 6" xfId="5522" xr:uid="{00000000-0005-0000-0000-0000AA630000}"/>
    <cellStyle name="Normal 11 2 2 4" xfId="5523" xr:uid="{00000000-0005-0000-0000-0000AB630000}"/>
    <cellStyle name="Normal 11 2 2 4 2" xfId="5524" xr:uid="{00000000-0005-0000-0000-0000AC630000}"/>
    <cellStyle name="Normal 11 2 2 4 2 2" xfId="5525" xr:uid="{00000000-0005-0000-0000-0000AD630000}"/>
    <cellStyle name="Normal 11 2 2 4 2 3" xfId="5526" xr:uid="{00000000-0005-0000-0000-0000AE630000}"/>
    <cellStyle name="Normal 11 2 2 4 3" xfId="5527" xr:uid="{00000000-0005-0000-0000-0000AF630000}"/>
    <cellStyle name="Normal 11 2 2 4 3 2" xfId="5528" xr:uid="{00000000-0005-0000-0000-0000B0630000}"/>
    <cellStyle name="Normal 11 2 2 4 3 3" xfId="5529" xr:uid="{00000000-0005-0000-0000-0000B1630000}"/>
    <cellStyle name="Normal 11 2 2 4 4" xfId="5530" xr:uid="{00000000-0005-0000-0000-0000B2630000}"/>
    <cellStyle name="Normal 11 2 2 4 5" xfId="5531" xr:uid="{00000000-0005-0000-0000-0000B3630000}"/>
    <cellStyle name="Normal 11 2 2 5" xfId="5532" xr:uid="{00000000-0005-0000-0000-0000B4630000}"/>
    <cellStyle name="Normal 11 2 2 5 2" xfId="5533" xr:uid="{00000000-0005-0000-0000-0000B5630000}"/>
    <cellStyle name="Normal 11 2 2 5 3" xfId="5534" xr:uid="{00000000-0005-0000-0000-0000B6630000}"/>
    <cellStyle name="Normal 11 2 2 6" xfId="5535" xr:uid="{00000000-0005-0000-0000-0000B7630000}"/>
    <cellStyle name="Normal 11 2 2 6 2" xfId="5536" xr:uid="{00000000-0005-0000-0000-0000B8630000}"/>
    <cellStyle name="Normal 11 2 2 6 3" xfId="5537" xr:uid="{00000000-0005-0000-0000-0000B9630000}"/>
    <cellStyle name="Normal 11 2 2 7" xfId="5538" xr:uid="{00000000-0005-0000-0000-0000BA630000}"/>
    <cellStyle name="Normal 11 2 2 8" xfId="5539" xr:uid="{00000000-0005-0000-0000-0000BB630000}"/>
    <cellStyle name="Normal 11 2 3" xfId="5540" xr:uid="{00000000-0005-0000-0000-0000BC630000}"/>
    <cellStyle name="Normal 11 2 3 2" xfId="5541" xr:uid="{00000000-0005-0000-0000-0000BD630000}"/>
    <cellStyle name="Normal 11 2 3 2 2" xfId="5542" xr:uid="{00000000-0005-0000-0000-0000BE630000}"/>
    <cellStyle name="Normal 11 2 3 2 2 2" xfId="5543" xr:uid="{00000000-0005-0000-0000-0000BF630000}"/>
    <cellStyle name="Normal 11 2 3 2 2 2 2" xfId="5544" xr:uid="{00000000-0005-0000-0000-0000C0630000}"/>
    <cellStyle name="Normal 11 2 3 2 2 2 3" xfId="5545" xr:uid="{00000000-0005-0000-0000-0000C1630000}"/>
    <cellStyle name="Normal 11 2 3 2 2 3" xfId="5546" xr:uid="{00000000-0005-0000-0000-0000C2630000}"/>
    <cellStyle name="Normal 11 2 3 2 2 3 2" xfId="5547" xr:uid="{00000000-0005-0000-0000-0000C3630000}"/>
    <cellStyle name="Normal 11 2 3 2 2 3 3" xfId="5548" xr:uid="{00000000-0005-0000-0000-0000C4630000}"/>
    <cellStyle name="Normal 11 2 3 2 2 4" xfId="5549" xr:uid="{00000000-0005-0000-0000-0000C5630000}"/>
    <cellStyle name="Normal 11 2 3 2 2 5" xfId="5550" xr:uid="{00000000-0005-0000-0000-0000C6630000}"/>
    <cellStyle name="Normal 11 2 3 2 3" xfId="5551" xr:uid="{00000000-0005-0000-0000-0000C7630000}"/>
    <cellStyle name="Normal 11 2 3 2 3 2" xfId="5552" xr:uid="{00000000-0005-0000-0000-0000C8630000}"/>
    <cellStyle name="Normal 11 2 3 2 3 3" xfId="5553" xr:uid="{00000000-0005-0000-0000-0000C9630000}"/>
    <cellStyle name="Normal 11 2 3 2 4" xfId="5554" xr:uid="{00000000-0005-0000-0000-0000CA630000}"/>
    <cellStyle name="Normal 11 2 3 2 4 2" xfId="5555" xr:uid="{00000000-0005-0000-0000-0000CB630000}"/>
    <cellStyle name="Normal 11 2 3 2 4 3" xfId="5556" xr:uid="{00000000-0005-0000-0000-0000CC630000}"/>
    <cellStyle name="Normal 11 2 3 2 5" xfId="5557" xr:uid="{00000000-0005-0000-0000-0000CD630000}"/>
    <cellStyle name="Normal 11 2 3 2 6" xfId="5558" xr:uid="{00000000-0005-0000-0000-0000CE630000}"/>
    <cellStyle name="Normal 11 2 3 3" xfId="5559" xr:uid="{00000000-0005-0000-0000-0000CF630000}"/>
    <cellStyle name="Normal 11 2 3 3 2" xfId="5560" xr:uid="{00000000-0005-0000-0000-0000D0630000}"/>
    <cellStyle name="Normal 11 2 3 3 2 2" xfId="5561" xr:uid="{00000000-0005-0000-0000-0000D1630000}"/>
    <cellStyle name="Normal 11 2 3 3 2 3" xfId="5562" xr:uid="{00000000-0005-0000-0000-0000D2630000}"/>
    <cellStyle name="Normal 11 2 3 3 3" xfId="5563" xr:uid="{00000000-0005-0000-0000-0000D3630000}"/>
    <cellStyle name="Normal 11 2 3 3 3 2" xfId="5564" xr:uid="{00000000-0005-0000-0000-0000D4630000}"/>
    <cellStyle name="Normal 11 2 3 3 3 3" xfId="5565" xr:uid="{00000000-0005-0000-0000-0000D5630000}"/>
    <cellStyle name="Normal 11 2 3 3 4" xfId="5566" xr:uid="{00000000-0005-0000-0000-0000D6630000}"/>
    <cellStyle name="Normal 11 2 3 3 5" xfId="5567" xr:uid="{00000000-0005-0000-0000-0000D7630000}"/>
    <cellStyle name="Normal 11 2 3 4" xfId="5568" xr:uid="{00000000-0005-0000-0000-0000D8630000}"/>
    <cellStyle name="Normal 11 2 3 4 2" xfId="5569" xr:uid="{00000000-0005-0000-0000-0000D9630000}"/>
    <cellStyle name="Normal 11 2 3 4 3" xfId="5570" xr:uid="{00000000-0005-0000-0000-0000DA630000}"/>
    <cellStyle name="Normal 11 2 3 5" xfId="5571" xr:uid="{00000000-0005-0000-0000-0000DB630000}"/>
    <cellStyle name="Normal 11 2 3 5 2" xfId="5572" xr:uid="{00000000-0005-0000-0000-0000DC630000}"/>
    <cellStyle name="Normal 11 2 3 5 3" xfId="5573" xr:uid="{00000000-0005-0000-0000-0000DD630000}"/>
    <cellStyle name="Normal 11 2 3 6" xfId="5574" xr:uid="{00000000-0005-0000-0000-0000DE630000}"/>
    <cellStyle name="Normal 11 2 3 7" xfId="5575" xr:uid="{00000000-0005-0000-0000-0000DF630000}"/>
    <cellStyle name="Normal 11 2 4" xfId="5576" xr:uid="{00000000-0005-0000-0000-0000E0630000}"/>
    <cellStyle name="Normal 11 2 4 2" xfId="5577" xr:uid="{00000000-0005-0000-0000-0000E1630000}"/>
    <cellStyle name="Normal 11 2 4 2 2" xfId="5578" xr:uid="{00000000-0005-0000-0000-0000E2630000}"/>
    <cellStyle name="Normal 11 2 4 2 2 2" xfId="5579" xr:uid="{00000000-0005-0000-0000-0000E3630000}"/>
    <cellStyle name="Normal 11 2 4 2 2 3" xfId="5580" xr:uid="{00000000-0005-0000-0000-0000E4630000}"/>
    <cellStyle name="Normal 11 2 4 2 3" xfId="5581" xr:uid="{00000000-0005-0000-0000-0000E5630000}"/>
    <cellStyle name="Normal 11 2 4 2 3 2" xfId="5582" xr:uid="{00000000-0005-0000-0000-0000E6630000}"/>
    <cellStyle name="Normal 11 2 4 2 3 3" xfId="5583" xr:uid="{00000000-0005-0000-0000-0000E7630000}"/>
    <cellStyle name="Normal 11 2 4 2 4" xfId="5584" xr:uid="{00000000-0005-0000-0000-0000E8630000}"/>
    <cellStyle name="Normal 11 2 4 2 5" xfId="5585" xr:uid="{00000000-0005-0000-0000-0000E9630000}"/>
    <cellStyle name="Normal 11 2 4 3" xfId="5586" xr:uid="{00000000-0005-0000-0000-0000EA630000}"/>
    <cellStyle name="Normal 11 2 4 3 2" xfId="5587" xr:uid="{00000000-0005-0000-0000-0000EB630000}"/>
    <cellStyle name="Normal 11 2 4 3 3" xfId="5588" xr:uid="{00000000-0005-0000-0000-0000EC630000}"/>
    <cellStyle name="Normal 11 2 4 4" xfId="5589" xr:uid="{00000000-0005-0000-0000-0000ED630000}"/>
    <cellStyle name="Normal 11 2 4 4 2" xfId="5590" xr:uid="{00000000-0005-0000-0000-0000EE630000}"/>
    <cellStyle name="Normal 11 2 4 4 3" xfId="5591" xr:uid="{00000000-0005-0000-0000-0000EF630000}"/>
    <cellStyle name="Normal 11 2 4 5" xfId="5592" xr:uid="{00000000-0005-0000-0000-0000F0630000}"/>
    <cellStyle name="Normal 11 2 4 6" xfId="5593" xr:uid="{00000000-0005-0000-0000-0000F1630000}"/>
    <cellStyle name="Normal 11 2 5" xfId="5594" xr:uid="{00000000-0005-0000-0000-0000F2630000}"/>
    <cellStyle name="Normal 11 2 5 2" xfId="5595" xr:uid="{00000000-0005-0000-0000-0000F3630000}"/>
    <cellStyle name="Normal 11 2 5 2 2" xfId="5596" xr:uid="{00000000-0005-0000-0000-0000F4630000}"/>
    <cellStyle name="Normal 11 2 5 2 3" xfId="5597" xr:uid="{00000000-0005-0000-0000-0000F5630000}"/>
    <cellStyle name="Normal 11 2 5 3" xfId="5598" xr:uid="{00000000-0005-0000-0000-0000F6630000}"/>
    <cellStyle name="Normal 11 2 5 3 2" xfId="5599" xr:uid="{00000000-0005-0000-0000-0000F7630000}"/>
    <cellStyle name="Normal 11 2 5 3 3" xfId="5600" xr:uid="{00000000-0005-0000-0000-0000F8630000}"/>
    <cellStyle name="Normal 11 2 5 4" xfId="5601" xr:uid="{00000000-0005-0000-0000-0000F9630000}"/>
    <cellStyle name="Normal 11 2 5 5" xfId="5602" xr:uid="{00000000-0005-0000-0000-0000FA630000}"/>
    <cellStyle name="Normal 11 2 6" xfId="5603" xr:uid="{00000000-0005-0000-0000-0000FB630000}"/>
    <cellStyle name="Normal 11 2 6 2" xfId="5604" xr:uid="{00000000-0005-0000-0000-0000FC630000}"/>
    <cellStyle name="Normal 11 2 6 3" xfId="5605" xr:uid="{00000000-0005-0000-0000-0000FD630000}"/>
    <cellStyle name="Normal 11 2 7" xfId="5606" xr:uid="{00000000-0005-0000-0000-0000FE630000}"/>
    <cellStyle name="Normal 11 2 7 2" xfId="5607" xr:uid="{00000000-0005-0000-0000-0000FF630000}"/>
    <cellStyle name="Normal 11 2 7 3" xfId="5608" xr:uid="{00000000-0005-0000-0000-000000640000}"/>
    <cellStyle name="Normal 11 2 8" xfId="5609" xr:uid="{00000000-0005-0000-0000-000001640000}"/>
    <cellStyle name="Normal 11 2 9" xfId="5610" xr:uid="{00000000-0005-0000-0000-000002640000}"/>
    <cellStyle name="Normal 11 3" xfId="5611" xr:uid="{00000000-0005-0000-0000-000003640000}"/>
    <cellStyle name="Normal 11 3 2" xfId="5612" xr:uid="{00000000-0005-0000-0000-000004640000}"/>
    <cellStyle name="Normal 11 3 2 2" xfId="5613" xr:uid="{00000000-0005-0000-0000-000005640000}"/>
    <cellStyle name="Normal 11 3 2 2 2" xfId="5614" xr:uid="{00000000-0005-0000-0000-000006640000}"/>
    <cellStyle name="Normal 11 3 2 2 2 2" xfId="5615" xr:uid="{00000000-0005-0000-0000-000007640000}"/>
    <cellStyle name="Normal 11 3 2 2 2 2 2" xfId="5616" xr:uid="{00000000-0005-0000-0000-000008640000}"/>
    <cellStyle name="Normal 11 3 2 2 2 2 3" xfId="5617" xr:uid="{00000000-0005-0000-0000-000009640000}"/>
    <cellStyle name="Normal 11 3 2 2 2 3" xfId="5618" xr:uid="{00000000-0005-0000-0000-00000A640000}"/>
    <cellStyle name="Normal 11 3 2 2 2 3 2" xfId="5619" xr:uid="{00000000-0005-0000-0000-00000B640000}"/>
    <cellStyle name="Normal 11 3 2 2 2 3 3" xfId="5620" xr:uid="{00000000-0005-0000-0000-00000C640000}"/>
    <cellStyle name="Normal 11 3 2 2 2 4" xfId="5621" xr:uid="{00000000-0005-0000-0000-00000D640000}"/>
    <cellStyle name="Normal 11 3 2 2 2 5" xfId="5622" xr:uid="{00000000-0005-0000-0000-00000E640000}"/>
    <cellStyle name="Normal 11 3 2 2 3" xfId="5623" xr:uid="{00000000-0005-0000-0000-00000F640000}"/>
    <cellStyle name="Normal 11 3 2 2 3 2" xfId="5624" xr:uid="{00000000-0005-0000-0000-000010640000}"/>
    <cellStyle name="Normal 11 3 2 2 3 3" xfId="5625" xr:uid="{00000000-0005-0000-0000-000011640000}"/>
    <cellStyle name="Normal 11 3 2 2 4" xfId="5626" xr:uid="{00000000-0005-0000-0000-000012640000}"/>
    <cellStyle name="Normal 11 3 2 2 4 2" xfId="5627" xr:uid="{00000000-0005-0000-0000-000013640000}"/>
    <cellStyle name="Normal 11 3 2 2 4 3" xfId="5628" xr:uid="{00000000-0005-0000-0000-000014640000}"/>
    <cellStyle name="Normal 11 3 2 2 5" xfId="5629" xr:uid="{00000000-0005-0000-0000-000015640000}"/>
    <cellStyle name="Normal 11 3 2 2 6" xfId="5630" xr:uid="{00000000-0005-0000-0000-000016640000}"/>
    <cellStyle name="Normal 11 3 2 3" xfId="5631" xr:uid="{00000000-0005-0000-0000-000017640000}"/>
    <cellStyle name="Normal 11 3 2 3 2" xfId="5632" xr:uid="{00000000-0005-0000-0000-000018640000}"/>
    <cellStyle name="Normal 11 3 2 3 2 2" xfId="5633" xr:uid="{00000000-0005-0000-0000-000019640000}"/>
    <cellStyle name="Normal 11 3 2 3 2 3" xfId="5634" xr:uid="{00000000-0005-0000-0000-00001A640000}"/>
    <cellStyle name="Normal 11 3 2 3 3" xfId="5635" xr:uid="{00000000-0005-0000-0000-00001B640000}"/>
    <cellStyle name="Normal 11 3 2 3 3 2" xfId="5636" xr:uid="{00000000-0005-0000-0000-00001C640000}"/>
    <cellStyle name="Normal 11 3 2 3 3 3" xfId="5637" xr:uid="{00000000-0005-0000-0000-00001D640000}"/>
    <cellStyle name="Normal 11 3 2 3 4" xfId="5638" xr:uid="{00000000-0005-0000-0000-00001E640000}"/>
    <cellStyle name="Normal 11 3 2 3 5" xfId="5639" xr:uid="{00000000-0005-0000-0000-00001F640000}"/>
    <cellStyle name="Normal 11 3 2 4" xfId="5640" xr:uid="{00000000-0005-0000-0000-000020640000}"/>
    <cellStyle name="Normal 11 3 2 4 2" xfId="5641" xr:uid="{00000000-0005-0000-0000-000021640000}"/>
    <cellStyle name="Normal 11 3 2 4 3" xfId="5642" xr:uid="{00000000-0005-0000-0000-000022640000}"/>
    <cellStyle name="Normal 11 3 2 5" xfId="5643" xr:uid="{00000000-0005-0000-0000-000023640000}"/>
    <cellStyle name="Normal 11 3 2 5 2" xfId="5644" xr:uid="{00000000-0005-0000-0000-000024640000}"/>
    <cellStyle name="Normal 11 3 2 5 3" xfId="5645" xr:uid="{00000000-0005-0000-0000-000025640000}"/>
    <cellStyle name="Normal 11 3 2 6" xfId="5646" xr:uid="{00000000-0005-0000-0000-000026640000}"/>
    <cellStyle name="Normal 11 3 2 7" xfId="5647" xr:uid="{00000000-0005-0000-0000-000027640000}"/>
    <cellStyle name="Normal 11 3 3" xfId="5648" xr:uid="{00000000-0005-0000-0000-000028640000}"/>
    <cellStyle name="Normal 11 3 3 2" xfId="5649" xr:uid="{00000000-0005-0000-0000-000029640000}"/>
    <cellStyle name="Normal 11 3 3 2 2" xfId="5650" xr:uid="{00000000-0005-0000-0000-00002A640000}"/>
    <cellStyle name="Normal 11 3 3 2 2 2" xfId="5651" xr:uid="{00000000-0005-0000-0000-00002B640000}"/>
    <cellStyle name="Normal 11 3 3 2 2 3" xfId="5652" xr:uid="{00000000-0005-0000-0000-00002C640000}"/>
    <cellStyle name="Normal 11 3 3 2 3" xfId="5653" xr:uid="{00000000-0005-0000-0000-00002D640000}"/>
    <cellStyle name="Normal 11 3 3 2 3 2" xfId="5654" xr:uid="{00000000-0005-0000-0000-00002E640000}"/>
    <cellStyle name="Normal 11 3 3 2 3 3" xfId="5655" xr:uid="{00000000-0005-0000-0000-00002F640000}"/>
    <cellStyle name="Normal 11 3 3 2 4" xfId="5656" xr:uid="{00000000-0005-0000-0000-000030640000}"/>
    <cellStyle name="Normal 11 3 3 2 5" xfId="5657" xr:uid="{00000000-0005-0000-0000-000031640000}"/>
    <cellStyle name="Normal 11 3 3 3" xfId="5658" xr:uid="{00000000-0005-0000-0000-000032640000}"/>
    <cellStyle name="Normal 11 3 3 3 2" xfId="5659" xr:uid="{00000000-0005-0000-0000-000033640000}"/>
    <cellStyle name="Normal 11 3 3 3 3" xfId="5660" xr:uid="{00000000-0005-0000-0000-000034640000}"/>
    <cellStyle name="Normal 11 3 3 4" xfId="5661" xr:uid="{00000000-0005-0000-0000-000035640000}"/>
    <cellStyle name="Normal 11 3 3 4 2" xfId="5662" xr:uid="{00000000-0005-0000-0000-000036640000}"/>
    <cellStyle name="Normal 11 3 3 4 3" xfId="5663" xr:uid="{00000000-0005-0000-0000-000037640000}"/>
    <cellStyle name="Normal 11 3 3 5" xfId="5664" xr:uid="{00000000-0005-0000-0000-000038640000}"/>
    <cellStyle name="Normal 11 3 3 6" xfId="5665" xr:uid="{00000000-0005-0000-0000-000039640000}"/>
    <cellStyle name="Normal 11 3 4" xfId="5666" xr:uid="{00000000-0005-0000-0000-00003A640000}"/>
    <cellStyle name="Normal 11 3 4 2" xfId="5667" xr:uid="{00000000-0005-0000-0000-00003B640000}"/>
    <cellStyle name="Normal 11 3 4 2 2" xfId="5668" xr:uid="{00000000-0005-0000-0000-00003C640000}"/>
    <cellStyle name="Normal 11 3 4 2 3" xfId="5669" xr:uid="{00000000-0005-0000-0000-00003D640000}"/>
    <cellStyle name="Normal 11 3 4 3" xfId="5670" xr:uid="{00000000-0005-0000-0000-00003E640000}"/>
    <cellStyle name="Normal 11 3 4 3 2" xfId="5671" xr:uid="{00000000-0005-0000-0000-00003F640000}"/>
    <cellStyle name="Normal 11 3 4 3 3" xfId="5672" xr:uid="{00000000-0005-0000-0000-000040640000}"/>
    <cellStyle name="Normal 11 3 4 4" xfId="5673" xr:uid="{00000000-0005-0000-0000-000041640000}"/>
    <cellStyle name="Normal 11 3 4 5" xfId="5674" xr:uid="{00000000-0005-0000-0000-000042640000}"/>
    <cellStyle name="Normal 11 3 5" xfId="5675" xr:uid="{00000000-0005-0000-0000-000043640000}"/>
    <cellStyle name="Normal 11 3 5 2" xfId="5676" xr:uid="{00000000-0005-0000-0000-000044640000}"/>
    <cellStyle name="Normal 11 3 5 3" xfId="5677" xr:uid="{00000000-0005-0000-0000-000045640000}"/>
    <cellStyle name="Normal 11 3 6" xfId="5678" xr:uid="{00000000-0005-0000-0000-000046640000}"/>
    <cellStyle name="Normal 11 3 6 2" xfId="5679" xr:uid="{00000000-0005-0000-0000-000047640000}"/>
    <cellStyle name="Normal 11 3 6 3" xfId="5680" xr:uid="{00000000-0005-0000-0000-000048640000}"/>
    <cellStyle name="Normal 11 3 7" xfId="5681" xr:uid="{00000000-0005-0000-0000-000049640000}"/>
    <cellStyle name="Normal 11 3 8" xfId="5682" xr:uid="{00000000-0005-0000-0000-00004A640000}"/>
    <cellStyle name="Normal 11 4" xfId="5683" xr:uid="{00000000-0005-0000-0000-00004B640000}"/>
    <cellStyle name="Normal 11 4 2" xfId="5684" xr:uid="{00000000-0005-0000-0000-00004C640000}"/>
    <cellStyle name="Normal 11 4 2 2" xfId="5685" xr:uid="{00000000-0005-0000-0000-00004D640000}"/>
    <cellStyle name="Normal 11 4 2 2 2" xfId="5686" xr:uid="{00000000-0005-0000-0000-00004E640000}"/>
    <cellStyle name="Normal 11 4 2 2 2 2" xfId="5687" xr:uid="{00000000-0005-0000-0000-00004F640000}"/>
    <cellStyle name="Normal 11 4 2 2 2 2 2" xfId="5688" xr:uid="{00000000-0005-0000-0000-000050640000}"/>
    <cellStyle name="Normal 11 4 2 2 2 2 3" xfId="5689" xr:uid="{00000000-0005-0000-0000-000051640000}"/>
    <cellStyle name="Normal 11 4 2 2 2 3" xfId="5690" xr:uid="{00000000-0005-0000-0000-000052640000}"/>
    <cellStyle name="Normal 11 4 2 2 2 3 2" xfId="5691" xr:uid="{00000000-0005-0000-0000-000053640000}"/>
    <cellStyle name="Normal 11 4 2 2 2 3 3" xfId="5692" xr:uid="{00000000-0005-0000-0000-000054640000}"/>
    <cellStyle name="Normal 11 4 2 2 2 4" xfId="5693" xr:uid="{00000000-0005-0000-0000-000055640000}"/>
    <cellStyle name="Normal 11 4 2 2 2 5" xfId="5694" xr:uid="{00000000-0005-0000-0000-000056640000}"/>
    <cellStyle name="Normal 11 4 2 2 3" xfId="5695" xr:uid="{00000000-0005-0000-0000-000057640000}"/>
    <cellStyle name="Normal 11 4 2 2 3 2" xfId="5696" xr:uid="{00000000-0005-0000-0000-000058640000}"/>
    <cellStyle name="Normal 11 4 2 2 3 3" xfId="5697" xr:uid="{00000000-0005-0000-0000-000059640000}"/>
    <cellStyle name="Normal 11 4 2 2 4" xfId="5698" xr:uid="{00000000-0005-0000-0000-00005A640000}"/>
    <cellStyle name="Normal 11 4 2 2 4 2" xfId="5699" xr:uid="{00000000-0005-0000-0000-00005B640000}"/>
    <cellStyle name="Normal 11 4 2 2 4 3" xfId="5700" xr:uid="{00000000-0005-0000-0000-00005C640000}"/>
    <cellStyle name="Normal 11 4 2 2 5" xfId="5701" xr:uid="{00000000-0005-0000-0000-00005D640000}"/>
    <cellStyle name="Normal 11 4 2 2 6" xfId="5702" xr:uid="{00000000-0005-0000-0000-00005E640000}"/>
    <cellStyle name="Normal 11 4 2 3" xfId="5703" xr:uid="{00000000-0005-0000-0000-00005F640000}"/>
    <cellStyle name="Normal 11 4 2 3 2" xfId="5704" xr:uid="{00000000-0005-0000-0000-000060640000}"/>
    <cellStyle name="Normal 11 4 2 3 2 2" xfId="5705" xr:uid="{00000000-0005-0000-0000-000061640000}"/>
    <cellStyle name="Normal 11 4 2 3 2 3" xfId="5706" xr:uid="{00000000-0005-0000-0000-000062640000}"/>
    <cellStyle name="Normal 11 4 2 3 3" xfId="5707" xr:uid="{00000000-0005-0000-0000-000063640000}"/>
    <cellStyle name="Normal 11 4 2 3 3 2" xfId="5708" xr:uid="{00000000-0005-0000-0000-000064640000}"/>
    <cellStyle name="Normal 11 4 2 3 3 3" xfId="5709" xr:uid="{00000000-0005-0000-0000-000065640000}"/>
    <cellStyle name="Normal 11 4 2 3 4" xfId="5710" xr:uid="{00000000-0005-0000-0000-000066640000}"/>
    <cellStyle name="Normal 11 4 2 3 5" xfId="5711" xr:uid="{00000000-0005-0000-0000-000067640000}"/>
    <cellStyle name="Normal 11 4 2 4" xfId="5712" xr:uid="{00000000-0005-0000-0000-000068640000}"/>
    <cellStyle name="Normal 11 4 2 4 2" xfId="5713" xr:uid="{00000000-0005-0000-0000-000069640000}"/>
    <cellStyle name="Normal 11 4 2 4 3" xfId="5714" xr:uid="{00000000-0005-0000-0000-00006A640000}"/>
    <cellStyle name="Normal 11 4 2 5" xfId="5715" xr:uid="{00000000-0005-0000-0000-00006B640000}"/>
    <cellStyle name="Normal 11 4 2 5 2" xfId="5716" xr:uid="{00000000-0005-0000-0000-00006C640000}"/>
    <cellStyle name="Normal 11 4 2 5 3" xfId="5717" xr:uid="{00000000-0005-0000-0000-00006D640000}"/>
    <cellStyle name="Normal 11 4 2 6" xfId="5718" xr:uid="{00000000-0005-0000-0000-00006E640000}"/>
    <cellStyle name="Normal 11 4 2 7" xfId="5719" xr:uid="{00000000-0005-0000-0000-00006F640000}"/>
    <cellStyle name="Normal 11 4 3" xfId="5720" xr:uid="{00000000-0005-0000-0000-000070640000}"/>
    <cellStyle name="Normal 11 4 3 2" xfId="5721" xr:uid="{00000000-0005-0000-0000-000071640000}"/>
    <cellStyle name="Normal 11 4 3 2 2" xfId="5722" xr:uid="{00000000-0005-0000-0000-000072640000}"/>
    <cellStyle name="Normal 11 4 3 2 2 2" xfId="5723" xr:uid="{00000000-0005-0000-0000-000073640000}"/>
    <cellStyle name="Normal 11 4 3 2 2 3" xfId="5724" xr:uid="{00000000-0005-0000-0000-000074640000}"/>
    <cellStyle name="Normal 11 4 3 2 3" xfId="5725" xr:uid="{00000000-0005-0000-0000-000075640000}"/>
    <cellStyle name="Normal 11 4 3 2 3 2" xfId="5726" xr:uid="{00000000-0005-0000-0000-000076640000}"/>
    <cellStyle name="Normal 11 4 3 2 3 3" xfId="5727" xr:uid="{00000000-0005-0000-0000-000077640000}"/>
    <cellStyle name="Normal 11 4 3 2 4" xfId="5728" xr:uid="{00000000-0005-0000-0000-000078640000}"/>
    <cellStyle name="Normal 11 4 3 2 5" xfId="5729" xr:uid="{00000000-0005-0000-0000-000079640000}"/>
    <cellStyle name="Normal 11 4 3 3" xfId="5730" xr:uid="{00000000-0005-0000-0000-00007A640000}"/>
    <cellStyle name="Normal 11 4 3 3 2" xfId="5731" xr:uid="{00000000-0005-0000-0000-00007B640000}"/>
    <cellStyle name="Normal 11 4 3 3 3" xfId="5732" xr:uid="{00000000-0005-0000-0000-00007C640000}"/>
    <cellStyle name="Normal 11 4 3 4" xfId="5733" xr:uid="{00000000-0005-0000-0000-00007D640000}"/>
    <cellStyle name="Normal 11 4 3 4 2" xfId="5734" xr:uid="{00000000-0005-0000-0000-00007E640000}"/>
    <cellStyle name="Normal 11 4 3 4 3" xfId="5735" xr:uid="{00000000-0005-0000-0000-00007F640000}"/>
    <cellStyle name="Normal 11 4 3 5" xfId="5736" xr:uid="{00000000-0005-0000-0000-000080640000}"/>
    <cellStyle name="Normal 11 4 3 6" xfId="5737" xr:uid="{00000000-0005-0000-0000-000081640000}"/>
    <cellStyle name="Normal 11 4 4" xfId="5738" xr:uid="{00000000-0005-0000-0000-000082640000}"/>
    <cellStyle name="Normal 11 4 4 2" xfId="5739" xr:uid="{00000000-0005-0000-0000-000083640000}"/>
    <cellStyle name="Normal 11 4 4 2 2" xfId="5740" xr:uid="{00000000-0005-0000-0000-000084640000}"/>
    <cellStyle name="Normal 11 4 4 2 3" xfId="5741" xr:uid="{00000000-0005-0000-0000-000085640000}"/>
    <cellStyle name="Normal 11 4 4 3" xfId="5742" xr:uid="{00000000-0005-0000-0000-000086640000}"/>
    <cellStyle name="Normal 11 4 4 3 2" xfId="5743" xr:uid="{00000000-0005-0000-0000-000087640000}"/>
    <cellStyle name="Normal 11 4 4 3 3" xfId="5744" xr:uid="{00000000-0005-0000-0000-000088640000}"/>
    <cellStyle name="Normal 11 4 4 4" xfId="5745" xr:uid="{00000000-0005-0000-0000-000089640000}"/>
    <cellStyle name="Normal 11 4 4 5" xfId="5746" xr:uid="{00000000-0005-0000-0000-00008A640000}"/>
    <cellStyle name="Normal 11 4 5" xfId="5747" xr:uid="{00000000-0005-0000-0000-00008B640000}"/>
    <cellStyle name="Normal 11 4 5 2" xfId="5748" xr:uid="{00000000-0005-0000-0000-00008C640000}"/>
    <cellStyle name="Normal 11 4 5 3" xfId="5749" xr:uid="{00000000-0005-0000-0000-00008D640000}"/>
    <cellStyle name="Normal 11 4 6" xfId="5750" xr:uid="{00000000-0005-0000-0000-00008E640000}"/>
    <cellStyle name="Normal 11 4 6 2" xfId="5751" xr:uid="{00000000-0005-0000-0000-00008F640000}"/>
    <cellStyle name="Normal 11 4 6 3" xfId="5752" xr:uid="{00000000-0005-0000-0000-000090640000}"/>
    <cellStyle name="Normal 11 4 7" xfId="5753" xr:uid="{00000000-0005-0000-0000-000091640000}"/>
    <cellStyle name="Normal 11 4 8" xfId="5754" xr:uid="{00000000-0005-0000-0000-000092640000}"/>
    <cellStyle name="Normal 11 5" xfId="5755" xr:uid="{00000000-0005-0000-0000-000093640000}"/>
    <cellStyle name="Normal 11 5 10" xfId="5756" xr:uid="{00000000-0005-0000-0000-000094640000}"/>
    <cellStyle name="Normal 11 5 10 2" xfId="5757" xr:uid="{00000000-0005-0000-0000-000095640000}"/>
    <cellStyle name="Normal 11 5 10 3" xfId="5758" xr:uid="{00000000-0005-0000-0000-000096640000}"/>
    <cellStyle name="Normal 11 5 11" xfId="5759" xr:uid="{00000000-0005-0000-0000-000097640000}"/>
    <cellStyle name="Normal 11 5 11 2" xfId="5760" xr:uid="{00000000-0005-0000-0000-000098640000}"/>
    <cellStyle name="Normal 11 5 12" xfId="5761" xr:uid="{00000000-0005-0000-0000-000099640000}"/>
    <cellStyle name="Normal 11 5 12 2" xfId="5762" xr:uid="{00000000-0005-0000-0000-00009A640000}"/>
    <cellStyle name="Normal 11 5 13" xfId="5763" xr:uid="{00000000-0005-0000-0000-00009B640000}"/>
    <cellStyle name="Normal 11 5 14" xfId="5764" xr:uid="{00000000-0005-0000-0000-00009C640000}"/>
    <cellStyle name="Normal 11 5 15" xfId="5765" xr:uid="{00000000-0005-0000-0000-00009D640000}"/>
    <cellStyle name="Normal 11 5 16" xfId="5766" xr:uid="{00000000-0005-0000-0000-00009E640000}"/>
    <cellStyle name="Normal 11 5 17" xfId="5767" xr:uid="{00000000-0005-0000-0000-00009F640000}"/>
    <cellStyle name="Normal 11 5 18" xfId="5768" xr:uid="{00000000-0005-0000-0000-0000A0640000}"/>
    <cellStyle name="Normal 11 5 19" xfId="5769" xr:uid="{00000000-0005-0000-0000-0000A1640000}"/>
    <cellStyle name="Normal 11 5 19 2" xfId="5770" xr:uid="{00000000-0005-0000-0000-0000A2640000}"/>
    <cellStyle name="Normal 11 5 19 3" xfId="5771" xr:uid="{00000000-0005-0000-0000-0000A3640000}"/>
    <cellStyle name="Normal 11 5 19 4" xfId="5772" xr:uid="{00000000-0005-0000-0000-0000A4640000}"/>
    <cellStyle name="Normal 11 5 19 5" xfId="5773" xr:uid="{00000000-0005-0000-0000-0000A5640000}"/>
    <cellStyle name="Normal 11 5 19 6" xfId="5774" xr:uid="{00000000-0005-0000-0000-0000A6640000}"/>
    <cellStyle name="Normal 11 5 2" xfId="5775" xr:uid="{00000000-0005-0000-0000-0000A7640000}"/>
    <cellStyle name="Normal 11 5 2 2" xfId="5776" xr:uid="{00000000-0005-0000-0000-0000A8640000}"/>
    <cellStyle name="Normal 11 5 2 2 2" xfId="5777" xr:uid="{00000000-0005-0000-0000-0000A9640000}"/>
    <cellStyle name="Normal 11 5 2 2 2 2" xfId="5778" xr:uid="{00000000-0005-0000-0000-0000AA640000}"/>
    <cellStyle name="Normal 11 5 2 2 2 3" xfId="5779" xr:uid="{00000000-0005-0000-0000-0000AB640000}"/>
    <cellStyle name="Normal 11 5 2 2 3" xfId="5780" xr:uid="{00000000-0005-0000-0000-0000AC640000}"/>
    <cellStyle name="Normal 11 5 2 2 3 2" xfId="5781" xr:uid="{00000000-0005-0000-0000-0000AD640000}"/>
    <cellStyle name="Normal 11 5 2 2 3 3" xfId="5782" xr:uid="{00000000-0005-0000-0000-0000AE640000}"/>
    <cellStyle name="Normal 11 5 2 2 4" xfId="5783" xr:uid="{00000000-0005-0000-0000-0000AF640000}"/>
    <cellStyle name="Normal 11 5 2 2 5" xfId="5784" xr:uid="{00000000-0005-0000-0000-0000B0640000}"/>
    <cellStyle name="Normal 11 5 2 3" xfId="5785" xr:uid="{00000000-0005-0000-0000-0000B1640000}"/>
    <cellStyle name="Normal 11 5 2 3 2" xfId="5786" xr:uid="{00000000-0005-0000-0000-0000B2640000}"/>
    <cellStyle name="Normal 11 5 2 3 3" xfId="5787" xr:uid="{00000000-0005-0000-0000-0000B3640000}"/>
    <cellStyle name="Normal 11 5 2 4" xfId="5788" xr:uid="{00000000-0005-0000-0000-0000B4640000}"/>
    <cellStyle name="Normal 11 5 2 4 2" xfId="5789" xr:uid="{00000000-0005-0000-0000-0000B5640000}"/>
    <cellStyle name="Normal 11 5 2 4 3" xfId="5790" xr:uid="{00000000-0005-0000-0000-0000B6640000}"/>
    <cellStyle name="Normal 11 5 2 5" xfId="5791" xr:uid="{00000000-0005-0000-0000-0000B7640000}"/>
    <cellStyle name="Normal 11 5 2 6" xfId="5792" xr:uid="{00000000-0005-0000-0000-0000B8640000}"/>
    <cellStyle name="Normal 11 5 20" xfId="5793" xr:uid="{00000000-0005-0000-0000-0000B9640000}"/>
    <cellStyle name="Normal 11 5 21" xfId="5794" xr:uid="{00000000-0005-0000-0000-0000BA640000}"/>
    <cellStyle name="Normal 11 5 22" xfId="5795" xr:uid="{00000000-0005-0000-0000-0000BB640000}"/>
    <cellStyle name="Normal 11 5 23" xfId="5796" xr:uid="{00000000-0005-0000-0000-0000BC640000}"/>
    <cellStyle name="Normal 11 5 24" xfId="5797" xr:uid="{00000000-0005-0000-0000-0000BD640000}"/>
    <cellStyle name="Normal 11 5 25" xfId="5798" xr:uid="{00000000-0005-0000-0000-0000BE640000}"/>
    <cellStyle name="Normal 11 5 26" xfId="5799" xr:uid="{00000000-0005-0000-0000-0000BF640000}"/>
    <cellStyle name="Normal 11 5 27" xfId="5800" xr:uid="{00000000-0005-0000-0000-0000C0640000}"/>
    <cellStyle name="Normal 11 5 28" xfId="5801" xr:uid="{00000000-0005-0000-0000-0000C1640000}"/>
    <cellStyle name="Normal 11 5 3" xfId="5802" xr:uid="{00000000-0005-0000-0000-0000C2640000}"/>
    <cellStyle name="Normal 11 5 3 2" xfId="5803" xr:uid="{00000000-0005-0000-0000-0000C3640000}"/>
    <cellStyle name="Normal 11 5 3 2 2" xfId="5804" xr:uid="{00000000-0005-0000-0000-0000C4640000}"/>
    <cellStyle name="Normal 11 5 3 2 2 2" xfId="5805" xr:uid="{00000000-0005-0000-0000-0000C5640000}"/>
    <cellStyle name="Normal 11 5 3 2 2 3" xfId="5806" xr:uid="{00000000-0005-0000-0000-0000C6640000}"/>
    <cellStyle name="Normal 11 5 3 2 3" xfId="5807" xr:uid="{00000000-0005-0000-0000-0000C7640000}"/>
    <cellStyle name="Normal 11 5 3 2 3 2" xfId="5808" xr:uid="{00000000-0005-0000-0000-0000C8640000}"/>
    <cellStyle name="Normal 11 5 3 2 3 3" xfId="5809" xr:uid="{00000000-0005-0000-0000-0000C9640000}"/>
    <cellStyle name="Normal 11 5 3 2 4" xfId="5810" xr:uid="{00000000-0005-0000-0000-0000CA640000}"/>
    <cellStyle name="Normal 11 5 3 2 5" xfId="5811" xr:uid="{00000000-0005-0000-0000-0000CB640000}"/>
    <cellStyle name="Normal 11 5 3 3" xfId="5812" xr:uid="{00000000-0005-0000-0000-0000CC640000}"/>
    <cellStyle name="Normal 11 5 3 3 2" xfId="5813" xr:uid="{00000000-0005-0000-0000-0000CD640000}"/>
    <cellStyle name="Normal 11 5 3 3 3" xfId="5814" xr:uid="{00000000-0005-0000-0000-0000CE640000}"/>
    <cellStyle name="Normal 11 5 3 3 4" xfId="5815" xr:uid="{00000000-0005-0000-0000-0000CF640000}"/>
    <cellStyle name="Normal 11 5 3 3 5" xfId="5816" xr:uid="{00000000-0005-0000-0000-0000D0640000}"/>
    <cellStyle name="Normal 11 5 3 4" xfId="5817" xr:uid="{00000000-0005-0000-0000-0000D1640000}"/>
    <cellStyle name="Normal 11 5 3 4 2" xfId="5818" xr:uid="{00000000-0005-0000-0000-0000D2640000}"/>
    <cellStyle name="Normal 11 5 3 4 3" xfId="5819" xr:uid="{00000000-0005-0000-0000-0000D3640000}"/>
    <cellStyle name="Normal 11 5 3 5" xfId="5820" xr:uid="{00000000-0005-0000-0000-0000D4640000}"/>
    <cellStyle name="Normal 11 5 3 5 2" xfId="5821" xr:uid="{00000000-0005-0000-0000-0000D5640000}"/>
    <cellStyle name="Normal 11 5 3 5 3" xfId="5822" xr:uid="{00000000-0005-0000-0000-0000D6640000}"/>
    <cellStyle name="Normal 11 5 3 6" xfId="5823" xr:uid="{00000000-0005-0000-0000-0000D7640000}"/>
    <cellStyle name="Normal 11 5 3 7" xfId="5824" xr:uid="{00000000-0005-0000-0000-0000D8640000}"/>
    <cellStyle name="Normal 11 5 4" xfId="5825" xr:uid="{00000000-0005-0000-0000-0000D9640000}"/>
    <cellStyle name="Normal 11 5 4 2" xfId="5826" xr:uid="{00000000-0005-0000-0000-0000DA640000}"/>
    <cellStyle name="Normal 11 5 4 2 2" xfId="5827" xr:uid="{00000000-0005-0000-0000-0000DB640000}"/>
    <cellStyle name="Normal 11 5 4 2 3" xfId="5828" xr:uid="{00000000-0005-0000-0000-0000DC640000}"/>
    <cellStyle name="Normal 11 5 4 2 4" xfId="5829" xr:uid="{00000000-0005-0000-0000-0000DD640000}"/>
    <cellStyle name="Normal 11 5 4 2 5" xfId="5830" xr:uid="{00000000-0005-0000-0000-0000DE640000}"/>
    <cellStyle name="Normal 11 5 4 3" xfId="5831" xr:uid="{00000000-0005-0000-0000-0000DF640000}"/>
    <cellStyle name="Normal 11 5 4 3 2" xfId="5832" xr:uid="{00000000-0005-0000-0000-0000E0640000}"/>
    <cellStyle name="Normal 11 5 4 3 3" xfId="5833" xr:uid="{00000000-0005-0000-0000-0000E1640000}"/>
    <cellStyle name="Normal 11 5 4 4" xfId="5834" xr:uid="{00000000-0005-0000-0000-0000E2640000}"/>
    <cellStyle name="Normal 11 5 4 4 2" xfId="5835" xr:uid="{00000000-0005-0000-0000-0000E3640000}"/>
    <cellStyle name="Normal 11 5 4 4 3" xfId="5836" xr:uid="{00000000-0005-0000-0000-0000E4640000}"/>
    <cellStyle name="Normal 11 5 4 5" xfId="5837" xr:uid="{00000000-0005-0000-0000-0000E5640000}"/>
    <cellStyle name="Normal 11 5 4 6" xfId="5838" xr:uid="{00000000-0005-0000-0000-0000E6640000}"/>
    <cellStyle name="Normal 11 5 5" xfId="5839" xr:uid="{00000000-0005-0000-0000-0000E7640000}"/>
    <cellStyle name="Normal 11 5 5 2" xfId="5840" xr:uid="{00000000-0005-0000-0000-0000E8640000}"/>
    <cellStyle name="Normal 11 5 5 2 2" xfId="5841" xr:uid="{00000000-0005-0000-0000-0000E9640000}"/>
    <cellStyle name="Normal 11 5 5 2 3" xfId="5842" xr:uid="{00000000-0005-0000-0000-0000EA640000}"/>
    <cellStyle name="Normal 11 5 5 2 4" xfId="5843" xr:uid="{00000000-0005-0000-0000-0000EB640000}"/>
    <cellStyle name="Normal 11 5 5 2 5" xfId="5844" xr:uid="{00000000-0005-0000-0000-0000EC640000}"/>
    <cellStyle name="Normal 11 5 5 3" xfId="5845" xr:uid="{00000000-0005-0000-0000-0000ED640000}"/>
    <cellStyle name="Normal 11 5 5 3 2" xfId="5846" xr:uid="{00000000-0005-0000-0000-0000EE640000}"/>
    <cellStyle name="Normal 11 5 5 3 3" xfId="5847" xr:uid="{00000000-0005-0000-0000-0000EF640000}"/>
    <cellStyle name="Normal 11 5 5 4" xfId="5848" xr:uid="{00000000-0005-0000-0000-0000F0640000}"/>
    <cellStyle name="Normal 11 5 5 4 2" xfId="5849" xr:uid="{00000000-0005-0000-0000-0000F1640000}"/>
    <cellStyle name="Normal 11 5 5 4 3" xfId="5850" xr:uid="{00000000-0005-0000-0000-0000F2640000}"/>
    <cellStyle name="Normal 11 5 5 5" xfId="5851" xr:uid="{00000000-0005-0000-0000-0000F3640000}"/>
    <cellStyle name="Normal 11 5 5 6" xfId="5852" xr:uid="{00000000-0005-0000-0000-0000F4640000}"/>
    <cellStyle name="Normal 11 5 6" xfId="5853" xr:uid="{00000000-0005-0000-0000-0000F5640000}"/>
    <cellStyle name="Normal 11 5 6 2" xfId="5854" xr:uid="{00000000-0005-0000-0000-0000F6640000}"/>
    <cellStyle name="Normal 11 5 6 2 2" xfId="5855" xr:uid="{00000000-0005-0000-0000-0000F7640000}"/>
    <cellStyle name="Normal 11 5 6 2 3" xfId="5856" xr:uid="{00000000-0005-0000-0000-0000F8640000}"/>
    <cellStyle name="Normal 11 5 6 2 4" xfId="5857" xr:uid="{00000000-0005-0000-0000-0000F9640000}"/>
    <cellStyle name="Normal 11 5 6 2 5" xfId="5858" xr:uid="{00000000-0005-0000-0000-0000FA640000}"/>
    <cellStyle name="Normal 11 5 6 3" xfId="5859" xr:uid="{00000000-0005-0000-0000-0000FB640000}"/>
    <cellStyle name="Normal 11 5 6 3 2" xfId="5860" xr:uid="{00000000-0005-0000-0000-0000FC640000}"/>
    <cellStyle name="Normal 11 5 6 3 3" xfId="5861" xr:uid="{00000000-0005-0000-0000-0000FD640000}"/>
    <cellStyle name="Normal 11 5 6 4" xfId="5862" xr:uid="{00000000-0005-0000-0000-0000FE640000}"/>
    <cellStyle name="Normal 11 5 6 4 2" xfId="5863" xr:uid="{00000000-0005-0000-0000-0000FF640000}"/>
    <cellStyle name="Normal 11 5 6 4 3" xfId="5864" xr:uid="{00000000-0005-0000-0000-000000650000}"/>
    <cellStyle name="Normal 11 5 6 5" xfId="5865" xr:uid="{00000000-0005-0000-0000-000001650000}"/>
    <cellStyle name="Normal 11 5 6 5 2" xfId="5866" xr:uid="{00000000-0005-0000-0000-000002650000}"/>
    <cellStyle name="Normal 11 5 6 6" xfId="5867" xr:uid="{00000000-0005-0000-0000-000003650000}"/>
    <cellStyle name="Normal 11 5 6 7" xfId="5868" xr:uid="{00000000-0005-0000-0000-000004650000}"/>
    <cellStyle name="Normal 11 5 7" xfId="5869" xr:uid="{00000000-0005-0000-0000-000005650000}"/>
    <cellStyle name="Normal 11 5 7 2" xfId="5870" xr:uid="{00000000-0005-0000-0000-000006650000}"/>
    <cellStyle name="Normal 11 5 7 2 2" xfId="5871" xr:uid="{00000000-0005-0000-0000-000007650000}"/>
    <cellStyle name="Normal 11 5 7 2 3" xfId="5872" xr:uid="{00000000-0005-0000-0000-000008650000}"/>
    <cellStyle name="Normal 11 5 7 3" xfId="5873" xr:uid="{00000000-0005-0000-0000-000009650000}"/>
    <cellStyle name="Normal 11 5 7 3 2" xfId="5874" xr:uid="{00000000-0005-0000-0000-00000A650000}"/>
    <cellStyle name="Normal 11 5 7 3 3" xfId="5875" xr:uid="{00000000-0005-0000-0000-00000B650000}"/>
    <cellStyle name="Normal 11 5 7 4" xfId="5876" xr:uid="{00000000-0005-0000-0000-00000C650000}"/>
    <cellStyle name="Normal 11 5 7 4 2" xfId="5877" xr:uid="{00000000-0005-0000-0000-00000D650000}"/>
    <cellStyle name="Normal 11 5 7 5" xfId="5878" xr:uid="{00000000-0005-0000-0000-00000E650000}"/>
    <cellStyle name="Normal 11 5 7 6" xfId="5879" xr:uid="{00000000-0005-0000-0000-00000F650000}"/>
    <cellStyle name="Normal 11 5 8" xfId="5880" xr:uid="{00000000-0005-0000-0000-000010650000}"/>
    <cellStyle name="Normal 11 5 8 2" xfId="5881" xr:uid="{00000000-0005-0000-0000-000011650000}"/>
    <cellStyle name="Normal 11 5 8 3" xfId="5882" xr:uid="{00000000-0005-0000-0000-000012650000}"/>
    <cellStyle name="Normal 11 5 8 4" xfId="5883" xr:uid="{00000000-0005-0000-0000-000013650000}"/>
    <cellStyle name="Normal 11 5 8 5" xfId="5884" xr:uid="{00000000-0005-0000-0000-000014650000}"/>
    <cellStyle name="Normal 11 5 9" xfId="5885" xr:uid="{00000000-0005-0000-0000-000015650000}"/>
    <cellStyle name="Normal 11 5 9 2" xfId="5886" xr:uid="{00000000-0005-0000-0000-000016650000}"/>
    <cellStyle name="Normal 11 5 9 3" xfId="5887" xr:uid="{00000000-0005-0000-0000-000017650000}"/>
    <cellStyle name="Normal 11 5_10070" xfId="5888" xr:uid="{00000000-0005-0000-0000-000018650000}"/>
    <cellStyle name="Normal 11 6" xfId="5889" xr:uid="{00000000-0005-0000-0000-000019650000}"/>
    <cellStyle name="Normal 11 6 2" xfId="5890" xr:uid="{00000000-0005-0000-0000-00001A650000}"/>
    <cellStyle name="Normal 11 6 2 2" xfId="5891" xr:uid="{00000000-0005-0000-0000-00001B650000}"/>
    <cellStyle name="Normal 11 6 2 2 2" xfId="5892" xr:uid="{00000000-0005-0000-0000-00001C650000}"/>
    <cellStyle name="Normal 11 6 2 2 3" xfId="5893" xr:uid="{00000000-0005-0000-0000-00001D650000}"/>
    <cellStyle name="Normal 11 6 2 3" xfId="5894" xr:uid="{00000000-0005-0000-0000-00001E650000}"/>
    <cellStyle name="Normal 11 6 2 3 2" xfId="5895" xr:uid="{00000000-0005-0000-0000-00001F650000}"/>
    <cellStyle name="Normal 11 6 2 3 3" xfId="5896" xr:uid="{00000000-0005-0000-0000-000020650000}"/>
    <cellStyle name="Normal 11 6 2 4" xfId="5897" xr:uid="{00000000-0005-0000-0000-000021650000}"/>
    <cellStyle name="Normal 11 6 2 5" xfId="5898" xr:uid="{00000000-0005-0000-0000-000022650000}"/>
    <cellStyle name="Normal 11 6 3" xfId="5899" xr:uid="{00000000-0005-0000-0000-000023650000}"/>
    <cellStyle name="Normal 11 6 3 2" xfId="5900" xr:uid="{00000000-0005-0000-0000-000024650000}"/>
    <cellStyle name="Normal 11 6 3 3" xfId="5901" xr:uid="{00000000-0005-0000-0000-000025650000}"/>
    <cellStyle name="Normal 11 6 4" xfId="5902" xr:uid="{00000000-0005-0000-0000-000026650000}"/>
    <cellStyle name="Normal 11 6 4 2" xfId="5903" xr:uid="{00000000-0005-0000-0000-000027650000}"/>
    <cellStyle name="Normal 11 6 4 3" xfId="5904" xr:uid="{00000000-0005-0000-0000-000028650000}"/>
    <cellStyle name="Normal 11 6 5" xfId="5905" xr:uid="{00000000-0005-0000-0000-000029650000}"/>
    <cellStyle name="Normal 11 6 6" xfId="5906" xr:uid="{00000000-0005-0000-0000-00002A650000}"/>
    <cellStyle name="Normal 11 7" xfId="5907" xr:uid="{00000000-0005-0000-0000-00002B650000}"/>
    <cellStyle name="Normal 11 7 2" xfId="5908" xr:uid="{00000000-0005-0000-0000-00002C650000}"/>
    <cellStyle name="Normal 11 7 2 2" xfId="5909" xr:uid="{00000000-0005-0000-0000-00002D650000}"/>
    <cellStyle name="Normal 11 7 2 3" xfId="5910" xr:uid="{00000000-0005-0000-0000-00002E650000}"/>
    <cellStyle name="Normal 11 7 3" xfId="5911" xr:uid="{00000000-0005-0000-0000-00002F650000}"/>
    <cellStyle name="Normal 11 7 3 2" xfId="5912" xr:uid="{00000000-0005-0000-0000-000030650000}"/>
    <cellStyle name="Normal 11 7 3 3" xfId="5913" xr:uid="{00000000-0005-0000-0000-000031650000}"/>
    <cellStyle name="Normal 11 7 4" xfId="5914" xr:uid="{00000000-0005-0000-0000-000032650000}"/>
    <cellStyle name="Normal 11 7 5" xfId="5915" xr:uid="{00000000-0005-0000-0000-000033650000}"/>
    <cellStyle name="Normal 11 8" xfId="5916" xr:uid="{00000000-0005-0000-0000-000034650000}"/>
    <cellStyle name="Normal 11 8 2" xfId="5917" xr:uid="{00000000-0005-0000-0000-000035650000}"/>
    <cellStyle name="Normal 11 8 3" xfId="5918" xr:uid="{00000000-0005-0000-0000-000036650000}"/>
    <cellStyle name="Normal 11 9" xfId="5919" xr:uid="{00000000-0005-0000-0000-000037650000}"/>
    <cellStyle name="Normal 11 9 2" xfId="5920" xr:uid="{00000000-0005-0000-0000-000038650000}"/>
    <cellStyle name="Normal 11 9 3" xfId="5921" xr:uid="{00000000-0005-0000-0000-000039650000}"/>
    <cellStyle name="Normal 11_2180" xfId="5922" xr:uid="{00000000-0005-0000-0000-00003A650000}"/>
    <cellStyle name="Normal 110" xfId="5923" xr:uid="{00000000-0005-0000-0000-00003B650000}"/>
    <cellStyle name="Normal 110 2" xfId="5924" xr:uid="{00000000-0005-0000-0000-00003C650000}"/>
    <cellStyle name="Normal 111" xfId="5925" xr:uid="{00000000-0005-0000-0000-00003D650000}"/>
    <cellStyle name="Normal 111 2" xfId="5926" xr:uid="{00000000-0005-0000-0000-00003E650000}"/>
    <cellStyle name="Normal 111 3" xfId="5927" xr:uid="{00000000-0005-0000-0000-00003F650000}"/>
    <cellStyle name="Normal 112" xfId="5928" xr:uid="{00000000-0005-0000-0000-000040650000}"/>
    <cellStyle name="Normal 112 2" xfId="5929" xr:uid="{00000000-0005-0000-0000-000041650000}"/>
    <cellStyle name="Normal 112 3" xfId="5930" xr:uid="{00000000-0005-0000-0000-000042650000}"/>
    <cellStyle name="Normal 113" xfId="5931" xr:uid="{00000000-0005-0000-0000-000043650000}"/>
    <cellStyle name="Normal 113 2" xfId="5932" xr:uid="{00000000-0005-0000-0000-000044650000}"/>
    <cellStyle name="Normal 113 3" xfId="5933" xr:uid="{00000000-0005-0000-0000-000045650000}"/>
    <cellStyle name="Normal 113 4" xfId="5934" xr:uid="{00000000-0005-0000-0000-000046650000}"/>
    <cellStyle name="Normal 114" xfId="5935" xr:uid="{00000000-0005-0000-0000-000047650000}"/>
    <cellStyle name="Normal 114 2" xfId="5936" xr:uid="{00000000-0005-0000-0000-000048650000}"/>
    <cellStyle name="Normal 115" xfId="5937" xr:uid="{00000000-0005-0000-0000-000049650000}"/>
    <cellStyle name="Normal 116" xfId="5938" xr:uid="{00000000-0005-0000-0000-00004A650000}"/>
    <cellStyle name="Normal 117" xfId="5939" xr:uid="{00000000-0005-0000-0000-00004B650000}"/>
    <cellStyle name="Normal 117 2" xfId="5940" xr:uid="{00000000-0005-0000-0000-00004C650000}"/>
    <cellStyle name="Normal 118" xfId="5941" xr:uid="{00000000-0005-0000-0000-00004D650000}"/>
    <cellStyle name="Normal 118 2" xfId="5942" xr:uid="{00000000-0005-0000-0000-00004E650000}"/>
    <cellStyle name="Normal 119" xfId="5943" xr:uid="{00000000-0005-0000-0000-00004F650000}"/>
    <cellStyle name="Normal 12" xfId="158" xr:uid="{00000000-0005-0000-0000-000050650000}"/>
    <cellStyle name="Normal 12 10" xfId="5944" xr:uid="{00000000-0005-0000-0000-000051650000}"/>
    <cellStyle name="Normal 12 11" xfId="5945" xr:uid="{00000000-0005-0000-0000-000052650000}"/>
    <cellStyle name="Normal 12 2" xfId="339" xr:uid="{00000000-0005-0000-0000-000053650000}"/>
    <cellStyle name="Normal 12 2 2" xfId="5946" xr:uid="{00000000-0005-0000-0000-000054650000}"/>
    <cellStyle name="Normal 12 2 2 2" xfId="5947" xr:uid="{00000000-0005-0000-0000-000055650000}"/>
    <cellStyle name="Normal 12 2 2 2 2" xfId="5948" xr:uid="{00000000-0005-0000-0000-000056650000}"/>
    <cellStyle name="Normal 12 2 2 2 2 2" xfId="5949" xr:uid="{00000000-0005-0000-0000-000057650000}"/>
    <cellStyle name="Normal 12 2 2 2 2 2 2" xfId="5950" xr:uid="{00000000-0005-0000-0000-000058650000}"/>
    <cellStyle name="Normal 12 2 2 2 2 2 2 2" xfId="5951" xr:uid="{00000000-0005-0000-0000-000059650000}"/>
    <cellStyle name="Normal 12 2 2 2 2 2 2 3" xfId="5952" xr:uid="{00000000-0005-0000-0000-00005A650000}"/>
    <cellStyle name="Normal 12 2 2 2 2 2 3" xfId="5953" xr:uid="{00000000-0005-0000-0000-00005B650000}"/>
    <cellStyle name="Normal 12 2 2 2 2 2 3 2" xfId="5954" xr:uid="{00000000-0005-0000-0000-00005C650000}"/>
    <cellStyle name="Normal 12 2 2 2 2 2 3 3" xfId="5955" xr:uid="{00000000-0005-0000-0000-00005D650000}"/>
    <cellStyle name="Normal 12 2 2 2 2 2 4" xfId="5956" xr:uid="{00000000-0005-0000-0000-00005E650000}"/>
    <cellStyle name="Normal 12 2 2 2 2 2 5" xfId="5957" xr:uid="{00000000-0005-0000-0000-00005F650000}"/>
    <cellStyle name="Normal 12 2 2 2 2 3" xfId="5958" xr:uid="{00000000-0005-0000-0000-000060650000}"/>
    <cellStyle name="Normal 12 2 2 2 2 3 2" xfId="5959" xr:uid="{00000000-0005-0000-0000-000061650000}"/>
    <cellStyle name="Normal 12 2 2 2 2 3 3" xfId="5960" xr:uid="{00000000-0005-0000-0000-000062650000}"/>
    <cellStyle name="Normal 12 2 2 2 2 4" xfId="5961" xr:uid="{00000000-0005-0000-0000-000063650000}"/>
    <cellStyle name="Normal 12 2 2 2 2 4 2" xfId="5962" xr:uid="{00000000-0005-0000-0000-000064650000}"/>
    <cellStyle name="Normal 12 2 2 2 2 4 3" xfId="5963" xr:uid="{00000000-0005-0000-0000-000065650000}"/>
    <cellStyle name="Normal 12 2 2 2 2 5" xfId="5964" xr:uid="{00000000-0005-0000-0000-000066650000}"/>
    <cellStyle name="Normal 12 2 2 2 2 6" xfId="5965" xr:uid="{00000000-0005-0000-0000-000067650000}"/>
    <cellStyle name="Normal 12 2 2 2 3" xfId="5966" xr:uid="{00000000-0005-0000-0000-000068650000}"/>
    <cellStyle name="Normal 12 2 2 2 3 2" xfId="5967" xr:uid="{00000000-0005-0000-0000-000069650000}"/>
    <cellStyle name="Normal 12 2 2 2 3 2 2" xfId="5968" xr:uid="{00000000-0005-0000-0000-00006A650000}"/>
    <cellStyle name="Normal 12 2 2 2 3 2 3" xfId="5969" xr:uid="{00000000-0005-0000-0000-00006B650000}"/>
    <cellStyle name="Normal 12 2 2 2 3 3" xfId="5970" xr:uid="{00000000-0005-0000-0000-00006C650000}"/>
    <cellStyle name="Normal 12 2 2 2 3 3 2" xfId="5971" xr:uid="{00000000-0005-0000-0000-00006D650000}"/>
    <cellStyle name="Normal 12 2 2 2 3 3 3" xfId="5972" xr:uid="{00000000-0005-0000-0000-00006E650000}"/>
    <cellStyle name="Normal 12 2 2 2 3 4" xfId="5973" xr:uid="{00000000-0005-0000-0000-00006F650000}"/>
    <cellStyle name="Normal 12 2 2 2 3 5" xfId="5974" xr:uid="{00000000-0005-0000-0000-000070650000}"/>
    <cellStyle name="Normal 12 2 2 2 3 6" xfId="34875" xr:uid="{00000000-0005-0000-0000-000071650000}"/>
    <cellStyle name="Normal 12 2 2 2 4" xfId="5975" xr:uid="{00000000-0005-0000-0000-000072650000}"/>
    <cellStyle name="Normal 12 2 2 2 4 2" xfId="5976" xr:uid="{00000000-0005-0000-0000-000073650000}"/>
    <cellStyle name="Normal 12 2 2 2 4 3" xfId="5977" xr:uid="{00000000-0005-0000-0000-000074650000}"/>
    <cellStyle name="Normal 12 2 2 2 5" xfId="5978" xr:uid="{00000000-0005-0000-0000-000075650000}"/>
    <cellStyle name="Normal 12 2 2 2 5 2" xfId="5979" xr:uid="{00000000-0005-0000-0000-000076650000}"/>
    <cellStyle name="Normal 12 2 2 2 5 3" xfId="5980" xr:uid="{00000000-0005-0000-0000-000077650000}"/>
    <cellStyle name="Normal 12 2 2 2 6" xfId="5981" xr:uid="{00000000-0005-0000-0000-000078650000}"/>
    <cellStyle name="Normal 12 2 2 2 7" xfId="5982" xr:uid="{00000000-0005-0000-0000-000079650000}"/>
    <cellStyle name="Normal 12 2 2 3" xfId="5983" xr:uid="{00000000-0005-0000-0000-00007A650000}"/>
    <cellStyle name="Normal 12 2 2 3 2" xfId="5984" xr:uid="{00000000-0005-0000-0000-00007B650000}"/>
    <cellStyle name="Normal 12 2 2 3 2 2" xfId="5985" xr:uid="{00000000-0005-0000-0000-00007C650000}"/>
    <cellStyle name="Normal 12 2 2 3 2 2 2" xfId="5986" xr:uid="{00000000-0005-0000-0000-00007D650000}"/>
    <cellStyle name="Normal 12 2 2 3 2 2 3" xfId="5987" xr:uid="{00000000-0005-0000-0000-00007E650000}"/>
    <cellStyle name="Normal 12 2 2 3 2 3" xfId="5988" xr:uid="{00000000-0005-0000-0000-00007F650000}"/>
    <cellStyle name="Normal 12 2 2 3 2 3 2" xfId="5989" xr:uid="{00000000-0005-0000-0000-000080650000}"/>
    <cellStyle name="Normal 12 2 2 3 2 3 3" xfId="5990" xr:uid="{00000000-0005-0000-0000-000081650000}"/>
    <cellStyle name="Normal 12 2 2 3 2 4" xfId="5991" xr:uid="{00000000-0005-0000-0000-000082650000}"/>
    <cellStyle name="Normal 12 2 2 3 2 5" xfId="5992" xr:uid="{00000000-0005-0000-0000-000083650000}"/>
    <cellStyle name="Normal 12 2 2 3 3" xfId="5993" xr:uid="{00000000-0005-0000-0000-000084650000}"/>
    <cellStyle name="Normal 12 2 2 3 3 2" xfId="5994" xr:uid="{00000000-0005-0000-0000-000085650000}"/>
    <cellStyle name="Normal 12 2 2 3 3 3" xfId="5995" xr:uid="{00000000-0005-0000-0000-000086650000}"/>
    <cellStyle name="Normal 12 2 2 3 4" xfId="5996" xr:uid="{00000000-0005-0000-0000-000087650000}"/>
    <cellStyle name="Normal 12 2 2 3 4 2" xfId="5997" xr:uid="{00000000-0005-0000-0000-000088650000}"/>
    <cellStyle name="Normal 12 2 2 3 4 3" xfId="5998" xr:uid="{00000000-0005-0000-0000-000089650000}"/>
    <cellStyle name="Normal 12 2 2 3 5" xfId="5999" xr:uid="{00000000-0005-0000-0000-00008A650000}"/>
    <cellStyle name="Normal 12 2 2 3 6" xfId="6000" xr:uid="{00000000-0005-0000-0000-00008B650000}"/>
    <cellStyle name="Normal 12 2 2 4" xfId="6001" xr:uid="{00000000-0005-0000-0000-00008C650000}"/>
    <cellStyle name="Normal 12 2 2 4 2" xfId="6002" xr:uid="{00000000-0005-0000-0000-00008D650000}"/>
    <cellStyle name="Normal 12 2 2 4 2 2" xfId="6003" xr:uid="{00000000-0005-0000-0000-00008E650000}"/>
    <cellStyle name="Normal 12 2 2 4 2 3" xfId="6004" xr:uid="{00000000-0005-0000-0000-00008F650000}"/>
    <cellStyle name="Normal 12 2 2 4 3" xfId="6005" xr:uid="{00000000-0005-0000-0000-000090650000}"/>
    <cellStyle name="Normal 12 2 2 4 3 2" xfId="6006" xr:uid="{00000000-0005-0000-0000-000091650000}"/>
    <cellStyle name="Normal 12 2 2 4 3 3" xfId="6007" xr:uid="{00000000-0005-0000-0000-000092650000}"/>
    <cellStyle name="Normal 12 2 2 4 4" xfId="6008" xr:uid="{00000000-0005-0000-0000-000093650000}"/>
    <cellStyle name="Normal 12 2 2 4 5" xfId="6009" xr:uid="{00000000-0005-0000-0000-000094650000}"/>
    <cellStyle name="Normal 12 2 2 5" xfId="6010" xr:uid="{00000000-0005-0000-0000-000095650000}"/>
    <cellStyle name="Normal 12 2 2 5 2" xfId="6011" xr:uid="{00000000-0005-0000-0000-000096650000}"/>
    <cellStyle name="Normal 12 2 2 5 3" xfId="6012" xr:uid="{00000000-0005-0000-0000-000097650000}"/>
    <cellStyle name="Normal 12 2 2 6" xfId="6013" xr:uid="{00000000-0005-0000-0000-000098650000}"/>
    <cellStyle name="Normal 12 2 2 6 2" xfId="6014" xr:uid="{00000000-0005-0000-0000-000099650000}"/>
    <cellStyle name="Normal 12 2 2 6 3" xfId="6015" xr:uid="{00000000-0005-0000-0000-00009A650000}"/>
    <cellStyle name="Normal 12 2 2 7" xfId="6016" xr:uid="{00000000-0005-0000-0000-00009B650000}"/>
    <cellStyle name="Normal 12 2 2 8" xfId="6017" xr:uid="{00000000-0005-0000-0000-00009C650000}"/>
    <cellStyle name="Normal 12 2 3" xfId="6018" xr:uid="{00000000-0005-0000-0000-00009D650000}"/>
    <cellStyle name="Normal 12 2 3 2" xfId="6019" xr:uid="{00000000-0005-0000-0000-00009E650000}"/>
    <cellStyle name="Normal 12 2 3 2 2" xfId="6020" xr:uid="{00000000-0005-0000-0000-00009F650000}"/>
    <cellStyle name="Normal 12 2 3 2 2 2" xfId="6021" xr:uid="{00000000-0005-0000-0000-0000A0650000}"/>
    <cellStyle name="Normal 12 2 3 2 2 2 2" xfId="6022" xr:uid="{00000000-0005-0000-0000-0000A1650000}"/>
    <cellStyle name="Normal 12 2 3 2 2 2 3" xfId="6023" xr:uid="{00000000-0005-0000-0000-0000A2650000}"/>
    <cellStyle name="Normal 12 2 3 2 2 3" xfId="6024" xr:uid="{00000000-0005-0000-0000-0000A3650000}"/>
    <cellStyle name="Normal 12 2 3 2 2 3 2" xfId="6025" xr:uid="{00000000-0005-0000-0000-0000A4650000}"/>
    <cellStyle name="Normal 12 2 3 2 2 3 3" xfId="6026" xr:uid="{00000000-0005-0000-0000-0000A5650000}"/>
    <cellStyle name="Normal 12 2 3 2 2 4" xfId="6027" xr:uid="{00000000-0005-0000-0000-0000A6650000}"/>
    <cellStyle name="Normal 12 2 3 2 2 5" xfId="6028" xr:uid="{00000000-0005-0000-0000-0000A7650000}"/>
    <cellStyle name="Normal 12 2 3 2 3" xfId="6029" xr:uid="{00000000-0005-0000-0000-0000A8650000}"/>
    <cellStyle name="Normal 12 2 3 2 3 2" xfId="6030" xr:uid="{00000000-0005-0000-0000-0000A9650000}"/>
    <cellStyle name="Normal 12 2 3 2 3 3" xfId="6031" xr:uid="{00000000-0005-0000-0000-0000AA650000}"/>
    <cellStyle name="Normal 12 2 3 2 4" xfId="6032" xr:uid="{00000000-0005-0000-0000-0000AB650000}"/>
    <cellStyle name="Normal 12 2 3 2 4 2" xfId="6033" xr:uid="{00000000-0005-0000-0000-0000AC650000}"/>
    <cellStyle name="Normal 12 2 3 2 4 3" xfId="6034" xr:uid="{00000000-0005-0000-0000-0000AD650000}"/>
    <cellStyle name="Normal 12 2 3 2 5" xfId="6035" xr:uid="{00000000-0005-0000-0000-0000AE650000}"/>
    <cellStyle name="Normal 12 2 3 2 6" xfId="6036" xr:uid="{00000000-0005-0000-0000-0000AF650000}"/>
    <cellStyle name="Normal 12 2 3 3" xfId="6037" xr:uid="{00000000-0005-0000-0000-0000B0650000}"/>
    <cellStyle name="Normal 12 2 3 3 2" xfId="6038" xr:uid="{00000000-0005-0000-0000-0000B1650000}"/>
    <cellStyle name="Normal 12 2 3 3 2 2" xfId="6039" xr:uid="{00000000-0005-0000-0000-0000B2650000}"/>
    <cellStyle name="Normal 12 2 3 3 2 3" xfId="6040" xr:uid="{00000000-0005-0000-0000-0000B3650000}"/>
    <cellStyle name="Normal 12 2 3 3 3" xfId="6041" xr:uid="{00000000-0005-0000-0000-0000B4650000}"/>
    <cellStyle name="Normal 12 2 3 3 3 2" xfId="6042" xr:uid="{00000000-0005-0000-0000-0000B5650000}"/>
    <cellStyle name="Normal 12 2 3 3 3 3" xfId="6043" xr:uid="{00000000-0005-0000-0000-0000B6650000}"/>
    <cellStyle name="Normal 12 2 3 3 4" xfId="6044" xr:uid="{00000000-0005-0000-0000-0000B7650000}"/>
    <cellStyle name="Normal 12 2 3 3 5" xfId="6045" xr:uid="{00000000-0005-0000-0000-0000B8650000}"/>
    <cellStyle name="Normal 12 2 3 4" xfId="6046" xr:uid="{00000000-0005-0000-0000-0000B9650000}"/>
    <cellStyle name="Normal 12 2 3 4 2" xfId="6047" xr:uid="{00000000-0005-0000-0000-0000BA650000}"/>
    <cellStyle name="Normal 12 2 3 4 3" xfId="6048" xr:uid="{00000000-0005-0000-0000-0000BB650000}"/>
    <cellStyle name="Normal 12 2 3 5" xfId="6049" xr:uid="{00000000-0005-0000-0000-0000BC650000}"/>
    <cellStyle name="Normal 12 2 3 5 2" xfId="6050" xr:uid="{00000000-0005-0000-0000-0000BD650000}"/>
    <cellStyle name="Normal 12 2 3 5 3" xfId="6051" xr:uid="{00000000-0005-0000-0000-0000BE650000}"/>
    <cellStyle name="Normal 12 2 3 6" xfId="6052" xr:uid="{00000000-0005-0000-0000-0000BF650000}"/>
    <cellStyle name="Normal 12 2 3 7" xfId="6053" xr:uid="{00000000-0005-0000-0000-0000C0650000}"/>
    <cellStyle name="Normal 12 2 4" xfId="6054" xr:uid="{00000000-0005-0000-0000-0000C1650000}"/>
    <cellStyle name="Normal 12 2 4 2" xfId="6055" xr:uid="{00000000-0005-0000-0000-0000C2650000}"/>
    <cellStyle name="Normal 12 2 4 2 2" xfId="6056" xr:uid="{00000000-0005-0000-0000-0000C3650000}"/>
    <cellStyle name="Normal 12 2 4 2 2 2" xfId="6057" xr:uid="{00000000-0005-0000-0000-0000C4650000}"/>
    <cellStyle name="Normal 12 2 4 2 2 3" xfId="6058" xr:uid="{00000000-0005-0000-0000-0000C5650000}"/>
    <cellStyle name="Normal 12 2 4 2 3" xfId="6059" xr:uid="{00000000-0005-0000-0000-0000C6650000}"/>
    <cellStyle name="Normal 12 2 4 2 3 2" xfId="6060" xr:uid="{00000000-0005-0000-0000-0000C7650000}"/>
    <cellStyle name="Normal 12 2 4 2 3 3" xfId="6061" xr:uid="{00000000-0005-0000-0000-0000C8650000}"/>
    <cellStyle name="Normal 12 2 4 2 4" xfId="6062" xr:uid="{00000000-0005-0000-0000-0000C9650000}"/>
    <cellStyle name="Normal 12 2 4 2 5" xfId="6063" xr:uid="{00000000-0005-0000-0000-0000CA650000}"/>
    <cellStyle name="Normal 12 2 4 3" xfId="6064" xr:uid="{00000000-0005-0000-0000-0000CB650000}"/>
    <cellStyle name="Normal 12 2 4 3 2" xfId="6065" xr:uid="{00000000-0005-0000-0000-0000CC650000}"/>
    <cellStyle name="Normal 12 2 4 3 3" xfId="6066" xr:uid="{00000000-0005-0000-0000-0000CD650000}"/>
    <cellStyle name="Normal 12 2 4 4" xfId="6067" xr:uid="{00000000-0005-0000-0000-0000CE650000}"/>
    <cellStyle name="Normal 12 2 4 4 2" xfId="6068" xr:uid="{00000000-0005-0000-0000-0000CF650000}"/>
    <cellStyle name="Normal 12 2 4 4 3" xfId="6069" xr:uid="{00000000-0005-0000-0000-0000D0650000}"/>
    <cellStyle name="Normal 12 2 4 5" xfId="6070" xr:uid="{00000000-0005-0000-0000-0000D1650000}"/>
    <cellStyle name="Normal 12 2 4 6" xfId="6071" xr:uid="{00000000-0005-0000-0000-0000D2650000}"/>
    <cellStyle name="Normal 12 2 5" xfId="6072" xr:uid="{00000000-0005-0000-0000-0000D3650000}"/>
    <cellStyle name="Normal 12 2 5 2" xfId="6073" xr:uid="{00000000-0005-0000-0000-0000D4650000}"/>
    <cellStyle name="Normal 12 2 5 2 2" xfId="6074" xr:uid="{00000000-0005-0000-0000-0000D5650000}"/>
    <cellStyle name="Normal 12 2 5 2 3" xfId="6075" xr:uid="{00000000-0005-0000-0000-0000D6650000}"/>
    <cellStyle name="Normal 12 2 5 3" xfId="6076" xr:uid="{00000000-0005-0000-0000-0000D7650000}"/>
    <cellStyle name="Normal 12 2 5 3 2" xfId="6077" xr:uid="{00000000-0005-0000-0000-0000D8650000}"/>
    <cellStyle name="Normal 12 2 5 3 3" xfId="6078" xr:uid="{00000000-0005-0000-0000-0000D9650000}"/>
    <cellStyle name="Normal 12 2 5 4" xfId="6079" xr:uid="{00000000-0005-0000-0000-0000DA650000}"/>
    <cellStyle name="Normal 12 2 5 5" xfId="6080" xr:uid="{00000000-0005-0000-0000-0000DB650000}"/>
    <cellStyle name="Normal 12 2 6" xfId="6081" xr:uid="{00000000-0005-0000-0000-0000DC650000}"/>
    <cellStyle name="Normal 12 2 6 2" xfId="6082" xr:uid="{00000000-0005-0000-0000-0000DD650000}"/>
    <cellStyle name="Normal 12 2 6 3" xfId="6083" xr:uid="{00000000-0005-0000-0000-0000DE650000}"/>
    <cellStyle name="Normal 12 2 7" xfId="6084" xr:uid="{00000000-0005-0000-0000-0000DF650000}"/>
    <cellStyle name="Normal 12 2 7 2" xfId="6085" xr:uid="{00000000-0005-0000-0000-0000E0650000}"/>
    <cellStyle name="Normal 12 2 7 3" xfId="6086" xr:uid="{00000000-0005-0000-0000-0000E1650000}"/>
    <cellStyle name="Normal 12 2 8" xfId="6087" xr:uid="{00000000-0005-0000-0000-0000E2650000}"/>
    <cellStyle name="Normal 12 2 9" xfId="6088" xr:uid="{00000000-0005-0000-0000-0000E3650000}"/>
    <cellStyle name="Normal 12 3" xfId="6089" xr:uid="{00000000-0005-0000-0000-0000E4650000}"/>
    <cellStyle name="Normal 12 3 2" xfId="6090" xr:uid="{00000000-0005-0000-0000-0000E5650000}"/>
    <cellStyle name="Normal 12 3 2 2" xfId="6091" xr:uid="{00000000-0005-0000-0000-0000E6650000}"/>
    <cellStyle name="Normal 12 3 2 2 2" xfId="6092" xr:uid="{00000000-0005-0000-0000-0000E7650000}"/>
    <cellStyle name="Normal 12 3 2 2 2 2" xfId="6093" xr:uid="{00000000-0005-0000-0000-0000E8650000}"/>
    <cellStyle name="Normal 12 3 2 2 2 2 2" xfId="6094" xr:uid="{00000000-0005-0000-0000-0000E9650000}"/>
    <cellStyle name="Normal 12 3 2 2 2 2 3" xfId="6095" xr:uid="{00000000-0005-0000-0000-0000EA650000}"/>
    <cellStyle name="Normal 12 3 2 2 2 3" xfId="6096" xr:uid="{00000000-0005-0000-0000-0000EB650000}"/>
    <cellStyle name="Normal 12 3 2 2 2 3 2" xfId="6097" xr:uid="{00000000-0005-0000-0000-0000EC650000}"/>
    <cellStyle name="Normal 12 3 2 2 2 3 3" xfId="6098" xr:uid="{00000000-0005-0000-0000-0000ED650000}"/>
    <cellStyle name="Normal 12 3 2 2 2 4" xfId="6099" xr:uid="{00000000-0005-0000-0000-0000EE650000}"/>
    <cellStyle name="Normal 12 3 2 2 2 5" xfId="6100" xr:uid="{00000000-0005-0000-0000-0000EF650000}"/>
    <cellStyle name="Normal 12 3 2 2 3" xfId="6101" xr:uid="{00000000-0005-0000-0000-0000F0650000}"/>
    <cellStyle name="Normal 12 3 2 2 3 2" xfId="6102" xr:uid="{00000000-0005-0000-0000-0000F1650000}"/>
    <cellStyle name="Normal 12 3 2 2 3 3" xfId="6103" xr:uid="{00000000-0005-0000-0000-0000F2650000}"/>
    <cellStyle name="Normal 12 3 2 2 4" xfId="6104" xr:uid="{00000000-0005-0000-0000-0000F3650000}"/>
    <cellStyle name="Normal 12 3 2 2 4 2" xfId="6105" xr:uid="{00000000-0005-0000-0000-0000F4650000}"/>
    <cellStyle name="Normal 12 3 2 2 4 3" xfId="6106" xr:uid="{00000000-0005-0000-0000-0000F5650000}"/>
    <cellStyle name="Normal 12 3 2 2 5" xfId="6107" xr:uid="{00000000-0005-0000-0000-0000F6650000}"/>
    <cellStyle name="Normal 12 3 2 2 6" xfId="6108" xr:uid="{00000000-0005-0000-0000-0000F7650000}"/>
    <cellStyle name="Normal 12 3 2 3" xfId="6109" xr:uid="{00000000-0005-0000-0000-0000F8650000}"/>
    <cellStyle name="Normal 12 3 2 3 2" xfId="6110" xr:uid="{00000000-0005-0000-0000-0000F9650000}"/>
    <cellStyle name="Normal 12 3 2 3 2 2" xfId="6111" xr:uid="{00000000-0005-0000-0000-0000FA650000}"/>
    <cellStyle name="Normal 12 3 2 3 2 3" xfId="6112" xr:uid="{00000000-0005-0000-0000-0000FB650000}"/>
    <cellStyle name="Normal 12 3 2 3 3" xfId="6113" xr:uid="{00000000-0005-0000-0000-0000FC650000}"/>
    <cellStyle name="Normal 12 3 2 3 3 2" xfId="6114" xr:uid="{00000000-0005-0000-0000-0000FD650000}"/>
    <cellStyle name="Normal 12 3 2 3 3 3" xfId="6115" xr:uid="{00000000-0005-0000-0000-0000FE650000}"/>
    <cellStyle name="Normal 12 3 2 3 4" xfId="6116" xr:uid="{00000000-0005-0000-0000-0000FF650000}"/>
    <cellStyle name="Normal 12 3 2 3 5" xfId="6117" xr:uid="{00000000-0005-0000-0000-000000660000}"/>
    <cellStyle name="Normal 12 3 2 4" xfId="6118" xr:uid="{00000000-0005-0000-0000-000001660000}"/>
    <cellStyle name="Normal 12 3 2 4 2" xfId="6119" xr:uid="{00000000-0005-0000-0000-000002660000}"/>
    <cellStyle name="Normal 12 3 2 4 3" xfId="6120" xr:uid="{00000000-0005-0000-0000-000003660000}"/>
    <cellStyle name="Normal 12 3 2 5" xfId="6121" xr:uid="{00000000-0005-0000-0000-000004660000}"/>
    <cellStyle name="Normal 12 3 2 5 2" xfId="6122" xr:uid="{00000000-0005-0000-0000-000005660000}"/>
    <cellStyle name="Normal 12 3 2 5 3" xfId="6123" xr:uid="{00000000-0005-0000-0000-000006660000}"/>
    <cellStyle name="Normal 12 3 2 6" xfId="6124" xr:uid="{00000000-0005-0000-0000-000007660000}"/>
    <cellStyle name="Normal 12 3 2 7" xfId="6125" xr:uid="{00000000-0005-0000-0000-000008660000}"/>
    <cellStyle name="Normal 12 3 3" xfId="6126" xr:uid="{00000000-0005-0000-0000-000009660000}"/>
    <cellStyle name="Normal 12 3 3 2" xfId="6127" xr:uid="{00000000-0005-0000-0000-00000A660000}"/>
    <cellStyle name="Normal 12 3 3 2 2" xfId="6128" xr:uid="{00000000-0005-0000-0000-00000B660000}"/>
    <cellStyle name="Normal 12 3 3 2 2 2" xfId="6129" xr:uid="{00000000-0005-0000-0000-00000C660000}"/>
    <cellStyle name="Normal 12 3 3 2 2 3" xfId="6130" xr:uid="{00000000-0005-0000-0000-00000D660000}"/>
    <cellStyle name="Normal 12 3 3 2 3" xfId="6131" xr:uid="{00000000-0005-0000-0000-00000E660000}"/>
    <cellStyle name="Normal 12 3 3 2 3 2" xfId="6132" xr:uid="{00000000-0005-0000-0000-00000F660000}"/>
    <cellStyle name="Normal 12 3 3 2 3 3" xfId="6133" xr:uid="{00000000-0005-0000-0000-000010660000}"/>
    <cellStyle name="Normal 12 3 3 2 4" xfId="6134" xr:uid="{00000000-0005-0000-0000-000011660000}"/>
    <cellStyle name="Normal 12 3 3 2 5" xfId="6135" xr:uid="{00000000-0005-0000-0000-000012660000}"/>
    <cellStyle name="Normal 12 3 3 3" xfId="6136" xr:uid="{00000000-0005-0000-0000-000013660000}"/>
    <cellStyle name="Normal 12 3 3 3 2" xfId="6137" xr:uid="{00000000-0005-0000-0000-000014660000}"/>
    <cellStyle name="Normal 12 3 3 3 3" xfId="6138" xr:uid="{00000000-0005-0000-0000-000015660000}"/>
    <cellStyle name="Normal 12 3 3 4" xfId="6139" xr:uid="{00000000-0005-0000-0000-000016660000}"/>
    <cellStyle name="Normal 12 3 3 4 2" xfId="6140" xr:uid="{00000000-0005-0000-0000-000017660000}"/>
    <cellStyle name="Normal 12 3 3 4 3" xfId="6141" xr:uid="{00000000-0005-0000-0000-000018660000}"/>
    <cellStyle name="Normal 12 3 3 5" xfId="6142" xr:uid="{00000000-0005-0000-0000-000019660000}"/>
    <cellStyle name="Normal 12 3 3 6" xfId="6143" xr:uid="{00000000-0005-0000-0000-00001A660000}"/>
    <cellStyle name="Normal 12 3 4" xfId="6144" xr:uid="{00000000-0005-0000-0000-00001B660000}"/>
    <cellStyle name="Normal 12 3 4 2" xfId="6145" xr:uid="{00000000-0005-0000-0000-00001C660000}"/>
    <cellStyle name="Normal 12 3 4 2 2" xfId="6146" xr:uid="{00000000-0005-0000-0000-00001D660000}"/>
    <cellStyle name="Normal 12 3 4 2 3" xfId="6147" xr:uid="{00000000-0005-0000-0000-00001E660000}"/>
    <cellStyle name="Normal 12 3 4 3" xfId="6148" xr:uid="{00000000-0005-0000-0000-00001F660000}"/>
    <cellStyle name="Normal 12 3 4 3 2" xfId="6149" xr:uid="{00000000-0005-0000-0000-000020660000}"/>
    <cellStyle name="Normal 12 3 4 3 3" xfId="6150" xr:uid="{00000000-0005-0000-0000-000021660000}"/>
    <cellStyle name="Normal 12 3 4 4" xfId="6151" xr:uid="{00000000-0005-0000-0000-000022660000}"/>
    <cellStyle name="Normal 12 3 4 5" xfId="6152" xr:uid="{00000000-0005-0000-0000-000023660000}"/>
    <cellStyle name="Normal 12 3 5" xfId="6153" xr:uid="{00000000-0005-0000-0000-000024660000}"/>
    <cellStyle name="Normal 12 3 5 2" xfId="6154" xr:uid="{00000000-0005-0000-0000-000025660000}"/>
    <cellStyle name="Normal 12 3 5 3" xfId="6155" xr:uid="{00000000-0005-0000-0000-000026660000}"/>
    <cellStyle name="Normal 12 3 6" xfId="6156" xr:uid="{00000000-0005-0000-0000-000027660000}"/>
    <cellStyle name="Normal 12 3 6 2" xfId="6157" xr:uid="{00000000-0005-0000-0000-000028660000}"/>
    <cellStyle name="Normal 12 3 6 3" xfId="6158" xr:uid="{00000000-0005-0000-0000-000029660000}"/>
    <cellStyle name="Normal 12 3 7" xfId="6159" xr:uid="{00000000-0005-0000-0000-00002A660000}"/>
    <cellStyle name="Normal 12 3 8" xfId="6160" xr:uid="{00000000-0005-0000-0000-00002B660000}"/>
    <cellStyle name="Normal 12 4" xfId="6161" xr:uid="{00000000-0005-0000-0000-00002C660000}"/>
    <cellStyle name="Normal 12 4 2" xfId="6162" xr:uid="{00000000-0005-0000-0000-00002D660000}"/>
    <cellStyle name="Normal 12 4 2 2" xfId="6163" xr:uid="{00000000-0005-0000-0000-00002E660000}"/>
    <cellStyle name="Normal 12 4 2 2 2" xfId="6164" xr:uid="{00000000-0005-0000-0000-00002F660000}"/>
    <cellStyle name="Normal 12 4 2 2 2 2" xfId="6165" xr:uid="{00000000-0005-0000-0000-000030660000}"/>
    <cellStyle name="Normal 12 4 2 2 2 2 2" xfId="6166" xr:uid="{00000000-0005-0000-0000-000031660000}"/>
    <cellStyle name="Normal 12 4 2 2 2 2 3" xfId="6167" xr:uid="{00000000-0005-0000-0000-000032660000}"/>
    <cellStyle name="Normal 12 4 2 2 2 3" xfId="6168" xr:uid="{00000000-0005-0000-0000-000033660000}"/>
    <cellStyle name="Normal 12 4 2 2 2 3 2" xfId="6169" xr:uid="{00000000-0005-0000-0000-000034660000}"/>
    <cellStyle name="Normal 12 4 2 2 2 3 3" xfId="6170" xr:uid="{00000000-0005-0000-0000-000035660000}"/>
    <cellStyle name="Normal 12 4 2 2 2 4" xfId="6171" xr:uid="{00000000-0005-0000-0000-000036660000}"/>
    <cellStyle name="Normal 12 4 2 2 2 5" xfId="6172" xr:uid="{00000000-0005-0000-0000-000037660000}"/>
    <cellStyle name="Normal 12 4 2 2 3" xfId="6173" xr:uid="{00000000-0005-0000-0000-000038660000}"/>
    <cellStyle name="Normal 12 4 2 2 3 2" xfId="6174" xr:uid="{00000000-0005-0000-0000-000039660000}"/>
    <cellStyle name="Normal 12 4 2 2 3 3" xfId="6175" xr:uid="{00000000-0005-0000-0000-00003A660000}"/>
    <cellStyle name="Normal 12 4 2 2 4" xfId="6176" xr:uid="{00000000-0005-0000-0000-00003B660000}"/>
    <cellStyle name="Normal 12 4 2 2 4 2" xfId="6177" xr:uid="{00000000-0005-0000-0000-00003C660000}"/>
    <cellStyle name="Normal 12 4 2 2 4 3" xfId="6178" xr:uid="{00000000-0005-0000-0000-00003D660000}"/>
    <cellStyle name="Normal 12 4 2 2 5" xfId="6179" xr:uid="{00000000-0005-0000-0000-00003E660000}"/>
    <cellStyle name="Normal 12 4 2 2 6" xfId="6180" xr:uid="{00000000-0005-0000-0000-00003F660000}"/>
    <cellStyle name="Normal 12 4 2 3" xfId="6181" xr:uid="{00000000-0005-0000-0000-000040660000}"/>
    <cellStyle name="Normal 12 4 2 3 2" xfId="6182" xr:uid="{00000000-0005-0000-0000-000041660000}"/>
    <cellStyle name="Normal 12 4 2 3 2 2" xfId="6183" xr:uid="{00000000-0005-0000-0000-000042660000}"/>
    <cellStyle name="Normal 12 4 2 3 2 3" xfId="6184" xr:uid="{00000000-0005-0000-0000-000043660000}"/>
    <cellStyle name="Normal 12 4 2 3 3" xfId="6185" xr:uid="{00000000-0005-0000-0000-000044660000}"/>
    <cellStyle name="Normal 12 4 2 3 3 2" xfId="6186" xr:uid="{00000000-0005-0000-0000-000045660000}"/>
    <cellStyle name="Normal 12 4 2 3 3 3" xfId="6187" xr:uid="{00000000-0005-0000-0000-000046660000}"/>
    <cellStyle name="Normal 12 4 2 3 4" xfId="6188" xr:uid="{00000000-0005-0000-0000-000047660000}"/>
    <cellStyle name="Normal 12 4 2 3 5" xfId="6189" xr:uid="{00000000-0005-0000-0000-000048660000}"/>
    <cellStyle name="Normal 12 4 2 4" xfId="6190" xr:uid="{00000000-0005-0000-0000-000049660000}"/>
    <cellStyle name="Normal 12 4 2 4 2" xfId="6191" xr:uid="{00000000-0005-0000-0000-00004A660000}"/>
    <cellStyle name="Normal 12 4 2 4 3" xfId="6192" xr:uid="{00000000-0005-0000-0000-00004B660000}"/>
    <cellStyle name="Normal 12 4 2 5" xfId="6193" xr:uid="{00000000-0005-0000-0000-00004C660000}"/>
    <cellStyle name="Normal 12 4 2 5 2" xfId="6194" xr:uid="{00000000-0005-0000-0000-00004D660000}"/>
    <cellStyle name="Normal 12 4 2 5 3" xfId="6195" xr:uid="{00000000-0005-0000-0000-00004E660000}"/>
    <cellStyle name="Normal 12 4 2 6" xfId="6196" xr:uid="{00000000-0005-0000-0000-00004F660000}"/>
    <cellStyle name="Normal 12 4 2 7" xfId="6197" xr:uid="{00000000-0005-0000-0000-000050660000}"/>
    <cellStyle name="Normal 12 4 3" xfId="6198" xr:uid="{00000000-0005-0000-0000-000051660000}"/>
    <cellStyle name="Normal 12 4 3 2" xfId="6199" xr:uid="{00000000-0005-0000-0000-000052660000}"/>
    <cellStyle name="Normal 12 4 3 2 2" xfId="6200" xr:uid="{00000000-0005-0000-0000-000053660000}"/>
    <cellStyle name="Normal 12 4 3 2 2 2" xfId="6201" xr:uid="{00000000-0005-0000-0000-000054660000}"/>
    <cellStyle name="Normal 12 4 3 2 2 3" xfId="6202" xr:uid="{00000000-0005-0000-0000-000055660000}"/>
    <cellStyle name="Normal 12 4 3 2 3" xfId="6203" xr:uid="{00000000-0005-0000-0000-000056660000}"/>
    <cellStyle name="Normal 12 4 3 2 3 2" xfId="6204" xr:uid="{00000000-0005-0000-0000-000057660000}"/>
    <cellStyle name="Normal 12 4 3 2 3 3" xfId="6205" xr:uid="{00000000-0005-0000-0000-000058660000}"/>
    <cellStyle name="Normal 12 4 3 2 4" xfId="6206" xr:uid="{00000000-0005-0000-0000-000059660000}"/>
    <cellStyle name="Normal 12 4 3 2 5" xfId="6207" xr:uid="{00000000-0005-0000-0000-00005A660000}"/>
    <cellStyle name="Normal 12 4 3 3" xfId="6208" xr:uid="{00000000-0005-0000-0000-00005B660000}"/>
    <cellStyle name="Normal 12 4 3 3 2" xfId="6209" xr:uid="{00000000-0005-0000-0000-00005C660000}"/>
    <cellStyle name="Normal 12 4 3 3 3" xfId="6210" xr:uid="{00000000-0005-0000-0000-00005D660000}"/>
    <cellStyle name="Normal 12 4 3 4" xfId="6211" xr:uid="{00000000-0005-0000-0000-00005E660000}"/>
    <cellStyle name="Normal 12 4 3 4 2" xfId="6212" xr:uid="{00000000-0005-0000-0000-00005F660000}"/>
    <cellStyle name="Normal 12 4 3 4 3" xfId="6213" xr:uid="{00000000-0005-0000-0000-000060660000}"/>
    <cellStyle name="Normal 12 4 3 5" xfId="6214" xr:uid="{00000000-0005-0000-0000-000061660000}"/>
    <cellStyle name="Normal 12 4 3 6" xfId="6215" xr:uid="{00000000-0005-0000-0000-000062660000}"/>
    <cellStyle name="Normal 12 4 4" xfId="6216" xr:uid="{00000000-0005-0000-0000-000063660000}"/>
    <cellStyle name="Normal 12 4 4 2" xfId="6217" xr:uid="{00000000-0005-0000-0000-000064660000}"/>
    <cellStyle name="Normal 12 4 4 2 2" xfId="6218" xr:uid="{00000000-0005-0000-0000-000065660000}"/>
    <cellStyle name="Normal 12 4 4 2 3" xfId="6219" xr:uid="{00000000-0005-0000-0000-000066660000}"/>
    <cellStyle name="Normal 12 4 4 3" xfId="6220" xr:uid="{00000000-0005-0000-0000-000067660000}"/>
    <cellStyle name="Normal 12 4 4 3 2" xfId="6221" xr:uid="{00000000-0005-0000-0000-000068660000}"/>
    <cellStyle name="Normal 12 4 4 3 3" xfId="6222" xr:uid="{00000000-0005-0000-0000-000069660000}"/>
    <cellStyle name="Normal 12 4 4 4" xfId="6223" xr:uid="{00000000-0005-0000-0000-00006A660000}"/>
    <cellStyle name="Normal 12 4 4 5" xfId="6224" xr:uid="{00000000-0005-0000-0000-00006B660000}"/>
    <cellStyle name="Normal 12 4 5" xfId="6225" xr:uid="{00000000-0005-0000-0000-00006C660000}"/>
    <cellStyle name="Normal 12 4 5 2" xfId="6226" xr:uid="{00000000-0005-0000-0000-00006D660000}"/>
    <cellStyle name="Normal 12 4 5 3" xfId="6227" xr:uid="{00000000-0005-0000-0000-00006E660000}"/>
    <cellStyle name="Normal 12 4 6" xfId="6228" xr:uid="{00000000-0005-0000-0000-00006F660000}"/>
    <cellStyle name="Normal 12 4 6 2" xfId="6229" xr:uid="{00000000-0005-0000-0000-000070660000}"/>
    <cellStyle name="Normal 12 4 6 3" xfId="6230" xr:uid="{00000000-0005-0000-0000-000071660000}"/>
    <cellStyle name="Normal 12 4 7" xfId="6231" xr:uid="{00000000-0005-0000-0000-000072660000}"/>
    <cellStyle name="Normal 12 4 8" xfId="6232" xr:uid="{00000000-0005-0000-0000-000073660000}"/>
    <cellStyle name="Normal 12 5" xfId="6233" xr:uid="{00000000-0005-0000-0000-000074660000}"/>
    <cellStyle name="Normal 12 5 2" xfId="6234" xr:uid="{00000000-0005-0000-0000-000075660000}"/>
    <cellStyle name="Normal 12 5 2 2" xfId="6235" xr:uid="{00000000-0005-0000-0000-000076660000}"/>
    <cellStyle name="Normal 12 5 2 2 2" xfId="6236" xr:uid="{00000000-0005-0000-0000-000077660000}"/>
    <cellStyle name="Normal 12 5 2 2 2 2" xfId="6237" xr:uid="{00000000-0005-0000-0000-000078660000}"/>
    <cellStyle name="Normal 12 5 2 2 2 3" xfId="6238" xr:uid="{00000000-0005-0000-0000-000079660000}"/>
    <cellStyle name="Normal 12 5 2 2 3" xfId="6239" xr:uid="{00000000-0005-0000-0000-00007A660000}"/>
    <cellStyle name="Normal 12 5 2 2 3 2" xfId="6240" xr:uid="{00000000-0005-0000-0000-00007B660000}"/>
    <cellStyle name="Normal 12 5 2 2 3 3" xfId="6241" xr:uid="{00000000-0005-0000-0000-00007C660000}"/>
    <cellStyle name="Normal 12 5 2 2 4" xfId="6242" xr:uid="{00000000-0005-0000-0000-00007D660000}"/>
    <cellStyle name="Normal 12 5 2 2 5" xfId="6243" xr:uid="{00000000-0005-0000-0000-00007E660000}"/>
    <cellStyle name="Normal 12 5 2 3" xfId="6244" xr:uid="{00000000-0005-0000-0000-00007F660000}"/>
    <cellStyle name="Normal 12 5 2 3 2" xfId="6245" xr:uid="{00000000-0005-0000-0000-000080660000}"/>
    <cellStyle name="Normal 12 5 2 3 3" xfId="6246" xr:uid="{00000000-0005-0000-0000-000081660000}"/>
    <cellStyle name="Normal 12 5 2 4" xfId="6247" xr:uid="{00000000-0005-0000-0000-000082660000}"/>
    <cellStyle name="Normal 12 5 2 4 2" xfId="6248" xr:uid="{00000000-0005-0000-0000-000083660000}"/>
    <cellStyle name="Normal 12 5 2 4 3" xfId="6249" xr:uid="{00000000-0005-0000-0000-000084660000}"/>
    <cellStyle name="Normal 12 5 2 5" xfId="6250" xr:uid="{00000000-0005-0000-0000-000085660000}"/>
    <cellStyle name="Normal 12 5 2 6" xfId="6251" xr:uid="{00000000-0005-0000-0000-000086660000}"/>
    <cellStyle name="Normal 12 5 3" xfId="6252" xr:uid="{00000000-0005-0000-0000-000087660000}"/>
    <cellStyle name="Normal 12 5 3 2" xfId="6253" xr:uid="{00000000-0005-0000-0000-000088660000}"/>
    <cellStyle name="Normal 12 5 3 2 2" xfId="6254" xr:uid="{00000000-0005-0000-0000-000089660000}"/>
    <cellStyle name="Normal 12 5 3 2 3" xfId="6255" xr:uid="{00000000-0005-0000-0000-00008A660000}"/>
    <cellStyle name="Normal 12 5 3 3" xfId="6256" xr:uid="{00000000-0005-0000-0000-00008B660000}"/>
    <cellStyle name="Normal 12 5 3 3 2" xfId="6257" xr:uid="{00000000-0005-0000-0000-00008C660000}"/>
    <cellStyle name="Normal 12 5 3 3 3" xfId="6258" xr:uid="{00000000-0005-0000-0000-00008D660000}"/>
    <cellStyle name="Normal 12 5 3 4" xfId="6259" xr:uid="{00000000-0005-0000-0000-00008E660000}"/>
    <cellStyle name="Normal 12 5 3 5" xfId="6260" xr:uid="{00000000-0005-0000-0000-00008F660000}"/>
    <cellStyle name="Normal 12 5 4" xfId="6261" xr:uid="{00000000-0005-0000-0000-000090660000}"/>
    <cellStyle name="Normal 12 5 4 2" xfId="6262" xr:uid="{00000000-0005-0000-0000-000091660000}"/>
    <cellStyle name="Normal 12 5 4 3" xfId="6263" xr:uid="{00000000-0005-0000-0000-000092660000}"/>
    <cellStyle name="Normal 12 5 5" xfId="6264" xr:uid="{00000000-0005-0000-0000-000093660000}"/>
    <cellStyle name="Normal 12 5 5 2" xfId="6265" xr:uid="{00000000-0005-0000-0000-000094660000}"/>
    <cellStyle name="Normal 12 5 5 3" xfId="6266" xr:uid="{00000000-0005-0000-0000-000095660000}"/>
    <cellStyle name="Normal 12 5 6" xfId="6267" xr:uid="{00000000-0005-0000-0000-000096660000}"/>
    <cellStyle name="Normal 12 5 7" xfId="6268" xr:uid="{00000000-0005-0000-0000-000097660000}"/>
    <cellStyle name="Normal 12 6" xfId="6269" xr:uid="{00000000-0005-0000-0000-000098660000}"/>
    <cellStyle name="Normal 12 6 2" xfId="6270" xr:uid="{00000000-0005-0000-0000-000099660000}"/>
    <cellStyle name="Normal 12 6 2 2" xfId="6271" xr:uid="{00000000-0005-0000-0000-00009A660000}"/>
    <cellStyle name="Normal 12 6 2 2 2" xfId="6272" xr:uid="{00000000-0005-0000-0000-00009B660000}"/>
    <cellStyle name="Normal 12 6 2 2 3" xfId="6273" xr:uid="{00000000-0005-0000-0000-00009C660000}"/>
    <cellStyle name="Normal 12 6 2 3" xfId="6274" xr:uid="{00000000-0005-0000-0000-00009D660000}"/>
    <cellStyle name="Normal 12 6 2 3 2" xfId="6275" xr:uid="{00000000-0005-0000-0000-00009E660000}"/>
    <cellStyle name="Normal 12 6 2 3 3" xfId="6276" xr:uid="{00000000-0005-0000-0000-00009F660000}"/>
    <cellStyle name="Normal 12 6 2 4" xfId="6277" xr:uid="{00000000-0005-0000-0000-0000A0660000}"/>
    <cellStyle name="Normal 12 6 2 5" xfId="6278" xr:uid="{00000000-0005-0000-0000-0000A1660000}"/>
    <cellStyle name="Normal 12 6 3" xfId="6279" xr:uid="{00000000-0005-0000-0000-0000A2660000}"/>
    <cellStyle name="Normal 12 6 3 2" xfId="6280" xr:uid="{00000000-0005-0000-0000-0000A3660000}"/>
    <cellStyle name="Normal 12 6 3 3" xfId="6281" xr:uid="{00000000-0005-0000-0000-0000A4660000}"/>
    <cellStyle name="Normal 12 6 4" xfId="6282" xr:uid="{00000000-0005-0000-0000-0000A5660000}"/>
    <cellStyle name="Normal 12 6 4 2" xfId="6283" xr:uid="{00000000-0005-0000-0000-0000A6660000}"/>
    <cellStyle name="Normal 12 6 4 3" xfId="6284" xr:uid="{00000000-0005-0000-0000-0000A7660000}"/>
    <cellStyle name="Normal 12 6 5" xfId="6285" xr:uid="{00000000-0005-0000-0000-0000A8660000}"/>
    <cellStyle name="Normal 12 6 6" xfId="6286" xr:uid="{00000000-0005-0000-0000-0000A9660000}"/>
    <cellStyle name="Normal 12 7" xfId="6287" xr:uid="{00000000-0005-0000-0000-0000AA660000}"/>
    <cellStyle name="Normal 12 7 2" xfId="6288" xr:uid="{00000000-0005-0000-0000-0000AB660000}"/>
    <cellStyle name="Normal 12 7 2 2" xfId="6289" xr:uid="{00000000-0005-0000-0000-0000AC660000}"/>
    <cellStyle name="Normal 12 7 2 3" xfId="6290" xr:uid="{00000000-0005-0000-0000-0000AD660000}"/>
    <cellStyle name="Normal 12 7 3" xfId="6291" xr:uid="{00000000-0005-0000-0000-0000AE660000}"/>
    <cellStyle name="Normal 12 7 3 2" xfId="6292" xr:uid="{00000000-0005-0000-0000-0000AF660000}"/>
    <cellStyle name="Normal 12 7 3 3" xfId="6293" xr:uid="{00000000-0005-0000-0000-0000B0660000}"/>
    <cellStyle name="Normal 12 7 4" xfId="6294" xr:uid="{00000000-0005-0000-0000-0000B1660000}"/>
    <cellStyle name="Normal 12 7 5" xfId="6295" xr:uid="{00000000-0005-0000-0000-0000B2660000}"/>
    <cellStyle name="Normal 12 8" xfId="6296" xr:uid="{00000000-0005-0000-0000-0000B3660000}"/>
    <cellStyle name="Normal 12 8 2" xfId="6297" xr:uid="{00000000-0005-0000-0000-0000B4660000}"/>
    <cellStyle name="Normal 12 8 3" xfId="6298" xr:uid="{00000000-0005-0000-0000-0000B5660000}"/>
    <cellStyle name="Normal 12 9" xfId="6299" xr:uid="{00000000-0005-0000-0000-0000B6660000}"/>
    <cellStyle name="Normal 12 9 2" xfId="6300" xr:uid="{00000000-0005-0000-0000-0000B7660000}"/>
    <cellStyle name="Normal 12 9 3" xfId="6301" xr:uid="{00000000-0005-0000-0000-0000B8660000}"/>
    <cellStyle name="Normal 12_2180" xfId="6302" xr:uid="{00000000-0005-0000-0000-0000B9660000}"/>
    <cellStyle name="Normal 120" xfId="6303" xr:uid="{00000000-0005-0000-0000-0000BA660000}"/>
    <cellStyle name="Normal 121" xfId="6304" xr:uid="{00000000-0005-0000-0000-0000BB660000}"/>
    <cellStyle name="Normal 122" xfId="6305" xr:uid="{00000000-0005-0000-0000-0000BC660000}"/>
    <cellStyle name="Normal 123" xfId="6306" xr:uid="{00000000-0005-0000-0000-0000BD660000}"/>
    <cellStyle name="Normal 124" xfId="6307" xr:uid="{00000000-0005-0000-0000-0000BE660000}"/>
    <cellStyle name="Normal 125" xfId="6308" xr:uid="{00000000-0005-0000-0000-0000BF660000}"/>
    <cellStyle name="Normal 126" xfId="6309" xr:uid="{00000000-0005-0000-0000-0000C0660000}"/>
    <cellStyle name="Normal 127" xfId="6310" xr:uid="{00000000-0005-0000-0000-0000C1660000}"/>
    <cellStyle name="Normal 128" xfId="6311" xr:uid="{00000000-0005-0000-0000-0000C2660000}"/>
    <cellStyle name="Normal 128 2" xfId="6312" xr:uid="{00000000-0005-0000-0000-0000C3660000}"/>
    <cellStyle name="Normal 129" xfId="6313" xr:uid="{00000000-0005-0000-0000-0000C4660000}"/>
    <cellStyle name="Normal 13" xfId="159" xr:uid="{00000000-0005-0000-0000-0000C5660000}"/>
    <cellStyle name="Normal 13 10" xfId="6314" xr:uid="{00000000-0005-0000-0000-0000C6660000}"/>
    <cellStyle name="Normal 13 11" xfId="6315" xr:uid="{00000000-0005-0000-0000-0000C7660000}"/>
    <cellStyle name="Normal 13 2" xfId="340" xr:uid="{00000000-0005-0000-0000-0000C8660000}"/>
    <cellStyle name="Normal 13 2 2" xfId="6316" xr:uid="{00000000-0005-0000-0000-0000C9660000}"/>
    <cellStyle name="Normal 13 2 2 2" xfId="6317" xr:uid="{00000000-0005-0000-0000-0000CA660000}"/>
    <cellStyle name="Normal 13 2 2 2 2" xfId="6318" xr:uid="{00000000-0005-0000-0000-0000CB660000}"/>
    <cellStyle name="Normal 13 2 2 2 2 2" xfId="6319" xr:uid="{00000000-0005-0000-0000-0000CC660000}"/>
    <cellStyle name="Normal 13 2 2 2 2 2 2" xfId="6320" xr:uid="{00000000-0005-0000-0000-0000CD660000}"/>
    <cellStyle name="Normal 13 2 2 2 2 2 2 2" xfId="6321" xr:uid="{00000000-0005-0000-0000-0000CE660000}"/>
    <cellStyle name="Normal 13 2 2 2 2 2 2 3" xfId="6322" xr:uid="{00000000-0005-0000-0000-0000CF660000}"/>
    <cellStyle name="Normal 13 2 2 2 2 2 3" xfId="6323" xr:uid="{00000000-0005-0000-0000-0000D0660000}"/>
    <cellStyle name="Normal 13 2 2 2 2 2 3 2" xfId="6324" xr:uid="{00000000-0005-0000-0000-0000D1660000}"/>
    <cellStyle name="Normal 13 2 2 2 2 2 3 3" xfId="6325" xr:uid="{00000000-0005-0000-0000-0000D2660000}"/>
    <cellStyle name="Normal 13 2 2 2 2 2 4" xfId="6326" xr:uid="{00000000-0005-0000-0000-0000D3660000}"/>
    <cellStyle name="Normal 13 2 2 2 2 2 5" xfId="6327" xr:uid="{00000000-0005-0000-0000-0000D4660000}"/>
    <cellStyle name="Normal 13 2 2 2 2 3" xfId="6328" xr:uid="{00000000-0005-0000-0000-0000D5660000}"/>
    <cellStyle name="Normal 13 2 2 2 2 3 2" xfId="6329" xr:uid="{00000000-0005-0000-0000-0000D6660000}"/>
    <cellStyle name="Normal 13 2 2 2 2 3 3" xfId="6330" xr:uid="{00000000-0005-0000-0000-0000D7660000}"/>
    <cellStyle name="Normal 13 2 2 2 2 4" xfId="6331" xr:uid="{00000000-0005-0000-0000-0000D8660000}"/>
    <cellStyle name="Normal 13 2 2 2 2 4 2" xfId="6332" xr:uid="{00000000-0005-0000-0000-0000D9660000}"/>
    <cellStyle name="Normal 13 2 2 2 2 4 3" xfId="6333" xr:uid="{00000000-0005-0000-0000-0000DA660000}"/>
    <cellStyle name="Normal 13 2 2 2 2 5" xfId="6334" xr:uid="{00000000-0005-0000-0000-0000DB660000}"/>
    <cellStyle name="Normal 13 2 2 2 2 6" xfId="6335" xr:uid="{00000000-0005-0000-0000-0000DC660000}"/>
    <cellStyle name="Normal 13 2 2 2 3" xfId="6336" xr:uid="{00000000-0005-0000-0000-0000DD660000}"/>
    <cellStyle name="Normal 13 2 2 2 3 2" xfId="6337" xr:uid="{00000000-0005-0000-0000-0000DE660000}"/>
    <cellStyle name="Normal 13 2 2 2 3 2 2" xfId="6338" xr:uid="{00000000-0005-0000-0000-0000DF660000}"/>
    <cellStyle name="Normal 13 2 2 2 3 2 3" xfId="6339" xr:uid="{00000000-0005-0000-0000-0000E0660000}"/>
    <cellStyle name="Normal 13 2 2 2 3 3" xfId="6340" xr:uid="{00000000-0005-0000-0000-0000E1660000}"/>
    <cellStyle name="Normal 13 2 2 2 3 3 2" xfId="6341" xr:uid="{00000000-0005-0000-0000-0000E2660000}"/>
    <cellStyle name="Normal 13 2 2 2 3 3 3" xfId="6342" xr:uid="{00000000-0005-0000-0000-0000E3660000}"/>
    <cellStyle name="Normal 13 2 2 2 3 4" xfId="6343" xr:uid="{00000000-0005-0000-0000-0000E4660000}"/>
    <cellStyle name="Normal 13 2 2 2 3 5" xfId="6344" xr:uid="{00000000-0005-0000-0000-0000E5660000}"/>
    <cellStyle name="Normal 13 2 2 2 3 6" xfId="34880" xr:uid="{00000000-0005-0000-0000-0000E6660000}"/>
    <cellStyle name="Normal 13 2 2 2 4" xfId="6345" xr:uid="{00000000-0005-0000-0000-0000E7660000}"/>
    <cellStyle name="Normal 13 2 2 2 4 2" xfId="6346" xr:uid="{00000000-0005-0000-0000-0000E8660000}"/>
    <cellStyle name="Normal 13 2 2 2 4 3" xfId="6347" xr:uid="{00000000-0005-0000-0000-0000E9660000}"/>
    <cellStyle name="Normal 13 2 2 2 5" xfId="6348" xr:uid="{00000000-0005-0000-0000-0000EA660000}"/>
    <cellStyle name="Normal 13 2 2 2 5 2" xfId="6349" xr:uid="{00000000-0005-0000-0000-0000EB660000}"/>
    <cellStyle name="Normal 13 2 2 2 5 3" xfId="6350" xr:uid="{00000000-0005-0000-0000-0000EC660000}"/>
    <cellStyle name="Normal 13 2 2 2 6" xfId="6351" xr:uid="{00000000-0005-0000-0000-0000ED660000}"/>
    <cellStyle name="Normal 13 2 2 2 7" xfId="6352" xr:uid="{00000000-0005-0000-0000-0000EE660000}"/>
    <cellStyle name="Normal 13 2 2 3" xfId="6353" xr:uid="{00000000-0005-0000-0000-0000EF660000}"/>
    <cellStyle name="Normal 13 2 2 3 2" xfId="6354" xr:uid="{00000000-0005-0000-0000-0000F0660000}"/>
    <cellStyle name="Normal 13 2 2 3 2 2" xfId="6355" xr:uid="{00000000-0005-0000-0000-0000F1660000}"/>
    <cellStyle name="Normal 13 2 2 3 2 2 2" xfId="6356" xr:uid="{00000000-0005-0000-0000-0000F2660000}"/>
    <cellStyle name="Normal 13 2 2 3 2 2 3" xfId="6357" xr:uid="{00000000-0005-0000-0000-0000F3660000}"/>
    <cellStyle name="Normal 13 2 2 3 2 3" xfId="6358" xr:uid="{00000000-0005-0000-0000-0000F4660000}"/>
    <cellStyle name="Normal 13 2 2 3 2 3 2" xfId="6359" xr:uid="{00000000-0005-0000-0000-0000F5660000}"/>
    <cellStyle name="Normal 13 2 2 3 2 3 3" xfId="6360" xr:uid="{00000000-0005-0000-0000-0000F6660000}"/>
    <cellStyle name="Normal 13 2 2 3 2 4" xfId="6361" xr:uid="{00000000-0005-0000-0000-0000F7660000}"/>
    <cellStyle name="Normal 13 2 2 3 2 5" xfId="6362" xr:uid="{00000000-0005-0000-0000-0000F8660000}"/>
    <cellStyle name="Normal 13 2 2 3 3" xfId="6363" xr:uid="{00000000-0005-0000-0000-0000F9660000}"/>
    <cellStyle name="Normal 13 2 2 3 3 2" xfId="6364" xr:uid="{00000000-0005-0000-0000-0000FA660000}"/>
    <cellStyle name="Normal 13 2 2 3 3 3" xfId="6365" xr:uid="{00000000-0005-0000-0000-0000FB660000}"/>
    <cellStyle name="Normal 13 2 2 3 4" xfId="6366" xr:uid="{00000000-0005-0000-0000-0000FC660000}"/>
    <cellStyle name="Normal 13 2 2 3 4 2" xfId="6367" xr:uid="{00000000-0005-0000-0000-0000FD660000}"/>
    <cellStyle name="Normal 13 2 2 3 4 3" xfId="6368" xr:uid="{00000000-0005-0000-0000-0000FE660000}"/>
    <cellStyle name="Normal 13 2 2 3 5" xfId="6369" xr:uid="{00000000-0005-0000-0000-0000FF660000}"/>
    <cellStyle name="Normal 13 2 2 3 6" xfId="6370" xr:uid="{00000000-0005-0000-0000-000000670000}"/>
    <cellStyle name="Normal 13 2 2 4" xfId="6371" xr:uid="{00000000-0005-0000-0000-000001670000}"/>
    <cellStyle name="Normal 13 2 2 4 2" xfId="6372" xr:uid="{00000000-0005-0000-0000-000002670000}"/>
    <cellStyle name="Normal 13 2 2 4 2 2" xfId="6373" xr:uid="{00000000-0005-0000-0000-000003670000}"/>
    <cellStyle name="Normal 13 2 2 4 2 3" xfId="6374" xr:uid="{00000000-0005-0000-0000-000004670000}"/>
    <cellStyle name="Normal 13 2 2 4 3" xfId="6375" xr:uid="{00000000-0005-0000-0000-000005670000}"/>
    <cellStyle name="Normal 13 2 2 4 3 2" xfId="6376" xr:uid="{00000000-0005-0000-0000-000006670000}"/>
    <cellStyle name="Normal 13 2 2 4 3 3" xfId="6377" xr:uid="{00000000-0005-0000-0000-000007670000}"/>
    <cellStyle name="Normal 13 2 2 4 4" xfId="6378" xr:uid="{00000000-0005-0000-0000-000008670000}"/>
    <cellStyle name="Normal 13 2 2 4 5" xfId="6379" xr:uid="{00000000-0005-0000-0000-000009670000}"/>
    <cellStyle name="Normal 13 2 2 5" xfId="6380" xr:uid="{00000000-0005-0000-0000-00000A670000}"/>
    <cellStyle name="Normal 13 2 2 5 2" xfId="6381" xr:uid="{00000000-0005-0000-0000-00000B670000}"/>
    <cellStyle name="Normal 13 2 2 5 3" xfId="6382" xr:uid="{00000000-0005-0000-0000-00000C670000}"/>
    <cellStyle name="Normal 13 2 2 6" xfId="6383" xr:uid="{00000000-0005-0000-0000-00000D670000}"/>
    <cellStyle name="Normal 13 2 2 6 2" xfId="6384" xr:uid="{00000000-0005-0000-0000-00000E670000}"/>
    <cellStyle name="Normal 13 2 2 6 3" xfId="6385" xr:uid="{00000000-0005-0000-0000-00000F670000}"/>
    <cellStyle name="Normal 13 2 2 7" xfId="6386" xr:uid="{00000000-0005-0000-0000-000010670000}"/>
    <cellStyle name="Normal 13 2 2 8" xfId="6387" xr:uid="{00000000-0005-0000-0000-000011670000}"/>
    <cellStyle name="Normal 13 2 3" xfId="6388" xr:uid="{00000000-0005-0000-0000-000012670000}"/>
    <cellStyle name="Normal 13 2 3 2" xfId="6389" xr:uid="{00000000-0005-0000-0000-000013670000}"/>
    <cellStyle name="Normal 13 2 3 2 2" xfId="6390" xr:uid="{00000000-0005-0000-0000-000014670000}"/>
    <cellStyle name="Normal 13 2 3 2 2 2" xfId="6391" xr:uid="{00000000-0005-0000-0000-000015670000}"/>
    <cellStyle name="Normal 13 2 3 2 2 2 2" xfId="6392" xr:uid="{00000000-0005-0000-0000-000016670000}"/>
    <cellStyle name="Normal 13 2 3 2 2 2 3" xfId="6393" xr:uid="{00000000-0005-0000-0000-000017670000}"/>
    <cellStyle name="Normal 13 2 3 2 2 3" xfId="6394" xr:uid="{00000000-0005-0000-0000-000018670000}"/>
    <cellStyle name="Normal 13 2 3 2 2 3 2" xfId="6395" xr:uid="{00000000-0005-0000-0000-000019670000}"/>
    <cellStyle name="Normal 13 2 3 2 2 3 3" xfId="6396" xr:uid="{00000000-0005-0000-0000-00001A670000}"/>
    <cellStyle name="Normal 13 2 3 2 2 4" xfId="6397" xr:uid="{00000000-0005-0000-0000-00001B670000}"/>
    <cellStyle name="Normal 13 2 3 2 2 5" xfId="6398" xr:uid="{00000000-0005-0000-0000-00001C670000}"/>
    <cellStyle name="Normal 13 2 3 2 3" xfId="6399" xr:uid="{00000000-0005-0000-0000-00001D670000}"/>
    <cellStyle name="Normal 13 2 3 2 3 2" xfId="6400" xr:uid="{00000000-0005-0000-0000-00001E670000}"/>
    <cellStyle name="Normal 13 2 3 2 3 3" xfId="6401" xr:uid="{00000000-0005-0000-0000-00001F670000}"/>
    <cellStyle name="Normal 13 2 3 2 4" xfId="6402" xr:uid="{00000000-0005-0000-0000-000020670000}"/>
    <cellStyle name="Normal 13 2 3 2 4 2" xfId="6403" xr:uid="{00000000-0005-0000-0000-000021670000}"/>
    <cellStyle name="Normal 13 2 3 2 4 3" xfId="6404" xr:uid="{00000000-0005-0000-0000-000022670000}"/>
    <cellStyle name="Normal 13 2 3 2 5" xfId="6405" xr:uid="{00000000-0005-0000-0000-000023670000}"/>
    <cellStyle name="Normal 13 2 3 2 6" xfId="6406" xr:uid="{00000000-0005-0000-0000-000024670000}"/>
    <cellStyle name="Normal 13 2 3 3" xfId="6407" xr:uid="{00000000-0005-0000-0000-000025670000}"/>
    <cellStyle name="Normal 13 2 3 3 2" xfId="6408" xr:uid="{00000000-0005-0000-0000-000026670000}"/>
    <cellStyle name="Normal 13 2 3 3 2 2" xfId="6409" xr:uid="{00000000-0005-0000-0000-000027670000}"/>
    <cellStyle name="Normal 13 2 3 3 2 3" xfId="6410" xr:uid="{00000000-0005-0000-0000-000028670000}"/>
    <cellStyle name="Normal 13 2 3 3 3" xfId="6411" xr:uid="{00000000-0005-0000-0000-000029670000}"/>
    <cellStyle name="Normal 13 2 3 3 3 2" xfId="6412" xr:uid="{00000000-0005-0000-0000-00002A670000}"/>
    <cellStyle name="Normal 13 2 3 3 3 3" xfId="6413" xr:uid="{00000000-0005-0000-0000-00002B670000}"/>
    <cellStyle name="Normal 13 2 3 3 4" xfId="6414" xr:uid="{00000000-0005-0000-0000-00002C670000}"/>
    <cellStyle name="Normal 13 2 3 3 5" xfId="6415" xr:uid="{00000000-0005-0000-0000-00002D670000}"/>
    <cellStyle name="Normal 13 2 3 4" xfId="6416" xr:uid="{00000000-0005-0000-0000-00002E670000}"/>
    <cellStyle name="Normal 13 2 3 4 2" xfId="6417" xr:uid="{00000000-0005-0000-0000-00002F670000}"/>
    <cellStyle name="Normal 13 2 3 4 3" xfId="6418" xr:uid="{00000000-0005-0000-0000-000030670000}"/>
    <cellStyle name="Normal 13 2 3 5" xfId="6419" xr:uid="{00000000-0005-0000-0000-000031670000}"/>
    <cellStyle name="Normal 13 2 3 5 2" xfId="6420" xr:uid="{00000000-0005-0000-0000-000032670000}"/>
    <cellStyle name="Normal 13 2 3 5 3" xfId="6421" xr:uid="{00000000-0005-0000-0000-000033670000}"/>
    <cellStyle name="Normal 13 2 3 6" xfId="6422" xr:uid="{00000000-0005-0000-0000-000034670000}"/>
    <cellStyle name="Normal 13 2 3 7" xfId="6423" xr:uid="{00000000-0005-0000-0000-000035670000}"/>
    <cellStyle name="Normal 13 2 4" xfId="6424" xr:uid="{00000000-0005-0000-0000-000036670000}"/>
    <cellStyle name="Normal 13 2 4 2" xfId="6425" xr:uid="{00000000-0005-0000-0000-000037670000}"/>
    <cellStyle name="Normal 13 2 4 2 2" xfId="6426" xr:uid="{00000000-0005-0000-0000-000038670000}"/>
    <cellStyle name="Normal 13 2 4 2 2 2" xfId="6427" xr:uid="{00000000-0005-0000-0000-000039670000}"/>
    <cellStyle name="Normal 13 2 4 2 2 3" xfId="6428" xr:uid="{00000000-0005-0000-0000-00003A670000}"/>
    <cellStyle name="Normal 13 2 4 2 3" xfId="6429" xr:uid="{00000000-0005-0000-0000-00003B670000}"/>
    <cellStyle name="Normal 13 2 4 2 3 2" xfId="6430" xr:uid="{00000000-0005-0000-0000-00003C670000}"/>
    <cellStyle name="Normal 13 2 4 2 3 3" xfId="6431" xr:uid="{00000000-0005-0000-0000-00003D670000}"/>
    <cellStyle name="Normal 13 2 4 2 4" xfId="6432" xr:uid="{00000000-0005-0000-0000-00003E670000}"/>
    <cellStyle name="Normal 13 2 4 2 5" xfId="6433" xr:uid="{00000000-0005-0000-0000-00003F670000}"/>
    <cellStyle name="Normal 13 2 4 3" xfId="6434" xr:uid="{00000000-0005-0000-0000-000040670000}"/>
    <cellStyle name="Normal 13 2 4 3 2" xfId="6435" xr:uid="{00000000-0005-0000-0000-000041670000}"/>
    <cellStyle name="Normal 13 2 4 3 3" xfId="6436" xr:uid="{00000000-0005-0000-0000-000042670000}"/>
    <cellStyle name="Normal 13 2 4 4" xfId="6437" xr:uid="{00000000-0005-0000-0000-000043670000}"/>
    <cellStyle name="Normal 13 2 4 4 2" xfId="6438" xr:uid="{00000000-0005-0000-0000-000044670000}"/>
    <cellStyle name="Normal 13 2 4 4 3" xfId="6439" xr:uid="{00000000-0005-0000-0000-000045670000}"/>
    <cellStyle name="Normal 13 2 4 5" xfId="6440" xr:uid="{00000000-0005-0000-0000-000046670000}"/>
    <cellStyle name="Normal 13 2 4 6" xfId="6441" xr:uid="{00000000-0005-0000-0000-000047670000}"/>
    <cellStyle name="Normal 13 2 5" xfId="6442" xr:uid="{00000000-0005-0000-0000-000048670000}"/>
    <cellStyle name="Normal 13 2 5 2" xfId="6443" xr:uid="{00000000-0005-0000-0000-000049670000}"/>
    <cellStyle name="Normal 13 2 5 2 2" xfId="6444" xr:uid="{00000000-0005-0000-0000-00004A670000}"/>
    <cellStyle name="Normal 13 2 5 2 3" xfId="6445" xr:uid="{00000000-0005-0000-0000-00004B670000}"/>
    <cellStyle name="Normal 13 2 5 3" xfId="6446" xr:uid="{00000000-0005-0000-0000-00004C670000}"/>
    <cellStyle name="Normal 13 2 5 3 2" xfId="6447" xr:uid="{00000000-0005-0000-0000-00004D670000}"/>
    <cellStyle name="Normal 13 2 5 3 3" xfId="6448" xr:uid="{00000000-0005-0000-0000-00004E670000}"/>
    <cellStyle name="Normal 13 2 5 4" xfId="6449" xr:uid="{00000000-0005-0000-0000-00004F670000}"/>
    <cellStyle name="Normal 13 2 5 5" xfId="6450" xr:uid="{00000000-0005-0000-0000-000050670000}"/>
    <cellStyle name="Normal 13 2 6" xfId="6451" xr:uid="{00000000-0005-0000-0000-000051670000}"/>
    <cellStyle name="Normal 13 2 6 2" xfId="6452" xr:uid="{00000000-0005-0000-0000-000052670000}"/>
    <cellStyle name="Normal 13 2 6 3" xfId="6453" xr:uid="{00000000-0005-0000-0000-000053670000}"/>
    <cellStyle name="Normal 13 2 7" xfId="6454" xr:uid="{00000000-0005-0000-0000-000054670000}"/>
    <cellStyle name="Normal 13 2 7 2" xfId="6455" xr:uid="{00000000-0005-0000-0000-000055670000}"/>
    <cellStyle name="Normal 13 2 7 3" xfId="6456" xr:uid="{00000000-0005-0000-0000-000056670000}"/>
    <cellStyle name="Normal 13 2 8" xfId="6457" xr:uid="{00000000-0005-0000-0000-000057670000}"/>
    <cellStyle name="Normal 13 2 9" xfId="6458" xr:uid="{00000000-0005-0000-0000-000058670000}"/>
    <cellStyle name="Normal 13 3" xfId="6459" xr:uid="{00000000-0005-0000-0000-000059670000}"/>
    <cellStyle name="Normal 13 3 2" xfId="6460" xr:uid="{00000000-0005-0000-0000-00005A670000}"/>
    <cellStyle name="Normal 13 3 2 2" xfId="6461" xr:uid="{00000000-0005-0000-0000-00005B670000}"/>
    <cellStyle name="Normal 13 3 2 2 2" xfId="6462" xr:uid="{00000000-0005-0000-0000-00005C670000}"/>
    <cellStyle name="Normal 13 3 2 2 2 2" xfId="6463" xr:uid="{00000000-0005-0000-0000-00005D670000}"/>
    <cellStyle name="Normal 13 3 2 2 2 2 2" xfId="6464" xr:uid="{00000000-0005-0000-0000-00005E670000}"/>
    <cellStyle name="Normal 13 3 2 2 2 2 3" xfId="6465" xr:uid="{00000000-0005-0000-0000-00005F670000}"/>
    <cellStyle name="Normal 13 3 2 2 2 3" xfId="6466" xr:uid="{00000000-0005-0000-0000-000060670000}"/>
    <cellStyle name="Normal 13 3 2 2 2 3 2" xfId="6467" xr:uid="{00000000-0005-0000-0000-000061670000}"/>
    <cellStyle name="Normal 13 3 2 2 2 3 3" xfId="6468" xr:uid="{00000000-0005-0000-0000-000062670000}"/>
    <cellStyle name="Normal 13 3 2 2 2 4" xfId="6469" xr:uid="{00000000-0005-0000-0000-000063670000}"/>
    <cellStyle name="Normal 13 3 2 2 2 5" xfId="6470" xr:uid="{00000000-0005-0000-0000-000064670000}"/>
    <cellStyle name="Normal 13 3 2 2 3" xfId="6471" xr:uid="{00000000-0005-0000-0000-000065670000}"/>
    <cellStyle name="Normal 13 3 2 2 3 2" xfId="6472" xr:uid="{00000000-0005-0000-0000-000066670000}"/>
    <cellStyle name="Normal 13 3 2 2 3 3" xfId="6473" xr:uid="{00000000-0005-0000-0000-000067670000}"/>
    <cellStyle name="Normal 13 3 2 2 4" xfId="6474" xr:uid="{00000000-0005-0000-0000-000068670000}"/>
    <cellStyle name="Normal 13 3 2 2 4 2" xfId="6475" xr:uid="{00000000-0005-0000-0000-000069670000}"/>
    <cellStyle name="Normal 13 3 2 2 4 3" xfId="6476" xr:uid="{00000000-0005-0000-0000-00006A670000}"/>
    <cellStyle name="Normal 13 3 2 2 5" xfId="6477" xr:uid="{00000000-0005-0000-0000-00006B670000}"/>
    <cellStyle name="Normal 13 3 2 2 6" xfId="6478" xr:uid="{00000000-0005-0000-0000-00006C670000}"/>
    <cellStyle name="Normal 13 3 2 3" xfId="6479" xr:uid="{00000000-0005-0000-0000-00006D670000}"/>
    <cellStyle name="Normal 13 3 2 3 2" xfId="6480" xr:uid="{00000000-0005-0000-0000-00006E670000}"/>
    <cellStyle name="Normal 13 3 2 3 2 2" xfId="6481" xr:uid="{00000000-0005-0000-0000-00006F670000}"/>
    <cellStyle name="Normal 13 3 2 3 2 3" xfId="6482" xr:uid="{00000000-0005-0000-0000-000070670000}"/>
    <cellStyle name="Normal 13 3 2 3 3" xfId="6483" xr:uid="{00000000-0005-0000-0000-000071670000}"/>
    <cellStyle name="Normal 13 3 2 3 3 2" xfId="6484" xr:uid="{00000000-0005-0000-0000-000072670000}"/>
    <cellStyle name="Normal 13 3 2 3 3 3" xfId="6485" xr:uid="{00000000-0005-0000-0000-000073670000}"/>
    <cellStyle name="Normal 13 3 2 3 4" xfId="6486" xr:uid="{00000000-0005-0000-0000-000074670000}"/>
    <cellStyle name="Normal 13 3 2 3 5" xfId="6487" xr:uid="{00000000-0005-0000-0000-000075670000}"/>
    <cellStyle name="Normal 13 3 2 4" xfId="6488" xr:uid="{00000000-0005-0000-0000-000076670000}"/>
    <cellStyle name="Normal 13 3 2 4 2" xfId="6489" xr:uid="{00000000-0005-0000-0000-000077670000}"/>
    <cellStyle name="Normal 13 3 2 4 3" xfId="6490" xr:uid="{00000000-0005-0000-0000-000078670000}"/>
    <cellStyle name="Normal 13 3 2 5" xfId="6491" xr:uid="{00000000-0005-0000-0000-000079670000}"/>
    <cellStyle name="Normal 13 3 2 5 2" xfId="6492" xr:uid="{00000000-0005-0000-0000-00007A670000}"/>
    <cellStyle name="Normal 13 3 2 5 3" xfId="6493" xr:uid="{00000000-0005-0000-0000-00007B670000}"/>
    <cellStyle name="Normal 13 3 2 6" xfId="6494" xr:uid="{00000000-0005-0000-0000-00007C670000}"/>
    <cellStyle name="Normal 13 3 2 7" xfId="6495" xr:uid="{00000000-0005-0000-0000-00007D670000}"/>
    <cellStyle name="Normal 13 3 3" xfId="6496" xr:uid="{00000000-0005-0000-0000-00007E670000}"/>
    <cellStyle name="Normal 13 3 3 2" xfId="6497" xr:uid="{00000000-0005-0000-0000-00007F670000}"/>
    <cellStyle name="Normal 13 3 3 2 2" xfId="6498" xr:uid="{00000000-0005-0000-0000-000080670000}"/>
    <cellStyle name="Normal 13 3 3 2 2 2" xfId="6499" xr:uid="{00000000-0005-0000-0000-000081670000}"/>
    <cellStyle name="Normal 13 3 3 2 2 3" xfId="6500" xr:uid="{00000000-0005-0000-0000-000082670000}"/>
    <cellStyle name="Normal 13 3 3 2 3" xfId="6501" xr:uid="{00000000-0005-0000-0000-000083670000}"/>
    <cellStyle name="Normal 13 3 3 2 3 2" xfId="6502" xr:uid="{00000000-0005-0000-0000-000084670000}"/>
    <cellStyle name="Normal 13 3 3 2 3 3" xfId="6503" xr:uid="{00000000-0005-0000-0000-000085670000}"/>
    <cellStyle name="Normal 13 3 3 2 4" xfId="6504" xr:uid="{00000000-0005-0000-0000-000086670000}"/>
    <cellStyle name="Normal 13 3 3 2 5" xfId="6505" xr:uid="{00000000-0005-0000-0000-000087670000}"/>
    <cellStyle name="Normal 13 3 3 3" xfId="6506" xr:uid="{00000000-0005-0000-0000-000088670000}"/>
    <cellStyle name="Normal 13 3 3 3 2" xfId="6507" xr:uid="{00000000-0005-0000-0000-000089670000}"/>
    <cellStyle name="Normal 13 3 3 3 3" xfId="6508" xr:uid="{00000000-0005-0000-0000-00008A670000}"/>
    <cellStyle name="Normal 13 3 3 4" xfId="6509" xr:uid="{00000000-0005-0000-0000-00008B670000}"/>
    <cellStyle name="Normal 13 3 3 4 2" xfId="6510" xr:uid="{00000000-0005-0000-0000-00008C670000}"/>
    <cellStyle name="Normal 13 3 3 4 3" xfId="6511" xr:uid="{00000000-0005-0000-0000-00008D670000}"/>
    <cellStyle name="Normal 13 3 3 5" xfId="6512" xr:uid="{00000000-0005-0000-0000-00008E670000}"/>
    <cellStyle name="Normal 13 3 3 6" xfId="6513" xr:uid="{00000000-0005-0000-0000-00008F670000}"/>
    <cellStyle name="Normal 13 3 4" xfId="6514" xr:uid="{00000000-0005-0000-0000-000090670000}"/>
    <cellStyle name="Normal 13 3 4 2" xfId="6515" xr:uid="{00000000-0005-0000-0000-000091670000}"/>
    <cellStyle name="Normal 13 3 4 2 2" xfId="6516" xr:uid="{00000000-0005-0000-0000-000092670000}"/>
    <cellStyle name="Normal 13 3 4 2 3" xfId="6517" xr:uid="{00000000-0005-0000-0000-000093670000}"/>
    <cellStyle name="Normal 13 3 4 3" xfId="6518" xr:uid="{00000000-0005-0000-0000-000094670000}"/>
    <cellStyle name="Normal 13 3 4 3 2" xfId="6519" xr:uid="{00000000-0005-0000-0000-000095670000}"/>
    <cellStyle name="Normal 13 3 4 3 3" xfId="6520" xr:uid="{00000000-0005-0000-0000-000096670000}"/>
    <cellStyle name="Normal 13 3 4 4" xfId="6521" xr:uid="{00000000-0005-0000-0000-000097670000}"/>
    <cellStyle name="Normal 13 3 4 5" xfId="6522" xr:uid="{00000000-0005-0000-0000-000098670000}"/>
    <cellStyle name="Normal 13 3 5" xfId="6523" xr:uid="{00000000-0005-0000-0000-000099670000}"/>
    <cellStyle name="Normal 13 3 5 2" xfId="6524" xr:uid="{00000000-0005-0000-0000-00009A670000}"/>
    <cellStyle name="Normal 13 3 5 3" xfId="6525" xr:uid="{00000000-0005-0000-0000-00009B670000}"/>
    <cellStyle name="Normal 13 3 6" xfId="6526" xr:uid="{00000000-0005-0000-0000-00009C670000}"/>
    <cellStyle name="Normal 13 3 6 2" xfId="6527" xr:uid="{00000000-0005-0000-0000-00009D670000}"/>
    <cellStyle name="Normal 13 3 6 3" xfId="6528" xr:uid="{00000000-0005-0000-0000-00009E670000}"/>
    <cellStyle name="Normal 13 3 7" xfId="6529" xr:uid="{00000000-0005-0000-0000-00009F670000}"/>
    <cellStyle name="Normal 13 3 8" xfId="6530" xr:uid="{00000000-0005-0000-0000-0000A0670000}"/>
    <cellStyle name="Normal 13 4" xfId="6531" xr:uid="{00000000-0005-0000-0000-0000A1670000}"/>
    <cellStyle name="Normal 13 4 2" xfId="6532" xr:uid="{00000000-0005-0000-0000-0000A2670000}"/>
    <cellStyle name="Normal 13 4 2 2" xfId="6533" xr:uid="{00000000-0005-0000-0000-0000A3670000}"/>
    <cellStyle name="Normal 13 4 2 2 2" xfId="6534" xr:uid="{00000000-0005-0000-0000-0000A4670000}"/>
    <cellStyle name="Normal 13 4 2 2 2 2" xfId="6535" xr:uid="{00000000-0005-0000-0000-0000A5670000}"/>
    <cellStyle name="Normal 13 4 2 2 2 2 2" xfId="6536" xr:uid="{00000000-0005-0000-0000-0000A6670000}"/>
    <cellStyle name="Normal 13 4 2 2 2 2 3" xfId="6537" xr:uid="{00000000-0005-0000-0000-0000A7670000}"/>
    <cellStyle name="Normal 13 4 2 2 2 3" xfId="6538" xr:uid="{00000000-0005-0000-0000-0000A8670000}"/>
    <cellStyle name="Normal 13 4 2 2 2 3 2" xfId="6539" xr:uid="{00000000-0005-0000-0000-0000A9670000}"/>
    <cellStyle name="Normal 13 4 2 2 2 3 3" xfId="6540" xr:uid="{00000000-0005-0000-0000-0000AA670000}"/>
    <cellStyle name="Normal 13 4 2 2 2 4" xfId="6541" xr:uid="{00000000-0005-0000-0000-0000AB670000}"/>
    <cellStyle name="Normal 13 4 2 2 2 5" xfId="6542" xr:uid="{00000000-0005-0000-0000-0000AC670000}"/>
    <cellStyle name="Normal 13 4 2 2 3" xfId="6543" xr:uid="{00000000-0005-0000-0000-0000AD670000}"/>
    <cellStyle name="Normal 13 4 2 2 3 2" xfId="6544" xr:uid="{00000000-0005-0000-0000-0000AE670000}"/>
    <cellStyle name="Normal 13 4 2 2 3 3" xfId="6545" xr:uid="{00000000-0005-0000-0000-0000AF670000}"/>
    <cellStyle name="Normal 13 4 2 2 4" xfId="6546" xr:uid="{00000000-0005-0000-0000-0000B0670000}"/>
    <cellStyle name="Normal 13 4 2 2 4 2" xfId="6547" xr:uid="{00000000-0005-0000-0000-0000B1670000}"/>
    <cellStyle name="Normal 13 4 2 2 4 3" xfId="6548" xr:uid="{00000000-0005-0000-0000-0000B2670000}"/>
    <cellStyle name="Normal 13 4 2 2 5" xfId="6549" xr:uid="{00000000-0005-0000-0000-0000B3670000}"/>
    <cellStyle name="Normal 13 4 2 2 6" xfId="6550" xr:uid="{00000000-0005-0000-0000-0000B4670000}"/>
    <cellStyle name="Normal 13 4 2 3" xfId="6551" xr:uid="{00000000-0005-0000-0000-0000B5670000}"/>
    <cellStyle name="Normal 13 4 2 3 2" xfId="6552" xr:uid="{00000000-0005-0000-0000-0000B6670000}"/>
    <cellStyle name="Normal 13 4 2 3 2 2" xfId="6553" xr:uid="{00000000-0005-0000-0000-0000B7670000}"/>
    <cellStyle name="Normal 13 4 2 3 2 3" xfId="6554" xr:uid="{00000000-0005-0000-0000-0000B8670000}"/>
    <cellStyle name="Normal 13 4 2 3 3" xfId="6555" xr:uid="{00000000-0005-0000-0000-0000B9670000}"/>
    <cellStyle name="Normal 13 4 2 3 3 2" xfId="6556" xr:uid="{00000000-0005-0000-0000-0000BA670000}"/>
    <cellStyle name="Normal 13 4 2 3 3 3" xfId="6557" xr:uid="{00000000-0005-0000-0000-0000BB670000}"/>
    <cellStyle name="Normal 13 4 2 3 4" xfId="6558" xr:uid="{00000000-0005-0000-0000-0000BC670000}"/>
    <cellStyle name="Normal 13 4 2 3 5" xfId="6559" xr:uid="{00000000-0005-0000-0000-0000BD670000}"/>
    <cellStyle name="Normal 13 4 2 4" xfId="6560" xr:uid="{00000000-0005-0000-0000-0000BE670000}"/>
    <cellStyle name="Normal 13 4 2 4 2" xfId="6561" xr:uid="{00000000-0005-0000-0000-0000BF670000}"/>
    <cellStyle name="Normal 13 4 2 4 3" xfId="6562" xr:uid="{00000000-0005-0000-0000-0000C0670000}"/>
    <cellStyle name="Normal 13 4 2 5" xfId="6563" xr:uid="{00000000-0005-0000-0000-0000C1670000}"/>
    <cellStyle name="Normal 13 4 2 5 2" xfId="6564" xr:uid="{00000000-0005-0000-0000-0000C2670000}"/>
    <cellStyle name="Normal 13 4 2 5 3" xfId="6565" xr:uid="{00000000-0005-0000-0000-0000C3670000}"/>
    <cellStyle name="Normal 13 4 2 6" xfId="6566" xr:uid="{00000000-0005-0000-0000-0000C4670000}"/>
    <cellStyle name="Normal 13 4 2 7" xfId="6567" xr:uid="{00000000-0005-0000-0000-0000C5670000}"/>
    <cellStyle name="Normal 13 4 3" xfId="6568" xr:uid="{00000000-0005-0000-0000-0000C6670000}"/>
    <cellStyle name="Normal 13 4 3 2" xfId="6569" xr:uid="{00000000-0005-0000-0000-0000C7670000}"/>
    <cellStyle name="Normal 13 4 3 2 2" xfId="6570" xr:uid="{00000000-0005-0000-0000-0000C8670000}"/>
    <cellStyle name="Normal 13 4 3 2 2 2" xfId="6571" xr:uid="{00000000-0005-0000-0000-0000C9670000}"/>
    <cellStyle name="Normal 13 4 3 2 2 3" xfId="6572" xr:uid="{00000000-0005-0000-0000-0000CA670000}"/>
    <cellStyle name="Normal 13 4 3 2 3" xfId="6573" xr:uid="{00000000-0005-0000-0000-0000CB670000}"/>
    <cellStyle name="Normal 13 4 3 2 3 2" xfId="6574" xr:uid="{00000000-0005-0000-0000-0000CC670000}"/>
    <cellStyle name="Normal 13 4 3 2 3 3" xfId="6575" xr:uid="{00000000-0005-0000-0000-0000CD670000}"/>
    <cellStyle name="Normal 13 4 3 2 4" xfId="6576" xr:uid="{00000000-0005-0000-0000-0000CE670000}"/>
    <cellStyle name="Normal 13 4 3 2 5" xfId="6577" xr:uid="{00000000-0005-0000-0000-0000CF670000}"/>
    <cellStyle name="Normal 13 4 3 3" xfId="6578" xr:uid="{00000000-0005-0000-0000-0000D0670000}"/>
    <cellStyle name="Normal 13 4 3 3 2" xfId="6579" xr:uid="{00000000-0005-0000-0000-0000D1670000}"/>
    <cellStyle name="Normal 13 4 3 3 3" xfId="6580" xr:uid="{00000000-0005-0000-0000-0000D2670000}"/>
    <cellStyle name="Normal 13 4 3 4" xfId="6581" xr:uid="{00000000-0005-0000-0000-0000D3670000}"/>
    <cellStyle name="Normal 13 4 3 4 2" xfId="6582" xr:uid="{00000000-0005-0000-0000-0000D4670000}"/>
    <cellStyle name="Normal 13 4 3 4 3" xfId="6583" xr:uid="{00000000-0005-0000-0000-0000D5670000}"/>
    <cellStyle name="Normal 13 4 3 5" xfId="6584" xr:uid="{00000000-0005-0000-0000-0000D6670000}"/>
    <cellStyle name="Normal 13 4 3 6" xfId="6585" xr:uid="{00000000-0005-0000-0000-0000D7670000}"/>
    <cellStyle name="Normal 13 4 4" xfId="6586" xr:uid="{00000000-0005-0000-0000-0000D8670000}"/>
    <cellStyle name="Normal 13 4 4 2" xfId="6587" xr:uid="{00000000-0005-0000-0000-0000D9670000}"/>
    <cellStyle name="Normal 13 4 4 2 2" xfId="6588" xr:uid="{00000000-0005-0000-0000-0000DA670000}"/>
    <cellStyle name="Normal 13 4 4 2 3" xfId="6589" xr:uid="{00000000-0005-0000-0000-0000DB670000}"/>
    <cellStyle name="Normal 13 4 4 3" xfId="6590" xr:uid="{00000000-0005-0000-0000-0000DC670000}"/>
    <cellStyle name="Normal 13 4 4 3 2" xfId="6591" xr:uid="{00000000-0005-0000-0000-0000DD670000}"/>
    <cellStyle name="Normal 13 4 4 3 3" xfId="6592" xr:uid="{00000000-0005-0000-0000-0000DE670000}"/>
    <cellStyle name="Normal 13 4 4 4" xfId="6593" xr:uid="{00000000-0005-0000-0000-0000DF670000}"/>
    <cellStyle name="Normal 13 4 4 5" xfId="6594" xr:uid="{00000000-0005-0000-0000-0000E0670000}"/>
    <cellStyle name="Normal 13 4 5" xfId="6595" xr:uid="{00000000-0005-0000-0000-0000E1670000}"/>
    <cellStyle name="Normal 13 4 5 2" xfId="6596" xr:uid="{00000000-0005-0000-0000-0000E2670000}"/>
    <cellStyle name="Normal 13 4 5 3" xfId="6597" xr:uid="{00000000-0005-0000-0000-0000E3670000}"/>
    <cellStyle name="Normal 13 4 6" xfId="6598" xr:uid="{00000000-0005-0000-0000-0000E4670000}"/>
    <cellStyle name="Normal 13 4 6 2" xfId="6599" xr:uid="{00000000-0005-0000-0000-0000E5670000}"/>
    <cellStyle name="Normal 13 4 6 3" xfId="6600" xr:uid="{00000000-0005-0000-0000-0000E6670000}"/>
    <cellStyle name="Normal 13 4 7" xfId="6601" xr:uid="{00000000-0005-0000-0000-0000E7670000}"/>
    <cellStyle name="Normal 13 4 8" xfId="6602" xr:uid="{00000000-0005-0000-0000-0000E8670000}"/>
    <cellStyle name="Normal 13 5" xfId="6603" xr:uid="{00000000-0005-0000-0000-0000E9670000}"/>
    <cellStyle name="Normal 13 5 2" xfId="6604" xr:uid="{00000000-0005-0000-0000-0000EA670000}"/>
    <cellStyle name="Normal 13 5 2 2" xfId="6605" xr:uid="{00000000-0005-0000-0000-0000EB670000}"/>
    <cellStyle name="Normal 13 5 2 2 2" xfId="6606" xr:uid="{00000000-0005-0000-0000-0000EC670000}"/>
    <cellStyle name="Normal 13 5 2 2 2 2" xfId="6607" xr:uid="{00000000-0005-0000-0000-0000ED670000}"/>
    <cellStyle name="Normal 13 5 2 2 2 3" xfId="6608" xr:uid="{00000000-0005-0000-0000-0000EE670000}"/>
    <cellStyle name="Normal 13 5 2 2 3" xfId="6609" xr:uid="{00000000-0005-0000-0000-0000EF670000}"/>
    <cellStyle name="Normal 13 5 2 2 3 2" xfId="6610" xr:uid="{00000000-0005-0000-0000-0000F0670000}"/>
    <cellStyle name="Normal 13 5 2 2 3 3" xfId="6611" xr:uid="{00000000-0005-0000-0000-0000F1670000}"/>
    <cellStyle name="Normal 13 5 2 2 4" xfId="6612" xr:uid="{00000000-0005-0000-0000-0000F2670000}"/>
    <cellStyle name="Normal 13 5 2 2 5" xfId="6613" xr:uid="{00000000-0005-0000-0000-0000F3670000}"/>
    <cellStyle name="Normal 13 5 2 3" xfId="6614" xr:uid="{00000000-0005-0000-0000-0000F4670000}"/>
    <cellStyle name="Normal 13 5 2 3 2" xfId="6615" xr:uid="{00000000-0005-0000-0000-0000F5670000}"/>
    <cellStyle name="Normal 13 5 2 3 3" xfId="6616" xr:uid="{00000000-0005-0000-0000-0000F6670000}"/>
    <cellStyle name="Normal 13 5 2 4" xfId="6617" xr:uid="{00000000-0005-0000-0000-0000F7670000}"/>
    <cellStyle name="Normal 13 5 2 4 2" xfId="6618" xr:uid="{00000000-0005-0000-0000-0000F8670000}"/>
    <cellStyle name="Normal 13 5 2 4 3" xfId="6619" xr:uid="{00000000-0005-0000-0000-0000F9670000}"/>
    <cellStyle name="Normal 13 5 2 5" xfId="6620" xr:uid="{00000000-0005-0000-0000-0000FA670000}"/>
    <cellStyle name="Normal 13 5 2 6" xfId="6621" xr:uid="{00000000-0005-0000-0000-0000FB670000}"/>
    <cellStyle name="Normal 13 5 3" xfId="6622" xr:uid="{00000000-0005-0000-0000-0000FC670000}"/>
    <cellStyle name="Normal 13 5 3 2" xfId="6623" xr:uid="{00000000-0005-0000-0000-0000FD670000}"/>
    <cellStyle name="Normal 13 5 3 2 2" xfId="6624" xr:uid="{00000000-0005-0000-0000-0000FE670000}"/>
    <cellStyle name="Normal 13 5 3 2 3" xfId="6625" xr:uid="{00000000-0005-0000-0000-0000FF670000}"/>
    <cellStyle name="Normal 13 5 3 3" xfId="6626" xr:uid="{00000000-0005-0000-0000-000000680000}"/>
    <cellStyle name="Normal 13 5 3 3 2" xfId="6627" xr:uid="{00000000-0005-0000-0000-000001680000}"/>
    <cellStyle name="Normal 13 5 3 3 3" xfId="6628" xr:uid="{00000000-0005-0000-0000-000002680000}"/>
    <cellStyle name="Normal 13 5 3 4" xfId="6629" xr:uid="{00000000-0005-0000-0000-000003680000}"/>
    <cellStyle name="Normal 13 5 3 5" xfId="6630" xr:uid="{00000000-0005-0000-0000-000004680000}"/>
    <cellStyle name="Normal 13 5 4" xfId="6631" xr:uid="{00000000-0005-0000-0000-000005680000}"/>
    <cellStyle name="Normal 13 5 4 2" xfId="6632" xr:uid="{00000000-0005-0000-0000-000006680000}"/>
    <cellStyle name="Normal 13 5 4 3" xfId="6633" xr:uid="{00000000-0005-0000-0000-000007680000}"/>
    <cellStyle name="Normal 13 5 5" xfId="6634" xr:uid="{00000000-0005-0000-0000-000008680000}"/>
    <cellStyle name="Normal 13 5 5 2" xfId="6635" xr:uid="{00000000-0005-0000-0000-000009680000}"/>
    <cellStyle name="Normal 13 5 5 3" xfId="6636" xr:uid="{00000000-0005-0000-0000-00000A680000}"/>
    <cellStyle name="Normal 13 5 6" xfId="6637" xr:uid="{00000000-0005-0000-0000-00000B680000}"/>
    <cellStyle name="Normal 13 5 7" xfId="6638" xr:uid="{00000000-0005-0000-0000-00000C680000}"/>
    <cellStyle name="Normal 13 6" xfId="6639" xr:uid="{00000000-0005-0000-0000-00000D680000}"/>
    <cellStyle name="Normal 13 6 2" xfId="6640" xr:uid="{00000000-0005-0000-0000-00000E680000}"/>
    <cellStyle name="Normal 13 6 2 2" xfId="6641" xr:uid="{00000000-0005-0000-0000-00000F680000}"/>
    <cellStyle name="Normal 13 6 2 2 2" xfId="6642" xr:uid="{00000000-0005-0000-0000-000010680000}"/>
    <cellStyle name="Normal 13 6 2 2 3" xfId="6643" xr:uid="{00000000-0005-0000-0000-000011680000}"/>
    <cellStyle name="Normal 13 6 2 3" xfId="6644" xr:uid="{00000000-0005-0000-0000-000012680000}"/>
    <cellStyle name="Normal 13 6 2 3 2" xfId="6645" xr:uid="{00000000-0005-0000-0000-000013680000}"/>
    <cellStyle name="Normal 13 6 2 3 3" xfId="6646" xr:uid="{00000000-0005-0000-0000-000014680000}"/>
    <cellStyle name="Normal 13 6 2 4" xfId="6647" xr:uid="{00000000-0005-0000-0000-000015680000}"/>
    <cellStyle name="Normal 13 6 2 5" xfId="6648" xr:uid="{00000000-0005-0000-0000-000016680000}"/>
    <cellStyle name="Normal 13 6 3" xfId="6649" xr:uid="{00000000-0005-0000-0000-000017680000}"/>
    <cellStyle name="Normal 13 6 3 2" xfId="6650" xr:uid="{00000000-0005-0000-0000-000018680000}"/>
    <cellStyle name="Normal 13 6 3 3" xfId="6651" xr:uid="{00000000-0005-0000-0000-000019680000}"/>
    <cellStyle name="Normal 13 6 4" xfId="6652" xr:uid="{00000000-0005-0000-0000-00001A680000}"/>
    <cellStyle name="Normal 13 6 4 2" xfId="6653" xr:uid="{00000000-0005-0000-0000-00001B680000}"/>
    <cellStyle name="Normal 13 6 4 3" xfId="6654" xr:uid="{00000000-0005-0000-0000-00001C680000}"/>
    <cellStyle name="Normal 13 6 5" xfId="6655" xr:uid="{00000000-0005-0000-0000-00001D680000}"/>
    <cellStyle name="Normal 13 6 6" xfId="6656" xr:uid="{00000000-0005-0000-0000-00001E680000}"/>
    <cellStyle name="Normal 13 7" xfId="6657" xr:uid="{00000000-0005-0000-0000-00001F680000}"/>
    <cellStyle name="Normal 13 7 2" xfId="6658" xr:uid="{00000000-0005-0000-0000-000020680000}"/>
    <cellStyle name="Normal 13 7 2 2" xfId="6659" xr:uid="{00000000-0005-0000-0000-000021680000}"/>
    <cellStyle name="Normal 13 7 2 3" xfId="6660" xr:uid="{00000000-0005-0000-0000-000022680000}"/>
    <cellStyle name="Normal 13 7 3" xfId="6661" xr:uid="{00000000-0005-0000-0000-000023680000}"/>
    <cellStyle name="Normal 13 7 3 2" xfId="6662" xr:uid="{00000000-0005-0000-0000-000024680000}"/>
    <cellStyle name="Normal 13 7 3 3" xfId="6663" xr:uid="{00000000-0005-0000-0000-000025680000}"/>
    <cellStyle name="Normal 13 7 4" xfId="6664" xr:uid="{00000000-0005-0000-0000-000026680000}"/>
    <cellStyle name="Normal 13 7 5" xfId="6665" xr:uid="{00000000-0005-0000-0000-000027680000}"/>
    <cellStyle name="Normal 13 8" xfId="6666" xr:uid="{00000000-0005-0000-0000-000028680000}"/>
    <cellStyle name="Normal 13 8 2" xfId="6667" xr:uid="{00000000-0005-0000-0000-000029680000}"/>
    <cellStyle name="Normal 13 8 3" xfId="6668" xr:uid="{00000000-0005-0000-0000-00002A680000}"/>
    <cellStyle name="Normal 13 9" xfId="6669" xr:uid="{00000000-0005-0000-0000-00002B680000}"/>
    <cellStyle name="Normal 13 9 2" xfId="6670" xr:uid="{00000000-0005-0000-0000-00002C680000}"/>
    <cellStyle name="Normal 13 9 3" xfId="6671" xr:uid="{00000000-0005-0000-0000-00002D680000}"/>
    <cellStyle name="Normal 13_Recycling Tons" xfId="6672" xr:uid="{00000000-0005-0000-0000-00002E680000}"/>
    <cellStyle name="Normal 130" xfId="6673" xr:uid="{00000000-0005-0000-0000-00002F680000}"/>
    <cellStyle name="Normal 131" xfId="6674" xr:uid="{00000000-0005-0000-0000-000030680000}"/>
    <cellStyle name="Normal 132" xfId="6675" xr:uid="{00000000-0005-0000-0000-000031680000}"/>
    <cellStyle name="Normal 133" xfId="6676" xr:uid="{00000000-0005-0000-0000-000032680000}"/>
    <cellStyle name="Normal 134" xfId="6677" xr:uid="{00000000-0005-0000-0000-000033680000}"/>
    <cellStyle name="Normal 135" xfId="6678" xr:uid="{00000000-0005-0000-0000-000034680000}"/>
    <cellStyle name="Normal 136" xfId="6679" xr:uid="{00000000-0005-0000-0000-000035680000}"/>
    <cellStyle name="Normal 137" xfId="6680" xr:uid="{00000000-0005-0000-0000-000036680000}"/>
    <cellStyle name="Normal 138" xfId="6681" xr:uid="{00000000-0005-0000-0000-000037680000}"/>
    <cellStyle name="Normal 139" xfId="6682" xr:uid="{00000000-0005-0000-0000-000038680000}"/>
    <cellStyle name="Normal 14" xfId="160" xr:uid="{00000000-0005-0000-0000-000039680000}"/>
    <cellStyle name="Normal 14 10" xfId="6683" xr:uid="{00000000-0005-0000-0000-00003A680000}"/>
    <cellStyle name="Normal 14 2" xfId="341" xr:uid="{00000000-0005-0000-0000-00003B680000}"/>
    <cellStyle name="Normal 14 2 2" xfId="6684" xr:uid="{00000000-0005-0000-0000-00003C680000}"/>
    <cellStyle name="Normal 14 2 2 2" xfId="6685" xr:uid="{00000000-0005-0000-0000-00003D680000}"/>
    <cellStyle name="Normal 14 2 2 2 2" xfId="6686" xr:uid="{00000000-0005-0000-0000-00003E680000}"/>
    <cellStyle name="Normal 14 2 2 2 2 2" xfId="6687" xr:uid="{00000000-0005-0000-0000-00003F680000}"/>
    <cellStyle name="Normal 14 2 2 2 2 2 2" xfId="6688" xr:uid="{00000000-0005-0000-0000-000040680000}"/>
    <cellStyle name="Normal 14 2 2 2 2 2 3" xfId="6689" xr:uid="{00000000-0005-0000-0000-000041680000}"/>
    <cellStyle name="Normal 14 2 2 2 2 3" xfId="6690" xr:uid="{00000000-0005-0000-0000-000042680000}"/>
    <cellStyle name="Normal 14 2 2 2 2 3 2" xfId="6691" xr:uid="{00000000-0005-0000-0000-000043680000}"/>
    <cellStyle name="Normal 14 2 2 2 2 3 3" xfId="6692" xr:uid="{00000000-0005-0000-0000-000044680000}"/>
    <cellStyle name="Normal 14 2 2 2 2 4" xfId="6693" xr:uid="{00000000-0005-0000-0000-000045680000}"/>
    <cellStyle name="Normal 14 2 2 2 2 5" xfId="6694" xr:uid="{00000000-0005-0000-0000-000046680000}"/>
    <cellStyle name="Normal 14 2 2 2 3" xfId="6695" xr:uid="{00000000-0005-0000-0000-000047680000}"/>
    <cellStyle name="Normal 14 2 2 2 3 2" xfId="6696" xr:uid="{00000000-0005-0000-0000-000048680000}"/>
    <cellStyle name="Normal 14 2 2 2 3 3" xfId="6697" xr:uid="{00000000-0005-0000-0000-000049680000}"/>
    <cellStyle name="Normal 14 2 2 2 4" xfId="6698" xr:uid="{00000000-0005-0000-0000-00004A680000}"/>
    <cellStyle name="Normal 14 2 2 2 4 2" xfId="6699" xr:uid="{00000000-0005-0000-0000-00004B680000}"/>
    <cellStyle name="Normal 14 2 2 2 4 3" xfId="6700" xr:uid="{00000000-0005-0000-0000-00004C680000}"/>
    <cellStyle name="Normal 14 2 2 2 5" xfId="6701" xr:uid="{00000000-0005-0000-0000-00004D680000}"/>
    <cellStyle name="Normal 14 2 2 2 6" xfId="6702" xr:uid="{00000000-0005-0000-0000-00004E680000}"/>
    <cellStyle name="Normal 14 2 2 3" xfId="6703" xr:uid="{00000000-0005-0000-0000-00004F680000}"/>
    <cellStyle name="Normal 14 2 2 3 2" xfId="6704" xr:uid="{00000000-0005-0000-0000-000050680000}"/>
    <cellStyle name="Normal 14 2 2 3 2 2" xfId="6705" xr:uid="{00000000-0005-0000-0000-000051680000}"/>
    <cellStyle name="Normal 14 2 2 3 2 3" xfId="6706" xr:uid="{00000000-0005-0000-0000-000052680000}"/>
    <cellStyle name="Normal 14 2 2 3 3" xfId="6707" xr:uid="{00000000-0005-0000-0000-000053680000}"/>
    <cellStyle name="Normal 14 2 2 3 3 2" xfId="6708" xr:uid="{00000000-0005-0000-0000-000054680000}"/>
    <cellStyle name="Normal 14 2 2 3 3 3" xfId="6709" xr:uid="{00000000-0005-0000-0000-000055680000}"/>
    <cellStyle name="Normal 14 2 2 3 4" xfId="6710" xr:uid="{00000000-0005-0000-0000-000056680000}"/>
    <cellStyle name="Normal 14 2 2 3 5" xfId="6711" xr:uid="{00000000-0005-0000-0000-000057680000}"/>
    <cellStyle name="Normal 14 2 2 4" xfId="6712" xr:uid="{00000000-0005-0000-0000-000058680000}"/>
    <cellStyle name="Normal 14 2 2 4 2" xfId="6713" xr:uid="{00000000-0005-0000-0000-000059680000}"/>
    <cellStyle name="Normal 14 2 2 4 3" xfId="6714" xr:uid="{00000000-0005-0000-0000-00005A680000}"/>
    <cellStyle name="Normal 14 2 2 5" xfId="6715" xr:uid="{00000000-0005-0000-0000-00005B680000}"/>
    <cellStyle name="Normal 14 2 2 5 2" xfId="6716" xr:uid="{00000000-0005-0000-0000-00005C680000}"/>
    <cellStyle name="Normal 14 2 2 5 3" xfId="6717" xr:uid="{00000000-0005-0000-0000-00005D680000}"/>
    <cellStyle name="Normal 14 2 2 6" xfId="6718" xr:uid="{00000000-0005-0000-0000-00005E680000}"/>
    <cellStyle name="Normal 14 2 2 7" xfId="6719" xr:uid="{00000000-0005-0000-0000-00005F680000}"/>
    <cellStyle name="Normal 14 2 3" xfId="6720" xr:uid="{00000000-0005-0000-0000-000060680000}"/>
    <cellStyle name="Normal 14 2 3 2" xfId="6721" xr:uid="{00000000-0005-0000-0000-000061680000}"/>
    <cellStyle name="Normal 14 2 3 2 2" xfId="6722" xr:uid="{00000000-0005-0000-0000-000062680000}"/>
    <cellStyle name="Normal 14 2 3 2 2 2" xfId="6723" xr:uid="{00000000-0005-0000-0000-000063680000}"/>
    <cellStyle name="Normal 14 2 3 2 2 3" xfId="6724" xr:uid="{00000000-0005-0000-0000-000064680000}"/>
    <cellStyle name="Normal 14 2 3 2 3" xfId="6725" xr:uid="{00000000-0005-0000-0000-000065680000}"/>
    <cellStyle name="Normal 14 2 3 2 3 2" xfId="6726" xr:uid="{00000000-0005-0000-0000-000066680000}"/>
    <cellStyle name="Normal 14 2 3 2 3 3" xfId="6727" xr:uid="{00000000-0005-0000-0000-000067680000}"/>
    <cellStyle name="Normal 14 2 3 2 4" xfId="6728" xr:uid="{00000000-0005-0000-0000-000068680000}"/>
    <cellStyle name="Normal 14 2 3 2 5" xfId="6729" xr:uid="{00000000-0005-0000-0000-000069680000}"/>
    <cellStyle name="Normal 14 2 3 3" xfId="6730" xr:uid="{00000000-0005-0000-0000-00006A680000}"/>
    <cellStyle name="Normal 14 2 3 3 2" xfId="6731" xr:uid="{00000000-0005-0000-0000-00006B680000}"/>
    <cellStyle name="Normal 14 2 3 3 3" xfId="6732" xr:uid="{00000000-0005-0000-0000-00006C680000}"/>
    <cellStyle name="Normal 14 2 3 4" xfId="6733" xr:uid="{00000000-0005-0000-0000-00006D680000}"/>
    <cellStyle name="Normal 14 2 3 4 2" xfId="6734" xr:uid="{00000000-0005-0000-0000-00006E680000}"/>
    <cellStyle name="Normal 14 2 3 4 3" xfId="6735" xr:uid="{00000000-0005-0000-0000-00006F680000}"/>
    <cellStyle name="Normal 14 2 3 5" xfId="6736" xr:uid="{00000000-0005-0000-0000-000070680000}"/>
    <cellStyle name="Normal 14 2 3 6" xfId="6737" xr:uid="{00000000-0005-0000-0000-000071680000}"/>
    <cellStyle name="Normal 14 2 4" xfId="6738" xr:uid="{00000000-0005-0000-0000-000072680000}"/>
    <cellStyle name="Normal 14 2 4 2" xfId="6739" xr:uid="{00000000-0005-0000-0000-000073680000}"/>
    <cellStyle name="Normal 14 2 4 2 2" xfId="6740" xr:uid="{00000000-0005-0000-0000-000074680000}"/>
    <cellStyle name="Normal 14 2 4 2 3" xfId="6741" xr:uid="{00000000-0005-0000-0000-000075680000}"/>
    <cellStyle name="Normal 14 2 4 3" xfId="6742" xr:uid="{00000000-0005-0000-0000-000076680000}"/>
    <cellStyle name="Normal 14 2 4 3 2" xfId="6743" xr:uid="{00000000-0005-0000-0000-000077680000}"/>
    <cellStyle name="Normal 14 2 4 3 3" xfId="6744" xr:uid="{00000000-0005-0000-0000-000078680000}"/>
    <cellStyle name="Normal 14 2 4 4" xfId="6745" xr:uid="{00000000-0005-0000-0000-000079680000}"/>
    <cellStyle name="Normal 14 2 4 5" xfId="6746" xr:uid="{00000000-0005-0000-0000-00007A680000}"/>
    <cellStyle name="Normal 14 2 5" xfId="6747" xr:uid="{00000000-0005-0000-0000-00007B680000}"/>
    <cellStyle name="Normal 14 2 5 2" xfId="6748" xr:uid="{00000000-0005-0000-0000-00007C680000}"/>
    <cellStyle name="Normal 14 2 5 3" xfId="6749" xr:uid="{00000000-0005-0000-0000-00007D680000}"/>
    <cellStyle name="Normal 14 2 6" xfId="6750" xr:uid="{00000000-0005-0000-0000-00007E680000}"/>
    <cellStyle name="Normal 14 2 6 2" xfId="6751" xr:uid="{00000000-0005-0000-0000-00007F680000}"/>
    <cellStyle name="Normal 14 2 6 3" xfId="6752" xr:uid="{00000000-0005-0000-0000-000080680000}"/>
    <cellStyle name="Normal 14 2 7" xfId="6753" xr:uid="{00000000-0005-0000-0000-000081680000}"/>
    <cellStyle name="Normal 14 2 8" xfId="6754" xr:uid="{00000000-0005-0000-0000-000082680000}"/>
    <cellStyle name="Normal 14 3" xfId="6755" xr:uid="{00000000-0005-0000-0000-000083680000}"/>
    <cellStyle name="Normal 14 3 2" xfId="6756" xr:uid="{00000000-0005-0000-0000-000084680000}"/>
    <cellStyle name="Normal 14 3 2 2" xfId="6757" xr:uid="{00000000-0005-0000-0000-000085680000}"/>
    <cellStyle name="Normal 14 3 2 2 2" xfId="6758" xr:uid="{00000000-0005-0000-0000-000086680000}"/>
    <cellStyle name="Normal 14 3 2 2 2 2" xfId="6759" xr:uid="{00000000-0005-0000-0000-000087680000}"/>
    <cellStyle name="Normal 14 3 2 2 2 2 2" xfId="6760" xr:uid="{00000000-0005-0000-0000-000088680000}"/>
    <cellStyle name="Normal 14 3 2 2 2 2 3" xfId="6761" xr:uid="{00000000-0005-0000-0000-000089680000}"/>
    <cellStyle name="Normal 14 3 2 2 2 3" xfId="6762" xr:uid="{00000000-0005-0000-0000-00008A680000}"/>
    <cellStyle name="Normal 14 3 2 2 2 3 2" xfId="6763" xr:uid="{00000000-0005-0000-0000-00008B680000}"/>
    <cellStyle name="Normal 14 3 2 2 2 3 3" xfId="6764" xr:uid="{00000000-0005-0000-0000-00008C680000}"/>
    <cellStyle name="Normal 14 3 2 2 2 4" xfId="6765" xr:uid="{00000000-0005-0000-0000-00008D680000}"/>
    <cellStyle name="Normal 14 3 2 2 2 5" xfId="6766" xr:uid="{00000000-0005-0000-0000-00008E680000}"/>
    <cellStyle name="Normal 14 3 2 2 3" xfId="6767" xr:uid="{00000000-0005-0000-0000-00008F680000}"/>
    <cellStyle name="Normal 14 3 2 2 3 2" xfId="6768" xr:uid="{00000000-0005-0000-0000-000090680000}"/>
    <cellStyle name="Normal 14 3 2 2 3 3" xfId="6769" xr:uid="{00000000-0005-0000-0000-000091680000}"/>
    <cellStyle name="Normal 14 3 2 2 4" xfId="6770" xr:uid="{00000000-0005-0000-0000-000092680000}"/>
    <cellStyle name="Normal 14 3 2 2 4 2" xfId="6771" xr:uid="{00000000-0005-0000-0000-000093680000}"/>
    <cellStyle name="Normal 14 3 2 2 4 3" xfId="6772" xr:uid="{00000000-0005-0000-0000-000094680000}"/>
    <cellStyle name="Normal 14 3 2 2 5" xfId="6773" xr:uid="{00000000-0005-0000-0000-000095680000}"/>
    <cellStyle name="Normal 14 3 2 2 6" xfId="6774" xr:uid="{00000000-0005-0000-0000-000096680000}"/>
    <cellStyle name="Normal 14 3 2 3" xfId="6775" xr:uid="{00000000-0005-0000-0000-000097680000}"/>
    <cellStyle name="Normal 14 3 2 3 2" xfId="6776" xr:uid="{00000000-0005-0000-0000-000098680000}"/>
    <cellStyle name="Normal 14 3 2 3 2 2" xfId="6777" xr:uid="{00000000-0005-0000-0000-000099680000}"/>
    <cellStyle name="Normal 14 3 2 3 2 3" xfId="6778" xr:uid="{00000000-0005-0000-0000-00009A680000}"/>
    <cellStyle name="Normal 14 3 2 3 3" xfId="6779" xr:uid="{00000000-0005-0000-0000-00009B680000}"/>
    <cellStyle name="Normal 14 3 2 3 3 2" xfId="6780" xr:uid="{00000000-0005-0000-0000-00009C680000}"/>
    <cellStyle name="Normal 14 3 2 3 3 3" xfId="6781" xr:uid="{00000000-0005-0000-0000-00009D680000}"/>
    <cellStyle name="Normal 14 3 2 3 4" xfId="6782" xr:uid="{00000000-0005-0000-0000-00009E680000}"/>
    <cellStyle name="Normal 14 3 2 3 5" xfId="6783" xr:uid="{00000000-0005-0000-0000-00009F680000}"/>
    <cellStyle name="Normal 14 3 2 4" xfId="6784" xr:uid="{00000000-0005-0000-0000-0000A0680000}"/>
    <cellStyle name="Normal 14 3 2 4 2" xfId="6785" xr:uid="{00000000-0005-0000-0000-0000A1680000}"/>
    <cellStyle name="Normal 14 3 2 4 3" xfId="6786" xr:uid="{00000000-0005-0000-0000-0000A2680000}"/>
    <cellStyle name="Normal 14 3 2 5" xfId="6787" xr:uid="{00000000-0005-0000-0000-0000A3680000}"/>
    <cellStyle name="Normal 14 3 2 5 2" xfId="6788" xr:uid="{00000000-0005-0000-0000-0000A4680000}"/>
    <cellStyle name="Normal 14 3 2 5 3" xfId="6789" xr:uid="{00000000-0005-0000-0000-0000A5680000}"/>
    <cellStyle name="Normal 14 3 2 6" xfId="6790" xr:uid="{00000000-0005-0000-0000-0000A6680000}"/>
    <cellStyle name="Normal 14 3 2 7" xfId="6791" xr:uid="{00000000-0005-0000-0000-0000A7680000}"/>
    <cellStyle name="Normal 14 3 3" xfId="6792" xr:uid="{00000000-0005-0000-0000-0000A8680000}"/>
    <cellStyle name="Normal 14 3 3 2" xfId="6793" xr:uid="{00000000-0005-0000-0000-0000A9680000}"/>
    <cellStyle name="Normal 14 3 3 2 2" xfId="6794" xr:uid="{00000000-0005-0000-0000-0000AA680000}"/>
    <cellStyle name="Normal 14 3 3 2 2 2" xfId="6795" xr:uid="{00000000-0005-0000-0000-0000AB680000}"/>
    <cellStyle name="Normal 14 3 3 2 2 3" xfId="6796" xr:uid="{00000000-0005-0000-0000-0000AC680000}"/>
    <cellStyle name="Normal 14 3 3 2 3" xfId="6797" xr:uid="{00000000-0005-0000-0000-0000AD680000}"/>
    <cellStyle name="Normal 14 3 3 2 3 2" xfId="6798" xr:uid="{00000000-0005-0000-0000-0000AE680000}"/>
    <cellStyle name="Normal 14 3 3 2 3 3" xfId="6799" xr:uid="{00000000-0005-0000-0000-0000AF680000}"/>
    <cellStyle name="Normal 14 3 3 2 4" xfId="6800" xr:uid="{00000000-0005-0000-0000-0000B0680000}"/>
    <cellStyle name="Normal 14 3 3 2 5" xfId="6801" xr:uid="{00000000-0005-0000-0000-0000B1680000}"/>
    <cellStyle name="Normal 14 3 3 3" xfId="6802" xr:uid="{00000000-0005-0000-0000-0000B2680000}"/>
    <cellStyle name="Normal 14 3 3 3 2" xfId="6803" xr:uid="{00000000-0005-0000-0000-0000B3680000}"/>
    <cellStyle name="Normal 14 3 3 3 3" xfId="6804" xr:uid="{00000000-0005-0000-0000-0000B4680000}"/>
    <cellStyle name="Normal 14 3 3 4" xfId="6805" xr:uid="{00000000-0005-0000-0000-0000B5680000}"/>
    <cellStyle name="Normal 14 3 3 4 2" xfId="6806" xr:uid="{00000000-0005-0000-0000-0000B6680000}"/>
    <cellStyle name="Normal 14 3 3 4 3" xfId="6807" xr:uid="{00000000-0005-0000-0000-0000B7680000}"/>
    <cellStyle name="Normal 14 3 3 5" xfId="6808" xr:uid="{00000000-0005-0000-0000-0000B8680000}"/>
    <cellStyle name="Normal 14 3 3 6" xfId="6809" xr:uid="{00000000-0005-0000-0000-0000B9680000}"/>
    <cellStyle name="Normal 14 3 4" xfId="6810" xr:uid="{00000000-0005-0000-0000-0000BA680000}"/>
    <cellStyle name="Normal 14 3 4 2" xfId="6811" xr:uid="{00000000-0005-0000-0000-0000BB680000}"/>
    <cellStyle name="Normal 14 3 4 2 2" xfId="6812" xr:uid="{00000000-0005-0000-0000-0000BC680000}"/>
    <cellStyle name="Normal 14 3 4 2 3" xfId="6813" xr:uid="{00000000-0005-0000-0000-0000BD680000}"/>
    <cellStyle name="Normal 14 3 4 3" xfId="6814" xr:uid="{00000000-0005-0000-0000-0000BE680000}"/>
    <cellStyle name="Normal 14 3 4 3 2" xfId="6815" xr:uid="{00000000-0005-0000-0000-0000BF680000}"/>
    <cellStyle name="Normal 14 3 4 3 3" xfId="6816" xr:uid="{00000000-0005-0000-0000-0000C0680000}"/>
    <cellStyle name="Normal 14 3 4 4" xfId="6817" xr:uid="{00000000-0005-0000-0000-0000C1680000}"/>
    <cellStyle name="Normal 14 3 4 5" xfId="6818" xr:uid="{00000000-0005-0000-0000-0000C2680000}"/>
    <cellStyle name="Normal 14 3 5" xfId="6819" xr:uid="{00000000-0005-0000-0000-0000C3680000}"/>
    <cellStyle name="Normal 14 3 5 2" xfId="6820" xr:uid="{00000000-0005-0000-0000-0000C4680000}"/>
    <cellStyle name="Normal 14 3 5 3" xfId="6821" xr:uid="{00000000-0005-0000-0000-0000C5680000}"/>
    <cellStyle name="Normal 14 3 6" xfId="6822" xr:uid="{00000000-0005-0000-0000-0000C6680000}"/>
    <cellStyle name="Normal 14 3 6 2" xfId="6823" xr:uid="{00000000-0005-0000-0000-0000C7680000}"/>
    <cellStyle name="Normal 14 3 6 3" xfId="6824" xr:uid="{00000000-0005-0000-0000-0000C8680000}"/>
    <cellStyle name="Normal 14 3 7" xfId="6825" xr:uid="{00000000-0005-0000-0000-0000C9680000}"/>
    <cellStyle name="Normal 14 3 8" xfId="6826" xr:uid="{00000000-0005-0000-0000-0000CA680000}"/>
    <cellStyle name="Normal 14 4" xfId="6827" xr:uid="{00000000-0005-0000-0000-0000CB680000}"/>
    <cellStyle name="Normal 14 4 2" xfId="6828" xr:uid="{00000000-0005-0000-0000-0000CC680000}"/>
    <cellStyle name="Normal 14 4 2 2" xfId="6829" xr:uid="{00000000-0005-0000-0000-0000CD680000}"/>
    <cellStyle name="Normal 14 4 2 2 2" xfId="6830" xr:uid="{00000000-0005-0000-0000-0000CE680000}"/>
    <cellStyle name="Normal 14 4 2 2 2 2" xfId="6831" xr:uid="{00000000-0005-0000-0000-0000CF680000}"/>
    <cellStyle name="Normal 14 4 2 2 2 3" xfId="6832" xr:uid="{00000000-0005-0000-0000-0000D0680000}"/>
    <cellStyle name="Normal 14 4 2 2 3" xfId="6833" xr:uid="{00000000-0005-0000-0000-0000D1680000}"/>
    <cellStyle name="Normal 14 4 2 2 3 2" xfId="6834" xr:uid="{00000000-0005-0000-0000-0000D2680000}"/>
    <cellStyle name="Normal 14 4 2 2 3 3" xfId="6835" xr:uid="{00000000-0005-0000-0000-0000D3680000}"/>
    <cellStyle name="Normal 14 4 2 2 4" xfId="6836" xr:uid="{00000000-0005-0000-0000-0000D4680000}"/>
    <cellStyle name="Normal 14 4 2 2 5" xfId="6837" xr:uid="{00000000-0005-0000-0000-0000D5680000}"/>
    <cellStyle name="Normal 14 4 2 3" xfId="6838" xr:uid="{00000000-0005-0000-0000-0000D6680000}"/>
    <cellStyle name="Normal 14 4 2 3 2" xfId="6839" xr:uid="{00000000-0005-0000-0000-0000D7680000}"/>
    <cellStyle name="Normal 14 4 2 3 3" xfId="6840" xr:uid="{00000000-0005-0000-0000-0000D8680000}"/>
    <cellStyle name="Normal 14 4 2 4" xfId="6841" xr:uid="{00000000-0005-0000-0000-0000D9680000}"/>
    <cellStyle name="Normal 14 4 2 4 2" xfId="6842" xr:uid="{00000000-0005-0000-0000-0000DA680000}"/>
    <cellStyle name="Normal 14 4 2 4 3" xfId="6843" xr:uid="{00000000-0005-0000-0000-0000DB680000}"/>
    <cellStyle name="Normal 14 4 2 5" xfId="6844" xr:uid="{00000000-0005-0000-0000-0000DC680000}"/>
    <cellStyle name="Normal 14 4 2 6" xfId="6845" xr:uid="{00000000-0005-0000-0000-0000DD680000}"/>
    <cellStyle name="Normal 14 4 3" xfId="6846" xr:uid="{00000000-0005-0000-0000-0000DE680000}"/>
    <cellStyle name="Normal 14 4 3 2" xfId="6847" xr:uid="{00000000-0005-0000-0000-0000DF680000}"/>
    <cellStyle name="Normal 14 4 3 2 2" xfId="6848" xr:uid="{00000000-0005-0000-0000-0000E0680000}"/>
    <cellStyle name="Normal 14 4 3 2 3" xfId="6849" xr:uid="{00000000-0005-0000-0000-0000E1680000}"/>
    <cellStyle name="Normal 14 4 3 3" xfId="6850" xr:uid="{00000000-0005-0000-0000-0000E2680000}"/>
    <cellStyle name="Normal 14 4 3 3 2" xfId="6851" xr:uid="{00000000-0005-0000-0000-0000E3680000}"/>
    <cellStyle name="Normal 14 4 3 3 3" xfId="6852" xr:uid="{00000000-0005-0000-0000-0000E4680000}"/>
    <cellStyle name="Normal 14 4 3 4" xfId="6853" xr:uid="{00000000-0005-0000-0000-0000E5680000}"/>
    <cellStyle name="Normal 14 4 3 5" xfId="6854" xr:uid="{00000000-0005-0000-0000-0000E6680000}"/>
    <cellStyle name="Normal 14 4 4" xfId="6855" xr:uid="{00000000-0005-0000-0000-0000E7680000}"/>
    <cellStyle name="Normal 14 4 4 2" xfId="6856" xr:uid="{00000000-0005-0000-0000-0000E8680000}"/>
    <cellStyle name="Normal 14 4 4 3" xfId="6857" xr:uid="{00000000-0005-0000-0000-0000E9680000}"/>
    <cellStyle name="Normal 14 4 5" xfId="6858" xr:uid="{00000000-0005-0000-0000-0000EA680000}"/>
    <cellStyle name="Normal 14 4 5 2" xfId="6859" xr:uid="{00000000-0005-0000-0000-0000EB680000}"/>
    <cellStyle name="Normal 14 4 5 3" xfId="6860" xr:uid="{00000000-0005-0000-0000-0000EC680000}"/>
    <cellStyle name="Normal 14 4 6" xfId="6861" xr:uid="{00000000-0005-0000-0000-0000ED680000}"/>
    <cellStyle name="Normal 14 4 7" xfId="6862" xr:uid="{00000000-0005-0000-0000-0000EE680000}"/>
    <cellStyle name="Normal 14 5" xfId="6863" xr:uid="{00000000-0005-0000-0000-0000EF680000}"/>
    <cellStyle name="Normal 14 5 2" xfId="6864" xr:uid="{00000000-0005-0000-0000-0000F0680000}"/>
    <cellStyle name="Normal 14 5 2 2" xfId="6865" xr:uid="{00000000-0005-0000-0000-0000F1680000}"/>
    <cellStyle name="Normal 14 5 2 2 2" xfId="6866" xr:uid="{00000000-0005-0000-0000-0000F2680000}"/>
    <cellStyle name="Normal 14 5 2 2 3" xfId="6867" xr:uid="{00000000-0005-0000-0000-0000F3680000}"/>
    <cellStyle name="Normal 14 5 2 3" xfId="6868" xr:uid="{00000000-0005-0000-0000-0000F4680000}"/>
    <cellStyle name="Normal 14 5 2 3 2" xfId="6869" xr:uid="{00000000-0005-0000-0000-0000F5680000}"/>
    <cellStyle name="Normal 14 5 2 3 3" xfId="6870" xr:uid="{00000000-0005-0000-0000-0000F6680000}"/>
    <cellStyle name="Normal 14 5 2 4" xfId="6871" xr:uid="{00000000-0005-0000-0000-0000F7680000}"/>
    <cellStyle name="Normal 14 5 2 5" xfId="6872" xr:uid="{00000000-0005-0000-0000-0000F8680000}"/>
    <cellStyle name="Normal 14 5 3" xfId="6873" xr:uid="{00000000-0005-0000-0000-0000F9680000}"/>
    <cellStyle name="Normal 14 5 3 2" xfId="6874" xr:uid="{00000000-0005-0000-0000-0000FA680000}"/>
    <cellStyle name="Normal 14 5 3 3" xfId="6875" xr:uid="{00000000-0005-0000-0000-0000FB680000}"/>
    <cellStyle name="Normal 14 5 4" xfId="6876" xr:uid="{00000000-0005-0000-0000-0000FC680000}"/>
    <cellStyle name="Normal 14 5 4 2" xfId="6877" xr:uid="{00000000-0005-0000-0000-0000FD680000}"/>
    <cellStyle name="Normal 14 5 4 3" xfId="6878" xr:uid="{00000000-0005-0000-0000-0000FE680000}"/>
    <cellStyle name="Normal 14 5 5" xfId="6879" xr:uid="{00000000-0005-0000-0000-0000FF680000}"/>
    <cellStyle name="Normal 14 5 6" xfId="6880" xr:uid="{00000000-0005-0000-0000-000000690000}"/>
    <cellStyle name="Normal 14 6" xfId="6881" xr:uid="{00000000-0005-0000-0000-000001690000}"/>
    <cellStyle name="Normal 14 6 2" xfId="6882" xr:uid="{00000000-0005-0000-0000-000002690000}"/>
    <cellStyle name="Normal 14 6 2 2" xfId="6883" xr:uid="{00000000-0005-0000-0000-000003690000}"/>
    <cellStyle name="Normal 14 6 2 3" xfId="6884" xr:uid="{00000000-0005-0000-0000-000004690000}"/>
    <cellStyle name="Normal 14 6 3" xfId="6885" xr:uid="{00000000-0005-0000-0000-000005690000}"/>
    <cellStyle name="Normal 14 6 3 2" xfId="6886" xr:uid="{00000000-0005-0000-0000-000006690000}"/>
    <cellStyle name="Normal 14 6 3 3" xfId="6887" xr:uid="{00000000-0005-0000-0000-000007690000}"/>
    <cellStyle name="Normal 14 6 4" xfId="6888" xr:uid="{00000000-0005-0000-0000-000008690000}"/>
    <cellStyle name="Normal 14 6 5" xfId="6889" xr:uid="{00000000-0005-0000-0000-000009690000}"/>
    <cellStyle name="Normal 14 7" xfId="6890" xr:uid="{00000000-0005-0000-0000-00000A690000}"/>
    <cellStyle name="Normal 14 7 2" xfId="6891" xr:uid="{00000000-0005-0000-0000-00000B690000}"/>
    <cellStyle name="Normal 14 7 3" xfId="6892" xr:uid="{00000000-0005-0000-0000-00000C690000}"/>
    <cellStyle name="Normal 14 8" xfId="6893" xr:uid="{00000000-0005-0000-0000-00000D690000}"/>
    <cellStyle name="Normal 14 8 2" xfId="6894" xr:uid="{00000000-0005-0000-0000-00000E690000}"/>
    <cellStyle name="Normal 14 8 3" xfId="6895" xr:uid="{00000000-0005-0000-0000-00000F690000}"/>
    <cellStyle name="Normal 14 9" xfId="6896" xr:uid="{00000000-0005-0000-0000-000010690000}"/>
    <cellStyle name="Normal 14_Recycling Tons" xfId="6897" xr:uid="{00000000-0005-0000-0000-000011690000}"/>
    <cellStyle name="Normal 140" xfId="6898" xr:uid="{00000000-0005-0000-0000-000012690000}"/>
    <cellStyle name="Normal 141" xfId="6899" xr:uid="{00000000-0005-0000-0000-000013690000}"/>
    <cellStyle name="Normal 142" xfId="6900" xr:uid="{00000000-0005-0000-0000-000014690000}"/>
    <cellStyle name="Normal 143" xfId="6901" xr:uid="{00000000-0005-0000-0000-000015690000}"/>
    <cellStyle name="Normal 15" xfId="161" xr:uid="{00000000-0005-0000-0000-000016690000}"/>
    <cellStyle name="Normal 15 2" xfId="342" xr:uid="{00000000-0005-0000-0000-000017690000}"/>
    <cellStyle name="Normal 15 2 2" xfId="6902" xr:uid="{00000000-0005-0000-0000-000018690000}"/>
    <cellStyle name="Normal 15 2 2 2" xfId="6903" xr:uid="{00000000-0005-0000-0000-000019690000}"/>
    <cellStyle name="Normal 15 2 3" xfId="6904" xr:uid="{00000000-0005-0000-0000-00001A690000}"/>
    <cellStyle name="Normal 15 3" xfId="6905" xr:uid="{00000000-0005-0000-0000-00001B690000}"/>
    <cellStyle name="Normal 15 3 2" xfId="6906" xr:uid="{00000000-0005-0000-0000-00001C690000}"/>
    <cellStyle name="Normal 15 3 3" xfId="6907" xr:uid="{00000000-0005-0000-0000-00001D690000}"/>
    <cellStyle name="Normal 15 4" xfId="6908" xr:uid="{00000000-0005-0000-0000-00001E690000}"/>
    <cellStyle name="Normal 15 4 2" xfId="6909" xr:uid="{00000000-0005-0000-0000-00001F690000}"/>
    <cellStyle name="Normal 15 5" xfId="6910" xr:uid="{00000000-0005-0000-0000-000020690000}"/>
    <cellStyle name="Normal 15 6" xfId="6911" xr:uid="{00000000-0005-0000-0000-000021690000}"/>
    <cellStyle name="Normal 15_Recycling Tons" xfId="6912" xr:uid="{00000000-0005-0000-0000-000022690000}"/>
    <cellStyle name="Normal 16" xfId="162" xr:uid="{00000000-0005-0000-0000-000023690000}"/>
    <cellStyle name="Normal 16 10" xfId="6913" xr:uid="{00000000-0005-0000-0000-000024690000}"/>
    <cellStyle name="Normal 16 2" xfId="343" xr:uid="{00000000-0005-0000-0000-000025690000}"/>
    <cellStyle name="Normal 16 2 2" xfId="6914" xr:uid="{00000000-0005-0000-0000-000026690000}"/>
    <cellStyle name="Normal 16 2 2 2" xfId="6915" xr:uid="{00000000-0005-0000-0000-000027690000}"/>
    <cellStyle name="Normal 16 2 3" xfId="6916" xr:uid="{00000000-0005-0000-0000-000028690000}"/>
    <cellStyle name="Normal 16 3" xfId="6917" xr:uid="{00000000-0005-0000-0000-000029690000}"/>
    <cellStyle name="Normal 16 3 2" xfId="6918" xr:uid="{00000000-0005-0000-0000-00002A690000}"/>
    <cellStyle name="Normal 16 3 2 2" xfId="6919" xr:uid="{00000000-0005-0000-0000-00002B690000}"/>
    <cellStyle name="Normal 16 3 2 2 2" xfId="6920" xr:uid="{00000000-0005-0000-0000-00002C690000}"/>
    <cellStyle name="Normal 16 3 2 2 2 2" xfId="6921" xr:uid="{00000000-0005-0000-0000-00002D690000}"/>
    <cellStyle name="Normal 16 3 2 2 2 2 2" xfId="6922" xr:uid="{00000000-0005-0000-0000-00002E690000}"/>
    <cellStyle name="Normal 16 3 2 2 2 2 3" xfId="6923" xr:uid="{00000000-0005-0000-0000-00002F690000}"/>
    <cellStyle name="Normal 16 3 2 2 2 3" xfId="6924" xr:uid="{00000000-0005-0000-0000-000030690000}"/>
    <cellStyle name="Normal 16 3 2 2 2 3 2" xfId="6925" xr:uid="{00000000-0005-0000-0000-000031690000}"/>
    <cellStyle name="Normal 16 3 2 2 2 3 3" xfId="6926" xr:uid="{00000000-0005-0000-0000-000032690000}"/>
    <cellStyle name="Normal 16 3 2 2 2 4" xfId="6927" xr:uid="{00000000-0005-0000-0000-000033690000}"/>
    <cellStyle name="Normal 16 3 2 2 2 5" xfId="6928" xr:uid="{00000000-0005-0000-0000-000034690000}"/>
    <cellStyle name="Normal 16 3 2 2 3" xfId="6929" xr:uid="{00000000-0005-0000-0000-000035690000}"/>
    <cellStyle name="Normal 16 3 2 2 3 2" xfId="6930" xr:uid="{00000000-0005-0000-0000-000036690000}"/>
    <cellStyle name="Normal 16 3 2 2 3 3" xfId="6931" xr:uid="{00000000-0005-0000-0000-000037690000}"/>
    <cellStyle name="Normal 16 3 2 2 4" xfId="6932" xr:uid="{00000000-0005-0000-0000-000038690000}"/>
    <cellStyle name="Normal 16 3 2 2 4 2" xfId="6933" xr:uid="{00000000-0005-0000-0000-000039690000}"/>
    <cellStyle name="Normal 16 3 2 2 4 3" xfId="6934" xr:uid="{00000000-0005-0000-0000-00003A690000}"/>
    <cellStyle name="Normal 16 3 2 2 5" xfId="6935" xr:uid="{00000000-0005-0000-0000-00003B690000}"/>
    <cellStyle name="Normal 16 3 2 2 6" xfId="6936" xr:uid="{00000000-0005-0000-0000-00003C690000}"/>
    <cellStyle name="Normal 16 3 2 3" xfId="6937" xr:uid="{00000000-0005-0000-0000-00003D690000}"/>
    <cellStyle name="Normal 16 3 2 3 2" xfId="6938" xr:uid="{00000000-0005-0000-0000-00003E690000}"/>
    <cellStyle name="Normal 16 3 2 3 2 2" xfId="6939" xr:uid="{00000000-0005-0000-0000-00003F690000}"/>
    <cellStyle name="Normal 16 3 2 3 2 3" xfId="6940" xr:uid="{00000000-0005-0000-0000-000040690000}"/>
    <cellStyle name="Normal 16 3 2 3 3" xfId="6941" xr:uid="{00000000-0005-0000-0000-000041690000}"/>
    <cellStyle name="Normal 16 3 2 3 3 2" xfId="6942" xr:uid="{00000000-0005-0000-0000-000042690000}"/>
    <cellStyle name="Normal 16 3 2 3 3 3" xfId="6943" xr:uid="{00000000-0005-0000-0000-000043690000}"/>
    <cellStyle name="Normal 16 3 2 3 4" xfId="6944" xr:uid="{00000000-0005-0000-0000-000044690000}"/>
    <cellStyle name="Normal 16 3 2 3 5" xfId="6945" xr:uid="{00000000-0005-0000-0000-000045690000}"/>
    <cellStyle name="Normal 16 3 2 4" xfId="6946" xr:uid="{00000000-0005-0000-0000-000046690000}"/>
    <cellStyle name="Normal 16 3 2 4 2" xfId="6947" xr:uid="{00000000-0005-0000-0000-000047690000}"/>
    <cellStyle name="Normal 16 3 2 4 3" xfId="6948" xr:uid="{00000000-0005-0000-0000-000048690000}"/>
    <cellStyle name="Normal 16 3 2 5" xfId="6949" xr:uid="{00000000-0005-0000-0000-000049690000}"/>
    <cellStyle name="Normal 16 3 2 5 2" xfId="6950" xr:uid="{00000000-0005-0000-0000-00004A690000}"/>
    <cellStyle name="Normal 16 3 2 5 3" xfId="6951" xr:uid="{00000000-0005-0000-0000-00004B690000}"/>
    <cellStyle name="Normal 16 3 2 6" xfId="6952" xr:uid="{00000000-0005-0000-0000-00004C690000}"/>
    <cellStyle name="Normal 16 3 2 7" xfId="6953" xr:uid="{00000000-0005-0000-0000-00004D690000}"/>
    <cellStyle name="Normal 16 3 3" xfId="6954" xr:uid="{00000000-0005-0000-0000-00004E690000}"/>
    <cellStyle name="Normal 16 3 3 2" xfId="6955" xr:uid="{00000000-0005-0000-0000-00004F690000}"/>
    <cellStyle name="Normal 16 3 3 2 2" xfId="6956" xr:uid="{00000000-0005-0000-0000-000050690000}"/>
    <cellStyle name="Normal 16 3 3 2 2 2" xfId="6957" xr:uid="{00000000-0005-0000-0000-000051690000}"/>
    <cellStyle name="Normal 16 3 3 2 2 3" xfId="6958" xr:uid="{00000000-0005-0000-0000-000052690000}"/>
    <cellStyle name="Normal 16 3 3 2 3" xfId="6959" xr:uid="{00000000-0005-0000-0000-000053690000}"/>
    <cellStyle name="Normal 16 3 3 2 3 2" xfId="6960" xr:uid="{00000000-0005-0000-0000-000054690000}"/>
    <cellStyle name="Normal 16 3 3 2 3 3" xfId="6961" xr:uid="{00000000-0005-0000-0000-000055690000}"/>
    <cellStyle name="Normal 16 3 3 2 4" xfId="6962" xr:uid="{00000000-0005-0000-0000-000056690000}"/>
    <cellStyle name="Normal 16 3 3 2 5" xfId="6963" xr:uid="{00000000-0005-0000-0000-000057690000}"/>
    <cellStyle name="Normal 16 3 3 3" xfId="6964" xr:uid="{00000000-0005-0000-0000-000058690000}"/>
    <cellStyle name="Normal 16 3 3 3 2" xfId="6965" xr:uid="{00000000-0005-0000-0000-000059690000}"/>
    <cellStyle name="Normal 16 3 3 3 3" xfId="6966" xr:uid="{00000000-0005-0000-0000-00005A690000}"/>
    <cellStyle name="Normal 16 3 3 4" xfId="6967" xr:uid="{00000000-0005-0000-0000-00005B690000}"/>
    <cellStyle name="Normal 16 3 3 4 2" xfId="6968" xr:uid="{00000000-0005-0000-0000-00005C690000}"/>
    <cellStyle name="Normal 16 3 3 4 3" xfId="6969" xr:uid="{00000000-0005-0000-0000-00005D690000}"/>
    <cellStyle name="Normal 16 3 3 5" xfId="6970" xr:uid="{00000000-0005-0000-0000-00005E690000}"/>
    <cellStyle name="Normal 16 3 3 6" xfId="6971" xr:uid="{00000000-0005-0000-0000-00005F690000}"/>
    <cellStyle name="Normal 16 3 4" xfId="6972" xr:uid="{00000000-0005-0000-0000-000060690000}"/>
    <cellStyle name="Normal 16 3 4 2" xfId="6973" xr:uid="{00000000-0005-0000-0000-000061690000}"/>
    <cellStyle name="Normal 16 3 4 2 2" xfId="6974" xr:uid="{00000000-0005-0000-0000-000062690000}"/>
    <cellStyle name="Normal 16 3 4 2 3" xfId="6975" xr:uid="{00000000-0005-0000-0000-000063690000}"/>
    <cellStyle name="Normal 16 3 4 3" xfId="6976" xr:uid="{00000000-0005-0000-0000-000064690000}"/>
    <cellStyle name="Normal 16 3 4 3 2" xfId="6977" xr:uid="{00000000-0005-0000-0000-000065690000}"/>
    <cellStyle name="Normal 16 3 4 3 3" xfId="6978" xr:uid="{00000000-0005-0000-0000-000066690000}"/>
    <cellStyle name="Normal 16 3 4 4" xfId="6979" xr:uid="{00000000-0005-0000-0000-000067690000}"/>
    <cellStyle name="Normal 16 3 4 5" xfId="6980" xr:uid="{00000000-0005-0000-0000-000068690000}"/>
    <cellStyle name="Normal 16 3 5" xfId="6981" xr:uid="{00000000-0005-0000-0000-000069690000}"/>
    <cellStyle name="Normal 16 3 5 2" xfId="6982" xr:uid="{00000000-0005-0000-0000-00006A690000}"/>
    <cellStyle name="Normal 16 3 5 3" xfId="6983" xr:uid="{00000000-0005-0000-0000-00006B690000}"/>
    <cellStyle name="Normal 16 3 6" xfId="6984" xr:uid="{00000000-0005-0000-0000-00006C690000}"/>
    <cellStyle name="Normal 16 3 6 2" xfId="6985" xr:uid="{00000000-0005-0000-0000-00006D690000}"/>
    <cellStyle name="Normal 16 3 6 3" xfId="6986" xr:uid="{00000000-0005-0000-0000-00006E690000}"/>
    <cellStyle name="Normal 16 3 7" xfId="6987" xr:uid="{00000000-0005-0000-0000-00006F690000}"/>
    <cellStyle name="Normal 16 3 8" xfId="6988" xr:uid="{00000000-0005-0000-0000-000070690000}"/>
    <cellStyle name="Normal 16 4" xfId="6989" xr:uid="{00000000-0005-0000-0000-000071690000}"/>
    <cellStyle name="Normal 16 4 2" xfId="6990" xr:uid="{00000000-0005-0000-0000-000072690000}"/>
    <cellStyle name="Normal 16 4 2 2" xfId="6991" xr:uid="{00000000-0005-0000-0000-000073690000}"/>
    <cellStyle name="Normal 16 4 2 2 2" xfId="6992" xr:uid="{00000000-0005-0000-0000-000074690000}"/>
    <cellStyle name="Normal 16 4 2 2 2 2" xfId="6993" xr:uid="{00000000-0005-0000-0000-000075690000}"/>
    <cellStyle name="Normal 16 4 2 2 2 3" xfId="6994" xr:uid="{00000000-0005-0000-0000-000076690000}"/>
    <cellStyle name="Normal 16 4 2 2 3" xfId="6995" xr:uid="{00000000-0005-0000-0000-000077690000}"/>
    <cellStyle name="Normal 16 4 2 2 3 2" xfId="6996" xr:uid="{00000000-0005-0000-0000-000078690000}"/>
    <cellStyle name="Normal 16 4 2 2 3 3" xfId="6997" xr:uid="{00000000-0005-0000-0000-000079690000}"/>
    <cellStyle name="Normal 16 4 2 2 4" xfId="6998" xr:uid="{00000000-0005-0000-0000-00007A690000}"/>
    <cellStyle name="Normal 16 4 2 2 5" xfId="6999" xr:uid="{00000000-0005-0000-0000-00007B690000}"/>
    <cellStyle name="Normal 16 4 2 3" xfId="7000" xr:uid="{00000000-0005-0000-0000-00007C690000}"/>
    <cellStyle name="Normal 16 4 2 3 2" xfId="7001" xr:uid="{00000000-0005-0000-0000-00007D690000}"/>
    <cellStyle name="Normal 16 4 2 3 3" xfId="7002" xr:uid="{00000000-0005-0000-0000-00007E690000}"/>
    <cellStyle name="Normal 16 4 2 4" xfId="7003" xr:uid="{00000000-0005-0000-0000-00007F690000}"/>
    <cellStyle name="Normal 16 4 2 4 2" xfId="7004" xr:uid="{00000000-0005-0000-0000-000080690000}"/>
    <cellStyle name="Normal 16 4 2 4 3" xfId="7005" xr:uid="{00000000-0005-0000-0000-000081690000}"/>
    <cellStyle name="Normal 16 4 2 5" xfId="7006" xr:uid="{00000000-0005-0000-0000-000082690000}"/>
    <cellStyle name="Normal 16 4 2 6" xfId="7007" xr:uid="{00000000-0005-0000-0000-000083690000}"/>
    <cellStyle name="Normal 16 4 3" xfId="7008" xr:uid="{00000000-0005-0000-0000-000084690000}"/>
    <cellStyle name="Normal 16 4 3 2" xfId="7009" xr:uid="{00000000-0005-0000-0000-000085690000}"/>
    <cellStyle name="Normal 16 4 3 2 2" xfId="7010" xr:uid="{00000000-0005-0000-0000-000086690000}"/>
    <cellStyle name="Normal 16 4 3 2 3" xfId="7011" xr:uid="{00000000-0005-0000-0000-000087690000}"/>
    <cellStyle name="Normal 16 4 3 3" xfId="7012" xr:uid="{00000000-0005-0000-0000-000088690000}"/>
    <cellStyle name="Normal 16 4 3 3 2" xfId="7013" xr:uid="{00000000-0005-0000-0000-000089690000}"/>
    <cellStyle name="Normal 16 4 3 3 3" xfId="7014" xr:uid="{00000000-0005-0000-0000-00008A690000}"/>
    <cellStyle name="Normal 16 4 3 4" xfId="7015" xr:uid="{00000000-0005-0000-0000-00008B690000}"/>
    <cellStyle name="Normal 16 4 3 5" xfId="7016" xr:uid="{00000000-0005-0000-0000-00008C690000}"/>
    <cellStyle name="Normal 16 4 4" xfId="7017" xr:uid="{00000000-0005-0000-0000-00008D690000}"/>
    <cellStyle name="Normal 16 4 4 2" xfId="7018" xr:uid="{00000000-0005-0000-0000-00008E690000}"/>
    <cellStyle name="Normal 16 4 4 3" xfId="7019" xr:uid="{00000000-0005-0000-0000-00008F690000}"/>
    <cellStyle name="Normal 16 4 5" xfId="7020" xr:uid="{00000000-0005-0000-0000-000090690000}"/>
    <cellStyle name="Normal 16 4 5 2" xfId="7021" xr:uid="{00000000-0005-0000-0000-000091690000}"/>
    <cellStyle name="Normal 16 4 5 3" xfId="7022" xr:uid="{00000000-0005-0000-0000-000092690000}"/>
    <cellStyle name="Normal 16 4 6" xfId="7023" xr:uid="{00000000-0005-0000-0000-000093690000}"/>
    <cellStyle name="Normal 16 4 7" xfId="7024" xr:uid="{00000000-0005-0000-0000-000094690000}"/>
    <cellStyle name="Normal 16 5" xfId="7025" xr:uid="{00000000-0005-0000-0000-000095690000}"/>
    <cellStyle name="Normal 16 5 2" xfId="7026" xr:uid="{00000000-0005-0000-0000-000096690000}"/>
    <cellStyle name="Normal 16 5 2 2" xfId="7027" xr:uid="{00000000-0005-0000-0000-000097690000}"/>
    <cellStyle name="Normal 16 5 2 2 2" xfId="7028" xr:uid="{00000000-0005-0000-0000-000098690000}"/>
    <cellStyle name="Normal 16 5 2 2 3" xfId="7029" xr:uid="{00000000-0005-0000-0000-000099690000}"/>
    <cellStyle name="Normal 16 5 2 3" xfId="7030" xr:uid="{00000000-0005-0000-0000-00009A690000}"/>
    <cellStyle name="Normal 16 5 2 3 2" xfId="7031" xr:uid="{00000000-0005-0000-0000-00009B690000}"/>
    <cellStyle name="Normal 16 5 2 3 3" xfId="7032" xr:uid="{00000000-0005-0000-0000-00009C690000}"/>
    <cellStyle name="Normal 16 5 2 4" xfId="7033" xr:uid="{00000000-0005-0000-0000-00009D690000}"/>
    <cellStyle name="Normal 16 5 2 5" xfId="7034" xr:uid="{00000000-0005-0000-0000-00009E690000}"/>
    <cellStyle name="Normal 16 5 3" xfId="7035" xr:uid="{00000000-0005-0000-0000-00009F690000}"/>
    <cellStyle name="Normal 16 5 3 2" xfId="7036" xr:uid="{00000000-0005-0000-0000-0000A0690000}"/>
    <cellStyle name="Normal 16 5 3 3" xfId="7037" xr:uid="{00000000-0005-0000-0000-0000A1690000}"/>
    <cellStyle name="Normal 16 5 4" xfId="7038" xr:uid="{00000000-0005-0000-0000-0000A2690000}"/>
    <cellStyle name="Normal 16 5 4 2" xfId="7039" xr:uid="{00000000-0005-0000-0000-0000A3690000}"/>
    <cellStyle name="Normal 16 5 4 3" xfId="7040" xr:uid="{00000000-0005-0000-0000-0000A4690000}"/>
    <cellStyle name="Normal 16 5 5" xfId="7041" xr:uid="{00000000-0005-0000-0000-0000A5690000}"/>
    <cellStyle name="Normal 16 5 6" xfId="7042" xr:uid="{00000000-0005-0000-0000-0000A6690000}"/>
    <cellStyle name="Normal 16 6" xfId="7043" xr:uid="{00000000-0005-0000-0000-0000A7690000}"/>
    <cellStyle name="Normal 16 6 2" xfId="7044" xr:uid="{00000000-0005-0000-0000-0000A8690000}"/>
    <cellStyle name="Normal 16 6 2 2" xfId="7045" xr:uid="{00000000-0005-0000-0000-0000A9690000}"/>
    <cellStyle name="Normal 16 6 2 3" xfId="7046" xr:uid="{00000000-0005-0000-0000-0000AA690000}"/>
    <cellStyle name="Normal 16 6 3" xfId="7047" xr:uid="{00000000-0005-0000-0000-0000AB690000}"/>
    <cellStyle name="Normal 16 6 3 2" xfId="7048" xr:uid="{00000000-0005-0000-0000-0000AC690000}"/>
    <cellStyle name="Normal 16 6 3 3" xfId="7049" xr:uid="{00000000-0005-0000-0000-0000AD690000}"/>
    <cellStyle name="Normal 16 6 4" xfId="7050" xr:uid="{00000000-0005-0000-0000-0000AE690000}"/>
    <cellStyle name="Normal 16 6 5" xfId="7051" xr:uid="{00000000-0005-0000-0000-0000AF690000}"/>
    <cellStyle name="Normal 16 7" xfId="7052" xr:uid="{00000000-0005-0000-0000-0000B0690000}"/>
    <cellStyle name="Normal 16 7 2" xfId="7053" xr:uid="{00000000-0005-0000-0000-0000B1690000}"/>
    <cellStyle name="Normal 16 7 3" xfId="7054" xr:uid="{00000000-0005-0000-0000-0000B2690000}"/>
    <cellStyle name="Normal 16 8" xfId="7055" xr:uid="{00000000-0005-0000-0000-0000B3690000}"/>
    <cellStyle name="Normal 16 8 2" xfId="7056" xr:uid="{00000000-0005-0000-0000-0000B4690000}"/>
    <cellStyle name="Normal 16 8 3" xfId="7057" xr:uid="{00000000-0005-0000-0000-0000B5690000}"/>
    <cellStyle name="Normal 16 9" xfId="7058" xr:uid="{00000000-0005-0000-0000-0000B6690000}"/>
    <cellStyle name="Normal 17" xfId="163" xr:uid="{00000000-0005-0000-0000-0000B7690000}"/>
    <cellStyle name="Normal 17 2" xfId="344" xr:uid="{00000000-0005-0000-0000-0000B8690000}"/>
    <cellStyle name="Normal 17 2 2" xfId="7059" xr:uid="{00000000-0005-0000-0000-0000B9690000}"/>
    <cellStyle name="Normal 17 2 2 2" xfId="7060" xr:uid="{00000000-0005-0000-0000-0000BA690000}"/>
    <cellStyle name="Normal 17 2 3" xfId="7061" xr:uid="{00000000-0005-0000-0000-0000BB690000}"/>
    <cellStyle name="Normal 17 3" xfId="7062" xr:uid="{00000000-0005-0000-0000-0000BC690000}"/>
    <cellStyle name="Normal 17 3 2" xfId="7063" xr:uid="{00000000-0005-0000-0000-0000BD690000}"/>
    <cellStyle name="Normal 17 3 3" xfId="7064" xr:uid="{00000000-0005-0000-0000-0000BE690000}"/>
    <cellStyle name="Normal 17 4" xfId="7065" xr:uid="{00000000-0005-0000-0000-0000BF690000}"/>
    <cellStyle name="Normal 17 5" xfId="7066" xr:uid="{00000000-0005-0000-0000-0000C0690000}"/>
    <cellStyle name="Normal 18" xfId="164" xr:uid="{00000000-0005-0000-0000-0000C1690000}"/>
    <cellStyle name="Normal 18 10" xfId="7067" xr:uid="{00000000-0005-0000-0000-0000C2690000}"/>
    <cellStyle name="Normal 18 11" xfId="7068" xr:uid="{00000000-0005-0000-0000-0000C3690000}"/>
    <cellStyle name="Normal 18 2" xfId="345" xr:uid="{00000000-0005-0000-0000-0000C4690000}"/>
    <cellStyle name="Normal 18 2 2" xfId="7069" xr:uid="{00000000-0005-0000-0000-0000C5690000}"/>
    <cellStyle name="Normal 18 2 2 2" xfId="7070" xr:uid="{00000000-0005-0000-0000-0000C6690000}"/>
    <cellStyle name="Normal 18 2 2 2 2" xfId="7071" xr:uid="{00000000-0005-0000-0000-0000C7690000}"/>
    <cellStyle name="Normal 18 2 2 2 2 2" xfId="7072" xr:uid="{00000000-0005-0000-0000-0000C8690000}"/>
    <cellStyle name="Normal 18 2 2 2 2 2 2" xfId="7073" xr:uid="{00000000-0005-0000-0000-0000C9690000}"/>
    <cellStyle name="Normal 18 2 2 2 2 2 3" xfId="7074" xr:uid="{00000000-0005-0000-0000-0000CA690000}"/>
    <cellStyle name="Normal 18 2 2 2 2 3" xfId="7075" xr:uid="{00000000-0005-0000-0000-0000CB690000}"/>
    <cellStyle name="Normal 18 2 2 2 2 3 2" xfId="7076" xr:uid="{00000000-0005-0000-0000-0000CC690000}"/>
    <cellStyle name="Normal 18 2 2 2 2 3 3" xfId="7077" xr:uid="{00000000-0005-0000-0000-0000CD690000}"/>
    <cellStyle name="Normal 18 2 2 2 2 4" xfId="7078" xr:uid="{00000000-0005-0000-0000-0000CE690000}"/>
    <cellStyle name="Normal 18 2 2 2 2 5" xfId="7079" xr:uid="{00000000-0005-0000-0000-0000CF690000}"/>
    <cellStyle name="Normal 18 2 2 2 3" xfId="7080" xr:uid="{00000000-0005-0000-0000-0000D0690000}"/>
    <cellStyle name="Normal 18 2 2 2 3 2" xfId="7081" xr:uid="{00000000-0005-0000-0000-0000D1690000}"/>
    <cellStyle name="Normal 18 2 2 2 3 3" xfId="7082" xr:uid="{00000000-0005-0000-0000-0000D2690000}"/>
    <cellStyle name="Normal 18 2 2 2 4" xfId="7083" xr:uid="{00000000-0005-0000-0000-0000D3690000}"/>
    <cellStyle name="Normal 18 2 2 2 4 2" xfId="7084" xr:uid="{00000000-0005-0000-0000-0000D4690000}"/>
    <cellStyle name="Normal 18 2 2 2 4 3" xfId="7085" xr:uid="{00000000-0005-0000-0000-0000D5690000}"/>
    <cellStyle name="Normal 18 2 2 2 5" xfId="7086" xr:uid="{00000000-0005-0000-0000-0000D6690000}"/>
    <cellStyle name="Normal 18 2 2 2 6" xfId="7087" xr:uid="{00000000-0005-0000-0000-0000D7690000}"/>
    <cellStyle name="Normal 18 2 2 3" xfId="7088" xr:uid="{00000000-0005-0000-0000-0000D8690000}"/>
    <cellStyle name="Normal 18 2 2 3 2" xfId="7089" xr:uid="{00000000-0005-0000-0000-0000D9690000}"/>
    <cellStyle name="Normal 18 2 2 3 2 2" xfId="7090" xr:uid="{00000000-0005-0000-0000-0000DA690000}"/>
    <cellStyle name="Normal 18 2 2 3 2 3" xfId="7091" xr:uid="{00000000-0005-0000-0000-0000DB690000}"/>
    <cellStyle name="Normal 18 2 2 3 3" xfId="7092" xr:uid="{00000000-0005-0000-0000-0000DC690000}"/>
    <cellStyle name="Normal 18 2 2 3 3 2" xfId="7093" xr:uid="{00000000-0005-0000-0000-0000DD690000}"/>
    <cellStyle name="Normal 18 2 2 3 3 3" xfId="7094" xr:uid="{00000000-0005-0000-0000-0000DE690000}"/>
    <cellStyle name="Normal 18 2 2 3 4" xfId="7095" xr:uid="{00000000-0005-0000-0000-0000DF690000}"/>
    <cellStyle name="Normal 18 2 2 3 5" xfId="7096" xr:uid="{00000000-0005-0000-0000-0000E0690000}"/>
    <cellStyle name="Normal 18 2 2 4" xfId="7097" xr:uid="{00000000-0005-0000-0000-0000E1690000}"/>
    <cellStyle name="Normal 18 2 2 4 2" xfId="7098" xr:uid="{00000000-0005-0000-0000-0000E2690000}"/>
    <cellStyle name="Normal 18 2 2 4 3" xfId="7099" xr:uid="{00000000-0005-0000-0000-0000E3690000}"/>
    <cellStyle name="Normal 18 2 2 5" xfId="7100" xr:uid="{00000000-0005-0000-0000-0000E4690000}"/>
    <cellStyle name="Normal 18 2 2 5 2" xfId="7101" xr:uid="{00000000-0005-0000-0000-0000E5690000}"/>
    <cellStyle name="Normal 18 2 2 5 3" xfId="7102" xr:uid="{00000000-0005-0000-0000-0000E6690000}"/>
    <cellStyle name="Normal 18 2 2 6" xfId="7103" xr:uid="{00000000-0005-0000-0000-0000E7690000}"/>
    <cellStyle name="Normal 18 2 2 7" xfId="7104" xr:uid="{00000000-0005-0000-0000-0000E8690000}"/>
    <cellStyle name="Normal 18 2 3" xfId="7105" xr:uid="{00000000-0005-0000-0000-0000E9690000}"/>
    <cellStyle name="Normal 18 2 3 2" xfId="7106" xr:uid="{00000000-0005-0000-0000-0000EA690000}"/>
    <cellStyle name="Normal 18 2 3 2 2" xfId="7107" xr:uid="{00000000-0005-0000-0000-0000EB690000}"/>
    <cellStyle name="Normal 18 2 3 2 2 2" xfId="7108" xr:uid="{00000000-0005-0000-0000-0000EC690000}"/>
    <cellStyle name="Normal 18 2 3 2 2 3" xfId="7109" xr:uid="{00000000-0005-0000-0000-0000ED690000}"/>
    <cellStyle name="Normal 18 2 3 2 3" xfId="7110" xr:uid="{00000000-0005-0000-0000-0000EE690000}"/>
    <cellStyle name="Normal 18 2 3 2 3 2" xfId="7111" xr:uid="{00000000-0005-0000-0000-0000EF690000}"/>
    <cellStyle name="Normal 18 2 3 2 3 3" xfId="7112" xr:uid="{00000000-0005-0000-0000-0000F0690000}"/>
    <cellStyle name="Normal 18 2 3 2 4" xfId="7113" xr:uid="{00000000-0005-0000-0000-0000F1690000}"/>
    <cellStyle name="Normal 18 2 3 2 5" xfId="7114" xr:uid="{00000000-0005-0000-0000-0000F2690000}"/>
    <cellStyle name="Normal 18 2 3 3" xfId="7115" xr:uid="{00000000-0005-0000-0000-0000F3690000}"/>
    <cellStyle name="Normal 18 2 3 3 2" xfId="7116" xr:uid="{00000000-0005-0000-0000-0000F4690000}"/>
    <cellStyle name="Normal 18 2 3 3 3" xfId="7117" xr:uid="{00000000-0005-0000-0000-0000F5690000}"/>
    <cellStyle name="Normal 18 2 3 4" xfId="7118" xr:uid="{00000000-0005-0000-0000-0000F6690000}"/>
    <cellStyle name="Normal 18 2 3 4 2" xfId="7119" xr:uid="{00000000-0005-0000-0000-0000F7690000}"/>
    <cellStyle name="Normal 18 2 3 4 3" xfId="7120" xr:uid="{00000000-0005-0000-0000-0000F8690000}"/>
    <cellStyle name="Normal 18 2 3 5" xfId="7121" xr:uid="{00000000-0005-0000-0000-0000F9690000}"/>
    <cellStyle name="Normal 18 2 3 6" xfId="7122" xr:uid="{00000000-0005-0000-0000-0000FA690000}"/>
    <cellStyle name="Normal 18 2 4" xfId="7123" xr:uid="{00000000-0005-0000-0000-0000FB690000}"/>
    <cellStyle name="Normal 18 2 4 2" xfId="7124" xr:uid="{00000000-0005-0000-0000-0000FC690000}"/>
    <cellStyle name="Normal 18 2 4 2 2" xfId="7125" xr:uid="{00000000-0005-0000-0000-0000FD690000}"/>
    <cellStyle name="Normal 18 2 4 2 3" xfId="7126" xr:uid="{00000000-0005-0000-0000-0000FE690000}"/>
    <cellStyle name="Normal 18 2 4 3" xfId="7127" xr:uid="{00000000-0005-0000-0000-0000FF690000}"/>
    <cellStyle name="Normal 18 2 4 3 2" xfId="7128" xr:uid="{00000000-0005-0000-0000-0000006A0000}"/>
    <cellStyle name="Normal 18 2 4 3 3" xfId="7129" xr:uid="{00000000-0005-0000-0000-0000016A0000}"/>
    <cellStyle name="Normal 18 2 4 4" xfId="7130" xr:uid="{00000000-0005-0000-0000-0000026A0000}"/>
    <cellStyle name="Normal 18 2 4 5" xfId="7131" xr:uid="{00000000-0005-0000-0000-0000036A0000}"/>
    <cellStyle name="Normal 18 2 5" xfId="7132" xr:uid="{00000000-0005-0000-0000-0000046A0000}"/>
    <cellStyle name="Normal 18 2 5 2" xfId="7133" xr:uid="{00000000-0005-0000-0000-0000056A0000}"/>
    <cellStyle name="Normal 18 2 5 3" xfId="7134" xr:uid="{00000000-0005-0000-0000-0000066A0000}"/>
    <cellStyle name="Normal 18 2 6" xfId="7135" xr:uid="{00000000-0005-0000-0000-0000076A0000}"/>
    <cellStyle name="Normal 18 2 6 2" xfId="7136" xr:uid="{00000000-0005-0000-0000-0000086A0000}"/>
    <cellStyle name="Normal 18 2 6 3" xfId="7137" xr:uid="{00000000-0005-0000-0000-0000096A0000}"/>
    <cellStyle name="Normal 18 2 7" xfId="7138" xr:uid="{00000000-0005-0000-0000-00000A6A0000}"/>
    <cellStyle name="Normal 18 2 8" xfId="7139" xr:uid="{00000000-0005-0000-0000-00000B6A0000}"/>
    <cellStyle name="Normal 18 3" xfId="7140" xr:uid="{00000000-0005-0000-0000-00000C6A0000}"/>
    <cellStyle name="Normal 18 3 2" xfId="7141" xr:uid="{00000000-0005-0000-0000-00000D6A0000}"/>
    <cellStyle name="Normal 18 3 2 2" xfId="7142" xr:uid="{00000000-0005-0000-0000-00000E6A0000}"/>
    <cellStyle name="Normal 18 3 2 2 2" xfId="7143" xr:uid="{00000000-0005-0000-0000-00000F6A0000}"/>
    <cellStyle name="Normal 18 3 2 2 2 2" xfId="7144" xr:uid="{00000000-0005-0000-0000-0000106A0000}"/>
    <cellStyle name="Normal 18 3 2 2 2 2 2" xfId="7145" xr:uid="{00000000-0005-0000-0000-0000116A0000}"/>
    <cellStyle name="Normal 18 3 2 2 2 2 3" xfId="7146" xr:uid="{00000000-0005-0000-0000-0000126A0000}"/>
    <cellStyle name="Normal 18 3 2 2 2 3" xfId="7147" xr:uid="{00000000-0005-0000-0000-0000136A0000}"/>
    <cellStyle name="Normal 18 3 2 2 2 3 2" xfId="7148" xr:uid="{00000000-0005-0000-0000-0000146A0000}"/>
    <cellStyle name="Normal 18 3 2 2 2 3 3" xfId="7149" xr:uid="{00000000-0005-0000-0000-0000156A0000}"/>
    <cellStyle name="Normal 18 3 2 2 2 4" xfId="7150" xr:uid="{00000000-0005-0000-0000-0000166A0000}"/>
    <cellStyle name="Normal 18 3 2 2 2 5" xfId="7151" xr:uid="{00000000-0005-0000-0000-0000176A0000}"/>
    <cellStyle name="Normal 18 3 2 2 3" xfId="7152" xr:uid="{00000000-0005-0000-0000-0000186A0000}"/>
    <cellStyle name="Normal 18 3 2 2 3 2" xfId="7153" xr:uid="{00000000-0005-0000-0000-0000196A0000}"/>
    <cellStyle name="Normal 18 3 2 2 3 3" xfId="7154" xr:uid="{00000000-0005-0000-0000-00001A6A0000}"/>
    <cellStyle name="Normal 18 3 2 2 4" xfId="7155" xr:uid="{00000000-0005-0000-0000-00001B6A0000}"/>
    <cellStyle name="Normal 18 3 2 2 4 2" xfId="7156" xr:uid="{00000000-0005-0000-0000-00001C6A0000}"/>
    <cellStyle name="Normal 18 3 2 2 4 3" xfId="7157" xr:uid="{00000000-0005-0000-0000-00001D6A0000}"/>
    <cellStyle name="Normal 18 3 2 2 5" xfId="7158" xr:uid="{00000000-0005-0000-0000-00001E6A0000}"/>
    <cellStyle name="Normal 18 3 2 2 6" xfId="7159" xr:uid="{00000000-0005-0000-0000-00001F6A0000}"/>
    <cellStyle name="Normal 18 3 2 3" xfId="7160" xr:uid="{00000000-0005-0000-0000-0000206A0000}"/>
    <cellStyle name="Normal 18 3 2 3 2" xfId="7161" xr:uid="{00000000-0005-0000-0000-0000216A0000}"/>
    <cellStyle name="Normal 18 3 2 3 2 2" xfId="7162" xr:uid="{00000000-0005-0000-0000-0000226A0000}"/>
    <cellStyle name="Normal 18 3 2 3 2 3" xfId="7163" xr:uid="{00000000-0005-0000-0000-0000236A0000}"/>
    <cellStyle name="Normal 18 3 2 3 3" xfId="7164" xr:uid="{00000000-0005-0000-0000-0000246A0000}"/>
    <cellStyle name="Normal 18 3 2 3 3 2" xfId="7165" xr:uid="{00000000-0005-0000-0000-0000256A0000}"/>
    <cellStyle name="Normal 18 3 2 3 3 3" xfId="7166" xr:uid="{00000000-0005-0000-0000-0000266A0000}"/>
    <cellStyle name="Normal 18 3 2 3 4" xfId="7167" xr:uid="{00000000-0005-0000-0000-0000276A0000}"/>
    <cellStyle name="Normal 18 3 2 3 5" xfId="7168" xr:uid="{00000000-0005-0000-0000-0000286A0000}"/>
    <cellStyle name="Normal 18 3 2 4" xfId="7169" xr:uid="{00000000-0005-0000-0000-0000296A0000}"/>
    <cellStyle name="Normal 18 3 2 4 2" xfId="7170" xr:uid="{00000000-0005-0000-0000-00002A6A0000}"/>
    <cellStyle name="Normal 18 3 2 4 3" xfId="7171" xr:uid="{00000000-0005-0000-0000-00002B6A0000}"/>
    <cellStyle name="Normal 18 3 2 5" xfId="7172" xr:uid="{00000000-0005-0000-0000-00002C6A0000}"/>
    <cellStyle name="Normal 18 3 2 5 2" xfId="7173" xr:uid="{00000000-0005-0000-0000-00002D6A0000}"/>
    <cellStyle name="Normal 18 3 2 5 3" xfId="7174" xr:uid="{00000000-0005-0000-0000-00002E6A0000}"/>
    <cellStyle name="Normal 18 3 2 6" xfId="7175" xr:uid="{00000000-0005-0000-0000-00002F6A0000}"/>
    <cellStyle name="Normal 18 3 2 7" xfId="7176" xr:uid="{00000000-0005-0000-0000-0000306A0000}"/>
    <cellStyle name="Normal 18 3 3" xfId="7177" xr:uid="{00000000-0005-0000-0000-0000316A0000}"/>
    <cellStyle name="Normal 18 3 3 2" xfId="7178" xr:uid="{00000000-0005-0000-0000-0000326A0000}"/>
    <cellStyle name="Normal 18 3 3 2 2" xfId="7179" xr:uid="{00000000-0005-0000-0000-0000336A0000}"/>
    <cellStyle name="Normal 18 3 3 2 2 2" xfId="7180" xr:uid="{00000000-0005-0000-0000-0000346A0000}"/>
    <cellStyle name="Normal 18 3 3 2 2 3" xfId="7181" xr:uid="{00000000-0005-0000-0000-0000356A0000}"/>
    <cellStyle name="Normal 18 3 3 2 3" xfId="7182" xr:uid="{00000000-0005-0000-0000-0000366A0000}"/>
    <cellStyle name="Normal 18 3 3 2 3 2" xfId="7183" xr:uid="{00000000-0005-0000-0000-0000376A0000}"/>
    <cellStyle name="Normal 18 3 3 2 3 3" xfId="7184" xr:uid="{00000000-0005-0000-0000-0000386A0000}"/>
    <cellStyle name="Normal 18 3 3 2 4" xfId="7185" xr:uid="{00000000-0005-0000-0000-0000396A0000}"/>
    <cellStyle name="Normal 18 3 3 2 5" xfId="7186" xr:uid="{00000000-0005-0000-0000-00003A6A0000}"/>
    <cellStyle name="Normal 18 3 3 3" xfId="7187" xr:uid="{00000000-0005-0000-0000-00003B6A0000}"/>
    <cellStyle name="Normal 18 3 3 3 2" xfId="7188" xr:uid="{00000000-0005-0000-0000-00003C6A0000}"/>
    <cellStyle name="Normal 18 3 3 3 3" xfId="7189" xr:uid="{00000000-0005-0000-0000-00003D6A0000}"/>
    <cellStyle name="Normal 18 3 3 4" xfId="7190" xr:uid="{00000000-0005-0000-0000-00003E6A0000}"/>
    <cellStyle name="Normal 18 3 3 4 2" xfId="7191" xr:uid="{00000000-0005-0000-0000-00003F6A0000}"/>
    <cellStyle name="Normal 18 3 3 4 3" xfId="7192" xr:uid="{00000000-0005-0000-0000-0000406A0000}"/>
    <cellStyle name="Normal 18 3 3 5" xfId="7193" xr:uid="{00000000-0005-0000-0000-0000416A0000}"/>
    <cellStyle name="Normal 18 3 3 6" xfId="7194" xr:uid="{00000000-0005-0000-0000-0000426A0000}"/>
    <cellStyle name="Normal 18 3 4" xfId="7195" xr:uid="{00000000-0005-0000-0000-0000436A0000}"/>
    <cellStyle name="Normal 18 3 4 2" xfId="7196" xr:uid="{00000000-0005-0000-0000-0000446A0000}"/>
    <cellStyle name="Normal 18 3 4 2 2" xfId="7197" xr:uid="{00000000-0005-0000-0000-0000456A0000}"/>
    <cellStyle name="Normal 18 3 4 2 3" xfId="7198" xr:uid="{00000000-0005-0000-0000-0000466A0000}"/>
    <cellStyle name="Normal 18 3 4 3" xfId="7199" xr:uid="{00000000-0005-0000-0000-0000476A0000}"/>
    <cellStyle name="Normal 18 3 4 3 2" xfId="7200" xr:uid="{00000000-0005-0000-0000-0000486A0000}"/>
    <cellStyle name="Normal 18 3 4 3 3" xfId="7201" xr:uid="{00000000-0005-0000-0000-0000496A0000}"/>
    <cellStyle name="Normal 18 3 4 4" xfId="7202" xr:uid="{00000000-0005-0000-0000-00004A6A0000}"/>
    <cellStyle name="Normal 18 3 4 5" xfId="7203" xr:uid="{00000000-0005-0000-0000-00004B6A0000}"/>
    <cellStyle name="Normal 18 3 5" xfId="7204" xr:uid="{00000000-0005-0000-0000-00004C6A0000}"/>
    <cellStyle name="Normal 18 3 5 2" xfId="7205" xr:uid="{00000000-0005-0000-0000-00004D6A0000}"/>
    <cellStyle name="Normal 18 3 5 3" xfId="7206" xr:uid="{00000000-0005-0000-0000-00004E6A0000}"/>
    <cellStyle name="Normal 18 3 6" xfId="7207" xr:uid="{00000000-0005-0000-0000-00004F6A0000}"/>
    <cellStyle name="Normal 18 3 6 2" xfId="7208" xr:uid="{00000000-0005-0000-0000-0000506A0000}"/>
    <cellStyle name="Normal 18 3 6 3" xfId="7209" xr:uid="{00000000-0005-0000-0000-0000516A0000}"/>
    <cellStyle name="Normal 18 3 7" xfId="7210" xr:uid="{00000000-0005-0000-0000-0000526A0000}"/>
    <cellStyle name="Normal 18 3 8" xfId="7211" xr:uid="{00000000-0005-0000-0000-0000536A0000}"/>
    <cellStyle name="Normal 18 4" xfId="7212" xr:uid="{00000000-0005-0000-0000-0000546A0000}"/>
    <cellStyle name="Normal 18 4 2" xfId="7213" xr:uid="{00000000-0005-0000-0000-0000556A0000}"/>
    <cellStyle name="Normal 18 4 3" xfId="34881" xr:uid="{00000000-0005-0000-0000-0000566A0000}"/>
    <cellStyle name="Normal 18 5" xfId="7214" xr:uid="{00000000-0005-0000-0000-0000576A0000}"/>
    <cellStyle name="Normal 18 5 2" xfId="7215" xr:uid="{00000000-0005-0000-0000-0000586A0000}"/>
    <cellStyle name="Normal 18 5 2 2" xfId="7216" xr:uid="{00000000-0005-0000-0000-0000596A0000}"/>
    <cellStyle name="Normal 18 5 2 2 2" xfId="7217" xr:uid="{00000000-0005-0000-0000-00005A6A0000}"/>
    <cellStyle name="Normal 18 5 2 2 2 2" xfId="7218" xr:uid="{00000000-0005-0000-0000-00005B6A0000}"/>
    <cellStyle name="Normal 18 5 2 2 2 3" xfId="7219" xr:uid="{00000000-0005-0000-0000-00005C6A0000}"/>
    <cellStyle name="Normal 18 5 2 2 3" xfId="7220" xr:uid="{00000000-0005-0000-0000-00005D6A0000}"/>
    <cellStyle name="Normal 18 5 2 2 3 2" xfId="7221" xr:uid="{00000000-0005-0000-0000-00005E6A0000}"/>
    <cellStyle name="Normal 18 5 2 2 3 3" xfId="7222" xr:uid="{00000000-0005-0000-0000-00005F6A0000}"/>
    <cellStyle name="Normal 18 5 2 2 4" xfId="7223" xr:uid="{00000000-0005-0000-0000-0000606A0000}"/>
    <cellStyle name="Normal 18 5 2 2 5" xfId="7224" xr:uid="{00000000-0005-0000-0000-0000616A0000}"/>
    <cellStyle name="Normal 18 5 2 3" xfId="7225" xr:uid="{00000000-0005-0000-0000-0000626A0000}"/>
    <cellStyle name="Normal 18 5 2 3 2" xfId="7226" xr:uid="{00000000-0005-0000-0000-0000636A0000}"/>
    <cellStyle name="Normal 18 5 2 3 3" xfId="7227" xr:uid="{00000000-0005-0000-0000-0000646A0000}"/>
    <cellStyle name="Normal 18 5 2 4" xfId="7228" xr:uid="{00000000-0005-0000-0000-0000656A0000}"/>
    <cellStyle name="Normal 18 5 2 4 2" xfId="7229" xr:uid="{00000000-0005-0000-0000-0000666A0000}"/>
    <cellStyle name="Normal 18 5 2 4 3" xfId="7230" xr:uid="{00000000-0005-0000-0000-0000676A0000}"/>
    <cellStyle name="Normal 18 5 2 5" xfId="7231" xr:uid="{00000000-0005-0000-0000-0000686A0000}"/>
    <cellStyle name="Normal 18 5 2 6" xfId="7232" xr:uid="{00000000-0005-0000-0000-0000696A0000}"/>
    <cellStyle name="Normal 18 5 3" xfId="7233" xr:uid="{00000000-0005-0000-0000-00006A6A0000}"/>
    <cellStyle name="Normal 18 5 3 2" xfId="7234" xr:uid="{00000000-0005-0000-0000-00006B6A0000}"/>
    <cellStyle name="Normal 18 5 3 2 2" xfId="7235" xr:uid="{00000000-0005-0000-0000-00006C6A0000}"/>
    <cellStyle name="Normal 18 5 3 2 3" xfId="7236" xr:uid="{00000000-0005-0000-0000-00006D6A0000}"/>
    <cellStyle name="Normal 18 5 3 3" xfId="7237" xr:uid="{00000000-0005-0000-0000-00006E6A0000}"/>
    <cellStyle name="Normal 18 5 3 3 2" xfId="7238" xr:uid="{00000000-0005-0000-0000-00006F6A0000}"/>
    <cellStyle name="Normal 18 5 3 3 3" xfId="7239" xr:uid="{00000000-0005-0000-0000-0000706A0000}"/>
    <cellStyle name="Normal 18 5 3 4" xfId="7240" xr:uid="{00000000-0005-0000-0000-0000716A0000}"/>
    <cellStyle name="Normal 18 5 3 5" xfId="7241" xr:uid="{00000000-0005-0000-0000-0000726A0000}"/>
    <cellStyle name="Normal 18 5 4" xfId="7242" xr:uid="{00000000-0005-0000-0000-0000736A0000}"/>
    <cellStyle name="Normal 18 5 4 2" xfId="7243" xr:uid="{00000000-0005-0000-0000-0000746A0000}"/>
    <cellStyle name="Normal 18 5 4 3" xfId="7244" xr:uid="{00000000-0005-0000-0000-0000756A0000}"/>
    <cellStyle name="Normal 18 5 5" xfId="7245" xr:uid="{00000000-0005-0000-0000-0000766A0000}"/>
    <cellStyle name="Normal 18 5 5 2" xfId="7246" xr:uid="{00000000-0005-0000-0000-0000776A0000}"/>
    <cellStyle name="Normal 18 5 5 3" xfId="7247" xr:uid="{00000000-0005-0000-0000-0000786A0000}"/>
    <cellStyle name="Normal 18 5 6" xfId="7248" xr:uid="{00000000-0005-0000-0000-0000796A0000}"/>
    <cellStyle name="Normal 18 5 7" xfId="7249" xr:uid="{00000000-0005-0000-0000-00007A6A0000}"/>
    <cellStyle name="Normal 18 6" xfId="7250" xr:uid="{00000000-0005-0000-0000-00007B6A0000}"/>
    <cellStyle name="Normal 18 6 2" xfId="7251" xr:uid="{00000000-0005-0000-0000-00007C6A0000}"/>
    <cellStyle name="Normal 18 6 2 2" xfId="7252" xr:uid="{00000000-0005-0000-0000-00007D6A0000}"/>
    <cellStyle name="Normal 18 6 2 2 2" xfId="7253" xr:uid="{00000000-0005-0000-0000-00007E6A0000}"/>
    <cellStyle name="Normal 18 6 2 2 3" xfId="7254" xr:uid="{00000000-0005-0000-0000-00007F6A0000}"/>
    <cellStyle name="Normal 18 6 2 3" xfId="7255" xr:uid="{00000000-0005-0000-0000-0000806A0000}"/>
    <cellStyle name="Normal 18 6 2 3 2" xfId="7256" xr:uid="{00000000-0005-0000-0000-0000816A0000}"/>
    <cellStyle name="Normal 18 6 2 3 3" xfId="7257" xr:uid="{00000000-0005-0000-0000-0000826A0000}"/>
    <cellStyle name="Normal 18 6 2 4" xfId="7258" xr:uid="{00000000-0005-0000-0000-0000836A0000}"/>
    <cellStyle name="Normal 18 6 2 5" xfId="7259" xr:uid="{00000000-0005-0000-0000-0000846A0000}"/>
    <cellStyle name="Normal 18 6 3" xfId="7260" xr:uid="{00000000-0005-0000-0000-0000856A0000}"/>
    <cellStyle name="Normal 18 6 3 2" xfId="7261" xr:uid="{00000000-0005-0000-0000-0000866A0000}"/>
    <cellStyle name="Normal 18 6 3 3" xfId="7262" xr:uid="{00000000-0005-0000-0000-0000876A0000}"/>
    <cellStyle name="Normal 18 6 4" xfId="7263" xr:uid="{00000000-0005-0000-0000-0000886A0000}"/>
    <cellStyle name="Normal 18 6 4 2" xfId="7264" xr:uid="{00000000-0005-0000-0000-0000896A0000}"/>
    <cellStyle name="Normal 18 6 4 3" xfId="7265" xr:uid="{00000000-0005-0000-0000-00008A6A0000}"/>
    <cellStyle name="Normal 18 6 5" xfId="7266" xr:uid="{00000000-0005-0000-0000-00008B6A0000}"/>
    <cellStyle name="Normal 18 6 6" xfId="7267" xr:uid="{00000000-0005-0000-0000-00008C6A0000}"/>
    <cellStyle name="Normal 18 7" xfId="7268" xr:uid="{00000000-0005-0000-0000-00008D6A0000}"/>
    <cellStyle name="Normal 18 7 2" xfId="7269" xr:uid="{00000000-0005-0000-0000-00008E6A0000}"/>
    <cellStyle name="Normal 18 7 2 2" xfId="7270" xr:uid="{00000000-0005-0000-0000-00008F6A0000}"/>
    <cellStyle name="Normal 18 7 2 3" xfId="7271" xr:uid="{00000000-0005-0000-0000-0000906A0000}"/>
    <cellStyle name="Normal 18 7 3" xfId="7272" xr:uid="{00000000-0005-0000-0000-0000916A0000}"/>
    <cellStyle name="Normal 18 7 3 2" xfId="7273" xr:uid="{00000000-0005-0000-0000-0000926A0000}"/>
    <cellStyle name="Normal 18 7 3 3" xfId="7274" xr:uid="{00000000-0005-0000-0000-0000936A0000}"/>
    <cellStyle name="Normal 18 7 4" xfId="7275" xr:uid="{00000000-0005-0000-0000-0000946A0000}"/>
    <cellStyle name="Normal 18 7 5" xfId="7276" xr:uid="{00000000-0005-0000-0000-0000956A0000}"/>
    <cellStyle name="Normal 18 8" xfId="7277" xr:uid="{00000000-0005-0000-0000-0000966A0000}"/>
    <cellStyle name="Normal 18 8 2" xfId="7278" xr:uid="{00000000-0005-0000-0000-0000976A0000}"/>
    <cellStyle name="Normal 18 8 3" xfId="7279" xr:uid="{00000000-0005-0000-0000-0000986A0000}"/>
    <cellStyle name="Normal 18 9" xfId="7280" xr:uid="{00000000-0005-0000-0000-0000996A0000}"/>
    <cellStyle name="Normal 18 9 2" xfId="7281" xr:uid="{00000000-0005-0000-0000-00009A6A0000}"/>
    <cellStyle name="Normal 18 9 3" xfId="7282" xr:uid="{00000000-0005-0000-0000-00009B6A0000}"/>
    <cellStyle name="Normal 19" xfId="165" xr:uid="{00000000-0005-0000-0000-00009C6A0000}"/>
    <cellStyle name="Normal 19 2" xfId="346" xr:uid="{00000000-0005-0000-0000-00009D6A0000}"/>
    <cellStyle name="Normal 19 2 2" xfId="7283" xr:uid="{00000000-0005-0000-0000-00009E6A0000}"/>
    <cellStyle name="Normal 19 2 3" xfId="7284" xr:uid="{00000000-0005-0000-0000-00009F6A0000}"/>
    <cellStyle name="Normal 19 3" xfId="7285" xr:uid="{00000000-0005-0000-0000-0000A06A0000}"/>
    <cellStyle name="Normal 19 3 2" xfId="7286" xr:uid="{00000000-0005-0000-0000-0000A16A0000}"/>
    <cellStyle name="Normal 19 3 3" xfId="7287" xr:uid="{00000000-0005-0000-0000-0000A26A0000}"/>
    <cellStyle name="Normal 19 4" xfId="7288" xr:uid="{00000000-0005-0000-0000-0000A36A0000}"/>
    <cellStyle name="Normal 19 5" xfId="7289" xr:uid="{00000000-0005-0000-0000-0000A46A0000}"/>
    <cellStyle name="Normal 19 6" xfId="7290" xr:uid="{00000000-0005-0000-0000-0000A56A0000}"/>
    <cellStyle name="Normal 19 7" xfId="7291" xr:uid="{00000000-0005-0000-0000-0000A66A0000}"/>
    <cellStyle name="Normal 2" xfId="18" xr:uid="{00000000-0005-0000-0000-0000A76A0000}"/>
    <cellStyle name="Normal 2 10" xfId="7292" xr:uid="{00000000-0005-0000-0000-0000A86A0000}"/>
    <cellStyle name="Normal 2 10 2" xfId="7293" xr:uid="{00000000-0005-0000-0000-0000A96A0000}"/>
    <cellStyle name="Normal 2 10 2 2" xfId="7294" xr:uid="{00000000-0005-0000-0000-0000AA6A0000}"/>
    <cellStyle name="Normal 2 10 3" xfId="7295" xr:uid="{00000000-0005-0000-0000-0000AB6A0000}"/>
    <cellStyle name="Normal 2 10 4" xfId="7296" xr:uid="{00000000-0005-0000-0000-0000AC6A0000}"/>
    <cellStyle name="Normal 2 10 5" xfId="7297" xr:uid="{00000000-0005-0000-0000-0000AD6A0000}"/>
    <cellStyle name="Normal 2 11" xfId="7298" xr:uid="{00000000-0005-0000-0000-0000AE6A0000}"/>
    <cellStyle name="Normal 2 11 2" xfId="7299" xr:uid="{00000000-0005-0000-0000-0000AF6A0000}"/>
    <cellStyle name="Normal 2 11 3" xfId="7300" xr:uid="{00000000-0005-0000-0000-0000B06A0000}"/>
    <cellStyle name="Normal 2 12" xfId="7301" xr:uid="{00000000-0005-0000-0000-0000B16A0000}"/>
    <cellStyle name="Normal 2 12 2" xfId="7302" xr:uid="{00000000-0005-0000-0000-0000B26A0000}"/>
    <cellStyle name="Normal 2 13" xfId="7303" xr:uid="{00000000-0005-0000-0000-0000B36A0000}"/>
    <cellStyle name="Normal 2 14" xfId="7304" xr:uid="{00000000-0005-0000-0000-0000B46A0000}"/>
    <cellStyle name="Normal 2 15" xfId="7305" xr:uid="{00000000-0005-0000-0000-0000B56A0000}"/>
    <cellStyle name="Normal 2 16" xfId="7306" xr:uid="{00000000-0005-0000-0000-0000B66A0000}"/>
    <cellStyle name="Normal 2 17" xfId="7307" xr:uid="{00000000-0005-0000-0000-0000B76A0000}"/>
    <cellStyle name="Normal 2 18" xfId="7308" xr:uid="{00000000-0005-0000-0000-0000B86A0000}"/>
    <cellStyle name="Normal 2 2" xfId="19" xr:uid="{00000000-0005-0000-0000-0000B96A0000}"/>
    <cellStyle name="Normal 2 2 10" xfId="7309" xr:uid="{00000000-0005-0000-0000-0000BA6A0000}"/>
    <cellStyle name="Normal 2 2 11" xfId="7310" xr:uid="{00000000-0005-0000-0000-0000BB6A0000}"/>
    <cellStyle name="Normal 2 2 12" xfId="7311" xr:uid="{00000000-0005-0000-0000-0000BC6A0000}"/>
    <cellStyle name="Normal 2 2 2" xfId="167" xr:uid="{00000000-0005-0000-0000-0000BD6A0000}"/>
    <cellStyle name="Normal 2 2 2 10" xfId="7312" xr:uid="{00000000-0005-0000-0000-0000BE6A0000}"/>
    <cellStyle name="Normal 2 2 2 2" xfId="7313" xr:uid="{00000000-0005-0000-0000-0000BF6A0000}"/>
    <cellStyle name="Normal 2 2 2 2 2" xfId="7314" xr:uid="{00000000-0005-0000-0000-0000C06A0000}"/>
    <cellStyle name="Normal 2 2 2 2 2 2" xfId="7315" xr:uid="{00000000-0005-0000-0000-0000C16A0000}"/>
    <cellStyle name="Normal 2 2 2 2 2 2 2" xfId="7316" xr:uid="{00000000-0005-0000-0000-0000C26A0000}"/>
    <cellStyle name="Normal 2 2 2 2 2 2 3" xfId="7317" xr:uid="{00000000-0005-0000-0000-0000C36A0000}"/>
    <cellStyle name="Normal 2 2 2 2 2 3" xfId="7318" xr:uid="{00000000-0005-0000-0000-0000C46A0000}"/>
    <cellStyle name="Normal 2 2 2 2 2 3 2" xfId="7319" xr:uid="{00000000-0005-0000-0000-0000C56A0000}"/>
    <cellStyle name="Normal 2 2 2 2 2 3 3" xfId="7320" xr:uid="{00000000-0005-0000-0000-0000C66A0000}"/>
    <cellStyle name="Normal 2 2 2 2 2 4" xfId="7321" xr:uid="{00000000-0005-0000-0000-0000C76A0000}"/>
    <cellStyle name="Normal 2 2 2 2 2 5" xfId="7322" xr:uid="{00000000-0005-0000-0000-0000C86A0000}"/>
    <cellStyle name="Normal 2 2 2 2 3" xfId="7323" xr:uid="{00000000-0005-0000-0000-0000C96A0000}"/>
    <cellStyle name="Normal 2 2 2 2 3 2" xfId="7324" xr:uid="{00000000-0005-0000-0000-0000CA6A0000}"/>
    <cellStyle name="Normal 2 2 2 2 3 3" xfId="7325" xr:uid="{00000000-0005-0000-0000-0000CB6A0000}"/>
    <cellStyle name="Normal 2 2 2 2 3 4" xfId="7326" xr:uid="{00000000-0005-0000-0000-0000CC6A0000}"/>
    <cellStyle name="Normal 2 2 2 2 3 5" xfId="7327" xr:uid="{00000000-0005-0000-0000-0000CD6A0000}"/>
    <cellStyle name="Normal 2 2 2 2 4" xfId="7328" xr:uid="{00000000-0005-0000-0000-0000CE6A0000}"/>
    <cellStyle name="Normal 2 2 2 2 4 2" xfId="7329" xr:uid="{00000000-0005-0000-0000-0000CF6A0000}"/>
    <cellStyle name="Normal 2 2 2 2 4 3" xfId="7330" xr:uid="{00000000-0005-0000-0000-0000D06A0000}"/>
    <cellStyle name="Normal 2 2 2 2 5" xfId="7331" xr:uid="{00000000-0005-0000-0000-0000D16A0000}"/>
    <cellStyle name="Normal 2 2 2 2 5 2" xfId="7332" xr:uid="{00000000-0005-0000-0000-0000D26A0000}"/>
    <cellStyle name="Normal 2 2 2 2 5 3" xfId="7333" xr:uid="{00000000-0005-0000-0000-0000D36A0000}"/>
    <cellStyle name="Normal 2 2 2 2 6" xfId="7334" xr:uid="{00000000-0005-0000-0000-0000D46A0000}"/>
    <cellStyle name="Normal 2 2 2 2 7" xfId="7335" xr:uid="{00000000-0005-0000-0000-0000D56A0000}"/>
    <cellStyle name="Normal 2 2 2 3" xfId="7336" xr:uid="{00000000-0005-0000-0000-0000D66A0000}"/>
    <cellStyle name="Normal 2 2 2 3 2" xfId="7337" xr:uid="{00000000-0005-0000-0000-0000D76A0000}"/>
    <cellStyle name="Normal 2 2 2 3 2 2" xfId="7338" xr:uid="{00000000-0005-0000-0000-0000D86A0000}"/>
    <cellStyle name="Normal 2 2 2 3 2 3" xfId="7339" xr:uid="{00000000-0005-0000-0000-0000D96A0000}"/>
    <cellStyle name="Normal 2 2 2 3 3" xfId="7340" xr:uid="{00000000-0005-0000-0000-0000DA6A0000}"/>
    <cellStyle name="Normal 2 2 2 3 3 2" xfId="7341" xr:uid="{00000000-0005-0000-0000-0000DB6A0000}"/>
    <cellStyle name="Normal 2 2 2 3 3 3" xfId="7342" xr:uid="{00000000-0005-0000-0000-0000DC6A0000}"/>
    <cellStyle name="Normal 2 2 2 3 4" xfId="7343" xr:uid="{00000000-0005-0000-0000-0000DD6A0000}"/>
    <cellStyle name="Normal 2 2 2 3 5" xfId="7344" xr:uid="{00000000-0005-0000-0000-0000DE6A0000}"/>
    <cellStyle name="Normal 2 2 2 4" xfId="7345" xr:uid="{00000000-0005-0000-0000-0000DF6A0000}"/>
    <cellStyle name="Normal 2 2 2 4 2" xfId="7346" xr:uid="{00000000-0005-0000-0000-0000E06A0000}"/>
    <cellStyle name="Normal 2 2 2 4 3" xfId="7347" xr:uid="{00000000-0005-0000-0000-0000E16A0000}"/>
    <cellStyle name="Normal 2 2 2 4 4" xfId="7348" xr:uid="{00000000-0005-0000-0000-0000E26A0000}"/>
    <cellStyle name="Normal 2 2 2 4 5" xfId="7349" xr:uid="{00000000-0005-0000-0000-0000E36A0000}"/>
    <cellStyle name="Normal 2 2 2 5" xfId="7350" xr:uid="{00000000-0005-0000-0000-0000E46A0000}"/>
    <cellStyle name="Normal 2 2 2 5 2" xfId="7351" xr:uid="{00000000-0005-0000-0000-0000E56A0000}"/>
    <cellStyle name="Normal 2 2 2 5 3" xfId="7352" xr:uid="{00000000-0005-0000-0000-0000E66A0000}"/>
    <cellStyle name="Normal 2 2 2 6" xfId="7353" xr:uid="{00000000-0005-0000-0000-0000E76A0000}"/>
    <cellStyle name="Normal 2 2 2 6 2" xfId="7354" xr:uid="{00000000-0005-0000-0000-0000E86A0000}"/>
    <cellStyle name="Normal 2 2 2 6 3" xfId="7355" xr:uid="{00000000-0005-0000-0000-0000E96A0000}"/>
    <cellStyle name="Normal 2 2 2 7" xfId="7356" xr:uid="{00000000-0005-0000-0000-0000EA6A0000}"/>
    <cellStyle name="Normal 2 2 2 8" xfId="7357" xr:uid="{00000000-0005-0000-0000-0000EB6A0000}"/>
    <cellStyle name="Normal 2 2 2 9" xfId="7358" xr:uid="{00000000-0005-0000-0000-0000EC6A0000}"/>
    <cellStyle name="Normal 2 2 2_Epicor" xfId="7359" xr:uid="{00000000-0005-0000-0000-0000ED6A0000}"/>
    <cellStyle name="Normal 2 2 3" xfId="166" xr:uid="{00000000-0005-0000-0000-0000EE6A0000}"/>
    <cellStyle name="Normal 2 2 3 2" xfId="7360" xr:uid="{00000000-0005-0000-0000-0000EF6A0000}"/>
    <cellStyle name="Normal 2 2 3 2 2" xfId="7361" xr:uid="{00000000-0005-0000-0000-0000F06A0000}"/>
    <cellStyle name="Normal 2 2 3 2 2 2" xfId="7362" xr:uid="{00000000-0005-0000-0000-0000F16A0000}"/>
    <cellStyle name="Normal 2 2 3 2 2 3" xfId="7363" xr:uid="{00000000-0005-0000-0000-0000F26A0000}"/>
    <cellStyle name="Normal 2 2 3 2 3" xfId="7364" xr:uid="{00000000-0005-0000-0000-0000F36A0000}"/>
    <cellStyle name="Normal 2 2 3 2 3 2" xfId="7365" xr:uid="{00000000-0005-0000-0000-0000F46A0000}"/>
    <cellStyle name="Normal 2 2 3 2 3 3" xfId="7366" xr:uid="{00000000-0005-0000-0000-0000F56A0000}"/>
    <cellStyle name="Normal 2 2 3 2 4" xfId="7367" xr:uid="{00000000-0005-0000-0000-0000F66A0000}"/>
    <cellStyle name="Normal 2 2 3 2 5" xfId="7368" xr:uid="{00000000-0005-0000-0000-0000F76A0000}"/>
    <cellStyle name="Normal 2 2 3 3" xfId="7369" xr:uid="{00000000-0005-0000-0000-0000F86A0000}"/>
    <cellStyle name="Normal 2 2 3 3 2" xfId="7370" xr:uid="{00000000-0005-0000-0000-0000F96A0000}"/>
    <cellStyle name="Normal 2 2 3 3 3" xfId="7371" xr:uid="{00000000-0005-0000-0000-0000FA6A0000}"/>
    <cellStyle name="Normal 2 2 3 3 4" xfId="7372" xr:uid="{00000000-0005-0000-0000-0000FB6A0000}"/>
    <cellStyle name="Normal 2 2 3 3 5" xfId="7373" xr:uid="{00000000-0005-0000-0000-0000FC6A0000}"/>
    <cellStyle name="Normal 2 2 3 4" xfId="7374" xr:uid="{00000000-0005-0000-0000-0000FD6A0000}"/>
    <cellStyle name="Normal 2 2 3 4 2" xfId="7375" xr:uid="{00000000-0005-0000-0000-0000FE6A0000}"/>
    <cellStyle name="Normal 2 2 3 4 3" xfId="7376" xr:uid="{00000000-0005-0000-0000-0000FF6A0000}"/>
    <cellStyle name="Normal 2 2 3 5" xfId="7377" xr:uid="{00000000-0005-0000-0000-0000006B0000}"/>
    <cellStyle name="Normal 2 2 3 5 2" xfId="7378" xr:uid="{00000000-0005-0000-0000-0000016B0000}"/>
    <cellStyle name="Normal 2 2 3 5 3" xfId="7379" xr:uid="{00000000-0005-0000-0000-0000026B0000}"/>
    <cellStyle name="Normal 2 2 3 6" xfId="7380" xr:uid="{00000000-0005-0000-0000-0000036B0000}"/>
    <cellStyle name="Normal 2 2 3 7" xfId="7381" xr:uid="{00000000-0005-0000-0000-0000046B0000}"/>
    <cellStyle name="Normal 2 2 3 8" xfId="7382" xr:uid="{00000000-0005-0000-0000-0000056B0000}"/>
    <cellStyle name="Normal 2 2 4" xfId="7383" xr:uid="{00000000-0005-0000-0000-0000066B0000}"/>
    <cellStyle name="Normal 2 2 4 2" xfId="7384" xr:uid="{00000000-0005-0000-0000-0000076B0000}"/>
    <cellStyle name="Normal 2 2 4 2 2" xfId="7385" xr:uid="{00000000-0005-0000-0000-0000086B0000}"/>
    <cellStyle name="Normal 2 2 4 2 3" xfId="7386" xr:uid="{00000000-0005-0000-0000-0000096B0000}"/>
    <cellStyle name="Normal 2 2 4 3" xfId="7387" xr:uid="{00000000-0005-0000-0000-00000A6B0000}"/>
    <cellStyle name="Normal 2 2 4 3 2" xfId="7388" xr:uid="{00000000-0005-0000-0000-00000B6B0000}"/>
    <cellStyle name="Normal 2 2 4 3 3" xfId="7389" xr:uid="{00000000-0005-0000-0000-00000C6B0000}"/>
    <cellStyle name="Normal 2 2 4 4" xfId="7390" xr:uid="{00000000-0005-0000-0000-00000D6B0000}"/>
    <cellStyle name="Normal 2 2 4 5" xfId="7391" xr:uid="{00000000-0005-0000-0000-00000E6B0000}"/>
    <cellStyle name="Normal 2 2 5" xfId="7392" xr:uid="{00000000-0005-0000-0000-00000F6B0000}"/>
    <cellStyle name="Normal 2 2 5 2" xfId="7393" xr:uid="{00000000-0005-0000-0000-0000106B0000}"/>
    <cellStyle name="Normal 2 2 5 3" xfId="7394" xr:uid="{00000000-0005-0000-0000-0000116B0000}"/>
    <cellStyle name="Normal 2 2 5 4" xfId="7395" xr:uid="{00000000-0005-0000-0000-0000126B0000}"/>
    <cellStyle name="Normal 2 2 5 5" xfId="7396" xr:uid="{00000000-0005-0000-0000-0000136B0000}"/>
    <cellStyle name="Normal 2 2 6" xfId="7397" xr:uid="{00000000-0005-0000-0000-0000146B0000}"/>
    <cellStyle name="Normal 2 2 6 2" xfId="7398" xr:uid="{00000000-0005-0000-0000-0000156B0000}"/>
    <cellStyle name="Normal 2 2 6 3" xfId="7399" xr:uid="{00000000-0005-0000-0000-0000166B0000}"/>
    <cellStyle name="Normal 2 2 7" xfId="7400" xr:uid="{00000000-0005-0000-0000-0000176B0000}"/>
    <cellStyle name="Normal 2 2 7 2" xfId="7401" xr:uid="{00000000-0005-0000-0000-0000186B0000}"/>
    <cellStyle name="Normal 2 2 7 3" xfId="7402" xr:uid="{00000000-0005-0000-0000-0000196B0000}"/>
    <cellStyle name="Normal 2 2 8" xfId="7403" xr:uid="{00000000-0005-0000-0000-00001A6B0000}"/>
    <cellStyle name="Normal 2 2 9" xfId="7404" xr:uid="{00000000-0005-0000-0000-00001B6B0000}"/>
    <cellStyle name="Normal 2 2_10051" xfId="7405" xr:uid="{00000000-0005-0000-0000-00001C6B0000}"/>
    <cellStyle name="Normal 2 3" xfId="168" xr:uid="{00000000-0005-0000-0000-00001D6B0000}"/>
    <cellStyle name="Normal 2 3 2" xfId="169" xr:uid="{00000000-0005-0000-0000-00001E6B0000}"/>
    <cellStyle name="Normal 2 3 2 2" xfId="7406" xr:uid="{00000000-0005-0000-0000-00001F6B0000}"/>
    <cellStyle name="Normal 2 3 2 3" xfId="7407" xr:uid="{00000000-0005-0000-0000-0000206B0000}"/>
    <cellStyle name="Normal 2 3 2 4" xfId="7408" xr:uid="{00000000-0005-0000-0000-0000216B0000}"/>
    <cellStyle name="Normal 2 3 2_Active emp List" xfId="7409" xr:uid="{00000000-0005-0000-0000-0000226B0000}"/>
    <cellStyle name="Normal 2 3 3" xfId="293" xr:uid="{00000000-0005-0000-0000-0000236B0000}"/>
    <cellStyle name="Normal 2 3 3 2" xfId="7410" xr:uid="{00000000-0005-0000-0000-0000246B0000}"/>
    <cellStyle name="Normal 2 3 3 2 2" xfId="7411" xr:uid="{00000000-0005-0000-0000-0000256B0000}"/>
    <cellStyle name="Normal 2 3 3 3" xfId="7412" xr:uid="{00000000-0005-0000-0000-0000266B0000}"/>
    <cellStyle name="Normal 2 3 3 4" xfId="7413" xr:uid="{00000000-0005-0000-0000-0000276B0000}"/>
    <cellStyle name="Normal 2 3 4" xfId="7414" xr:uid="{00000000-0005-0000-0000-0000286B0000}"/>
    <cellStyle name="Normal 2 3 4 2" xfId="7415" xr:uid="{00000000-0005-0000-0000-0000296B0000}"/>
    <cellStyle name="Normal 2 3 5" xfId="7416" xr:uid="{00000000-0005-0000-0000-00002A6B0000}"/>
    <cellStyle name="Normal 2 3 6" xfId="7417" xr:uid="{00000000-0005-0000-0000-00002B6B0000}"/>
    <cellStyle name="Normal 2 3_2012 TV Budget" xfId="7418" xr:uid="{00000000-0005-0000-0000-00002C6B0000}"/>
    <cellStyle name="Normal 2 4" xfId="294" xr:uid="{00000000-0005-0000-0000-00002D6B0000}"/>
    <cellStyle name="Normal 2 4 2" xfId="7419" xr:uid="{00000000-0005-0000-0000-00002E6B0000}"/>
    <cellStyle name="Normal 2 4 2 2" xfId="7420" xr:uid="{00000000-0005-0000-0000-00002F6B0000}"/>
    <cellStyle name="Normal 2 4 2 2 2" xfId="7421" xr:uid="{00000000-0005-0000-0000-0000306B0000}"/>
    <cellStyle name="Normal 2 4 2 3" xfId="7422" xr:uid="{00000000-0005-0000-0000-0000316B0000}"/>
    <cellStyle name="Normal 2 4 2 4" xfId="7423" xr:uid="{00000000-0005-0000-0000-0000326B0000}"/>
    <cellStyle name="Normal 2 4 2 5" xfId="7424" xr:uid="{00000000-0005-0000-0000-0000336B0000}"/>
    <cellStyle name="Normal 2 4 2 6" xfId="7425" xr:uid="{00000000-0005-0000-0000-0000346B0000}"/>
    <cellStyle name="Normal 2 4 3" xfId="7426" xr:uid="{00000000-0005-0000-0000-0000356B0000}"/>
    <cellStyle name="Normal 2 4 3 2" xfId="7427" xr:uid="{00000000-0005-0000-0000-0000366B0000}"/>
    <cellStyle name="Normal 2 4 3 3" xfId="7428" xr:uid="{00000000-0005-0000-0000-0000376B0000}"/>
    <cellStyle name="Normal 2 4 4" xfId="7429" xr:uid="{00000000-0005-0000-0000-0000386B0000}"/>
    <cellStyle name="Normal 2 4 4 2" xfId="7430" xr:uid="{00000000-0005-0000-0000-0000396B0000}"/>
    <cellStyle name="Normal 2 4 4 3" xfId="7431" xr:uid="{00000000-0005-0000-0000-00003A6B0000}"/>
    <cellStyle name="Normal 2 4 5" xfId="7432" xr:uid="{00000000-0005-0000-0000-00003B6B0000}"/>
    <cellStyle name="Normal 2 4 6" xfId="7433" xr:uid="{00000000-0005-0000-0000-00003C6B0000}"/>
    <cellStyle name="Normal 2 4 7" xfId="7434" xr:uid="{00000000-0005-0000-0000-00003D6B0000}"/>
    <cellStyle name="Normal 2 5" xfId="295" xr:uid="{00000000-0005-0000-0000-00003E6B0000}"/>
    <cellStyle name="Normal 2 5 2" xfId="7435" xr:uid="{00000000-0005-0000-0000-00003F6B0000}"/>
    <cellStyle name="Normal 2 5 3" xfId="7436" xr:uid="{00000000-0005-0000-0000-0000406B0000}"/>
    <cellStyle name="Normal 2 5 4" xfId="7437" xr:uid="{00000000-0005-0000-0000-0000416B0000}"/>
    <cellStyle name="Normal 2 6" xfId="7438" xr:uid="{00000000-0005-0000-0000-0000426B0000}"/>
    <cellStyle name="Normal 2 6 2" xfId="7439" xr:uid="{00000000-0005-0000-0000-0000436B0000}"/>
    <cellStyle name="Normal 2 6 2 2" xfId="7440" xr:uid="{00000000-0005-0000-0000-0000446B0000}"/>
    <cellStyle name="Normal 2 6 2 3" xfId="34882" xr:uid="{00000000-0005-0000-0000-0000456B0000}"/>
    <cellStyle name="Normal 2 6 2 4" xfId="34924" xr:uid="{00000000-0005-0000-0000-0000466B0000}"/>
    <cellStyle name="Normal 2 6 3" xfId="7441" xr:uid="{00000000-0005-0000-0000-0000476B0000}"/>
    <cellStyle name="Normal 2 6 4" xfId="7442" xr:uid="{00000000-0005-0000-0000-0000486B0000}"/>
    <cellStyle name="Normal 2 6 5" xfId="7443" xr:uid="{00000000-0005-0000-0000-0000496B0000}"/>
    <cellStyle name="Normal 2 7" xfId="7444" xr:uid="{00000000-0005-0000-0000-00004A6B0000}"/>
    <cellStyle name="Normal 2 7 2" xfId="7445" xr:uid="{00000000-0005-0000-0000-00004B6B0000}"/>
    <cellStyle name="Normal 2 7 3" xfId="7446" xr:uid="{00000000-0005-0000-0000-00004C6B0000}"/>
    <cellStyle name="Normal 2 7 4" xfId="7447" xr:uid="{00000000-0005-0000-0000-00004D6B0000}"/>
    <cellStyle name="Normal 2 7 5" xfId="7448" xr:uid="{00000000-0005-0000-0000-00004E6B0000}"/>
    <cellStyle name="Normal 2 8" xfId="7449" xr:uid="{00000000-0005-0000-0000-00004F6B0000}"/>
    <cellStyle name="Normal 2 8 2" xfId="7450" xr:uid="{00000000-0005-0000-0000-0000506B0000}"/>
    <cellStyle name="Normal 2 8 2 2" xfId="7451" xr:uid="{00000000-0005-0000-0000-0000516B0000}"/>
    <cellStyle name="Normal 2 8 3" xfId="7452" xr:uid="{00000000-0005-0000-0000-0000526B0000}"/>
    <cellStyle name="Normal 2 8 4" xfId="7453" xr:uid="{00000000-0005-0000-0000-0000536B0000}"/>
    <cellStyle name="Normal 2 8 5" xfId="7454" xr:uid="{00000000-0005-0000-0000-0000546B0000}"/>
    <cellStyle name="Normal 2 9" xfId="7455" xr:uid="{00000000-0005-0000-0000-0000556B0000}"/>
    <cellStyle name="Normal 2 9 2" xfId="7456" xr:uid="{00000000-0005-0000-0000-0000566B0000}"/>
    <cellStyle name="Normal 2 9 3" xfId="7457" xr:uid="{00000000-0005-0000-0000-0000576B0000}"/>
    <cellStyle name="Normal 2 9 4" xfId="7458" xr:uid="{00000000-0005-0000-0000-0000586B0000}"/>
    <cellStyle name="Normal 2 9 5" xfId="7459" xr:uid="{00000000-0005-0000-0000-0000596B0000}"/>
    <cellStyle name="Normal 2_2009 Regulated Price Out" xfId="7460" xr:uid="{00000000-0005-0000-0000-00005A6B0000}"/>
    <cellStyle name="Normal 20" xfId="170" xr:uid="{00000000-0005-0000-0000-00005B6B0000}"/>
    <cellStyle name="Normal 20 2" xfId="7461" xr:uid="{00000000-0005-0000-0000-00005C6B0000}"/>
    <cellStyle name="Normal 20 2 2" xfId="7462" xr:uid="{00000000-0005-0000-0000-00005D6B0000}"/>
    <cellStyle name="Normal 20 2 3" xfId="7463" xr:uid="{00000000-0005-0000-0000-00005E6B0000}"/>
    <cellStyle name="Normal 20 2 4" xfId="7464" xr:uid="{00000000-0005-0000-0000-00005F6B0000}"/>
    <cellStyle name="Normal 20 3" xfId="7465" xr:uid="{00000000-0005-0000-0000-0000606B0000}"/>
    <cellStyle name="Normal 20 4" xfId="7466" xr:uid="{00000000-0005-0000-0000-0000616B0000}"/>
    <cellStyle name="Normal 20 4 2" xfId="7467" xr:uid="{00000000-0005-0000-0000-0000626B0000}"/>
    <cellStyle name="Normal 20 5" xfId="7468" xr:uid="{00000000-0005-0000-0000-0000636B0000}"/>
    <cellStyle name="Normal 20 6" xfId="7469" xr:uid="{00000000-0005-0000-0000-0000646B0000}"/>
    <cellStyle name="Normal 20 7" xfId="7470" xr:uid="{00000000-0005-0000-0000-0000656B0000}"/>
    <cellStyle name="Normal 21" xfId="171" xr:uid="{00000000-0005-0000-0000-0000666B0000}"/>
    <cellStyle name="Normal 21 2" xfId="7471" xr:uid="{00000000-0005-0000-0000-0000676B0000}"/>
    <cellStyle name="Normal 21 2 2" xfId="7472" xr:uid="{00000000-0005-0000-0000-0000686B0000}"/>
    <cellStyle name="Normal 21 2 3" xfId="7473" xr:uid="{00000000-0005-0000-0000-0000696B0000}"/>
    <cellStyle name="Normal 21 2 4" xfId="7474" xr:uid="{00000000-0005-0000-0000-00006A6B0000}"/>
    <cellStyle name="Normal 21 3" xfId="7475" xr:uid="{00000000-0005-0000-0000-00006B6B0000}"/>
    <cellStyle name="Normal 21 3 2" xfId="7476" xr:uid="{00000000-0005-0000-0000-00006C6B0000}"/>
    <cellStyle name="Normal 21 4" xfId="7477" xr:uid="{00000000-0005-0000-0000-00006D6B0000}"/>
    <cellStyle name="Normal 21 5" xfId="7478" xr:uid="{00000000-0005-0000-0000-00006E6B0000}"/>
    <cellStyle name="Normal 22" xfId="172" xr:uid="{00000000-0005-0000-0000-00006F6B0000}"/>
    <cellStyle name="Normal 22 2" xfId="7479" xr:uid="{00000000-0005-0000-0000-0000706B0000}"/>
    <cellStyle name="Normal 22 2 2" xfId="7480" xr:uid="{00000000-0005-0000-0000-0000716B0000}"/>
    <cellStyle name="Normal 22 2 3" xfId="7481" xr:uid="{00000000-0005-0000-0000-0000726B0000}"/>
    <cellStyle name="Normal 22 3" xfId="7482" xr:uid="{00000000-0005-0000-0000-0000736B0000}"/>
    <cellStyle name="Normal 22 3 2" xfId="7483" xr:uid="{00000000-0005-0000-0000-0000746B0000}"/>
    <cellStyle name="Normal 22 4" xfId="7484" xr:uid="{00000000-0005-0000-0000-0000756B0000}"/>
    <cellStyle name="Normal 22 5" xfId="7485" xr:uid="{00000000-0005-0000-0000-0000766B0000}"/>
    <cellStyle name="Normal 23" xfId="173" xr:uid="{00000000-0005-0000-0000-0000776B0000}"/>
    <cellStyle name="Normal 23 2" xfId="7486" xr:uid="{00000000-0005-0000-0000-0000786B0000}"/>
    <cellStyle name="Normal 23 2 2" xfId="7487" xr:uid="{00000000-0005-0000-0000-0000796B0000}"/>
    <cellStyle name="Normal 23 2 3" xfId="7488" xr:uid="{00000000-0005-0000-0000-00007A6B0000}"/>
    <cellStyle name="Normal 23 3" xfId="7489" xr:uid="{00000000-0005-0000-0000-00007B6B0000}"/>
    <cellStyle name="Normal 23 3 2" xfId="7490" xr:uid="{00000000-0005-0000-0000-00007C6B0000}"/>
    <cellStyle name="Normal 23 3 3" xfId="7491" xr:uid="{00000000-0005-0000-0000-00007D6B0000}"/>
    <cellStyle name="Normal 23 4" xfId="7492" xr:uid="{00000000-0005-0000-0000-00007E6B0000}"/>
    <cellStyle name="Normal 24" xfId="174" xr:uid="{00000000-0005-0000-0000-00007F6B0000}"/>
    <cellStyle name="Normal 24 2" xfId="7493" xr:uid="{00000000-0005-0000-0000-0000806B0000}"/>
    <cellStyle name="Normal 24 2 2" xfId="7494" xr:uid="{00000000-0005-0000-0000-0000816B0000}"/>
    <cellStyle name="Normal 24 2 3" xfId="7495" xr:uid="{00000000-0005-0000-0000-0000826B0000}"/>
    <cellStyle name="Normal 24 3" xfId="7496" xr:uid="{00000000-0005-0000-0000-0000836B0000}"/>
    <cellStyle name="Normal 24 3 2" xfId="7497" xr:uid="{00000000-0005-0000-0000-0000846B0000}"/>
    <cellStyle name="Normal 24 4" xfId="7498" xr:uid="{00000000-0005-0000-0000-0000856B0000}"/>
    <cellStyle name="Normal 24 5" xfId="7499" xr:uid="{00000000-0005-0000-0000-0000866B0000}"/>
    <cellStyle name="Normal 25" xfId="175" xr:uid="{00000000-0005-0000-0000-0000876B0000}"/>
    <cellStyle name="Normal 25 2" xfId="7500" xr:uid="{00000000-0005-0000-0000-0000886B0000}"/>
    <cellStyle name="Normal 25 2 2" xfId="7501" xr:uid="{00000000-0005-0000-0000-0000896B0000}"/>
    <cellStyle name="Normal 25 2 3" xfId="7502" xr:uid="{00000000-0005-0000-0000-00008A6B0000}"/>
    <cellStyle name="Normal 25 3" xfId="7503" xr:uid="{00000000-0005-0000-0000-00008B6B0000}"/>
    <cellStyle name="Normal 25 3 2" xfId="7504" xr:uid="{00000000-0005-0000-0000-00008C6B0000}"/>
    <cellStyle name="Normal 25 4" xfId="7505" xr:uid="{00000000-0005-0000-0000-00008D6B0000}"/>
    <cellStyle name="Normal 26" xfId="176" xr:uid="{00000000-0005-0000-0000-00008E6B0000}"/>
    <cellStyle name="Normal 26 2" xfId="7506" xr:uid="{00000000-0005-0000-0000-00008F6B0000}"/>
    <cellStyle name="Normal 26 2 2" xfId="7507" xr:uid="{00000000-0005-0000-0000-0000906B0000}"/>
    <cellStyle name="Normal 26 2 3" xfId="7508" xr:uid="{00000000-0005-0000-0000-0000916B0000}"/>
    <cellStyle name="Normal 26 3" xfId="7509" xr:uid="{00000000-0005-0000-0000-0000926B0000}"/>
    <cellStyle name="Normal 26 4" xfId="7510" xr:uid="{00000000-0005-0000-0000-0000936B0000}"/>
    <cellStyle name="Normal 27" xfId="177" xr:uid="{00000000-0005-0000-0000-0000946B0000}"/>
    <cellStyle name="Normal 27 2" xfId="7511" xr:uid="{00000000-0005-0000-0000-0000956B0000}"/>
    <cellStyle name="Normal 27 2 2" xfId="7512" xr:uid="{00000000-0005-0000-0000-0000966B0000}"/>
    <cellStyle name="Normal 27 2 2 2" xfId="7513" xr:uid="{00000000-0005-0000-0000-0000976B0000}"/>
    <cellStyle name="Normal 27 2 2 3" xfId="34883" xr:uid="{00000000-0005-0000-0000-0000986B0000}"/>
    <cellStyle name="Normal 27 3" xfId="7514" xr:uid="{00000000-0005-0000-0000-0000996B0000}"/>
    <cellStyle name="Normal 27 3 2" xfId="7515" xr:uid="{00000000-0005-0000-0000-00009A6B0000}"/>
    <cellStyle name="Normal 27 3 3" xfId="7516" xr:uid="{00000000-0005-0000-0000-00009B6B0000}"/>
    <cellStyle name="Normal 27 4" xfId="7517" xr:uid="{00000000-0005-0000-0000-00009C6B0000}"/>
    <cellStyle name="Normal 27 5" xfId="7518" xr:uid="{00000000-0005-0000-0000-00009D6B0000}"/>
    <cellStyle name="Normal 28" xfId="178" xr:uid="{00000000-0005-0000-0000-00009E6B0000}"/>
    <cellStyle name="Normal 28 2" xfId="7519" xr:uid="{00000000-0005-0000-0000-00009F6B0000}"/>
    <cellStyle name="Normal 28 2 2" xfId="7520" xr:uid="{00000000-0005-0000-0000-0000A06B0000}"/>
    <cellStyle name="Normal 28 2 3" xfId="7521" xr:uid="{00000000-0005-0000-0000-0000A16B0000}"/>
    <cellStyle name="Normal 28 3" xfId="7522" xr:uid="{00000000-0005-0000-0000-0000A26B0000}"/>
    <cellStyle name="Normal 28 4" xfId="7523" xr:uid="{00000000-0005-0000-0000-0000A36B0000}"/>
    <cellStyle name="Normal 29" xfId="179" xr:uid="{00000000-0005-0000-0000-0000A46B0000}"/>
    <cellStyle name="Normal 29 2" xfId="7524" xr:uid="{00000000-0005-0000-0000-0000A56B0000}"/>
    <cellStyle name="Normal 29 2 2" xfId="7525" xr:uid="{00000000-0005-0000-0000-0000A66B0000}"/>
    <cellStyle name="Normal 29 3" xfId="7526" xr:uid="{00000000-0005-0000-0000-0000A76B0000}"/>
    <cellStyle name="Normal 29 4" xfId="7527" xr:uid="{00000000-0005-0000-0000-0000A86B0000}"/>
    <cellStyle name="Normal 3" xfId="20" xr:uid="{00000000-0005-0000-0000-0000A96B0000}"/>
    <cellStyle name="Normal 3 2" xfId="181" xr:uid="{00000000-0005-0000-0000-0000AA6B0000}"/>
    <cellStyle name="Normal 3 2 2" xfId="7528" xr:uid="{00000000-0005-0000-0000-0000AB6B0000}"/>
    <cellStyle name="Normal 3 2 2 2" xfId="7529" xr:uid="{00000000-0005-0000-0000-0000AC6B0000}"/>
    <cellStyle name="Normal 3 2 2 2 2" xfId="7530" xr:uid="{00000000-0005-0000-0000-0000AD6B0000}"/>
    <cellStyle name="Normal 3 2 2 2 2 2" xfId="7531" xr:uid="{00000000-0005-0000-0000-0000AE6B0000}"/>
    <cellStyle name="Normal 3 2 2 2 2 3" xfId="7532" xr:uid="{00000000-0005-0000-0000-0000AF6B0000}"/>
    <cellStyle name="Normal 3 2 2 2 3" xfId="7533" xr:uid="{00000000-0005-0000-0000-0000B06B0000}"/>
    <cellStyle name="Normal 3 2 2 2 3 2" xfId="7534" xr:uid="{00000000-0005-0000-0000-0000B16B0000}"/>
    <cellStyle name="Normal 3 2 2 2 3 3" xfId="7535" xr:uid="{00000000-0005-0000-0000-0000B26B0000}"/>
    <cellStyle name="Normal 3 2 2 2 4" xfId="7536" xr:uid="{00000000-0005-0000-0000-0000B36B0000}"/>
    <cellStyle name="Normal 3 2 2 2 5" xfId="7537" xr:uid="{00000000-0005-0000-0000-0000B46B0000}"/>
    <cellStyle name="Normal 3 2 2 3" xfId="7538" xr:uid="{00000000-0005-0000-0000-0000B56B0000}"/>
    <cellStyle name="Normal 3 2 2 3 2" xfId="7539" xr:uid="{00000000-0005-0000-0000-0000B66B0000}"/>
    <cellStyle name="Normal 3 2 2 3 3" xfId="7540" xr:uid="{00000000-0005-0000-0000-0000B76B0000}"/>
    <cellStyle name="Normal 3 2 2 4" xfId="7541" xr:uid="{00000000-0005-0000-0000-0000B86B0000}"/>
    <cellStyle name="Normal 3 2 2 4 2" xfId="7542" xr:uid="{00000000-0005-0000-0000-0000B96B0000}"/>
    <cellStyle name="Normal 3 2 2 4 3" xfId="7543" xr:uid="{00000000-0005-0000-0000-0000BA6B0000}"/>
    <cellStyle name="Normal 3 2 2 5" xfId="7544" xr:uid="{00000000-0005-0000-0000-0000BB6B0000}"/>
    <cellStyle name="Normal 3 2 2 6" xfId="7545" xr:uid="{00000000-0005-0000-0000-0000BC6B0000}"/>
    <cellStyle name="Normal 3 2 2 7" xfId="7546" xr:uid="{00000000-0005-0000-0000-0000BD6B0000}"/>
    <cellStyle name="Normal 3 2 3" xfId="7547" xr:uid="{00000000-0005-0000-0000-0000BE6B0000}"/>
    <cellStyle name="Normal 3 2 3 2" xfId="7548" xr:uid="{00000000-0005-0000-0000-0000BF6B0000}"/>
    <cellStyle name="Normal 3 2 3 2 2" xfId="7549" xr:uid="{00000000-0005-0000-0000-0000C06B0000}"/>
    <cellStyle name="Normal 3 2 3 2 3" xfId="7550" xr:uid="{00000000-0005-0000-0000-0000C16B0000}"/>
    <cellStyle name="Normal 3 2 3 3" xfId="7551" xr:uid="{00000000-0005-0000-0000-0000C26B0000}"/>
    <cellStyle name="Normal 3 2 3 3 2" xfId="7552" xr:uid="{00000000-0005-0000-0000-0000C36B0000}"/>
    <cellStyle name="Normal 3 2 3 3 3" xfId="7553" xr:uid="{00000000-0005-0000-0000-0000C46B0000}"/>
    <cellStyle name="Normal 3 2 3 4" xfId="7554" xr:uid="{00000000-0005-0000-0000-0000C56B0000}"/>
    <cellStyle name="Normal 3 2 3 5" xfId="7555" xr:uid="{00000000-0005-0000-0000-0000C66B0000}"/>
    <cellStyle name="Normal 3 2 4" xfId="7556" xr:uid="{00000000-0005-0000-0000-0000C76B0000}"/>
    <cellStyle name="Normal 3 2 4 2" xfId="7557" xr:uid="{00000000-0005-0000-0000-0000C86B0000}"/>
    <cellStyle name="Normal 3 2 4 3" xfId="7558" xr:uid="{00000000-0005-0000-0000-0000C96B0000}"/>
    <cellStyle name="Normal 3 2 5" xfId="7559" xr:uid="{00000000-0005-0000-0000-0000CA6B0000}"/>
    <cellStyle name="Normal 3 2 5 2" xfId="7560" xr:uid="{00000000-0005-0000-0000-0000CB6B0000}"/>
    <cellStyle name="Normal 3 2 5 3" xfId="7561" xr:uid="{00000000-0005-0000-0000-0000CC6B0000}"/>
    <cellStyle name="Normal 3 2 6" xfId="7562" xr:uid="{00000000-0005-0000-0000-0000CD6B0000}"/>
    <cellStyle name="Normal 3 2 7" xfId="7563" xr:uid="{00000000-0005-0000-0000-0000CE6B0000}"/>
    <cellStyle name="Normal 3 2 8" xfId="7564" xr:uid="{00000000-0005-0000-0000-0000CF6B0000}"/>
    <cellStyle name="Normal 3 2 9" xfId="7565" xr:uid="{00000000-0005-0000-0000-0000D06B0000}"/>
    <cellStyle name="Normal 3 3" xfId="180" xr:uid="{00000000-0005-0000-0000-0000D16B0000}"/>
    <cellStyle name="Normal 3 3 2" xfId="7566" xr:uid="{00000000-0005-0000-0000-0000D26B0000}"/>
    <cellStyle name="Normal 3 3 2 2" xfId="7567" xr:uid="{00000000-0005-0000-0000-0000D36B0000}"/>
    <cellStyle name="Normal 3 3 3" xfId="7568" xr:uid="{00000000-0005-0000-0000-0000D46B0000}"/>
    <cellStyle name="Normal 3 3 3 2" xfId="7569" xr:uid="{00000000-0005-0000-0000-0000D56B0000}"/>
    <cellStyle name="Normal 3 3 4" xfId="7570" xr:uid="{00000000-0005-0000-0000-0000D66B0000}"/>
    <cellStyle name="Normal 3 3 4 2" xfId="7571" xr:uid="{00000000-0005-0000-0000-0000D76B0000}"/>
    <cellStyle name="Normal 3 3 5" xfId="7572" xr:uid="{00000000-0005-0000-0000-0000D86B0000}"/>
    <cellStyle name="Normal 3 4" xfId="278" xr:uid="{00000000-0005-0000-0000-0000D96B0000}"/>
    <cellStyle name="Normal 3 4 2" xfId="7573" xr:uid="{00000000-0005-0000-0000-0000DA6B0000}"/>
    <cellStyle name="Normal 3 4 3" xfId="7574" xr:uid="{00000000-0005-0000-0000-0000DB6B0000}"/>
    <cellStyle name="Normal 3 4 4" xfId="7575" xr:uid="{00000000-0005-0000-0000-0000DC6B0000}"/>
    <cellStyle name="Normal 3 5" xfId="7576" xr:uid="{00000000-0005-0000-0000-0000DD6B0000}"/>
    <cellStyle name="Normal 3 5 2" xfId="7577" xr:uid="{00000000-0005-0000-0000-0000DE6B0000}"/>
    <cellStyle name="Normal 3 6" xfId="7578" xr:uid="{00000000-0005-0000-0000-0000DF6B0000}"/>
    <cellStyle name="Normal 3 7" xfId="7579" xr:uid="{00000000-0005-0000-0000-0000E06B0000}"/>
    <cellStyle name="Normal 3 8" xfId="7580" xr:uid="{00000000-0005-0000-0000-0000E16B0000}"/>
    <cellStyle name="Normal 3_10051" xfId="7581" xr:uid="{00000000-0005-0000-0000-0000E26B0000}"/>
    <cellStyle name="Normal 30" xfId="182" xr:uid="{00000000-0005-0000-0000-0000E36B0000}"/>
    <cellStyle name="Normal 30 2" xfId="7582" xr:uid="{00000000-0005-0000-0000-0000E46B0000}"/>
    <cellStyle name="Normal 30 3" xfId="7583" xr:uid="{00000000-0005-0000-0000-0000E56B0000}"/>
    <cellStyle name="Normal 30 4" xfId="7584" xr:uid="{00000000-0005-0000-0000-0000E66B0000}"/>
    <cellStyle name="Normal 31" xfId="183" xr:uid="{00000000-0005-0000-0000-0000E76B0000}"/>
    <cellStyle name="Normal 31 2" xfId="7585" xr:uid="{00000000-0005-0000-0000-0000E86B0000}"/>
    <cellStyle name="Normal 31 2 2" xfId="7586" xr:uid="{00000000-0005-0000-0000-0000E96B0000}"/>
    <cellStyle name="Normal 31 2 2 2" xfId="7587" xr:uid="{00000000-0005-0000-0000-0000EA6B0000}"/>
    <cellStyle name="Normal 31 2 2 2 2" xfId="7588" xr:uid="{00000000-0005-0000-0000-0000EB6B0000}"/>
    <cellStyle name="Normal 31 2 2 2 2 2" xfId="7589" xr:uid="{00000000-0005-0000-0000-0000EC6B0000}"/>
    <cellStyle name="Normal 31 2 2 2 2 2 2" xfId="7590" xr:uid="{00000000-0005-0000-0000-0000ED6B0000}"/>
    <cellStyle name="Normal 31 2 2 2 2 2 3" xfId="7591" xr:uid="{00000000-0005-0000-0000-0000EE6B0000}"/>
    <cellStyle name="Normal 31 2 2 2 2 3" xfId="7592" xr:uid="{00000000-0005-0000-0000-0000EF6B0000}"/>
    <cellStyle name="Normal 31 2 2 2 2 3 2" xfId="7593" xr:uid="{00000000-0005-0000-0000-0000F06B0000}"/>
    <cellStyle name="Normal 31 2 2 2 2 3 3" xfId="7594" xr:uid="{00000000-0005-0000-0000-0000F16B0000}"/>
    <cellStyle name="Normal 31 2 2 2 2 4" xfId="7595" xr:uid="{00000000-0005-0000-0000-0000F26B0000}"/>
    <cellStyle name="Normal 31 2 2 2 2 5" xfId="7596" xr:uid="{00000000-0005-0000-0000-0000F36B0000}"/>
    <cellStyle name="Normal 31 2 2 2 3" xfId="7597" xr:uid="{00000000-0005-0000-0000-0000F46B0000}"/>
    <cellStyle name="Normal 31 2 2 2 3 2" xfId="7598" xr:uid="{00000000-0005-0000-0000-0000F56B0000}"/>
    <cellStyle name="Normal 31 2 2 2 3 3" xfId="7599" xr:uid="{00000000-0005-0000-0000-0000F66B0000}"/>
    <cellStyle name="Normal 31 2 2 2 4" xfId="7600" xr:uid="{00000000-0005-0000-0000-0000F76B0000}"/>
    <cellStyle name="Normal 31 2 2 2 4 2" xfId="7601" xr:uid="{00000000-0005-0000-0000-0000F86B0000}"/>
    <cellStyle name="Normal 31 2 2 2 4 3" xfId="7602" xr:uid="{00000000-0005-0000-0000-0000F96B0000}"/>
    <cellStyle name="Normal 31 2 2 2 5" xfId="7603" xr:uid="{00000000-0005-0000-0000-0000FA6B0000}"/>
    <cellStyle name="Normal 31 2 2 2 6" xfId="7604" xr:uid="{00000000-0005-0000-0000-0000FB6B0000}"/>
    <cellStyle name="Normal 31 2 2 3" xfId="7605" xr:uid="{00000000-0005-0000-0000-0000FC6B0000}"/>
    <cellStyle name="Normal 31 2 2 3 2" xfId="7606" xr:uid="{00000000-0005-0000-0000-0000FD6B0000}"/>
    <cellStyle name="Normal 31 2 2 3 2 2" xfId="7607" xr:uid="{00000000-0005-0000-0000-0000FE6B0000}"/>
    <cellStyle name="Normal 31 2 2 3 2 3" xfId="7608" xr:uid="{00000000-0005-0000-0000-0000FF6B0000}"/>
    <cellStyle name="Normal 31 2 2 3 3" xfId="7609" xr:uid="{00000000-0005-0000-0000-0000006C0000}"/>
    <cellStyle name="Normal 31 2 2 3 3 2" xfId="7610" xr:uid="{00000000-0005-0000-0000-0000016C0000}"/>
    <cellStyle name="Normal 31 2 2 3 3 3" xfId="7611" xr:uid="{00000000-0005-0000-0000-0000026C0000}"/>
    <cellStyle name="Normal 31 2 2 3 4" xfId="7612" xr:uid="{00000000-0005-0000-0000-0000036C0000}"/>
    <cellStyle name="Normal 31 2 2 3 5" xfId="7613" xr:uid="{00000000-0005-0000-0000-0000046C0000}"/>
    <cellStyle name="Normal 31 2 2 3 6" xfId="34885" xr:uid="{00000000-0005-0000-0000-0000056C0000}"/>
    <cellStyle name="Normal 31 2 2 4" xfId="7614" xr:uid="{00000000-0005-0000-0000-0000066C0000}"/>
    <cellStyle name="Normal 31 2 2 4 2" xfId="7615" xr:uid="{00000000-0005-0000-0000-0000076C0000}"/>
    <cellStyle name="Normal 31 2 2 4 3" xfId="7616" xr:uid="{00000000-0005-0000-0000-0000086C0000}"/>
    <cellStyle name="Normal 31 2 2 5" xfId="7617" xr:uid="{00000000-0005-0000-0000-0000096C0000}"/>
    <cellStyle name="Normal 31 2 2 5 2" xfId="7618" xr:uid="{00000000-0005-0000-0000-00000A6C0000}"/>
    <cellStyle name="Normal 31 2 2 5 3" xfId="7619" xr:uid="{00000000-0005-0000-0000-00000B6C0000}"/>
    <cellStyle name="Normal 31 2 2 6" xfId="7620" xr:uid="{00000000-0005-0000-0000-00000C6C0000}"/>
    <cellStyle name="Normal 31 2 2 7" xfId="7621" xr:uid="{00000000-0005-0000-0000-00000D6C0000}"/>
    <cellStyle name="Normal 31 2 3" xfId="7622" xr:uid="{00000000-0005-0000-0000-00000E6C0000}"/>
    <cellStyle name="Normal 31 2 3 2" xfId="7623" xr:uid="{00000000-0005-0000-0000-00000F6C0000}"/>
    <cellStyle name="Normal 31 2 3 2 2" xfId="7624" xr:uid="{00000000-0005-0000-0000-0000106C0000}"/>
    <cellStyle name="Normal 31 2 3 2 2 2" xfId="7625" xr:uid="{00000000-0005-0000-0000-0000116C0000}"/>
    <cellStyle name="Normal 31 2 3 2 2 3" xfId="7626" xr:uid="{00000000-0005-0000-0000-0000126C0000}"/>
    <cellStyle name="Normal 31 2 3 2 3" xfId="7627" xr:uid="{00000000-0005-0000-0000-0000136C0000}"/>
    <cellStyle name="Normal 31 2 3 2 3 2" xfId="7628" xr:uid="{00000000-0005-0000-0000-0000146C0000}"/>
    <cellStyle name="Normal 31 2 3 2 3 3" xfId="7629" xr:uid="{00000000-0005-0000-0000-0000156C0000}"/>
    <cellStyle name="Normal 31 2 3 2 4" xfId="7630" xr:uid="{00000000-0005-0000-0000-0000166C0000}"/>
    <cellStyle name="Normal 31 2 3 2 5" xfId="7631" xr:uid="{00000000-0005-0000-0000-0000176C0000}"/>
    <cellStyle name="Normal 31 2 3 3" xfId="7632" xr:uid="{00000000-0005-0000-0000-0000186C0000}"/>
    <cellStyle name="Normal 31 2 3 3 2" xfId="7633" xr:uid="{00000000-0005-0000-0000-0000196C0000}"/>
    <cellStyle name="Normal 31 2 3 3 3" xfId="7634" xr:uid="{00000000-0005-0000-0000-00001A6C0000}"/>
    <cellStyle name="Normal 31 2 3 4" xfId="7635" xr:uid="{00000000-0005-0000-0000-00001B6C0000}"/>
    <cellStyle name="Normal 31 2 3 4 2" xfId="7636" xr:uid="{00000000-0005-0000-0000-00001C6C0000}"/>
    <cellStyle name="Normal 31 2 3 4 3" xfId="7637" xr:uid="{00000000-0005-0000-0000-00001D6C0000}"/>
    <cellStyle name="Normal 31 2 3 5" xfId="7638" xr:uid="{00000000-0005-0000-0000-00001E6C0000}"/>
    <cellStyle name="Normal 31 2 3 6" xfId="7639" xr:uid="{00000000-0005-0000-0000-00001F6C0000}"/>
    <cellStyle name="Normal 31 2 4" xfId="7640" xr:uid="{00000000-0005-0000-0000-0000206C0000}"/>
    <cellStyle name="Normal 31 2 4 2" xfId="7641" xr:uid="{00000000-0005-0000-0000-0000216C0000}"/>
    <cellStyle name="Normal 31 2 4 2 2" xfId="7642" xr:uid="{00000000-0005-0000-0000-0000226C0000}"/>
    <cellStyle name="Normal 31 2 4 2 3" xfId="7643" xr:uid="{00000000-0005-0000-0000-0000236C0000}"/>
    <cellStyle name="Normal 31 2 4 3" xfId="7644" xr:uid="{00000000-0005-0000-0000-0000246C0000}"/>
    <cellStyle name="Normal 31 2 4 3 2" xfId="7645" xr:uid="{00000000-0005-0000-0000-0000256C0000}"/>
    <cellStyle name="Normal 31 2 4 3 3" xfId="7646" xr:uid="{00000000-0005-0000-0000-0000266C0000}"/>
    <cellStyle name="Normal 31 2 4 4" xfId="7647" xr:uid="{00000000-0005-0000-0000-0000276C0000}"/>
    <cellStyle name="Normal 31 2 4 5" xfId="7648" xr:uid="{00000000-0005-0000-0000-0000286C0000}"/>
    <cellStyle name="Normal 31 2 5" xfId="7649" xr:uid="{00000000-0005-0000-0000-0000296C0000}"/>
    <cellStyle name="Normal 31 2 5 2" xfId="7650" xr:uid="{00000000-0005-0000-0000-00002A6C0000}"/>
    <cellStyle name="Normal 31 2 5 3" xfId="7651" xr:uid="{00000000-0005-0000-0000-00002B6C0000}"/>
    <cellStyle name="Normal 31 2 6" xfId="7652" xr:uid="{00000000-0005-0000-0000-00002C6C0000}"/>
    <cellStyle name="Normal 31 2 6 2" xfId="7653" xr:uid="{00000000-0005-0000-0000-00002D6C0000}"/>
    <cellStyle name="Normal 31 2 6 3" xfId="7654" xr:uid="{00000000-0005-0000-0000-00002E6C0000}"/>
    <cellStyle name="Normal 31 2 7" xfId="7655" xr:uid="{00000000-0005-0000-0000-00002F6C0000}"/>
    <cellStyle name="Normal 31 2 8" xfId="7656" xr:uid="{00000000-0005-0000-0000-0000306C0000}"/>
    <cellStyle name="Normal 31 3" xfId="7657" xr:uid="{00000000-0005-0000-0000-0000316C0000}"/>
    <cellStyle name="Normal 31 3 2" xfId="7658" xr:uid="{00000000-0005-0000-0000-0000326C0000}"/>
    <cellStyle name="Normal 31 3 2 2" xfId="7659" xr:uid="{00000000-0005-0000-0000-0000336C0000}"/>
    <cellStyle name="Normal 31 3 2 2 2" xfId="7660" xr:uid="{00000000-0005-0000-0000-0000346C0000}"/>
    <cellStyle name="Normal 31 3 2 2 2 2" xfId="7661" xr:uid="{00000000-0005-0000-0000-0000356C0000}"/>
    <cellStyle name="Normal 31 3 2 2 2 3" xfId="7662" xr:uid="{00000000-0005-0000-0000-0000366C0000}"/>
    <cellStyle name="Normal 31 3 2 2 3" xfId="7663" xr:uid="{00000000-0005-0000-0000-0000376C0000}"/>
    <cellStyle name="Normal 31 3 2 2 3 2" xfId="7664" xr:uid="{00000000-0005-0000-0000-0000386C0000}"/>
    <cellStyle name="Normal 31 3 2 2 3 3" xfId="7665" xr:uid="{00000000-0005-0000-0000-0000396C0000}"/>
    <cellStyle name="Normal 31 3 2 2 4" xfId="7666" xr:uid="{00000000-0005-0000-0000-00003A6C0000}"/>
    <cellStyle name="Normal 31 3 2 2 5" xfId="7667" xr:uid="{00000000-0005-0000-0000-00003B6C0000}"/>
    <cellStyle name="Normal 31 3 2 3" xfId="7668" xr:uid="{00000000-0005-0000-0000-00003C6C0000}"/>
    <cellStyle name="Normal 31 3 2 3 2" xfId="7669" xr:uid="{00000000-0005-0000-0000-00003D6C0000}"/>
    <cellStyle name="Normal 31 3 2 3 3" xfId="7670" xr:uid="{00000000-0005-0000-0000-00003E6C0000}"/>
    <cellStyle name="Normal 31 3 2 4" xfId="7671" xr:uid="{00000000-0005-0000-0000-00003F6C0000}"/>
    <cellStyle name="Normal 31 3 2 4 2" xfId="7672" xr:uid="{00000000-0005-0000-0000-0000406C0000}"/>
    <cellStyle name="Normal 31 3 2 4 3" xfId="7673" xr:uid="{00000000-0005-0000-0000-0000416C0000}"/>
    <cellStyle name="Normal 31 3 2 5" xfId="7674" xr:uid="{00000000-0005-0000-0000-0000426C0000}"/>
    <cellStyle name="Normal 31 3 2 6" xfId="7675" xr:uid="{00000000-0005-0000-0000-0000436C0000}"/>
    <cellStyle name="Normal 31 3 3" xfId="7676" xr:uid="{00000000-0005-0000-0000-0000446C0000}"/>
    <cellStyle name="Normal 31 3 3 2" xfId="7677" xr:uid="{00000000-0005-0000-0000-0000456C0000}"/>
    <cellStyle name="Normal 31 3 3 2 2" xfId="7678" xr:uid="{00000000-0005-0000-0000-0000466C0000}"/>
    <cellStyle name="Normal 31 3 3 2 3" xfId="7679" xr:uid="{00000000-0005-0000-0000-0000476C0000}"/>
    <cellStyle name="Normal 31 3 3 3" xfId="7680" xr:uid="{00000000-0005-0000-0000-0000486C0000}"/>
    <cellStyle name="Normal 31 3 3 3 2" xfId="7681" xr:uid="{00000000-0005-0000-0000-0000496C0000}"/>
    <cellStyle name="Normal 31 3 3 3 3" xfId="7682" xr:uid="{00000000-0005-0000-0000-00004A6C0000}"/>
    <cellStyle name="Normal 31 3 3 4" xfId="7683" xr:uid="{00000000-0005-0000-0000-00004B6C0000}"/>
    <cellStyle name="Normal 31 3 3 5" xfId="7684" xr:uid="{00000000-0005-0000-0000-00004C6C0000}"/>
    <cellStyle name="Normal 31 3 4" xfId="7685" xr:uid="{00000000-0005-0000-0000-00004D6C0000}"/>
    <cellStyle name="Normal 31 3 4 2" xfId="7686" xr:uid="{00000000-0005-0000-0000-00004E6C0000}"/>
    <cellStyle name="Normal 31 3 4 3" xfId="7687" xr:uid="{00000000-0005-0000-0000-00004F6C0000}"/>
    <cellStyle name="Normal 31 3 5" xfId="7688" xr:uid="{00000000-0005-0000-0000-0000506C0000}"/>
    <cellStyle name="Normal 31 3 5 2" xfId="7689" xr:uid="{00000000-0005-0000-0000-0000516C0000}"/>
    <cellStyle name="Normal 31 3 5 3" xfId="7690" xr:uid="{00000000-0005-0000-0000-0000526C0000}"/>
    <cellStyle name="Normal 31 3 6" xfId="7691" xr:uid="{00000000-0005-0000-0000-0000536C0000}"/>
    <cellStyle name="Normal 31 3 7" xfId="7692" xr:uid="{00000000-0005-0000-0000-0000546C0000}"/>
    <cellStyle name="Normal 31 4" xfId="7693" xr:uid="{00000000-0005-0000-0000-0000556C0000}"/>
    <cellStyle name="Normal 31 4 2" xfId="7694" xr:uid="{00000000-0005-0000-0000-0000566C0000}"/>
    <cellStyle name="Normal 31 4 2 2" xfId="7695" xr:uid="{00000000-0005-0000-0000-0000576C0000}"/>
    <cellStyle name="Normal 31 4 2 2 2" xfId="7696" xr:uid="{00000000-0005-0000-0000-0000586C0000}"/>
    <cellStyle name="Normal 31 4 2 2 3" xfId="7697" xr:uid="{00000000-0005-0000-0000-0000596C0000}"/>
    <cellStyle name="Normal 31 4 2 3" xfId="7698" xr:uid="{00000000-0005-0000-0000-00005A6C0000}"/>
    <cellStyle name="Normal 31 4 2 3 2" xfId="7699" xr:uid="{00000000-0005-0000-0000-00005B6C0000}"/>
    <cellStyle name="Normal 31 4 2 3 3" xfId="7700" xr:uid="{00000000-0005-0000-0000-00005C6C0000}"/>
    <cellStyle name="Normal 31 4 2 4" xfId="7701" xr:uid="{00000000-0005-0000-0000-00005D6C0000}"/>
    <cellStyle name="Normal 31 4 2 5" xfId="7702" xr:uid="{00000000-0005-0000-0000-00005E6C0000}"/>
    <cellStyle name="Normal 31 4 3" xfId="7703" xr:uid="{00000000-0005-0000-0000-00005F6C0000}"/>
    <cellStyle name="Normal 31 4 3 2" xfId="7704" xr:uid="{00000000-0005-0000-0000-0000606C0000}"/>
    <cellStyle name="Normal 31 4 3 3" xfId="7705" xr:uid="{00000000-0005-0000-0000-0000616C0000}"/>
    <cellStyle name="Normal 31 4 4" xfId="7706" xr:uid="{00000000-0005-0000-0000-0000626C0000}"/>
    <cellStyle name="Normal 31 4 4 2" xfId="7707" xr:uid="{00000000-0005-0000-0000-0000636C0000}"/>
    <cellStyle name="Normal 31 4 4 3" xfId="7708" xr:uid="{00000000-0005-0000-0000-0000646C0000}"/>
    <cellStyle name="Normal 31 4 5" xfId="7709" xr:uid="{00000000-0005-0000-0000-0000656C0000}"/>
    <cellStyle name="Normal 31 4 6" xfId="7710" xr:uid="{00000000-0005-0000-0000-0000666C0000}"/>
    <cellStyle name="Normal 31 5" xfId="7711" xr:uid="{00000000-0005-0000-0000-0000676C0000}"/>
    <cellStyle name="Normal 31 5 2" xfId="7712" xr:uid="{00000000-0005-0000-0000-0000686C0000}"/>
    <cellStyle name="Normal 31 5 2 2" xfId="7713" xr:uid="{00000000-0005-0000-0000-0000696C0000}"/>
    <cellStyle name="Normal 31 5 2 3" xfId="7714" xr:uid="{00000000-0005-0000-0000-00006A6C0000}"/>
    <cellStyle name="Normal 31 5 3" xfId="7715" xr:uid="{00000000-0005-0000-0000-00006B6C0000}"/>
    <cellStyle name="Normal 31 5 3 2" xfId="7716" xr:uid="{00000000-0005-0000-0000-00006C6C0000}"/>
    <cellStyle name="Normal 31 5 3 3" xfId="7717" xr:uid="{00000000-0005-0000-0000-00006D6C0000}"/>
    <cellStyle name="Normal 31 5 4" xfId="7718" xr:uid="{00000000-0005-0000-0000-00006E6C0000}"/>
    <cellStyle name="Normal 31 5 5" xfId="7719" xr:uid="{00000000-0005-0000-0000-00006F6C0000}"/>
    <cellStyle name="Normal 31 6" xfId="7720" xr:uid="{00000000-0005-0000-0000-0000706C0000}"/>
    <cellStyle name="Normal 31 6 2" xfId="7721" xr:uid="{00000000-0005-0000-0000-0000716C0000}"/>
    <cellStyle name="Normal 31 6 3" xfId="7722" xr:uid="{00000000-0005-0000-0000-0000726C0000}"/>
    <cellStyle name="Normal 31 7" xfId="7723" xr:uid="{00000000-0005-0000-0000-0000736C0000}"/>
    <cellStyle name="Normal 31 7 2" xfId="7724" xr:uid="{00000000-0005-0000-0000-0000746C0000}"/>
    <cellStyle name="Normal 31 7 3" xfId="7725" xr:uid="{00000000-0005-0000-0000-0000756C0000}"/>
    <cellStyle name="Normal 31 8" xfId="7726" xr:uid="{00000000-0005-0000-0000-0000766C0000}"/>
    <cellStyle name="Normal 31 9" xfId="7727" xr:uid="{00000000-0005-0000-0000-0000776C0000}"/>
    <cellStyle name="Normal 32" xfId="184" xr:uid="{00000000-0005-0000-0000-0000786C0000}"/>
    <cellStyle name="Normal 32 2" xfId="7728" xr:uid="{00000000-0005-0000-0000-0000796C0000}"/>
    <cellStyle name="Normal 32 2 2" xfId="7729" xr:uid="{00000000-0005-0000-0000-00007A6C0000}"/>
    <cellStyle name="Normal 32 2 2 2" xfId="7730" xr:uid="{00000000-0005-0000-0000-00007B6C0000}"/>
    <cellStyle name="Normal 32 2 2 2 2" xfId="7731" xr:uid="{00000000-0005-0000-0000-00007C6C0000}"/>
    <cellStyle name="Normal 32 2 2 2 2 2" xfId="7732" xr:uid="{00000000-0005-0000-0000-00007D6C0000}"/>
    <cellStyle name="Normal 32 2 2 2 2 2 2" xfId="7733" xr:uid="{00000000-0005-0000-0000-00007E6C0000}"/>
    <cellStyle name="Normal 32 2 2 2 2 2 3" xfId="7734" xr:uid="{00000000-0005-0000-0000-00007F6C0000}"/>
    <cellStyle name="Normal 32 2 2 2 2 3" xfId="7735" xr:uid="{00000000-0005-0000-0000-0000806C0000}"/>
    <cellStyle name="Normal 32 2 2 2 2 3 2" xfId="7736" xr:uid="{00000000-0005-0000-0000-0000816C0000}"/>
    <cellStyle name="Normal 32 2 2 2 2 3 3" xfId="7737" xr:uid="{00000000-0005-0000-0000-0000826C0000}"/>
    <cellStyle name="Normal 32 2 2 2 2 4" xfId="7738" xr:uid="{00000000-0005-0000-0000-0000836C0000}"/>
    <cellStyle name="Normal 32 2 2 2 2 5" xfId="7739" xr:uid="{00000000-0005-0000-0000-0000846C0000}"/>
    <cellStyle name="Normal 32 2 2 2 3" xfId="7740" xr:uid="{00000000-0005-0000-0000-0000856C0000}"/>
    <cellStyle name="Normal 32 2 2 2 3 2" xfId="7741" xr:uid="{00000000-0005-0000-0000-0000866C0000}"/>
    <cellStyle name="Normal 32 2 2 2 3 3" xfId="7742" xr:uid="{00000000-0005-0000-0000-0000876C0000}"/>
    <cellStyle name="Normal 32 2 2 2 4" xfId="7743" xr:uid="{00000000-0005-0000-0000-0000886C0000}"/>
    <cellStyle name="Normal 32 2 2 2 4 2" xfId="7744" xr:uid="{00000000-0005-0000-0000-0000896C0000}"/>
    <cellStyle name="Normal 32 2 2 2 4 3" xfId="7745" xr:uid="{00000000-0005-0000-0000-00008A6C0000}"/>
    <cellStyle name="Normal 32 2 2 2 5" xfId="7746" xr:uid="{00000000-0005-0000-0000-00008B6C0000}"/>
    <cellStyle name="Normal 32 2 2 2 6" xfId="7747" xr:uid="{00000000-0005-0000-0000-00008C6C0000}"/>
    <cellStyle name="Normal 32 2 2 3" xfId="7748" xr:uid="{00000000-0005-0000-0000-00008D6C0000}"/>
    <cellStyle name="Normal 32 2 2 3 2" xfId="7749" xr:uid="{00000000-0005-0000-0000-00008E6C0000}"/>
    <cellStyle name="Normal 32 2 2 3 2 2" xfId="7750" xr:uid="{00000000-0005-0000-0000-00008F6C0000}"/>
    <cellStyle name="Normal 32 2 2 3 2 3" xfId="7751" xr:uid="{00000000-0005-0000-0000-0000906C0000}"/>
    <cellStyle name="Normal 32 2 2 3 3" xfId="7752" xr:uid="{00000000-0005-0000-0000-0000916C0000}"/>
    <cellStyle name="Normal 32 2 2 3 3 2" xfId="7753" xr:uid="{00000000-0005-0000-0000-0000926C0000}"/>
    <cellStyle name="Normal 32 2 2 3 3 3" xfId="7754" xr:uid="{00000000-0005-0000-0000-0000936C0000}"/>
    <cellStyle name="Normal 32 2 2 3 4" xfId="7755" xr:uid="{00000000-0005-0000-0000-0000946C0000}"/>
    <cellStyle name="Normal 32 2 2 3 5" xfId="7756" xr:uid="{00000000-0005-0000-0000-0000956C0000}"/>
    <cellStyle name="Normal 32 2 2 4" xfId="7757" xr:uid="{00000000-0005-0000-0000-0000966C0000}"/>
    <cellStyle name="Normal 32 2 2 4 2" xfId="7758" xr:uid="{00000000-0005-0000-0000-0000976C0000}"/>
    <cellStyle name="Normal 32 2 2 4 3" xfId="7759" xr:uid="{00000000-0005-0000-0000-0000986C0000}"/>
    <cellStyle name="Normal 32 2 2 5" xfId="7760" xr:uid="{00000000-0005-0000-0000-0000996C0000}"/>
    <cellStyle name="Normal 32 2 2 5 2" xfId="7761" xr:uid="{00000000-0005-0000-0000-00009A6C0000}"/>
    <cellStyle name="Normal 32 2 2 5 3" xfId="7762" xr:uid="{00000000-0005-0000-0000-00009B6C0000}"/>
    <cellStyle name="Normal 32 2 2 6" xfId="7763" xr:uid="{00000000-0005-0000-0000-00009C6C0000}"/>
    <cellStyle name="Normal 32 2 2 7" xfId="7764" xr:uid="{00000000-0005-0000-0000-00009D6C0000}"/>
    <cellStyle name="Normal 32 2 3" xfId="7765" xr:uid="{00000000-0005-0000-0000-00009E6C0000}"/>
    <cellStyle name="Normal 32 2 3 2" xfId="7766" xr:uid="{00000000-0005-0000-0000-00009F6C0000}"/>
    <cellStyle name="Normal 32 2 3 2 2" xfId="7767" xr:uid="{00000000-0005-0000-0000-0000A06C0000}"/>
    <cellStyle name="Normal 32 2 3 2 2 2" xfId="7768" xr:uid="{00000000-0005-0000-0000-0000A16C0000}"/>
    <cellStyle name="Normal 32 2 3 2 2 3" xfId="7769" xr:uid="{00000000-0005-0000-0000-0000A26C0000}"/>
    <cellStyle name="Normal 32 2 3 2 3" xfId="7770" xr:uid="{00000000-0005-0000-0000-0000A36C0000}"/>
    <cellStyle name="Normal 32 2 3 2 3 2" xfId="7771" xr:uid="{00000000-0005-0000-0000-0000A46C0000}"/>
    <cellStyle name="Normal 32 2 3 2 3 3" xfId="7772" xr:uid="{00000000-0005-0000-0000-0000A56C0000}"/>
    <cellStyle name="Normal 32 2 3 2 4" xfId="7773" xr:uid="{00000000-0005-0000-0000-0000A66C0000}"/>
    <cellStyle name="Normal 32 2 3 2 5" xfId="7774" xr:uid="{00000000-0005-0000-0000-0000A76C0000}"/>
    <cellStyle name="Normal 32 2 3 3" xfId="7775" xr:uid="{00000000-0005-0000-0000-0000A86C0000}"/>
    <cellStyle name="Normal 32 2 3 3 2" xfId="7776" xr:uid="{00000000-0005-0000-0000-0000A96C0000}"/>
    <cellStyle name="Normal 32 2 3 3 3" xfId="7777" xr:uid="{00000000-0005-0000-0000-0000AA6C0000}"/>
    <cellStyle name="Normal 32 2 3 4" xfId="7778" xr:uid="{00000000-0005-0000-0000-0000AB6C0000}"/>
    <cellStyle name="Normal 32 2 3 4 2" xfId="7779" xr:uid="{00000000-0005-0000-0000-0000AC6C0000}"/>
    <cellStyle name="Normal 32 2 3 4 3" xfId="7780" xr:uid="{00000000-0005-0000-0000-0000AD6C0000}"/>
    <cellStyle name="Normal 32 2 3 5" xfId="7781" xr:uid="{00000000-0005-0000-0000-0000AE6C0000}"/>
    <cellStyle name="Normal 32 2 3 6" xfId="7782" xr:uid="{00000000-0005-0000-0000-0000AF6C0000}"/>
    <cellStyle name="Normal 32 2 4" xfId="7783" xr:uid="{00000000-0005-0000-0000-0000B06C0000}"/>
    <cellStyle name="Normal 32 2 4 2" xfId="7784" xr:uid="{00000000-0005-0000-0000-0000B16C0000}"/>
    <cellStyle name="Normal 32 2 4 2 2" xfId="7785" xr:uid="{00000000-0005-0000-0000-0000B26C0000}"/>
    <cellStyle name="Normal 32 2 4 2 3" xfId="7786" xr:uid="{00000000-0005-0000-0000-0000B36C0000}"/>
    <cellStyle name="Normal 32 2 4 3" xfId="7787" xr:uid="{00000000-0005-0000-0000-0000B46C0000}"/>
    <cellStyle name="Normal 32 2 4 3 2" xfId="7788" xr:uid="{00000000-0005-0000-0000-0000B56C0000}"/>
    <cellStyle name="Normal 32 2 4 3 3" xfId="7789" xr:uid="{00000000-0005-0000-0000-0000B66C0000}"/>
    <cellStyle name="Normal 32 2 4 4" xfId="7790" xr:uid="{00000000-0005-0000-0000-0000B76C0000}"/>
    <cellStyle name="Normal 32 2 4 5" xfId="7791" xr:uid="{00000000-0005-0000-0000-0000B86C0000}"/>
    <cellStyle name="Normal 32 2 5" xfId="7792" xr:uid="{00000000-0005-0000-0000-0000B96C0000}"/>
    <cellStyle name="Normal 32 2 5 2" xfId="7793" xr:uid="{00000000-0005-0000-0000-0000BA6C0000}"/>
    <cellStyle name="Normal 32 2 5 3" xfId="7794" xr:uid="{00000000-0005-0000-0000-0000BB6C0000}"/>
    <cellStyle name="Normal 32 2 6" xfId="7795" xr:uid="{00000000-0005-0000-0000-0000BC6C0000}"/>
    <cellStyle name="Normal 32 2 6 2" xfId="7796" xr:uid="{00000000-0005-0000-0000-0000BD6C0000}"/>
    <cellStyle name="Normal 32 2 6 3" xfId="7797" xr:uid="{00000000-0005-0000-0000-0000BE6C0000}"/>
    <cellStyle name="Normal 32 2 7" xfId="7798" xr:uid="{00000000-0005-0000-0000-0000BF6C0000}"/>
    <cellStyle name="Normal 32 2 8" xfId="7799" xr:uid="{00000000-0005-0000-0000-0000C06C0000}"/>
    <cellStyle name="Normal 32 3" xfId="7800" xr:uid="{00000000-0005-0000-0000-0000C16C0000}"/>
    <cellStyle name="Normal 32 3 2" xfId="7801" xr:uid="{00000000-0005-0000-0000-0000C26C0000}"/>
    <cellStyle name="Normal 32 3 2 2" xfId="7802" xr:uid="{00000000-0005-0000-0000-0000C36C0000}"/>
    <cellStyle name="Normal 32 3 2 2 2" xfId="7803" xr:uid="{00000000-0005-0000-0000-0000C46C0000}"/>
    <cellStyle name="Normal 32 3 2 2 2 2" xfId="7804" xr:uid="{00000000-0005-0000-0000-0000C56C0000}"/>
    <cellStyle name="Normal 32 3 2 2 2 3" xfId="7805" xr:uid="{00000000-0005-0000-0000-0000C66C0000}"/>
    <cellStyle name="Normal 32 3 2 2 3" xfId="7806" xr:uid="{00000000-0005-0000-0000-0000C76C0000}"/>
    <cellStyle name="Normal 32 3 2 2 3 2" xfId="7807" xr:uid="{00000000-0005-0000-0000-0000C86C0000}"/>
    <cellStyle name="Normal 32 3 2 2 3 3" xfId="7808" xr:uid="{00000000-0005-0000-0000-0000C96C0000}"/>
    <cellStyle name="Normal 32 3 2 2 4" xfId="7809" xr:uid="{00000000-0005-0000-0000-0000CA6C0000}"/>
    <cellStyle name="Normal 32 3 2 2 5" xfId="7810" xr:uid="{00000000-0005-0000-0000-0000CB6C0000}"/>
    <cellStyle name="Normal 32 3 2 3" xfId="7811" xr:uid="{00000000-0005-0000-0000-0000CC6C0000}"/>
    <cellStyle name="Normal 32 3 2 3 2" xfId="7812" xr:uid="{00000000-0005-0000-0000-0000CD6C0000}"/>
    <cellStyle name="Normal 32 3 2 3 3" xfId="7813" xr:uid="{00000000-0005-0000-0000-0000CE6C0000}"/>
    <cellStyle name="Normal 32 3 2 4" xfId="7814" xr:uid="{00000000-0005-0000-0000-0000CF6C0000}"/>
    <cellStyle name="Normal 32 3 2 4 2" xfId="7815" xr:uid="{00000000-0005-0000-0000-0000D06C0000}"/>
    <cellStyle name="Normal 32 3 2 4 3" xfId="7816" xr:uid="{00000000-0005-0000-0000-0000D16C0000}"/>
    <cellStyle name="Normal 32 3 2 5" xfId="7817" xr:uid="{00000000-0005-0000-0000-0000D26C0000}"/>
    <cellStyle name="Normal 32 3 2 6" xfId="7818" xr:uid="{00000000-0005-0000-0000-0000D36C0000}"/>
    <cellStyle name="Normal 32 3 3" xfId="7819" xr:uid="{00000000-0005-0000-0000-0000D46C0000}"/>
    <cellStyle name="Normal 32 3 3 2" xfId="7820" xr:uid="{00000000-0005-0000-0000-0000D56C0000}"/>
    <cellStyle name="Normal 32 3 3 2 2" xfId="7821" xr:uid="{00000000-0005-0000-0000-0000D66C0000}"/>
    <cellStyle name="Normal 32 3 3 2 3" xfId="7822" xr:uid="{00000000-0005-0000-0000-0000D76C0000}"/>
    <cellStyle name="Normal 32 3 3 3" xfId="7823" xr:uid="{00000000-0005-0000-0000-0000D86C0000}"/>
    <cellStyle name="Normal 32 3 3 3 2" xfId="7824" xr:uid="{00000000-0005-0000-0000-0000D96C0000}"/>
    <cellStyle name="Normal 32 3 3 3 3" xfId="7825" xr:uid="{00000000-0005-0000-0000-0000DA6C0000}"/>
    <cellStyle name="Normal 32 3 3 4" xfId="7826" xr:uid="{00000000-0005-0000-0000-0000DB6C0000}"/>
    <cellStyle name="Normal 32 3 3 5" xfId="7827" xr:uid="{00000000-0005-0000-0000-0000DC6C0000}"/>
    <cellStyle name="Normal 32 3 4" xfId="7828" xr:uid="{00000000-0005-0000-0000-0000DD6C0000}"/>
    <cellStyle name="Normal 32 3 4 2" xfId="7829" xr:uid="{00000000-0005-0000-0000-0000DE6C0000}"/>
    <cellStyle name="Normal 32 3 4 3" xfId="7830" xr:uid="{00000000-0005-0000-0000-0000DF6C0000}"/>
    <cellStyle name="Normal 32 3 5" xfId="7831" xr:uid="{00000000-0005-0000-0000-0000E06C0000}"/>
    <cellStyle name="Normal 32 3 5 2" xfId="7832" xr:uid="{00000000-0005-0000-0000-0000E16C0000}"/>
    <cellStyle name="Normal 32 3 5 3" xfId="7833" xr:uid="{00000000-0005-0000-0000-0000E26C0000}"/>
    <cellStyle name="Normal 32 3 6" xfId="7834" xr:uid="{00000000-0005-0000-0000-0000E36C0000}"/>
    <cellStyle name="Normal 32 3 7" xfId="7835" xr:uid="{00000000-0005-0000-0000-0000E46C0000}"/>
    <cellStyle name="Normal 32 4" xfId="7836" xr:uid="{00000000-0005-0000-0000-0000E56C0000}"/>
    <cellStyle name="Normal 32 4 2" xfId="7837" xr:uid="{00000000-0005-0000-0000-0000E66C0000}"/>
    <cellStyle name="Normal 32 4 2 2" xfId="7838" xr:uid="{00000000-0005-0000-0000-0000E76C0000}"/>
    <cellStyle name="Normal 32 4 2 2 2" xfId="7839" xr:uid="{00000000-0005-0000-0000-0000E86C0000}"/>
    <cellStyle name="Normal 32 4 2 2 3" xfId="7840" xr:uid="{00000000-0005-0000-0000-0000E96C0000}"/>
    <cellStyle name="Normal 32 4 2 3" xfId="7841" xr:uid="{00000000-0005-0000-0000-0000EA6C0000}"/>
    <cellStyle name="Normal 32 4 2 3 2" xfId="7842" xr:uid="{00000000-0005-0000-0000-0000EB6C0000}"/>
    <cellStyle name="Normal 32 4 2 3 3" xfId="7843" xr:uid="{00000000-0005-0000-0000-0000EC6C0000}"/>
    <cellStyle name="Normal 32 4 2 4" xfId="7844" xr:uid="{00000000-0005-0000-0000-0000ED6C0000}"/>
    <cellStyle name="Normal 32 4 2 5" xfId="7845" xr:uid="{00000000-0005-0000-0000-0000EE6C0000}"/>
    <cellStyle name="Normal 32 4 3" xfId="7846" xr:uid="{00000000-0005-0000-0000-0000EF6C0000}"/>
    <cellStyle name="Normal 32 4 3 2" xfId="7847" xr:uid="{00000000-0005-0000-0000-0000F06C0000}"/>
    <cellStyle name="Normal 32 4 3 3" xfId="7848" xr:uid="{00000000-0005-0000-0000-0000F16C0000}"/>
    <cellStyle name="Normal 32 4 4" xfId="7849" xr:uid="{00000000-0005-0000-0000-0000F26C0000}"/>
    <cellStyle name="Normal 32 4 4 2" xfId="7850" xr:uid="{00000000-0005-0000-0000-0000F36C0000}"/>
    <cellStyle name="Normal 32 4 4 3" xfId="7851" xr:uid="{00000000-0005-0000-0000-0000F46C0000}"/>
    <cellStyle name="Normal 32 4 5" xfId="7852" xr:uid="{00000000-0005-0000-0000-0000F56C0000}"/>
    <cellStyle name="Normal 32 4 6" xfId="7853" xr:uid="{00000000-0005-0000-0000-0000F66C0000}"/>
    <cellStyle name="Normal 32 5" xfId="7854" xr:uid="{00000000-0005-0000-0000-0000F76C0000}"/>
    <cellStyle name="Normal 32 5 2" xfId="7855" xr:uid="{00000000-0005-0000-0000-0000F86C0000}"/>
    <cellStyle name="Normal 32 5 2 2" xfId="7856" xr:uid="{00000000-0005-0000-0000-0000F96C0000}"/>
    <cellStyle name="Normal 32 5 2 3" xfId="7857" xr:uid="{00000000-0005-0000-0000-0000FA6C0000}"/>
    <cellStyle name="Normal 32 5 3" xfId="7858" xr:uid="{00000000-0005-0000-0000-0000FB6C0000}"/>
    <cellStyle name="Normal 32 5 3 2" xfId="7859" xr:uid="{00000000-0005-0000-0000-0000FC6C0000}"/>
    <cellStyle name="Normal 32 5 3 3" xfId="7860" xr:uid="{00000000-0005-0000-0000-0000FD6C0000}"/>
    <cellStyle name="Normal 32 5 4" xfId="7861" xr:uid="{00000000-0005-0000-0000-0000FE6C0000}"/>
    <cellStyle name="Normal 32 5 5" xfId="7862" xr:uid="{00000000-0005-0000-0000-0000FF6C0000}"/>
    <cellStyle name="Normal 32 6" xfId="7863" xr:uid="{00000000-0005-0000-0000-0000006D0000}"/>
    <cellStyle name="Normal 32 6 2" xfId="7864" xr:uid="{00000000-0005-0000-0000-0000016D0000}"/>
    <cellStyle name="Normal 32 6 3" xfId="7865" xr:uid="{00000000-0005-0000-0000-0000026D0000}"/>
    <cellStyle name="Normal 32 7" xfId="7866" xr:uid="{00000000-0005-0000-0000-0000036D0000}"/>
    <cellStyle name="Normal 32 7 2" xfId="7867" xr:uid="{00000000-0005-0000-0000-0000046D0000}"/>
    <cellStyle name="Normal 32 7 3" xfId="7868" xr:uid="{00000000-0005-0000-0000-0000056D0000}"/>
    <cellStyle name="Normal 32 8" xfId="7869" xr:uid="{00000000-0005-0000-0000-0000066D0000}"/>
    <cellStyle name="Normal 32 9" xfId="7870" xr:uid="{00000000-0005-0000-0000-0000076D0000}"/>
    <cellStyle name="Normal 33" xfId="185" xr:uid="{00000000-0005-0000-0000-0000086D0000}"/>
    <cellStyle name="Normal 33 2" xfId="7871" xr:uid="{00000000-0005-0000-0000-0000096D0000}"/>
    <cellStyle name="Normal 33 3" xfId="7872" xr:uid="{00000000-0005-0000-0000-00000A6D0000}"/>
    <cellStyle name="Normal 34" xfId="186" xr:uid="{00000000-0005-0000-0000-00000B6D0000}"/>
    <cellStyle name="Normal 34 2" xfId="7873" xr:uid="{00000000-0005-0000-0000-00000C6D0000}"/>
    <cellStyle name="Normal 34 3" xfId="7874" xr:uid="{00000000-0005-0000-0000-00000D6D0000}"/>
    <cellStyle name="Normal 35" xfId="187" xr:uid="{00000000-0005-0000-0000-00000E6D0000}"/>
    <cellStyle name="Normal 35 2" xfId="7875" xr:uid="{00000000-0005-0000-0000-00000F6D0000}"/>
    <cellStyle name="Normal 35 2 2" xfId="7876" xr:uid="{00000000-0005-0000-0000-0000106D0000}"/>
    <cellStyle name="Normal 35 2 2 2" xfId="7877" xr:uid="{00000000-0005-0000-0000-0000116D0000}"/>
    <cellStyle name="Normal 35 2 2 2 2" xfId="7878" xr:uid="{00000000-0005-0000-0000-0000126D0000}"/>
    <cellStyle name="Normal 35 2 2 2 2 2" xfId="7879" xr:uid="{00000000-0005-0000-0000-0000136D0000}"/>
    <cellStyle name="Normal 35 2 2 2 2 3" xfId="7880" xr:uid="{00000000-0005-0000-0000-0000146D0000}"/>
    <cellStyle name="Normal 35 2 2 2 3" xfId="7881" xr:uid="{00000000-0005-0000-0000-0000156D0000}"/>
    <cellStyle name="Normal 35 2 2 2 3 2" xfId="7882" xr:uid="{00000000-0005-0000-0000-0000166D0000}"/>
    <cellStyle name="Normal 35 2 2 2 3 3" xfId="7883" xr:uid="{00000000-0005-0000-0000-0000176D0000}"/>
    <cellStyle name="Normal 35 2 2 2 4" xfId="7884" xr:uid="{00000000-0005-0000-0000-0000186D0000}"/>
    <cellStyle name="Normal 35 2 2 2 5" xfId="7885" xr:uid="{00000000-0005-0000-0000-0000196D0000}"/>
    <cellStyle name="Normal 35 2 2 3" xfId="7886" xr:uid="{00000000-0005-0000-0000-00001A6D0000}"/>
    <cellStyle name="Normal 35 2 2 3 2" xfId="7887" xr:uid="{00000000-0005-0000-0000-00001B6D0000}"/>
    <cellStyle name="Normal 35 2 2 3 3" xfId="7888" xr:uid="{00000000-0005-0000-0000-00001C6D0000}"/>
    <cellStyle name="Normal 35 2 2 4" xfId="7889" xr:uid="{00000000-0005-0000-0000-00001D6D0000}"/>
    <cellStyle name="Normal 35 2 2 4 2" xfId="7890" xr:uid="{00000000-0005-0000-0000-00001E6D0000}"/>
    <cellStyle name="Normal 35 2 2 4 3" xfId="7891" xr:uid="{00000000-0005-0000-0000-00001F6D0000}"/>
    <cellStyle name="Normal 35 2 2 5" xfId="7892" xr:uid="{00000000-0005-0000-0000-0000206D0000}"/>
    <cellStyle name="Normal 35 2 2 6" xfId="7893" xr:uid="{00000000-0005-0000-0000-0000216D0000}"/>
    <cellStyle name="Normal 35 2 3" xfId="7894" xr:uid="{00000000-0005-0000-0000-0000226D0000}"/>
    <cellStyle name="Normal 35 2 3 2" xfId="7895" xr:uid="{00000000-0005-0000-0000-0000236D0000}"/>
    <cellStyle name="Normal 35 2 3 2 2" xfId="7896" xr:uid="{00000000-0005-0000-0000-0000246D0000}"/>
    <cellStyle name="Normal 35 2 3 2 3" xfId="7897" xr:uid="{00000000-0005-0000-0000-0000256D0000}"/>
    <cellStyle name="Normal 35 2 3 3" xfId="7898" xr:uid="{00000000-0005-0000-0000-0000266D0000}"/>
    <cellStyle name="Normal 35 2 3 3 2" xfId="7899" xr:uid="{00000000-0005-0000-0000-0000276D0000}"/>
    <cellStyle name="Normal 35 2 3 3 3" xfId="7900" xr:uid="{00000000-0005-0000-0000-0000286D0000}"/>
    <cellStyle name="Normal 35 2 3 4" xfId="7901" xr:uid="{00000000-0005-0000-0000-0000296D0000}"/>
    <cellStyle name="Normal 35 2 3 5" xfId="7902" xr:uid="{00000000-0005-0000-0000-00002A6D0000}"/>
    <cellStyle name="Normal 35 2 4" xfId="7903" xr:uid="{00000000-0005-0000-0000-00002B6D0000}"/>
    <cellStyle name="Normal 35 2 4 2" xfId="7904" xr:uid="{00000000-0005-0000-0000-00002C6D0000}"/>
    <cellStyle name="Normal 35 2 4 3" xfId="7905" xr:uid="{00000000-0005-0000-0000-00002D6D0000}"/>
    <cellStyle name="Normal 35 2 5" xfId="7906" xr:uid="{00000000-0005-0000-0000-00002E6D0000}"/>
    <cellStyle name="Normal 35 2 5 2" xfId="7907" xr:uid="{00000000-0005-0000-0000-00002F6D0000}"/>
    <cellStyle name="Normal 35 2 5 3" xfId="7908" xr:uid="{00000000-0005-0000-0000-0000306D0000}"/>
    <cellStyle name="Normal 35 2 6" xfId="7909" xr:uid="{00000000-0005-0000-0000-0000316D0000}"/>
    <cellStyle name="Normal 35 2 7" xfId="7910" xr:uid="{00000000-0005-0000-0000-0000326D0000}"/>
    <cellStyle name="Normal 35 3" xfId="7911" xr:uid="{00000000-0005-0000-0000-0000336D0000}"/>
    <cellStyle name="Normal 35 3 2" xfId="7912" xr:uid="{00000000-0005-0000-0000-0000346D0000}"/>
    <cellStyle name="Normal 35 3 2 2" xfId="7913" xr:uid="{00000000-0005-0000-0000-0000356D0000}"/>
    <cellStyle name="Normal 35 3 2 2 2" xfId="7914" xr:uid="{00000000-0005-0000-0000-0000366D0000}"/>
    <cellStyle name="Normal 35 3 2 2 3" xfId="7915" xr:uid="{00000000-0005-0000-0000-0000376D0000}"/>
    <cellStyle name="Normal 35 3 2 3" xfId="7916" xr:uid="{00000000-0005-0000-0000-0000386D0000}"/>
    <cellStyle name="Normal 35 3 2 3 2" xfId="7917" xr:uid="{00000000-0005-0000-0000-0000396D0000}"/>
    <cellStyle name="Normal 35 3 2 3 3" xfId="7918" xr:uid="{00000000-0005-0000-0000-00003A6D0000}"/>
    <cellStyle name="Normal 35 3 2 4" xfId="7919" xr:uid="{00000000-0005-0000-0000-00003B6D0000}"/>
    <cellStyle name="Normal 35 3 2 5" xfId="7920" xr:uid="{00000000-0005-0000-0000-00003C6D0000}"/>
    <cellStyle name="Normal 35 3 3" xfId="7921" xr:uid="{00000000-0005-0000-0000-00003D6D0000}"/>
    <cellStyle name="Normal 35 3 3 2" xfId="7922" xr:uid="{00000000-0005-0000-0000-00003E6D0000}"/>
    <cellStyle name="Normal 35 3 3 3" xfId="7923" xr:uid="{00000000-0005-0000-0000-00003F6D0000}"/>
    <cellStyle name="Normal 35 3 4" xfId="7924" xr:uid="{00000000-0005-0000-0000-0000406D0000}"/>
    <cellStyle name="Normal 35 3 4 2" xfId="7925" xr:uid="{00000000-0005-0000-0000-0000416D0000}"/>
    <cellStyle name="Normal 35 3 4 3" xfId="7926" xr:uid="{00000000-0005-0000-0000-0000426D0000}"/>
    <cellStyle name="Normal 35 3 5" xfId="7927" xr:uid="{00000000-0005-0000-0000-0000436D0000}"/>
    <cellStyle name="Normal 35 3 6" xfId="7928" xr:uid="{00000000-0005-0000-0000-0000446D0000}"/>
    <cellStyle name="Normal 35 4" xfId="7929" xr:uid="{00000000-0005-0000-0000-0000456D0000}"/>
    <cellStyle name="Normal 35 4 2" xfId="7930" xr:uid="{00000000-0005-0000-0000-0000466D0000}"/>
    <cellStyle name="Normal 35 4 2 2" xfId="7931" xr:uid="{00000000-0005-0000-0000-0000476D0000}"/>
    <cellStyle name="Normal 35 4 2 3" xfId="7932" xr:uid="{00000000-0005-0000-0000-0000486D0000}"/>
    <cellStyle name="Normal 35 4 3" xfId="7933" xr:uid="{00000000-0005-0000-0000-0000496D0000}"/>
    <cellStyle name="Normal 35 4 3 2" xfId="7934" xr:uid="{00000000-0005-0000-0000-00004A6D0000}"/>
    <cellStyle name="Normal 35 4 3 3" xfId="7935" xr:uid="{00000000-0005-0000-0000-00004B6D0000}"/>
    <cellStyle name="Normal 35 4 4" xfId="7936" xr:uid="{00000000-0005-0000-0000-00004C6D0000}"/>
    <cellStyle name="Normal 35 4 5" xfId="7937" xr:uid="{00000000-0005-0000-0000-00004D6D0000}"/>
    <cellStyle name="Normal 35 5" xfId="7938" xr:uid="{00000000-0005-0000-0000-00004E6D0000}"/>
    <cellStyle name="Normal 35 5 2" xfId="7939" xr:uid="{00000000-0005-0000-0000-00004F6D0000}"/>
    <cellStyle name="Normal 35 5 3" xfId="7940" xr:uid="{00000000-0005-0000-0000-0000506D0000}"/>
    <cellStyle name="Normal 35 6" xfId="7941" xr:uid="{00000000-0005-0000-0000-0000516D0000}"/>
    <cellStyle name="Normal 35 6 2" xfId="7942" xr:uid="{00000000-0005-0000-0000-0000526D0000}"/>
    <cellStyle name="Normal 35 6 3" xfId="7943" xr:uid="{00000000-0005-0000-0000-0000536D0000}"/>
    <cellStyle name="Normal 35 7" xfId="7944" xr:uid="{00000000-0005-0000-0000-0000546D0000}"/>
    <cellStyle name="Normal 35 8" xfId="7945" xr:uid="{00000000-0005-0000-0000-0000556D0000}"/>
    <cellStyle name="Normal 36" xfId="188" xr:uid="{00000000-0005-0000-0000-0000566D0000}"/>
    <cellStyle name="Normal 36 2" xfId="7946" xr:uid="{00000000-0005-0000-0000-0000576D0000}"/>
    <cellStyle name="Normal 36 2 2" xfId="7947" xr:uid="{00000000-0005-0000-0000-0000586D0000}"/>
    <cellStyle name="Normal 36 2 2 2" xfId="7948" xr:uid="{00000000-0005-0000-0000-0000596D0000}"/>
    <cellStyle name="Normal 36 2 2 2 2" xfId="7949" xr:uid="{00000000-0005-0000-0000-00005A6D0000}"/>
    <cellStyle name="Normal 36 2 2 2 2 2" xfId="7950" xr:uid="{00000000-0005-0000-0000-00005B6D0000}"/>
    <cellStyle name="Normal 36 2 2 2 2 3" xfId="7951" xr:uid="{00000000-0005-0000-0000-00005C6D0000}"/>
    <cellStyle name="Normal 36 2 2 2 3" xfId="7952" xr:uid="{00000000-0005-0000-0000-00005D6D0000}"/>
    <cellStyle name="Normal 36 2 2 2 3 2" xfId="7953" xr:uid="{00000000-0005-0000-0000-00005E6D0000}"/>
    <cellStyle name="Normal 36 2 2 2 3 3" xfId="7954" xr:uid="{00000000-0005-0000-0000-00005F6D0000}"/>
    <cellStyle name="Normal 36 2 2 2 4" xfId="7955" xr:uid="{00000000-0005-0000-0000-0000606D0000}"/>
    <cellStyle name="Normal 36 2 2 2 5" xfId="7956" xr:uid="{00000000-0005-0000-0000-0000616D0000}"/>
    <cellStyle name="Normal 36 2 2 3" xfId="7957" xr:uid="{00000000-0005-0000-0000-0000626D0000}"/>
    <cellStyle name="Normal 36 2 2 3 2" xfId="7958" xr:uid="{00000000-0005-0000-0000-0000636D0000}"/>
    <cellStyle name="Normal 36 2 2 3 3" xfId="7959" xr:uid="{00000000-0005-0000-0000-0000646D0000}"/>
    <cellStyle name="Normal 36 2 2 4" xfId="7960" xr:uid="{00000000-0005-0000-0000-0000656D0000}"/>
    <cellStyle name="Normal 36 2 2 4 2" xfId="7961" xr:uid="{00000000-0005-0000-0000-0000666D0000}"/>
    <cellStyle name="Normal 36 2 2 4 3" xfId="7962" xr:uid="{00000000-0005-0000-0000-0000676D0000}"/>
    <cellStyle name="Normal 36 2 2 5" xfId="7963" xr:uid="{00000000-0005-0000-0000-0000686D0000}"/>
    <cellStyle name="Normal 36 2 2 6" xfId="7964" xr:uid="{00000000-0005-0000-0000-0000696D0000}"/>
    <cellStyle name="Normal 36 2 3" xfId="7965" xr:uid="{00000000-0005-0000-0000-00006A6D0000}"/>
    <cellStyle name="Normal 36 2 3 2" xfId="7966" xr:uid="{00000000-0005-0000-0000-00006B6D0000}"/>
    <cellStyle name="Normal 36 2 3 2 2" xfId="7967" xr:uid="{00000000-0005-0000-0000-00006C6D0000}"/>
    <cellStyle name="Normal 36 2 3 2 3" xfId="7968" xr:uid="{00000000-0005-0000-0000-00006D6D0000}"/>
    <cellStyle name="Normal 36 2 3 3" xfId="7969" xr:uid="{00000000-0005-0000-0000-00006E6D0000}"/>
    <cellStyle name="Normal 36 2 3 3 2" xfId="7970" xr:uid="{00000000-0005-0000-0000-00006F6D0000}"/>
    <cellStyle name="Normal 36 2 3 3 3" xfId="7971" xr:uid="{00000000-0005-0000-0000-0000706D0000}"/>
    <cellStyle name="Normal 36 2 3 4" xfId="7972" xr:uid="{00000000-0005-0000-0000-0000716D0000}"/>
    <cellStyle name="Normal 36 2 3 5" xfId="7973" xr:uid="{00000000-0005-0000-0000-0000726D0000}"/>
    <cellStyle name="Normal 36 2 4" xfId="7974" xr:uid="{00000000-0005-0000-0000-0000736D0000}"/>
    <cellStyle name="Normal 36 2 4 2" xfId="7975" xr:uid="{00000000-0005-0000-0000-0000746D0000}"/>
    <cellStyle name="Normal 36 2 4 3" xfId="7976" xr:uid="{00000000-0005-0000-0000-0000756D0000}"/>
    <cellStyle name="Normal 36 2 5" xfId="7977" xr:uid="{00000000-0005-0000-0000-0000766D0000}"/>
    <cellStyle name="Normal 36 2 5 2" xfId="7978" xr:uid="{00000000-0005-0000-0000-0000776D0000}"/>
    <cellStyle name="Normal 36 2 5 3" xfId="7979" xr:uid="{00000000-0005-0000-0000-0000786D0000}"/>
    <cellStyle name="Normal 36 2 6" xfId="7980" xr:uid="{00000000-0005-0000-0000-0000796D0000}"/>
    <cellStyle name="Normal 36 2 7" xfId="7981" xr:uid="{00000000-0005-0000-0000-00007A6D0000}"/>
    <cellStyle name="Normal 36 3" xfId="7982" xr:uid="{00000000-0005-0000-0000-00007B6D0000}"/>
    <cellStyle name="Normal 36 3 2" xfId="7983" xr:uid="{00000000-0005-0000-0000-00007C6D0000}"/>
    <cellStyle name="Normal 36 3 2 2" xfId="7984" xr:uid="{00000000-0005-0000-0000-00007D6D0000}"/>
    <cellStyle name="Normal 36 3 2 2 2" xfId="7985" xr:uid="{00000000-0005-0000-0000-00007E6D0000}"/>
    <cellStyle name="Normal 36 3 2 2 3" xfId="7986" xr:uid="{00000000-0005-0000-0000-00007F6D0000}"/>
    <cellStyle name="Normal 36 3 2 3" xfId="7987" xr:uid="{00000000-0005-0000-0000-0000806D0000}"/>
    <cellStyle name="Normal 36 3 2 3 2" xfId="7988" xr:uid="{00000000-0005-0000-0000-0000816D0000}"/>
    <cellStyle name="Normal 36 3 2 3 3" xfId="7989" xr:uid="{00000000-0005-0000-0000-0000826D0000}"/>
    <cellStyle name="Normal 36 3 2 4" xfId="7990" xr:uid="{00000000-0005-0000-0000-0000836D0000}"/>
    <cellStyle name="Normal 36 3 2 5" xfId="7991" xr:uid="{00000000-0005-0000-0000-0000846D0000}"/>
    <cellStyle name="Normal 36 3 3" xfId="7992" xr:uid="{00000000-0005-0000-0000-0000856D0000}"/>
    <cellStyle name="Normal 36 3 3 2" xfId="7993" xr:uid="{00000000-0005-0000-0000-0000866D0000}"/>
    <cellStyle name="Normal 36 3 3 3" xfId="7994" xr:uid="{00000000-0005-0000-0000-0000876D0000}"/>
    <cellStyle name="Normal 36 3 4" xfId="7995" xr:uid="{00000000-0005-0000-0000-0000886D0000}"/>
    <cellStyle name="Normal 36 3 4 2" xfId="7996" xr:uid="{00000000-0005-0000-0000-0000896D0000}"/>
    <cellStyle name="Normal 36 3 4 3" xfId="7997" xr:uid="{00000000-0005-0000-0000-00008A6D0000}"/>
    <cellStyle name="Normal 36 3 5" xfId="7998" xr:uid="{00000000-0005-0000-0000-00008B6D0000}"/>
    <cellStyle name="Normal 36 3 6" xfId="7999" xr:uid="{00000000-0005-0000-0000-00008C6D0000}"/>
    <cellStyle name="Normal 36 4" xfId="8000" xr:uid="{00000000-0005-0000-0000-00008D6D0000}"/>
    <cellStyle name="Normal 36 4 2" xfId="8001" xr:uid="{00000000-0005-0000-0000-00008E6D0000}"/>
    <cellStyle name="Normal 36 4 2 2" xfId="8002" xr:uid="{00000000-0005-0000-0000-00008F6D0000}"/>
    <cellStyle name="Normal 36 4 2 3" xfId="8003" xr:uid="{00000000-0005-0000-0000-0000906D0000}"/>
    <cellStyle name="Normal 36 4 3" xfId="8004" xr:uid="{00000000-0005-0000-0000-0000916D0000}"/>
    <cellStyle name="Normal 36 4 3 2" xfId="8005" xr:uid="{00000000-0005-0000-0000-0000926D0000}"/>
    <cellStyle name="Normal 36 4 3 3" xfId="8006" xr:uid="{00000000-0005-0000-0000-0000936D0000}"/>
    <cellStyle name="Normal 36 4 4" xfId="8007" xr:uid="{00000000-0005-0000-0000-0000946D0000}"/>
    <cellStyle name="Normal 36 4 5" xfId="8008" xr:uid="{00000000-0005-0000-0000-0000956D0000}"/>
    <cellStyle name="Normal 36 5" xfId="8009" xr:uid="{00000000-0005-0000-0000-0000966D0000}"/>
    <cellStyle name="Normal 36 5 2" xfId="8010" xr:uid="{00000000-0005-0000-0000-0000976D0000}"/>
    <cellStyle name="Normal 36 5 3" xfId="8011" xr:uid="{00000000-0005-0000-0000-0000986D0000}"/>
    <cellStyle name="Normal 36 6" xfId="8012" xr:uid="{00000000-0005-0000-0000-0000996D0000}"/>
    <cellStyle name="Normal 36 6 2" xfId="8013" xr:uid="{00000000-0005-0000-0000-00009A6D0000}"/>
    <cellStyle name="Normal 36 6 3" xfId="8014" xr:uid="{00000000-0005-0000-0000-00009B6D0000}"/>
    <cellStyle name="Normal 36 7" xfId="8015" xr:uid="{00000000-0005-0000-0000-00009C6D0000}"/>
    <cellStyle name="Normal 36 8" xfId="8016" xr:uid="{00000000-0005-0000-0000-00009D6D0000}"/>
    <cellStyle name="Normal 37" xfId="189" xr:uid="{00000000-0005-0000-0000-00009E6D0000}"/>
    <cellStyle name="Normal 37 2" xfId="8017" xr:uid="{00000000-0005-0000-0000-00009F6D0000}"/>
    <cellStyle name="Normal 37 2 2" xfId="8018" xr:uid="{00000000-0005-0000-0000-0000A06D0000}"/>
    <cellStyle name="Normal 37 2 2 2" xfId="8019" xr:uid="{00000000-0005-0000-0000-0000A16D0000}"/>
    <cellStyle name="Normal 37 2 2 2 2" xfId="8020" xr:uid="{00000000-0005-0000-0000-0000A26D0000}"/>
    <cellStyle name="Normal 37 2 2 2 2 2" xfId="8021" xr:uid="{00000000-0005-0000-0000-0000A36D0000}"/>
    <cellStyle name="Normal 37 2 2 2 2 3" xfId="8022" xr:uid="{00000000-0005-0000-0000-0000A46D0000}"/>
    <cellStyle name="Normal 37 2 2 2 3" xfId="8023" xr:uid="{00000000-0005-0000-0000-0000A56D0000}"/>
    <cellStyle name="Normal 37 2 2 2 3 2" xfId="8024" xr:uid="{00000000-0005-0000-0000-0000A66D0000}"/>
    <cellStyle name="Normal 37 2 2 2 3 3" xfId="8025" xr:uid="{00000000-0005-0000-0000-0000A76D0000}"/>
    <cellStyle name="Normal 37 2 2 2 4" xfId="8026" xr:uid="{00000000-0005-0000-0000-0000A86D0000}"/>
    <cellStyle name="Normal 37 2 2 2 5" xfId="8027" xr:uid="{00000000-0005-0000-0000-0000A96D0000}"/>
    <cellStyle name="Normal 37 2 2 3" xfId="8028" xr:uid="{00000000-0005-0000-0000-0000AA6D0000}"/>
    <cellStyle name="Normal 37 2 2 3 2" xfId="8029" xr:uid="{00000000-0005-0000-0000-0000AB6D0000}"/>
    <cellStyle name="Normal 37 2 2 3 3" xfId="8030" xr:uid="{00000000-0005-0000-0000-0000AC6D0000}"/>
    <cellStyle name="Normal 37 2 2 4" xfId="8031" xr:uid="{00000000-0005-0000-0000-0000AD6D0000}"/>
    <cellStyle name="Normal 37 2 2 4 2" xfId="8032" xr:uid="{00000000-0005-0000-0000-0000AE6D0000}"/>
    <cellStyle name="Normal 37 2 2 4 3" xfId="8033" xr:uid="{00000000-0005-0000-0000-0000AF6D0000}"/>
    <cellStyle name="Normal 37 2 2 5" xfId="8034" xr:uid="{00000000-0005-0000-0000-0000B06D0000}"/>
    <cellStyle name="Normal 37 2 2 6" xfId="8035" xr:uid="{00000000-0005-0000-0000-0000B16D0000}"/>
    <cellStyle name="Normal 37 2 3" xfId="8036" xr:uid="{00000000-0005-0000-0000-0000B26D0000}"/>
    <cellStyle name="Normal 37 2 3 2" xfId="8037" xr:uid="{00000000-0005-0000-0000-0000B36D0000}"/>
    <cellStyle name="Normal 37 2 3 2 2" xfId="8038" xr:uid="{00000000-0005-0000-0000-0000B46D0000}"/>
    <cellStyle name="Normal 37 2 3 2 3" xfId="8039" xr:uid="{00000000-0005-0000-0000-0000B56D0000}"/>
    <cellStyle name="Normal 37 2 3 3" xfId="8040" xr:uid="{00000000-0005-0000-0000-0000B66D0000}"/>
    <cellStyle name="Normal 37 2 3 3 2" xfId="8041" xr:uid="{00000000-0005-0000-0000-0000B76D0000}"/>
    <cellStyle name="Normal 37 2 3 3 3" xfId="8042" xr:uid="{00000000-0005-0000-0000-0000B86D0000}"/>
    <cellStyle name="Normal 37 2 3 4" xfId="8043" xr:uid="{00000000-0005-0000-0000-0000B96D0000}"/>
    <cellStyle name="Normal 37 2 3 5" xfId="8044" xr:uid="{00000000-0005-0000-0000-0000BA6D0000}"/>
    <cellStyle name="Normal 37 2 4" xfId="8045" xr:uid="{00000000-0005-0000-0000-0000BB6D0000}"/>
    <cellStyle name="Normal 37 2 4 2" xfId="8046" xr:uid="{00000000-0005-0000-0000-0000BC6D0000}"/>
    <cellStyle name="Normal 37 2 4 3" xfId="8047" xr:uid="{00000000-0005-0000-0000-0000BD6D0000}"/>
    <cellStyle name="Normal 37 2 5" xfId="8048" xr:uid="{00000000-0005-0000-0000-0000BE6D0000}"/>
    <cellStyle name="Normal 37 2 5 2" xfId="8049" xr:uid="{00000000-0005-0000-0000-0000BF6D0000}"/>
    <cellStyle name="Normal 37 2 5 3" xfId="8050" xr:uid="{00000000-0005-0000-0000-0000C06D0000}"/>
    <cellStyle name="Normal 37 2 6" xfId="8051" xr:uid="{00000000-0005-0000-0000-0000C16D0000}"/>
    <cellStyle name="Normal 37 2 7" xfId="8052" xr:uid="{00000000-0005-0000-0000-0000C26D0000}"/>
    <cellStyle name="Normal 37 3" xfId="8053" xr:uid="{00000000-0005-0000-0000-0000C36D0000}"/>
    <cellStyle name="Normal 37 3 2" xfId="8054" xr:uid="{00000000-0005-0000-0000-0000C46D0000}"/>
    <cellStyle name="Normal 37 3 2 2" xfId="8055" xr:uid="{00000000-0005-0000-0000-0000C56D0000}"/>
    <cellStyle name="Normal 37 3 2 2 2" xfId="8056" xr:uid="{00000000-0005-0000-0000-0000C66D0000}"/>
    <cellStyle name="Normal 37 3 2 2 3" xfId="8057" xr:uid="{00000000-0005-0000-0000-0000C76D0000}"/>
    <cellStyle name="Normal 37 3 2 3" xfId="8058" xr:uid="{00000000-0005-0000-0000-0000C86D0000}"/>
    <cellStyle name="Normal 37 3 2 3 2" xfId="8059" xr:uid="{00000000-0005-0000-0000-0000C96D0000}"/>
    <cellStyle name="Normal 37 3 2 3 3" xfId="8060" xr:uid="{00000000-0005-0000-0000-0000CA6D0000}"/>
    <cellStyle name="Normal 37 3 2 4" xfId="8061" xr:uid="{00000000-0005-0000-0000-0000CB6D0000}"/>
    <cellStyle name="Normal 37 3 2 5" xfId="8062" xr:uid="{00000000-0005-0000-0000-0000CC6D0000}"/>
    <cellStyle name="Normal 37 3 3" xfId="8063" xr:uid="{00000000-0005-0000-0000-0000CD6D0000}"/>
    <cellStyle name="Normal 37 3 3 2" xfId="8064" xr:uid="{00000000-0005-0000-0000-0000CE6D0000}"/>
    <cellStyle name="Normal 37 3 3 3" xfId="8065" xr:uid="{00000000-0005-0000-0000-0000CF6D0000}"/>
    <cellStyle name="Normal 37 3 4" xfId="8066" xr:uid="{00000000-0005-0000-0000-0000D06D0000}"/>
    <cellStyle name="Normal 37 3 4 2" xfId="8067" xr:uid="{00000000-0005-0000-0000-0000D16D0000}"/>
    <cellStyle name="Normal 37 3 4 3" xfId="8068" xr:uid="{00000000-0005-0000-0000-0000D26D0000}"/>
    <cellStyle name="Normal 37 3 5" xfId="8069" xr:uid="{00000000-0005-0000-0000-0000D36D0000}"/>
    <cellStyle name="Normal 37 3 6" xfId="8070" xr:uid="{00000000-0005-0000-0000-0000D46D0000}"/>
    <cellStyle name="Normal 37 4" xfId="8071" xr:uid="{00000000-0005-0000-0000-0000D56D0000}"/>
    <cellStyle name="Normal 37 4 2" xfId="8072" xr:uid="{00000000-0005-0000-0000-0000D66D0000}"/>
    <cellStyle name="Normal 37 4 2 2" xfId="8073" xr:uid="{00000000-0005-0000-0000-0000D76D0000}"/>
    <cellStyle name="Normal 37 4 2 3" xfId="8074" xr:uid="{00000000-0005-0000-0000-0000D86D0000}"/>
    <cellStyle name="Normal 37 4 3" xfId="8075" xr:uid="{00000000-0005-0000-0000-0000D96D0000}"/>
    <cellStyle name="Normal 37 4 3 2" xfId="8076" xr:uid="{00000000-0005-0000-0000-0000DA6D0000}"/>
    <cellStyle name="Normal 37 4 3 3" xfId="8077" xr:uid="{00000000-0005-0000-0000-0000DB6D0000}"/>
    <cellStyle name="Normal 37 4 4" xfId="8078" xr:uid="{00000000-0005-0000-0000-0000DC6D0000}"/>
    <cellStyle name="Normal 37 4 5" xfId="8079" xr:uid="{00000000-0005-0000-0000-0000DD6D0000}"/>
    <cellStyle name="Normal 37 5" xfId="8080" xr:uid="{00000000-0005-0000-0000-0000DE6D0000}"/>
    <cellStyle name="Normal 37 5 2" xfId="8081" xr:uid="{00000000-0005-0000-0000-0000DF6D0000}"/>
    <cellStyle name="Normal 37 5 3" xfId="8082" xr:uid="{00000000-0005-0000-0000-0000E06D0000}"/>
    <cellStyle name="Normal 37 6" xfId="8083" xr:uid="{00000000-0005-0000-0000-0000E16D0000}"/>
    <cellStyle name="Normal 37 6 2" xfId="8084" xr:uid="{00000000-0005-0000-0000-0000E26D0000}"/>
    <cellStyle name="Normal 37 6 3" xfId="8085" xr:uid="{00000000-0005-0000-0000-0000E36D0000}"/>
    <cellStyle name="Normal 37 7" xfId="8086" xr:uid="{00000000-0005-0000-0000-0000E46D0000}"/>
    <cellStyle name="Normal 37 8" xfId="8087" xr:uid="{00000000-0005-0000-0000-0000E56D0000}"/>
    <cellStyle name="Normal 38" xfId="190" xr:uid="{00000000-0005-0000-0000-0000E66D0000}"/>
    <cellStyle name="Normal 38 2" xfId="8088" xr:uid="{00000000-0005-0000-0000-0000E76D0000}"/>
    <cellStyle name="Normal 38 2 2" xfId="8089" xr:uid="{00000000-0005-0000-0000-0000E86D0000}"/>
    <cellStyle name="Normal 38 2 2 2" xfId="8090" xr:uid="{00000000-0005-0000-0000-0000E96D0000}"/>
    <cellStyle name="Normal 38 2 2 2 2" xfId="8091" xr:uid="{00000000-0005-0000-0000-0000EA6D0000}"/>
    <cellStyle name="Normal 38 2 2 2 2 2" xfId="8092" xr:uid="{00000000-0005-0000-0000-0000EB6D0000}"/>
    <cellStyle name="Normal 38 2 2 2 2 3" xfId="8093" xr:uid="{00000000-0005-0000-0000-0000EC6D0000}"/>
    <cellStyle name="Normal 38 2 2 2 3" xfId="8094" xr:uid="{00000000-0005-0000-0000-0000ED6D0000}"/>
    <cellStyle name="Normal 38 2 2 2 3 2" xfId="8095" xr:uid="{00000000-0005-0000-0000-0000EE6D0000}"/>
    <cellStyle name="Normal 38 2 2 2 3 3" xfId="8096" xr:uid="{00000000-0005-0000-0000-0000EF6D0000}"/>
    <cellStyle name="Normal 38 2 2 2 4" xfId="8097" xr:uid="{00000000-0005-0000-0000-0000F06D0000}"/>
    <cellStyle name="Normal 38 2 2 2 5" xfId="8098" xr:uid="{00000000-0005-0000-0000-0000F16D0000}"/>
    <cellStyle name="Normal 38 2 2 3" xfId="8099" xr:uid="{00000000-0005-0000-0000-0000F26D0000}"/>
    <cellStyle name="Normal 38 2 2 3 2" xfId="8100" xr:uid="{00000000-0005-0000-0000-0000F36D0000}"/>
    <cellStyle name="Normal 38 2 2 3 3" xfId="8101" xr:uid="{00000000-0005-0000-0000-0000F46D0000}"/>
    <cellStyle name="Normal 38 2 2 4" xfId="8102" xr:uid="{00000000-0005-0000-0000-0000F56D0000}"/>
    <cellStyle name="Normal 38 2 2 4 2" xfId="8103" xr:uid="{00000000-0005-0000-0000-0000F66D0000}"/>
    <cellStyle name="Normal 38 2 2 4 3" xfId="8104" xr:uid="{00000000-0005-0000-0000-0000F76D0000}"/>
    <cellStyle name="Normal 38 2 2 5" xfId="8105" xr:uid="{00000000-0005-0000-0000-0000F86D0000}"/>
    <cellStyle name="Normal 38 2 2 6" xfId="8106" xr:uid="{00000000-0005-0000-0000-0000F96D0000}"/>
    <cellStyle name="Normal 38 2 3" xfId="8107" xr:uid="{00000000-0005-0000-0000-0000FA6D0000}"/>
    <cellStyle name="Normal 38 2 3 2" xfId="8108" xr:uid="{00000000-0005-0000-0000-0000FB6D0000}"/>
    <cellStyle name="Normal 38 2 3 2 2" xfId="8109" xr:uid="{00000000-0005-0000-0000-0000FC6D0000}"/>
    <cellStyle name="Normal 38 2 3 2 3" xfId="8110" xr:uid="{00000000-0005-0000-0000-0000FD6D0000}"/>
    <cellStyle name="Normal 38 2 3 3" xfId="8111" xr:uid="{00000000-0005-0000-0000-0000FE6D0000}"/>
    <cellStyle name="Normal 38 2 3 3 2" xfId="8112" xr:uid="{00000000-0005-0000-0000-0000FF6D0000}"/>
    <cellStyle name="Normal 38 2 3 3 3" xfId="8113" xr:uid="{00000000-0005-0000-0000-0000006E0000}"/>
    <cellStyle name="Normal 38 2 3 4" xfId="8114" xr:uid="{00000000-0005-0000-0000-0000016E0000}"/>
    <cellStyle name="Normal 38 2 3 5" xfId="8115" xr:uid="{00000000-0005-0000-0000-0000026E0000}"/>
    <cellStyle name="Normal 38 2 4" xfId="8116" xr:uid="{00000000-0005-0000-0000-0000036E0000}"/>
    <cellStyle name="Normal 38 2 4 2" xfId="8117" xr:uid="{00000000-0005-0000-0000-0000046E0000}"/>
    <cellStyle name="Normal 38 2 4 3" xfId="8118" xr:uid="{00000000-0005-0000-0000-0000056E0000}"/>
    <cellStyle name="Normal 38 2 5" xfId="8119" xr:uid="{00000000-0005-0000-0000-0000066E0000}"/>
    <cellStyle name="Normal 38 2 5 2" xfId="8120" xr:uid="{00000000-0005-0000-0000-0000076E0000}"/>
    <cellStyle name="Normal 38 2 5 3" xfId="8121" xr:uid="{00000000-0005-0000-0000-0000086E0000}"/>
    <cellStyle name="Normal 38 2 6" xfId="8122" xr:uid="{00000000-0005-0000-0000-0000096E0000}"/>
    <cellStyle name="Normal 38 2 7" xfId="8123" xr:uid="{00000000-0005-0000-0000-00000A6E0000}"/>
    <cellStyle name="Normal 38 3" xfId="8124" xr:uid="{00000000-0005-0000-0000-00000B6E0000}"/>
    <cellStyle name="Normal 38 3 2" xfId="8125" xr:uid="{00000000-0005-0000-0000-00000C6E0000}"/>
    <cellStyle name="Normal 38 3 2 2" xfId="8126" xr:uid="{00000000-0005-0000-0000-00000D6E0000}"/>
    <cellStyle name="Normal 38 3 2 2 2" xfId="8127" xr:uid="{00000000-0005-0000-0000-00000E6E0000}"/>
    <cellStyle name="Normal 38 3 2 2 3" xfId="8128" xr:uid="{00000000-0005-0000-0000-00000F6E0000}"/>
    <cellStyle name="Normal 38 3 2 3" xfId="8129" xr:uid="{00000000-0005-0000-0000-0000106E0000}"/>
    <cellStyle name="Normal 38 3 2 3 2" xfId="8130" xr:uid="{00000000-0005-0000-0000-0000116E0000}"/>
    <cellStyle name="Normal 38 3 2 3 3" xfId="8131" xr:uid="{00000000-0005-0000-0000-0000126E0000}"/>
    <cellStyle name="Normal 38 3 2 4" xfId="8132" xr:uid="{00000000-0005-0000-0000-0000136E0000}"/>
    <cellStyle name="Normal 38 3 2 5" xfId="8133" xr:uid="{00000000-0005-0000-0000-0000146E0000}"/>
    <cellStyle name="Normal 38 3 3" xfId="8134" xr:uid="{00000000-0005-0000-0000-0000156E0000}"/>
    <cellStyle name="Normal 38 3 3 2" xfId="8135" xr:uid="{00000000-0005-0000-0000-0000166E0000}"/>
    <cellStyle name="Normal 38 3 3 3" xfId="8136" xr:uid="{00000000-0005-0000-0000-0000176E0000}"/>
    <cellStyle name="Normal 38 3 4" xfId="8137" xr:uid="{00000000-0005-0000-0000-0000186E0000}"/>
    <cellStyle name="Normal 38 3 4 2" xfId="8138" xr:uid="{00000000-0005-0000-0000-0000196E0000}"/>
    <cellStyle name="Normal 38 3 4 3" xfId="8139" xr:uid="{00000000-0005-0000-0000-00001A6E0000}"/>
    <cellStyle name="Normal 38 3 5" xfId="8140" xr:uid="{00000000-0005-0000-0000-00001B6E0000}"/>
    <cellStyle name="Normal 38 3 6" xfId="8141" xr:uid="{00000000-0005-0000-0000-00001C6E0000}"/>
    <cellStyle name="Normal 38 4" xfId="8142" xr:uid="{00000000-0005-0000-0000-00001D6E0000}"/>
    <cellStyle name="Normal 38 4 2" xfId="8143" xr:uid="{00000000-0005-0000-0000-00001E6E0000}"/>
    <cellStyle name="Normal 38 4 2 2" xfId="8144" xr:uid="{00000000-0005-0000-0000-00001F6E0000}"/>
    <cellStyle name="Normal 38 4 2 3" xfId="8145" xr:uid="{00000000-0005-0000-0000-0000206E0000}"/>
    <cellStyle name="Normal 38 4 3" xfId="8146" xr:uid="{00000000-0005-0000-0000-0000216E0000}"/>
    <cellStyle name="Normal 38 4 3 2" xfId="8147" xr:uid="{00000000-0005-0000-0000-0000226E0000}"/>
    <cellStyle name="Normal 38 4 3 3" xfId="8148" xr:uid="{00000000-0005-0000-0000-0000236E0000}"/>
    <cellStyle name="Normal 38 4 4" xfId="8149" xr:uid="{00000000-0005-0000-0000-0000246E0000}"/>
    <cellStyle name="Normal 38 4 5" xfId="8150" xr:uid="{00000000-0005-0000-0000-0000256E0000}"/>
    <cellStyle name="Normal 38 5" xfId="8151" xr:uid="{00000000-0005-0000-0000-0000266E0000}"/>
    <cellStyle name="Normal 38 5 2" xfId="8152" xr:uid="{00000000-0005-0000-0000-0000276E0000}"/>
    <cellStyle name="Normal 38 5 3" xfId="8153" xr:uid="{00000000-0005-0000-0000-0000286E0000}"/>
    <cellStyle name="Normal 38 6" xfId="8154" xr:uid="{00000000-0005-0000-0000-0000296E0000}"/>
    <cellStyle name="Normal 38 6 2" xfId="8155" xr:uid="{00000000-0005-0000-0000-00002A6E0000}"/>
    <cellStyle name="Normal 38 6 3" xfId="8156" xr:uid="{00000000-0005-0000-0000-00002B6E0000}"/>
    <cellStyle name="Normal 38 7" xfId="8157" xr:uid="{00000000-0005-0000-0000-00002C6E0000}"/>
    <cellStyle name="Normal 38 8" xfId="8158" xr:uid="{00000000-0005-0000-0000-00002D6E0000}"/>
    <cellStyle name="Normal 39" xfId="191" xr:uid="{00000000-0005-0000-0000-00002E6E0000}"/>
    <cellStyle name="Normal 39 2" xfId="8159" xr:uid="{00000000-0005-0000-0000-00002F6E0000}"/>
    <cellStyle name="Normal 39 2 2" xfId="8160" xr:uid="{00000000-0005-0000-0000-0000306E0000}"/>
    <cellStyle name="Normal 39 2 2 2" xfId="8161" xr:uid="{00000000-0005-0000-0000-0000316E0000}"/>
    <cellStyle name="Normal 39 2 2 2 2" xfId="8162" xr:uid="{00000000-0005-0000-0000-0000326E0000}"/>
    <cellStyle name="Normal 39 2 2 2 2 2" xfId="8163" xr:uid="{00000000-0005-0000-0000-0000336E0000}"/>
    <cellStyle name="Normal 39 2 2 2 2 3" xfId="8164" xr:uid="{00000000-0005-0000-0000-0000346E0000}"/>
    <cellStyle name="Normal 39 2 2 2 3" xfId="8165" xr:uid="{00000000-0005-0000-0000-0000356E0000}"/>
    <cellStyle name="Normal 39 2 2 2 3 2" xfId="8166" xr:uid="{00000000-0005-0000-0000-0000366E0000}"/>
    <cellStyle name="Normal 39 2 2 2 3 3" xfId="8167" xr:uid="{00000000-0005-0000-0000-0000376E0000}"/>
    <cellStyle name="Normal 39 2 2 2 4" xfId="8168" xr:uid="{00000000-0005-0000-0000-0000386E0000}"/>
    <cellStyle name="Normal 39 2 2 2 5" xfId="8169" xr:uid="{00000000-0005-0000-0000-0000396E0000}"/>
    <cellStyle name="Normal 39 2 2 3" xfId="8170" xr:uid="{00000000-0005-0000-0000-00003A6E0000}"/>
    <cellStyle name="Normal 39 2 2 3 2" xfId="8171" xr:uid="{00000000-0005-0000-0000-00003B6E0000}"/>
    <cellStyle name="Normal 39 2 2 3 3" xfId="8172" xr:uid="{00000000-0005-0000-0000-00003C6E0000}"/>
    <cellStyle name="Normal 39 2 2 4" xfId="8173" xr:uid="{00000000-0005-0000-0000-00003D6E0000}"/>
    <cellStyle name="Normal 39 2 2 4 2" xfId="8174" xr:uid="{00000000-0005-0000-0000-00003E6E0000}"/>
    <cellStyle name="Normal 39 2 2 4 3" xfId="8175" xr:uid="{00000000-0005-0000-0000-00003F6E0000}"/>
    <cellStyle name="Normal 39 2 2 5" xfId="8176" xr:uid="{00000000-0005-0000-0000-0000406E0000}"/>
    <cellStyle name="Normal 39 2 2 6" xfId="8177" xr:uid="{00000000-0005-0000-0000-0000416E0000}"/>
    <cellStyle name="Normal 39 2 3" xfId="8178" xr:uid="{00000000-0005-0000-0000-0000426E0000}"/>
    <cellStyle name="Normal 39 2 3 2" xfId="8179" xr:uid="{00000000-0005-0000-0000-0000436E0000}"/>
    <cellStyle name="Normal 39 2 3 2 2" xfId="8180" xr:uid="{00000000-0005-0000-0000-0000446E0000}"/>
    <cellStyle name="Normal 39 2 3 2 3" xfId="8181" xr:uid="{00000000-0005-0000-0000-0000456E0000}"/>
    <cellStyle name="Normal 39 2 3 3" xfId="8182" xr:uid="{00000000-0005-0000-0000-0000466E0000}"/>
    <cellStyle name="Normal 39 2 3 3 2" xfId="8183" xr:uid="{00000000-0005-0000-0000-0000476E0000}"/>
    <cellStyle name="Normal 39 2 3 3 3" xfId="8184" xr:uid="{00000000-0005-0000-0000-0000486E0000}"/>
    <cellStyle name="Normal 39 2 3 4" xfId="8185" xr:uid="{00000000-0005-0000-0000-0000496E0000}"/>
    <cellStyle name="Normal 39 2 3 5" xfId="8186" xr:uid="{00000000-0005-0000-0000-00004A6E0000}"/>
    <cellStyle name="Normal 39 2 4" xfId="8187" xr:uid="{00000000-0005-0000-0000-00004B6E0000}"/>
    <cellStyle name="Normal 39 2 4 2" xfId="8188" xr:uid="{00000000-0005-0000-0000-00004C6E0000}"/>
    <cellStyle name="Normal 39 2 4 3" xfId="8189" xr:uid="{00000000-0005-0000-0000-00004D6E0000}"/>
    <cellStyle name="Normal 39 2 5" xfId="8190" xr:uid="{00000000-0005-0000-0000-00004E6E0000}"/>
    <cellStyle name="Normal 39 2 5 2" xfId="8191" xr:uid="{00000000-0005-0000-0000-00004F6E0000}"/>
    <cellStyle name="Normal 39 2 5 3" xfId="8192" xr:uid="{00000000-0005-0000-0000-0000506E0000}"/>
    <cellStyle name="Normal 39 2 6" xfId="8193" xr:uid="{00000000-0005-0000-0000-0000516E0000}"/>
    <cellStyle name="Normal 39 2 7" xfId="8194" xr:uid="{00000000-0005-0000-0000-0000526E0000}"/>
    <cellStyle name="Normal 39 3" xfId="8195" xr:uid="{00000000-0005-0000-0000-0000536E0000}"/>
    <cellStyle name="Normal 39 3 2" xfId="8196" xr:uid="{00000000-0005-0000-0000-0000546E0000}"/>
    <cellStyle name="Normal 39 3 2 2" xfId="8197" xr:uid="{00000000-0005-0000-0000-0000556E0000}"/>
    <cellStyle name="Normal 39 3 2 2 2" xfId="8198" xr:uid="{00000000-0005-0000-0000-0000566E0000}"/>
    <cellStyle name="Normal 39 3 2 2 3" xfId="8199" xr:uid="{00000000-0005-0000-0000-0000576E0000}"/>
    <cellStyle name="Normal 39 3 2 3" xfId="8200" xr:uid="{00000000-0005-0000-0000-0000586E0000}"/>
    <cellStyle name="Normal 39 3 2 3 2" xfId="8201" xr:uid="{00000000-0005-0000-0000-0000596E0000}"/>
    <cellStyle name="Normal 39 3 2 3 3" xfId="8202" xr:uid="{00000000-0005-0000-0000-00005A6E0000}"/>
    <cellStyle name="Normal 39 3 2 4" xfId="8203" xr:uid="{00000000-0005-0000-0000-00005B6E0000}"/>
    <cellStyle name="Normal 39 3 2 5" xfId="8204" xr:uid="{00000000-0005-0000-0000-00005C6E0000}"/>
    <cellStyle name="Normal 39 3 3" xfId="8205" xr:uid="{00000000-0005-0000-0000-00005D6E0000}"/>
    <cellStyle name="Normal 39 3 3 2" xfId="8206" xr:uid="{00000000-0005-0000-0000-00005E6E0000}"/>
    <cellStyle name="Normal 39 3 3 3" xfId="8207" xr:uid="{00000000-0005-0000-0000-00005F6E0000}"/>
    <cellStyle name="Normal 39 3 4" xfId="8208" xr:uid="{00000000-0005-0000-0000-0000606E0000}"/>
    <cellStyle name="Normal 39 3 4 2" xfId="8209" xr:uid="{00000000-0005-0000-0000-0000616E0000}"/>
    <cellStyle name="Normal 39 3 4 3" xfId="8210" xr:uid="{00000000-0005-0000-0000-0000626E0000}"/>
    <cellStyle name="Normal 39 3 5" xfId="8211" xr:uid="{00000000-0005-0000-0000-0000636E0000}"/>
    <cellStyle name="Normal 39 3 6" xfId="8212" xr:uid="{00000000-0005-0000-0000-0000646E0000}"/>
    <cellStyle name="Normal 39 4" xfId="8213" xr:uid="{00000000-0005-0000-0000-0000656E0000}"/>
    <cellStyle name="Normal 39 4 2" xfId="8214" xr:uid="{00000000-0005-0000-0000-0000666E0000}"/>
    <cellStyle name="Normal 39 4 2 2" xfId="8215" xr:uid="{00000000-0005-0000-0000-0000676E0000}"/>
    <cellStyle name="Normal 39 4 2 3" xfId="8216" xr:uid="{00000000-0005-0000-0000-0000686E0000}"/>
    <cellStyle name="Normal 39 4 3" xfId="8217" xr:uid="{00000000-0005-0000-0000-0000696E0000}"/>
    <cellStyle name="Normal 39 4 3 2" xfId="8218" xr:uid="{00000000-0005-0000-0000-00006A6E0000}"/>
    <cellStyle name="Normal 39 4 3 3" xfId="8219" xr:uid="{00000000-0005-0000-0000-00006B6E0000}"/>
    <cellStyle name="Normal 39 4 4" xfId="8220" xr:uid="{00000000-0005-0000-0000-00006C6E0000}"/>
    <cellStyle name="Normal 39 4 5" xfId="8221" xr:uid="{00000000-0005-0000-0000-00006D6E0000}"/>
    <cellStyle name="Normal 39 5" xfId="8222" xr:uid="{00000000-0005-0000-0000-00006E6E0000}"/>
    <cellStyle name="Normal 39 5 2" xfId="8223" xr:uid="{00000000-0005-0000-0000-00006F6E0000}"/>
    <cellStyle name="Normal 39 5 3" xfId="8224" xr:uid="{00000000-0005-0000-0000-0000706E0000}"/>
    <cellStyle name="Normal 39 6" xfId="8225" xr:uid="{00000000-0005-0000-0000-0000716E0000}"/>
    <cellStyle name="Normal 39 6 2" xfId="8226" xr:uid="{00000000-0005-0000-0000-0000726E0000}"/>
    <cellStyle name="Normal 39 6 3" xfId="8227" xr:uid="{00000000-0005-0000-0000-0000736E0000}"/>
    <cellStyle name="Normal 39 7" xfId="8228" xr:uid="{00000000-0005-0000-0000-0000746E0000}"/>
    <cellStyle name="Normal 39 8" xfId="8229" xr:uid="{00000000-0005-0000-0000-0000756E0000}"/>
    <cellStyle name="Normal 4" xfId="21" xr:uid="{00000000-0005-0000-0000-0000766E0000}"/>
    <cellStyle name="Normal 4 2" xfId="192" xr:uid="{00000000-0005-0000-0000-0000776E0000}"/>
    <cellStyle name="Normal 4 2 2" xfId="8230" xr:uid="{00000000-0005-0000-0000-0000786E0000}"/>
    <cellStyle name="Normal 4 2 2 2" xfId="8231" xr:uid="{00000000-0005-0000-0000-0000796E0000}"/>
    <cellStyle name="Normal 4 2 2 2 2" xfId="8232" xr:uid="{00000000-0005-0000-0000-00007A6E0000}"/>
    <cellStyle name="Normal 4 2 2 2 2 2" xfId="8233" xr:uid="{00000000-0005-0000-0000-00007B6E0000}"/>
    <cellStyle name="Normal 4 2 2 2 2 3" xfId="8234" xr:uid="{00000000-0005-0000-0000-00007C6E0000}"/>
    <cellStyle name="Normal 4 2 2 2 3" xfId="8235" xr:uid="{00000000-0005-0000-0000-00007D6E0000}"/>
    <cellStyle name="Normal 4 2 2 2 3 2" xfId="8236" xr:uid="{00000000-0005-0000-0000-00007E6E0000}"/>
    <cellStyle name="Normal 4 2 2 2 3 3" xfId="8237" xr:uid="{00000000-0005-0000-0000-00007F6E0000}"/>
    <cellStyle name="Normal 4 2 2 2 4" xfId="8238" xr:uid="{00000000-0005-0000-0000-0000806E0000}"/>
    <cellStyle name="Normal 4 2 2 2 5" xfId="8239" xr:uid="{00000000-0005-0000-0000-0000816E0000}"/>
    <cellStyle name="Normal 4 2 2 3" xfId="8240" xr:uid="{00000000-0005-0000-0000-0000826E0000}"/>
    <cellStyle name="Normal 4 2 2 3 2" xfId="8241" xr:uid="{00000000-0005-0000-0000-0000836E0000}"/>
    <cellStyle name="Normal 4 2 2 3 3" xfId="8242" xr:uid="{00000000-0005-0000-0000-0000846E0000}"/>
    <cellStyle name="Normal 4 2 2 4" xfId="8243" xr:uid="{00000000-0005-0000-0000-0000856E0000}"/>
    <cellStyle name="Normal 4 2 2 4 2" xfId="8244" xr:uid="{00000000-0005-0000-0000-0000866E0000}"/>
    <cellStyle name="Normal 4 2 2 4 3" xfId="8245" xr:uid="{00000000-0005-0000-0000-0000876E0000}"/>
    <cellStyle name="Normal 4 2 2 5" xfId="8246" xr:uid="{00000000-0005-0000-0000-0000886E0000}"/>
    <cellStyle name="Normal 4 2 2 6" xfId="8247" xr:uid="{00000000-0005-0000-0000-0000896E0000}"/>
    <cellStyle name="Normal 4 2 3" xfId="8248" xr:uid="{00000000-0005-0000-0000-00008A6E0000}"/>
    <cellStyle name="Normal 4 2 3 2" xfId="8249" xr:uid="{00000000-0005-0000-0000-00008B6E0000}"/>
    <cellStyle name="Normal 4 2 3 2 2" xfId="8250" xr:uid="{00000000-0005-0000-0000-00008C6E0000}"/>
    <cellStyle name="Normal 4 2 3 2 3" xfId="8251" xr:uid="{00000000-0005-0000-0000-00008D6E0000}"/>
    <cellStyle name="Normal 4 2 3 3" xfId="8252" xr:uid="{00000000-0005-0000-0000-00008E6E0000}"/>
    <cellStyle name="Normal 4 2 3 3 2" xfId="8253" xr:uid="{00000000-0005-0000-0000-00008F6E0000}"/>
    <cellStyle name="Normal 4 2 3 3 3" xfId="8254" xr:uid="{00000000-0005-0000-0000-0000906E0000}"/>
    <cellStyle name="Normal 4 2 3 4" xfId="8255" xr:uid="{00000000-0005-0000-0000-0000916E0000}"/>
    <cellStyle name="Normal 4 2 3 5" xfId="8256" xr:uid="{00000000-0005-0000-0000-0000926E0000}"/>
    <cellStyle name="Normal 4 2 4" xfId="8257" xr:uid="{00000000-0005-0000-0000-0000936E0000}"/>
    <cellStyle name="Normal 4 2 4 2" xfId="8258" xr:uid="{00000000-0005-0000-0000-0000946E0000}"/>
    <cellStyle name="Normal 4 2 4 3" xfId="8259" xr:uid="{00000000-0005-0000-0000-0000956E0000}"/>
    <cellStyle name="Normal 4 2 5" xfId="8260" xr:uid="{00000000-0005-0000-0000-0000966E0000}"/>
    <cellStyle name="Normal 4 2 5 2" xfId="8261" xr:uid="{00000000-0005-0000-0000-0000976E0000}"/>
    <cellStyle name="Normal 4 2 5 3" xfId="8262" xr:uid="{00000000-0005-0000-0000-0000986E0000}"/>
    <cellStyle name="Normal 4 2 6" xfId="8263" xr:uid="{00000000-0005-0000-0000-0000996E0000}"/>
    <cellStyle name="Normal 4 2 7" xfId="8264" xr:uid="{00000000-0005-0000-0000-00009A6E0000}"/>
    <cellStyle name="Normal 4 3" xfId="8265" xr:uid="{00000000-0005-0000-0000-00009B6E0000}"/>
    <cellStyle name="Normal 4 3 2" xfId="8266" xr:uid="{00000000-0005-0000-0000-00009C6E0000}"/>
    <cellStyle name="Normal 4 3 2 2" xfId="8267" xr:uid="{00000000-0005-0000-0000-00009D6E0000}"/>
    <cellStyle name="Normal 4 3 2 3" xfId="8268" xr:uid="{00000000-0005-0000-0000-00009E6E0000}"/>
    <cellStyle name="Normal 4 3 3" xfId="8269" xr:uid="{00000000-0005-0000-0000-00009F6E0000}"/>
    <cellStyle name="Normal 4 3 4" xfId="8270" xr:uid="{00000000-0005-0000-0000-0000A06E0000}"/>
    <cellStyle name="Normal 4 3 5" xfId="8271" xr:uid="{00000000-0005-0000-0000-0000A16E0000}"/>
    <cellStyle name="Normal 4 4" xfId="8272" xr:uid="{00000000-0005-0000-0000-0000A26E0000}"/>
    <cellStyle name="Normal 4 4 2" xfId="8273" xr:uid="{00000000-0005-0000-0000-0000A36E0000}"/>
    <cellStyle name="Normal 4 5" xfId="8274" xr:uid="{00000000-0005-0000-0000-0000A46E0000}"/>
    <cellStyle name="Normal 4 6" xfId="8275" xr:uid="{00000000-0005-0000-0000-0000A56E0000}"/>
    <cellStyle name="Normal 4_2180" xfId="8276" xr:uid="{00000000-0005-0000-0000-0000A66E0000}"/>
    <cellStyle name="Normal 40" xfId="193" xr:uid="{00000000-0005-0000-0000-0000A76E0000}"/>
    <cellStyle name="Normal 40 2" xfId="8277" xr:uid="{00000000-0005-0000-0000-0000A86E0000}"/>
    <cellStyle name="Normal 40 2 2" xfId="8278" xr:uid="{00000000-0005-0000-0000-0000A96E0000}"/>
    <cellStyle name="Normal 40 2 2 2" xfId="8279" xr:uid="{00000000-0005-0000-0000-0000AA6E0000}"/>
    <cellStyle name="Normal 40 2 2 2 2" xfId="8280" xr:uid="{00000000-0005-0000-0000-0000AB6E0000}"/>
    <cellStyle name="Normal 40 2 2 2 2 2" xfId="8281" xr:uid="{00000000-0005-0000-0000-0000AC6E0000}"/>
    <cellStyle name="Normal 40 2 2 2 2 3" xfId="8282" xr:uid="{00000000-0005-0000-0000-0000AD6E0000}"/>
    <cellStyle name="Normal 40 2 2 2 3" xfId="8283" xr:uid="{00000000-0005-0000-0000-0000AE6E0000}"/>
    <cellStyle name="Normal 40 2 2 2 3 2" xfId="8284" xr:uid="{00000000-0005-0000-0000-0000AF6E0000}"/>
    <cellStyle name="Normal 40 2 2 2 3 3" xfId="8285" xr:uid="{00000000-0005-0000-0000-0000B06E0000}"/>
    <cellStyle name="Normal 40 2 2 2 4" xfId="8286" xr:uid="{00000000-0005-0000-0000-0000B16E0000}"/>
    <cellStyle name="Normal 40 2 2 2 5" xfId="8287" xr:uid="{00000000-0005-0000-0000-0000B26E0000}"/>
    <cellStyle name="Normal 40 2 2 3" xfId="8288" xr:uid="{00000000-0005-0000-0000-0000B36E0000}"/>
    <cellStyle name="Normal 40 2 2 3 2" xfId="8289" xr:uid="{00000000-0005-0000-0000-0000B46E0000}"/>
    <cellStyle name="Normal 40 2 2 3 3" xfId="8290" xr:uid="{00000000-0005-0000-0000-0000B56E0000}"/>
    <cellStyle name="Normal 40 2 2 4" xfId="8291" xr:uid="{00000000-0005-0000-0000-0000B66E0000}"/>
    <cellStyle name="Normal 40 2 2 4 2" xfId="8292" xr:uid="{00000000-0005-0000-0000-0000B76E0000}"/>
    <cellStyle name="Normal 40 2 2 4 3" xfId="8293" xr:uid="{00000000-0005-0000-0000-0000B86E0000}"/>
    <cellStyle name="Normal 40 2 2 5" xfId="8294" xr:uid="{00000000-0005-0000-0000-0000B96E0000}"/>
    <cellStyle name="Normal 40 2 2 6" xfId="8295" xr:uid="{00000000-0005-0000-0000-0000BA6E0000}"/>
    <cellStyle name="Normal 40 2 3" xfId="8296" xr:uid="{00000000-0005-0000-0000-0000BB6E0000}"/>
    <cellStyle name="Normal 40 2 3 2" xfId="8297" xr:uid="{00000000-0005-0000-0000-0000BC6E0000}"/>
    <cellStyle name="Normal 40 2 3 2 2" xfId="8298" xr:uid="{00000000-0005-0000-0000-0000BD6E0000}"/>
    <cellStyle name="Normal 40 2 3 2 3" xfId="8299" xr:uid="{00000000-0005-0000-0000-0000BE6E0000}"/>
    <cellStyle name="Normal 40 2 3 3" xfId="8300" xr:uid="{00000000-0005-0000-0000-0000BF6E0000}"/>
    <cellStyle name="Normal 40 2 3 3 2" xfId="8301" xr:uid="{00000000-0005-0000-0000-0000C06E0000}"/>
    <cellStyle name="Normal 40 2 3 3 3" xfId="8302" xr:uid="{00000000-0005-0000-0000-0000C16E0000}"/>
    <cellStyle name="Normal 40 2 3 4" xfId="8303" xr:uid="{00000000-0005-0000-0000-0000C26E0000}"/>
    <cellStyle name="Normal 40 2 3 5" xfId="8304" xr:uid="{00000000-0005-0000-0000-0000C36E0000}"/>
    <cellStyle name="Normal 40 2 4" xfId="8305" xr:uid="{00000000-0005-0000-0000-0000C46E0000}"/>
    <cellStyle name="Normal 40 2 4 2" xfId="8306" xr:uid="{00000000-0005-0000-0000-0000C56E0000}"/>
    <cellStyle name="Normal 40 2 4 3" xfId="8307" xr:uid="{00000000-0005-0000-0000-0000C66E0000}"/>
    <cellStyle name="Normal 40 2 5" xfId="8308" xr:uid="{00000000-0005-0000-0000-0000C76E0000}"/>
    <cellStyle name="Normal 40 2 5 2" xfId="8309" xr:uid="{00000000-0005-0000-0000-0000C86E0000}"/>
    <cellStyle name="Normal 40 2 5 3" xfId="8310" xr:uid="{00000000-0005-0000-0000-0000C96E0000}"/>
    <cellStyle name="Normal 40 2 6" xfId="8311" xr:uid="{00000000-0005-0000-0000-0000CA6E0000}"/>
    <cellStyle name="Normal 40 2 7" xfId="8312" xr:uid="{00000000-0005-0000-0000-0000CB6E0000}"/>
    <cellStyle name="Normal 40 3" xfId="8313" xr:uid="{00000000-0005-0000-0000-0000CC6E0000}"/>
    <cellStyle name="Normal 40 3 2" xfId="8314" xr:uid="{00000000-0005-0000-0000-0000CD6E0000}"/>
    <cellStyle name="Normal 40 3 2 2" xfId="8315" xr:uid="{00000000-0005-0000-0000-0000CE6E0000}"/>
    <cellStyle name="Normal 40 3 2 2 2" xfId="8316" xr:uid="{00000000-0005-0000-0000-0000CF6E0000}"/>
    <cellStyle name="Normal 40 3 2 2 3" xfId="8317" xr:uid="{00000000-0005-0000-0000-0000D06E0000}"/>
    <cellStyle name="Normal 40 3 2 3" xfId="8318" xr:uid="{00000000-0005-0000-0000-0000D16E0000}"/>
    <cellStyle name="Normal 40 3 2 3 2" xfId="8319" xr:uid="{00000000-0005-0000-0000-0000D26E0000}"/>
    <cellStyle name="Normal 40 3 2 3 3" xfId="8320" xr:uid="{00000000-0005-0000-0000-0000D36E0000}"/>
    <cellStyle name="Normal 40 3 2 4" xfId="8321" xr:uid="{00000000-0005-0000-0000-0000D46E0000}"/>
    <cellStyle name="Normal 40 3 2 5" xfId="8322" xr:uid="{00000000-0005-0000-0000-0000D56E0000}"/>
    <cellStyle name="Normal 40 3 3" xfId="8323" xr:uid="{00000000-0005-0000-0000-0000D66E0000}"/>
    <cellStyle name="Normal 40 3 3 2" xfId="8324" xr:uid="{00000000-0005-0000-0000-0000D76E0000}"/>
    <cellStyle name="Normal 40 3 3 3" xfId="8325" xr:uid="{00000000-0005-0000-0000-0000D86E0000}"/>
    <cellStyle name="Normal 40 3 4" xfId="8326" xr:uid="{00000000-0005-0000-0000-0000D96E0000}"/>
    <cellStyle name="Normal 40 3 4 2" xfId="8327" xr:uid="{00000000-0005-0000-0000-0000DA6E0000}"/>
    <cellStyle name="Normal 40 3 4 3" xfId="8328" xr:uid="{00000000-0005-0000-0000-0000DB6E0000}"/>
    <cellStyle name="Normal 40 3 5" xfId="8329" xr:uid="{00000000-0005-0000-0000-0000DC6E0000}"/>
    <cellStyle name="Normal 40 3 6" xfId="8330" xr:uid="{00000000-0005-0000-0000-0000DD6E0000}"/>
    <cellStyle name="Normal 40 4" xfId="8331" xr:uid="{00000000-0005-0000-0000-0000DE6E0000}"/>
    <cellStyle name="Normal 40 4 2" xfId="8332" xr:uid="{00000000-0005-0000-0000-0000DF6E0000}"/>
    <cellStyle name="Normal 40 4 2 2" xfId="8333" xr:uid="{00000000-0005-0000-0000-0000E06E0000}"/>
    <cellStyle name="Normal 40 4 2 3" xfId="8334" xr:uid="{00000000-0005-0000-0000-0000E16E0000}"/>
    <cellStyle name="Normal 40 4 3" xfId="8335" xr:uid="{00000000-0005-0000-0000-0000E26E0000}"/>
    <cellStyle name="Normal 40 4 3 2" xfId="8336" xr:uid="{00000000-0005-0000-0000-0000E36E0000}"/>
    <cellStyle name="Normal 40 4 3 3" xfId="8337" xr:uid="{00000000-0005-0000-0000-0000E46E0000}"/>
    <cellStyle name="Normal 40 4 4" xfId="8338" xr:uid="{00000000-0005-0000-0000-0000E56E0000}"/>
    <cellStyle name="Normal 40 4 5" xfId="8339" xr:uid="{00000000-0005-0000-0000-0000E66E0000}"/>
    <cellStyle name="Normal 40 5" xfId="8340" xr:uid="{00000000-0005-0000-0000-0000E76E0000}"/>
    <cellStyle name="Normal 40 5 2" xfId="8341" xr:uid="{00000000-0005-0000-0000-0000E86E0000}"/>
    <cellStyle name="Normal 40 5 3" xfId="8342" xr:uid="{00000000-0005-0000-0000-0000E96E0000}"/>
    <cellStyle name="Normal 40 6" xfId="8343" xr:uid="{00000000-0005-0000-0000-0000EA6E0000}"/>
    <cellStyle name="Normal 40 6 2" xfId="8344" xr:uid="{00000000-0005-0000-0000-0000EB6E0000}"/>
    <cellStyle name="Normal 40 6 3" xfId="8345" xr:uid="{00000000-0005-0000-0000-0000EC6E0000}"/>
    <cellStyle name="Normal 40 7" xfId="8346" xr:uid="{00000000-0005-0000-0000-0000ED6E0000}"/>
    <cellStyle name="Normal 40 8" xfId="8347" xr:uid="{00000000-0005-0000-0000-0000EE6E0000}"/>
    <cellStyle name="Normal 41" xfId="194" xr:uid="{00000000-0005-0000-0000-0000EF6E0000}"/>
    <cellStyle name="Normal 41 2" xfId="8348" xr:uid="{00000000-0005-0000-0000-0000F06E0000}"/>
    <cellStyle name="Normal 41 2 2" xfId="8349" xr:uid="{00000000-0005-0000-0000-0000F16E0000}"/>
    <cellStyle name="Normal 41 2 2 2" xfId="8350" xr:uid="{00000000-0005-0000-0000-0000F26E0000}"/>
    <cellStyle name="Normal 41 2 2 2 2" xfId="8351" xr:uid="{00000000-0005-0000-0000-0000F36E0000}"/>
    <cellStyle name="Normal 41 2 2 2 2 2" xfId="8352" xr:uid="{00000000-0005-0000-0000-0000F46E0000}"/>
    <cellStyle name="Normal 41 2 2 2 2 3" xfId="8353" xr:uid="{00000000-0005-0000-0000-0000F56E0000}"/>
    <cellStyle name="Normal 41 2 2 2 3" xfId="8354" xr:uid="{00000000-0005-0000-0000-0000F66E0000}"/>
    <cellStyle name="Normal 41 2 2 2 3 2" xfId="8355" xr:uid="{00000000-0005-0000-0000-0000F76E0000}"/>
    <cellStyle name="Normal 41 2 2 2 3 3" xfId="8356" xr:uid="{00000000-0005-0000-0000-0000F86E0000}"/>
    <cellStyle name="Normal 41 2 2 2 4" xfId="8357" xr:uid="{00000000-0005-0000-0000-0000F96E0000}"/>
    <cellStyle name="Normal 41 2 2 2 5" xfId="8358" xr:uid="{00000000-0005-0000-0000-0000FA6E0000}"/>
    <cellStyle name="Normal 41 2 2 3" xfId="8359" xr:uid="{00000000-0005-0000-0000-0000FB6E0000}"/>
    <cellStyle name="Normal 41 2 2 3 2" xfId="8360" xr:uid="{00000000-0005-0000-0000-0000FC6E0000}"/>
    <cellStyle name="Normal 41 2 2 3 3" xfId="8361" xr:uid="{00000000-0005-0000-0000-0000FD6E0000}"/>
    <cellStyle name="Normal 41 2 2 4" xfId="8362" xr:uid="{00000000-0005-0000-0000-0000FE6E0000}"/>
    <cellStyle name="Normal 41 2 2 4 2" xfId="8363" xr:uid="{00000000-0005-0000-0000-0000FF6E0000}"/>
    <cellStyle name="Normal 41 2 2 4 3" xfId="8364" xr:uid="{00000000-0005-0000-0000-0000006F0000}"/>
    <cellStyle name="Normal 41 2 2 5" xfId="8365" xr:uid="{00000000-0005-0000-0000-0000016F0000}"/>
    <cellStyle name="Normal 41 2 2 6" xfId="8366" xr:uid="{00000000-0005-0000-0000-0000026F0000}"/>
    <cellStyle name="Normal 41 2 3" xfId="8367" xr:uid="{00000000-0005-0000-0000-0000036F0000}"/>
    <cellStyle name="Normal 41 2 3 2" xfId="8368" xr:uid="{00000000-0005-0000-0000-0000046F0000}"/>
    <cellStyle name="Normal 41 2 3 2 2" xfId="8369" xr:uid="{00000000-0005-0000-0000-0000056F0000}"/>
    <cellStyle name="Normal 41 2 3 2 3" xfId="8370" xr:uid="{00000000-0005-0000-0000-0000066F0000}"/>
    <cellStyle name="Normal 41 2 3 3" xfId="8371" xr:uid="{00000000-0005-0000-0000-0000076F0000}"/>
    <cellStyle name="Normal 41 2 3 3 2" xfId="8372" xr:uid="{00000000-0005-0000-0000-0000086F0000}"/>
    <cellStyle name="Normal 41 2 3 3 3" xfId="8373" xr:uid="{00000000-0005-0000-0000-0000096F0000}"/>
    <cellStyle name="Normal 41 2 3 4" xfId="8374" xr:uid="{00000000-0005-0000-0000-00000A6F0000}"/>
    <cellStyle name="Normal 41 2 3 5" xfId="8375" xr:uid="{00000000-0005-0000-0000-00000B6F0000}"/>
    <cellStyle name="Normal 41 2 4" xfId="8376" xr:uid="{00000000-0005-0000-0000-00000C6F0000}"/>
    <cellStyle name="Normal 41 2 4 2" xfId="8377" xr:uid="{00000000-0005-0000-0000-00000D6F0000}"/>
    <cellStyle name="Normal 41 2 4 3" xfId="8378" xr:uid="{00000000-0005-0000-0000-00000E6F0000}"/>
    <cellStyle name="Normal 41 2 5" xfId="8379" xr:uid="{00000000-0005-0000-0000-00000F6F0000}"/>
    <cellStyle name="Normal 41 2 5 2" xfId="8380" xr:uid="{00000000-0005-0000-0000-0000106F0000}"/>
    <cellStyle name="Normal 41 2 5 3" xfId="8381" xr:uid="{00000000-0005-0000-0000-0000116F0000}"/>
    <cellStyle name="Normal 41 2 6" xfId="8382" xr:uid="{00000000-0005-0000-0000-0000126F0000}"/>
    <cellStyle name="Normal 41 2 7" xfId="8383" xr:uid="{00000000-0005-0000-0000-0000136F0000}"/>
    <cellStyle name="Normal 41 3" xfId="8384" xr:uid="{00000000-0005-0000-0000-0000146F0000}"/>
    <cellStyle name="Normal 41 3 2" xfId="8385" xr:uid="{00000000-0005-0000-0000-0000156F0000}"/>
    <cellStyle name="Normal 41 3 2 2" xfId="8386" xr:uid="{00000000-0005-0000-0000-0000166F0000}"/>
    <cellStyle name="Normal 41 3 2 2 2" xfId="8387" xr:uid="{00000000-0005-0000-0000-0000176F0000}"/>
    <cellStyle name="Normal 41 3 2 2 3" xfId="8388" xr:uid="{00000000-0005-0000-0000-0000186F0000}"/>
    <cellStyle name="Normal 41 3 2 3" xfId="8389" xr:uid="{00000000-0005-0000-0000-0000196F0000}"/>
    <cellStyle name="Normal 41 3 2 3 2" xfId="8390" xr:uid="{00000000-0005-0000-0000-00001A6F0000}"/>
    <cellStyle name="Normal 41 3 2 3 3" xfId="8391" xr:uid="{00000000-0005-0000-0000-00001B6F0000}"/>
    <cellStyle name="Normal 41 3 2 4" xfId="8392" xr:uid="{00000000-0005-0000-0000-00001C6F0000}"/>
    <cellStyle name="Normal 41 3 2 5" xfId="8393" xr:uid="{00000000-0005-0000-0000-00001D6F0000}"/>
    <cellStyle name="Normal 41 3 3" xfId="8394" xr:uid="{00000000-0005-0000-0000-00001E6F0000}"/>
    <cellStyle name="Normal 41 3 3 2" xfId="8395" xr:uid="{00000000-0005-0000-0000-00001F6F0000}"/>
    <cellStyle name="Normal 41 3 3 3" xfId="8396" xr:uid="{00000000-0005-0000-0000-0000206F0000}"/>
    <cellStyle name="Normal 41 3 4" xfId="8397" xr:uid="{00000000-0005-0000-0000-0000216F0000}"/>
    <cellStyle name="Normal 41 3 4 2" xfId="8398" xr:uid="{00000000-0005-0000-0000-0000226F0000}"/>
    <cellStyle name="Normal 41 3 4 3" xfId="8399" xr:uid="{00000000-0005-0000-0000-0000236F0000}"/>
    <cellStyle name="Normal 41 3 5" xfId="8400" xr:uid="{00000000-0005-0000-0000-0000246F0000}"/>
    <cellStyle name="Normal 41 3 6" xfId="8401" xr:uid="{00000000-0005-0000-0000-0000256F0000}"/>
    <cellStyle name="Normal 41 4" xfId="8402" xr:uid="{00000000-0005-0000-0000-0000266F0000}"/>
    <cellStyle name="Normal 41 4 2" xfId="8403" xr:uid="{00000000-0005-0000-0000-0000276F0000}"/>
    <cellStyle name="Normal 41 4 2 2" xfId="8404" xr:uid="{00000000-0005-0000-0000-0000286F0000}"/>
    <cellStyle name="Normal 41 4 2 3" xfId="8405" xr:uid="{00000000-0005-0000-0000-0000296F0000}"/>
    <cellStyle name="Normal 41 4 3" xfId="8406" xr:uid="{00000000-0005-0000-0000-00002A6F0000}"/>
    <cellStyle name="Normal 41 4 3 2" xfId="8407" xr:uid="{00000000-0005-0000-0000-00002B6F0000}"/>
    <cellStyle name="Normal 41 4 3 3" xfId="8408" xr:uid="{00000000-0005-0000-0000-00002C6F0000}"/>
    <cellStyle name="Normal 41 4 4" xfId="8409" xr:uid="{00000000-0005-0000-0000-00002D6F0000}"/>
    <cellStyle name="Normal 41 4 5" xfId="8410" xr:uid="{00000000-0005-0000-0000-00002E6F0000}"/>
    <cellStyle name="Normal 41 5" xfId="8411" xr:uid="{00000000-0005-0000-0000-00002F6F0000}"/>
    <cellStyle name="Normal 41 5 2" xfId="8412" xr:uid="{00000000-0005-0000-0000-0000306F0000}"/>
    <cellStyle name="Normal 41 5 3" xfId="8413" xr:uid="{00000000-0005-0000-0000-0000316F0000}"/>
    <cellStyle name="Normal 41 6" xfId="8414" xr:uid="{00000000-0005-0000-0000-0000326F0000}"/>
    <cellStyle name="Normal 41 6 2" xfId="8415" xr:uid="{00000000-0005-0000-0000-0000336F0000}"/>
    <cellStyle name="Normal 41 6 3" xfId="8416" xr:uid="{00000000-0005-0000-0000-0000346F0000}"/>
    <cellStyle name="Normal 41 7" xfId="8417" xr:uid="{00000000-0005-0000-0000-0000356F0000}"/>
    <cellStyle name="Normal 41 8" xfId="8418" xr:uid="{00000000-0005-0000-0000-0000366F0000}"/>
    <cellStyle name="Normal 42" xfId="195" xr:uid="{00000000-0005-0000-0000-0000376F0000}"/>
    <cellStyle name="Normal 42 2" xfId="8419" xr:uid="{00000000-0005-0000-0000-0000386F0000}"/>
    <cellStyle name="Normal 42 3" xfId="8420" xr:uid="{00000000-0005-0000-0000-0000396F0000}"/>
    <cellStyle name="Normal 43" xfId="196" xr:uid="{00000000-0005-0000-0000-00003A6F0000}"/>
    <cellStyle name="Normal 43 2" xfId="8421" xr:uid="{00000000-0005-0000-0000-00003B6F0000}"/>
    <cellStyle name="Normal 43 2 2" xfId="8422" xr:uid="{00000000-0005-0000-0000-00003C6F0000}"/>
    <cellStyle name="Normal 43 2 2 2" xfId="8423" xr:uid="{00000000-0005-0000-0000-00003D6F0000}"/>
    <cellStyle name="Normal 43 2 2 2 2" xfId="8424" xr:uid="{00000000-0005-0000-0000-00003E6F0000}"/>
    <cellStyle name="Normal 43 2 2 2 2 2" xfId="8425" xr:uid="{00000000-0005-0000-0000-00003F6F0000}"/>
    <cellStyle name="Normal 43 2 2 2 2 3" xfId="8426" xr:uid="{00000000-0005-0000-0000-0000406F0000}"/>
    <cellStyle name="Normal 43 2 2 2 3" xfId="8427" xr:uid="{00000000-0005-0000-0000-0000416F0000}"/>
    <cellStyle name="Normal 43 2 2 2 3 2" xfId="8428" xr:uid="{00000000-0005-0000-0000-0000426F0000}"/>
    <cellStyle name="Normal 43 2 2 2 3 3" xfId="8429" xr:uid="{00000000-0005-0000-0000-0000436F0000}"/>
    <cellStyle name="Normal 43 2 2 2 4" xfId="8430" xr:uid="{00000000-0005-0000-0000-0000446F0000}"/>
    <cellStyle name="Normal 43 2 2 2 5" xfId="8431" xr:uid="{00000000-0005-0000-0000-0000456F0000}"/>
    <cellStyle name="Normal 43 2 2 3" xfId="8432" xr:uid="{00000000-0005-0000-0000-0000466F0000}"/>
    <cellStyle name="Normal 43 2 2 3 2" xfId="8433" xr:uid="{00000000-0005-0000-0000-0000476F0000}"/>
    <cellStyle name="Normal 43 2 2 3 3" xfId="8434" xr:uid="{00000000-0005-0000-0000-0000486F0000}"/>
    <cellStyle name="Normal 43 2 2 4" xfId="8435" xr:uid="{00000000-0005-0000-0000-0000496F0000}"/>
    <cellStyle name="Normal 43 2 2 4 2" xfId="8436" xr:uid="{00000000-0005-0000-0000-00004A6F0000}"/>
    <cellStyle name="Normal 43 2 2 4 3" xfId="8437" xr:uid="{00000000-0005-0000-0000-00004B6F0000}"/>
    <cellStyle name="Normal 43 2 2 5" xfId="8438" xr:uid="{00000000-0005-0000-0000-00004C6F0000}"/>
    <cellStyle name="Normal 43 2 2 6" xfId="8439" xr:uid="{00000000-0005-0000-0000-00004D6F0000}"/>
    <cellStyle name="Normal 43 2 3" xfId="8440" xr:uid="{00000000-0005-0000-0000-00004E6F0000}"/>
    <cellStyle name="Normal 43 2 3 2" xfId="8441" xr:uid="{00000000-0005-0000-0000-00004F6F0000}"/>
    <cellStyle name="Normal 43 2 3 2 2" xfId="8442" xr:uid="{00000000-0005-0000-0000-0000506F0000}"/>
    <cellStyle name="Normal 43 2 3 2 3" xfId="8443" xr:uid="{00000000-0005-0000-0000-0000516F0000}"/>
    <cellStyle name="Normal 43 2 3 3" xfId="8444" xr:uid="{00000000-0005-0000-0000-0000526F0000}"/>
    <cellStyle name="Normal 43 2 3 3 2" xfId="8445" xr:uid="{00000000-0005-0000-0000-0000536F0000}"/>
    <cellStyle name="Normal 43 2 3 3 3" xfId="8446" xr:uid="{00000000-0005-0000-0000-0000546F0000}"/>
    <cellStyle name="Normal 43 2 3 4" xfId="8447" xr:uid="{00000000-0005-0000-0000-0000556F0000}"/>
    <cellStyle name="Normal 43 2 3 5" xfId="8448" xr:uid="{00000000-0005-0000-0000-0000566F0000}"/>
    <cellStyle name="Normal 43 2 4" xfId="8449" xr:uid="{00000000-0005-0000-0000-0000576F0000}"/>
    <cellStyle name="Normal 43 2 4 2" xfId="8450" xr:uid="{00000000-0005-0000-0000-0000586F0000}"/>
    <cellStyle name="Normal 43 2 4 3" xfId="8451" xr:uid="{00000000-0005-0000-0000-0000596F0000}"/>
    <cellStyle name="Normal 43 2 5" xfId="8452" xr:uid="{00000000-0005-0000-0000-00005A6F0000}"/>
    <cellStyle name="Normal 43 2 5 2" xfId="8453" xr:uid="{00000000-0005-0000-0000-00005B6F0000}"/>
    <cellStyle name="Normal 43 2 5 3" xfId="8454" xr:uid="{00000000-0005-0000-0000-00005C6F0000}"/>
    <cellStyle name="Normal 43 2 6" xfId="8455" xr:uid="{00000000-0005-0000-0000-00005D6F0000}"/>
    <cellStyle name="Normal 43 2 7" xfId="8456" xr:uid="{00000000-0005-0000-0000-00005E6F0000}"/>
    <cellStyle name="Normal 43 3" xfId="8457" xr:uid="{00000000-0005-0000-0000-00005F6F0000}"/>
    <cellStyle name="Normal 44" xfId="197" xr:uid="{00000000-0005-0000-0000-0000606F0000}"/>
    <cellStyle name="Normal 44 2" xfId="8458" xr:uid="{00000000-0005-0000-0000-0000616F0000}"/>
    <cellStyle name="Normal 44 2 2" xfId="8459" xr:uid="{00000000-0005-0000-0000-0000626F0000}"/>
    <cellStyle name="Normal 44 2 2 2" xfId="8460" xr:uid="{00000000-0005-0000-0000-0000636F0000}"/>
    <cellStyle name="Normal 44 2 2 2 2" xfId="8461" xr:uid="{00000000-0005-0000-0000-0000646F0000}"/>
    <cellStyle name="Normal 44 2 2 2 2 2" xfId="8462" xr:uid="{00000000-0005-0000-0000-0000656F0000}"/>
    <cellStyle name="Normal 44 2 2 2 2 3" xfId="8463" xr:uid="{00000000-0005-0000-0000-0000666F0000}"/>
    <cellStyle name="Normal 44 2 2 2 3" xfId="8464" xr:uid="{00000000-0005-0000-0000-0000676F0000}"/>
    <cellStyle name="Normal 44 2 2 2 3 2" xfId="8465" xr:uid="{00000000-0005-0000-0000-0000686F0000}"/>
    <cellStyle name="Normal 44 2 2 2 3 3" xfId="8466" xr:uid="{00000000-0005-0000-0000-0000696F0000}"/>
    <cellStyle name="Normal 44 2 2 2 4" xfId="8467" xr:uid="{00000000-0005-0000-0000-00006A6F0000}"/>
    <cellStyle name="Normal 44 2 2 2 5" xfId="8468" xr:uid="{00000000-0005-0000-0000-00006B6F0000}"/>
    <cellStyle name="Normal 44 2 2 3" xfId="8469" xr:uid="{00000000-0005-0000-0000-00006C6F0000}"/>
    <cellStyle name="Normal 44 2 2 3 2" xfId="8470" xr:uid="{00000000-0005-0000-0000-00006D6F0000}"/>
    <cellStyle name="Normal 44 2 2 3 3" xfId="8471" xr:uid="{00000000-0005-0000-0000-00006E6F0000}"/>
    <cellStyle name="Normal 44 2 2 4" xfId="8472" xr:uid="{00000000-0005-0000-0000-00006F6F0000}"/>
    <cellStyle name="Normal 44 2 2 4 2" xfId="8473" xr:uid="{00000000-0005-0000-0000-0000706F0000}"/>
    <cellStyle name="Normal 44 2 2 4 3" xfId="8474" xr:uid="{00000000-0005-0000-0000-0000716F0000}"/>
    <cellStyle name="Normal 44 2 2 5" xfId="8475" xr:uid="{00000000-0005-0000-0000-0000726F0000}"/>
    <cellStyle name="Normal 44 2 2 6" xfId="8476" xr:uid="{00000000-0005-0000-0000-0000736F0000}"/>
    <cellStyle name="Normal 44 2 3" xfId="8477" xr:uid="{00000000-0005-0000-0000-0000746F0000}"/>
    <cellStyle name="Normal 44 2 3 2" xfId="8478" xr:uid="{00000000-0005-0000-0000-0000756F0000}"/>
    <cellStyle name="Normal 44 2 3 2 2" xfId="8479" xr:uid="{00000000-0005-0000-0000-0000766F0000}"/>
    <cellStyle name="Normal 44 2 3 2 3" xfId="8480" xr:uid="{00000000-0005-0000-0000-0000776F0000}"/>
    <cellStyle name="Normal 44 2 3 3" xfId="8481" xr:uid="{00000000-0005-0000-0000-0000786F0000}"/>
    <cellStyle name="Normal 44 2 3 3 2" xfId="8482" xr:uid="{00000000-0005-0000-0000-0000796F0000}"/>
    <cellStyle name="Normal 44 2 3 3 3" xfId="8483" xr:uid="{00000000-0005-0000-0000-00007A6F0000}"/>
    <cellStyle name="Normal 44 2 3 4" xfId="8484" xr:uid="{00000000-0005-0000-0000-00007B6F0000}"/>
    <cellStyle name="Normal 44 2 3 5" xfId="8485" xr:uid="{00000000-0005-0000-0000-00007C6F0000}"/>
    <cellStyle name="Normal 44 2 4" xfId="8486" xr:uid="{00000000-0005-0000-0000-00007D6F0000}"/>
    <cellStyle name="Normal 44 2 4 2" xfId="8487" xr:uid="{00000000-0005-0000-0000-00007E6F0000}"/>
    <cellStyle name="Normal 44 2 4 3" xfId="8488" xr:uid="{00000000-0005-0000-0000-00007F6F0000}"/>
    <cellStyle name="Normal 44 2 5" xfId="8489" xr:uid="{00000000-0005-0000-0000-0000806F0000}"/>
    <cellStyle name="Normal 44 2 5 2" xfId="8490" xr:uid="{00000000-0005-0000-0000-0000816F0000}"/>
    <cellStyle name="Normal 44 2 5 3" xfId="8491" xr:uid="{00000000-0005-0000-0000-0000826F0000}"/>
    <cellStyle name="Normal 44 2 6" xfId="8492" xr:uid="{00000000-0005-0000-0000-0000836F0000}"/>
    <cellStyle name="Normal 44 2 7" xfId="8493" xr:uid="{00000000-0005-0000-0000-0000846F0000}"/>
    <cellStyle name="Normal 44 3" xfId="8494" xr:uid="{00000000-0005-0000-0000-0000856F0000}"/>
    <cellStyle name="Normal 44 3 2" xfId="8495" xr:uid="{00000000-0005-0000-0000-0000866F0000}"/>
    <cellStyle name="Normal 44 3 2 2" xfId="8496" xr:uid="{00000000-0005-0000-0000-0000876F0000}"/>
    <cellStyle name="Normal 44 3 2 2 2" xfId="8497" xr:uid="{00000000-0005-0000-0000-0000886F0000}"/>
    <cellStyle name="Normal 44 3 2 2 3" xfId="8498" xr:uid="{00000000-0005-0000-0000-0000896F0000}"/>
    <cellStyle name="Normal 44 3 2 3" xfId="8499" xr:uid="{00000000-0005-0000-0000-00008A6F0000}"/>
    <cellStyle name="Normal 44 3 2 3 2" xfId="8500" xr:uid="{00000000-0005-0000-0000-00008B6F0000}"/>
    <cellStyle name="Normal 44 3 2 3 3" xfId="8501" xr:uid="{00000000-0005-0000-0000-00008C6F0000}"/>
    <cellStyle name="Normal 44 3 2 4" xfId="8502" xr:uid="{00000000-0005-0000-0000-00008D6F0000}"/>
    <cellStyle name="Normal 44 3 2 5" xfId="8503" xr:uid="{00000000-0005-0000-0000-00008E6F0000}"/>
    <cellStyle name="Normal 44 3 3" xfId="8504" xr:uid="{00000000-0005-0000-0000-00008F6F0000}"/>
    <cellStyle name="Normal 44 3 3 2" xfId="8505" xr:uid="{00000000-0005-0000-0000-0000906F0000}"/>
    <cellStyle name="Normal 44 3 3 3" xfId="8506" xr:uid="{00000000-0005-0000-0000-0000916F0000}"/>
    <cellStyle name="Normal 44 3 4" xfId="8507" xr:uid="{00000000-0005-0000-0000-0000926F0000}"/>
    <cellStyle name="Normal 44 3 4 2" xfId="8508" xr:uid="{00000000-0005-0000-0000-0000936F0000}"/>
    <cellStyle name="Normal 44 3 4 3" xfId="8509" xr:uid="{00000000-0005-0000-0000-0000946F0000}"/>
    <cellStyle name="Normal 44 3 5" xfId="8510" xr:uid="{00000000-0005-0000-0000-0000956F0000}"/>
    <cellStyle name="Normal 44 3 6" xfId="8511" xr:uid="{00000000-0005-0000-0000-0000966F0000}"/>
    <cellStyle name="Normal 44 4" xfId="8512" xr:uid="{00000000-0005-0000-0000-0000976F0000}"/>
    <cellStyle name="Normal 44 4 2" xfId="8513" xr:uid="{00000000-0005-0000-0000-0000986F0000}"/>
    <cellStyle name="Normal 44 4 2 2" xfId="8514" xr:uid="{00000000-0005-0000-0000-0000996F0000}"/>
    <cellStyle name="Normal 44 4 2 3" xfId="8515" xr:uid="{00000000-0005-0000-0000-00009A6F0000}"/>
    <cellStyle name="Normal 44 4 3" xfId="8516" xr:uid="{00000000-0005-0000-0000-00009B6F0000}"/>
    <cellStyle name="Normal 44 4 3 2" xfId="8517" xr:uid="{00000000-0005-0000-0000-00009C6F0000}"/>
    <cellStyle name="Normal 44 4 3 3" xfId="8518" xr:uid="{00000000-0005-0000-0000-00009D6F0000}"/>
    <cellStyle name="Normal 44 4 4" xfId="8519" xr:uid="{00000000-0005-0000-0000-00009E6F0000}"/>
    <cellStyle name="Normal 44 4 5" xfId="8520" xr:uid="{00000000-0005-0000-0000-00009F6F0000}"/>
    <cellStyle name="Normal 44 5" xfId="8521" xr:uid="{00000000-0005-0000-0000-0000A06F0000}"/>
    <cellStyle name="Normal 44 5 2" xfId="8522" xr:uid="{00000000-0005-0000-0000-0000A16F0000}"/>
    <cellStyle name="Normal 44 5 3" xfId="8523" xr:uid="{00000000-0005-0000-0000-0000A26F0000}"/>
    <cellStyle name="Normal 44 6" xfId="8524" xr:uid="{00000000-0005-0000-0000-0000A36F0000}"/>
    <cellStyle name="Normal 44 6 2" xfId="8525" xr:uid="{00000000-0005-0000-0000-0000A46F0000}"/>
    <cellStyle name="Normal 44 6 3" xfId="8526" xr:uid="{00000000-0005-0000-0000-0000A56F0000}"/>
    <cellStyle name="Normal 44 7" xfId="8527" xr:uid="{00000000-0005-0000-0000-0000A66F0000}"/>
    <cellStyle name="Normal 44 8" xfId="8528" xr:uid="{00000000-0005-0000-0000-0000A76F0000}"/>
    <cellStyle name="Normal 45" xfId="198" xr:uid="{00000000-0005-0000-0000-0000A86F0000}"/>
    <cellStyle name="Normal 45 2" xfId="8529" xr:uid="{00000000-0005-0000-0000-0000A96F0000}"/>
    <cellStyle name="Normal 45 2 2" xfId="8530" xr:uid="{00000000-0005-0000-0000-0000AA6F0000}"/>
    <cellStyle name="Normal 45 2 2 2" xfId="8531" xr:uid="{00000000-0005-0000-0000-0000AB6F0000}"/>
    <cellStyle name="Normal 45 2 2 2 2" xfId="8532" xr:uid="{00000000-0005-0000-0000-0000AC6F0000}"/>
    <cellStyle name="Normal 45 2 2 2 2 2" xfId="8533" xr:uid="{00000000-0005-0000-0000-0000AD6F0000}"/>
    <cellStyle name="Normal 45 2 2 2 2 3" xfId="8534" xr:uid="{00000000-0005-0000-0000-0000AE6F0000}"/>
    <cellStyle name="Normal 45 2 2 2 3" xfId="8535" xr:uid="{00000000-0005-0000-0000-0000AF6F0000}"/>
    <cellStyle name="Normal 45 2 2 2 3 2" xfId="8536" xr:uid="{00000000-0005-0000-0000-0000B06F0000}"/>
    <cellStyle name="Normal 45 2 2 2 3 3" xfId="8537" xr:uid="{00000000-0005-0000-0000-0000B16F0000}"/>
    <cellStyle name="Normal 45 2 2 2 4" xfId="8538" xr:uid="{00000000-0005-0000-0000-0000B26F0000}"/>
    <cellStyle name="Normal 45 2 2 2 5" xfId="8539" xr:uid="{00000000-0005-0000-0000-0000B36F0000}"/>
    <cellStyle name="Normal 45 2 2 3" xfId="8540" xr:uid="{00000000-0005-0000-0000-0000B46F0000}"/>
    <cellStyle name="Normal 45 2 2 3 2" xfId="8541" xr:uid="{00000000-0005-0000-0000-0000B56F0000}"/>
    <cellStyle name="Normal 45 2 2 3 3" xfId="8542" xr:uid="{00000000-0005-0000-0000-0000B66F0000}"/>
    <cellStyle name="Normal 45 2 2 4" xfId="8543" xr:uid="{00000000-0005-0000-0000-0000B76F0000}"/>
    <cellStyle name="Normal 45 2 2 4 2" xfId="8544" xr:uid="{00000000-0005-0000-0000-0000B86F0000}"/>
    <cellStyle name="Normal 45 2 2 4 3" xfId="8545" xr:uid="{00000000-0005-0000-0000-0000B96F0000}"/>
    <cellStyle name="Normal 45 2 2 5" xfId="8546" xr:uid="{00000000-0005-0000-0000-0000BA6F0000}"/>
    <cellStyle name="Normal 45 2 2 6" xfId="8547" xr:uid="{00000000-0005-0000-0000-0000BB6F0000}"/>
    <cellStyle name="Normal 45 2 3" xfId="8548" xr:uid="{00000000-0005-0000-0000-0000BC6F0000}"/>
    <cellStyle name="Normal 45 2 3 2" xfId="8549" xr:uid="{00000000-0005-0000-0000-0000BD6F0000}"/>
    <cellStyle name="Normal 45 2 3 2 2" xfId="8550" xr:uid="{00000000-0005-0000-0000-0000BE6F0000}"/>
    <cellStyle name="Normal 45 2 3 2 3" xfId="8551" xr:uid="{00000000-0005-0000-0000-0000BF6F0000}"/>
    <cellStyle name="Normal 45 2 3 3" xfId="8552" xr:uid="{00000000-0005-0000-0000-0000C06F0000}"/>
    <cellStyle name="Normal 45 2 3 3 2" xfId="8553" xr:uid="{00000000-0005-0000-0000-0000C16F0000}"/>
    <cellStyle name="Normal 45 2 3 3 3" xfId="8554" xr:uid="{00000000-0005-0000-0000-0000C26F0000}"/>
    <cellStyle name="Normal 45 2 3 4" xfId="8555" xr:uid="{00000000-0005-0000-0000-0000C36F0000}"/>
    <cellStyle name="Normal 45 2 3 5" xfId="8556" xr:uid="{00000000-0005-0000-0000-0000C46F0000}"/>
    <cellStyle name="Normal 45 2 4" xfId="8557" xr:uid="{00000000-0005-0000-0000-0000C56F0000}"/>
    <cellStyle name="Normal 45 2 4 2" xfId="8558" xr:uid="{00000000-0005-0000-0000-0000C66F0000}"/>
    <cellStyle name="Normal 45 2 4 3" xfId="8559" xr:uid="{00000000-0005-0000-0000-0000C76F0000}"/>
    <cellStyle name="Normal 45 2 5" xfId="8560" xr:uid="{00000000-0005-0000-0000-0000C86F0000}"/>
    <cellStyle name="Normal 45 2 5 2" xfId="8561" xr:uid="{00000000-0005-0000-0000-0000C96F0000}"/>
    <cellStyle name="Normal 45 2 5 3" xfId="8562" xr:uid="{00000000-0005-0000-0000-0000CA6F0000}"/>
    <cellStyle name="Normal 45 2 6" xfId="8563" xr:uid="{00000000-0005-0000-0000-0000CB6F0000}"/>
    <cellStyle name="Normal 45 2 7" xfId="8564" xr:uid="{00000000-0005-0000-0000-0000CC6F0000}"/>
    <cellStyle name="Normal 45 3" xfId="8565" xr:uid="{00000000-0005-0000-0000-0000CD6F0000}"/>
    <cellStyle name="Normal 46" xfId="199" xr:uid="{00000000-0005-0000-0000-0000CE6F0000}"/>
    <cellStyle name="Normal 46 2" xfId="8566" xr:uid="{00000000-0005-0000-0000-0000CF6F0000}"/>
    <cellStyle name="Normal 46 2 2" xfId="8567" xr:uid="{00000000-0005-0000-0000-0000D06F0000}"/>
    <cellStyle name="Normal 46 2 2 2" xfId="8568" xr:uid="{00000000-0005-0000-0000-0000D16F0000}"/>
    <cellStyle name="Normal 46 2 2 2 2" xfId="8569" xr:uid="{00000000-0005-0000-0000-0000D26F0000}"/>
    <cellStyle name="Normal 46 2 2 2 2 2" xfId="8570" xr:uid="{00000000-0005-0000-0000-0000D36F0000}"/>
    <cellStyle name="Normal 46 2 2 2 2 3" xfId="8571" xr:uid="{00000000-0005-0000-0000-0000D46F0000}"/>
    <cellStyle name="Normal 46 2 2 2 3" xfId="8572" xr:uid="{00000000-0005-0000-0000-0000D56F0000}"/>
    <cellStyle name="Normal 46 2 2 2 3 2" xfId="8573" xr:uid="{00000000-0005-0000-0000-0000D66F0000}"/>
    <cellStyle name="Normal 46 2 2 2 3 3" xfId="8574" xr:uid="{00000000-0005-0000-0000-0000D76F0000}"/>
    <cellStyle name="Normal 46 2 2 2 4" xfId="8575" xr:uid="{00000000-0005-0000-0000-0000D86F0000}"/>
    <cellStyle name="Normal 46 2 2 2 5" xfId="8576" xr:uid="{00000000-0005-0000-0000-0000D96F0000}"/>
    <cellStyle name="Normal 46 2 2 3" xfId="8577" xr:uid="{00000000-0005-0000-0000-0000DA6F0000}"/>
    <cellStyle name="Normal 46 2 2 3 2" xfId="8578" xr:uid="{00000000-0005-0000-0000-0000DB6F0000}"/>
    <cellStyle name="Normal 46 2 2 3 3" xfId="8579" xr:uid="{00000000-0005-0000-0000-0000DC6F0000}"/>
    <cellStyle name="Normal 46 2 2 4" xfId="8580" xr:uid="{00000000-0005-0000-0000-0000DD6F0000}"/>
    <cellStyle name="Normal 46 2 2 4 2" xfId="8581" xr:uid="{00000000-0005-0000-0000-0000DE6F0000}"/>
    <cellStyle name="Normal 46 2 2 4 3" xfId="8582" xr:uid="{00000000-0005-0000-0000-0000DF6F0000}"/>
    <cellStyle name="Normal 46 2 2 5" xfId="8583" xr:uid="{00000000-0005-0000-0000-0000E06F0000}"/>
    <cellStyle name="Normal 46 2 2 6" xfId="8584" xr:uid="{00000000-0005-0000-0000-0000E16F0000}"/>
    <cellStyle name="Normal 46 2 3" xfId="8585" xr:uid="{00000000-0005-0000-0000-0000E26F0000}"/>
    <cellStyle name="Normal 46 2 3 2" xfId="8586" xr:uid="{00000000-0005-0000-0000-0000E36F0000}"/>
    <cellStyle name="Normal 46 2 3 2 2" xfId="8587" xr:uid="{00000000-0005-0000-0000-0000E46F0000}"/>
    <cellStyle name="Normal 46 2 3 2 3" xfId="8588" xr:uid="{00000000-0005-0000-0000-0000E56F0000}"/>
    <cellStyle name="Normal 46 2 3 3" xfId="8589" xr:uid="{00000000-0005-0000-0000-0000E66F0000}"/>
    <cellStyle name="Normal 46 2 3 3 2" xfId="8590" xr:uid="{00000000-0005-0000-0000-0000E76F0000}"/>
    <cellStyle name="Normal 46 2 3 3 3" xfId="8591" xr:uid="{00000000-0005-0000-0000-0000E86F0000}"/>
    <cellStyle name="Normal 46 2 3 4" xfId="8592" xr:uid="{00000000-0005-0000-0000-0000E96F0000}"/>
    <cellStyle name="Normal 46 2 3 5" xfId="8593" xr:uid="{00000000-0005-0000-0000-0000EA6F0000}"/>
    <cellStyle name="Normal 46 2 4" xfId="8594" xr:uid="{00000000-0005-0000-0000-0000EB6F0000}"/>
    <cellStyle name="Normal 46 2 4 2" xfId="8595" xr:uid="{00000000-0005-0000-0000-0000EC6F0000}"/>
    <cellStyle name="Normal 46 2 4 3" xfId="8596" xr:uid="{00000000-0005-0000-0000-0000ED6F0000}"/>
    <cellStyle name="Normal 46 2 5" xfId="8597" xr:uid="{00000000-0005-0000-0000-0000EE6F0000}"/>
    <cellStyle name="Normal 46 2 5 2" xfId="8598" xr:uid="{00000000-0005-0000-0000-0000EF6F0000}"/>
    <cellStyle name="Normal 46 2 5 3" xfId="8599" xr:uid="{00000000-0005-0000-0000-0000F06F0000}"/>
    <cellStyle name="Normal 46 2 6" xfId="8600" xr:uid="{00000000-0005-0000-0000-0000F16F0000}"/>
    <cellStyle name="Normal 46 2 7" xfId="8601" xr:uid="{00000000-0005-0000-0000-0000F26F0000}"/>
    <cellStyle name="Normal 46 3" xfId="8602" xr:uid="{00000000-0005-0000-0000-0000F36F0000}"/>
    <cellStyle name="Normal 47" xfId="200" xr:uid="{00000000-0005-0000-0000-0000F46F0000}"/>
    <cellStyle name="Normal 47 2" xfId="8603" xr:uid="{00000000-0005-0000-0000-0000F56F0000}"/>
    <cellStyle name="Normal 47 2 2" xfId="8604" xr:uid="{00000000-0005-0000-0000-0000F66F0000}"/>
    <cellStyle name="Normal 47 2 2 2" xfId="8605" xr:uid="{00000000-0005-0000-0000-0000F76F0000}"/>
    <cellStyle name="Normal 47 2 2 2 2" xfId="8606" xr:uid="{00000000-0005-0000-0000-0000F86F0000}"/>
    <cellStyle name="Normal 47 2 2 2 2 2" xfId="8607" xr:uid="{00000000-0005-0000-0000-0000F96F0000}"/>
    <cellStyle name="Normal 47 2 2 2 2 3" xfId="8608" xr:uid="{00000000-0005-0000-0000-0000FA6F0000}"/>
    <cellStyle name="Normal 47 2 2 2 3" xfId="8609" xr:uid="{00000000-0005-0000-0000-0000FB6F0000}"/>
    <cellStyle name="Normal 47 2 2 2 3 2" xfId="8610" xr:uid="{00000000-0005-0000-0000-0000FC6F0000}"/>
    <cellStyle name="Normal 47 2 2 2 3 3" xfId="8611" xr:uid="{00000000-0005-0000-0000-0000FD6F0000}"/>
    <cellStyle name="Normal 47 2 2 2 4" xfId="8612" xr:uid="{00000000-0005-0000-0000-0000FE6F0000}"/>
    <cellStyle name="Normal 47 2 2 2 5" xfId="8613" xr:uid="{00000000-0005-0000-0000-0000FF6F0000}"/>
    <cellStyle name="Normal 47 2 2 3" xfId="8614" xr:uid="{00000000-0005-0000-0000-000000700000}"/>
    <cellStyle name="Normal 47 2 2 3 2" xfId="8615" xr:uid="{00000000-0005-0000-0000-000001700000}"/>
    <cellStyle name="Normal 47 2 2 3 3" xfId="8616" xr:uid="{00000000-0005-0000-0000-000002700000}"/>
    <cellStyle name="Normal 47 2 2 4" xfId="8617" xr:uid="{00000000-0005-0000-0000-000003700000}"/>
    <cellStyle name="Normal 47 2 2 4 2" xfId="8618" xr:uid="{00000000-0005-0000-0000-000004700000}"/>
    <cellStyle name="Normal 47 2 2 4 3" xfId="8619" xr:uid="{00000000-0005-0000-0000-000005700000}"/>
    <cellStyle name="Normal 47 2 2 5" xfId="8620" xr:uid="{00000000-0005-0000-0000-000006700000}"/>
    <cellStyle name="Normal 47 2 2 6" xfId="8621" xr:uid="{00000000-0005-0000-0000-000007700000}"/>
    <cellStyle name="Normal 47 2 3" xfId="8622" xr:uid="{00000000-0005-0000-0000-000008700000}"/>
    <cellStyle name="Normal 47 2 3 2" xfId="8623" xr:uid="{00000000-0005-0000-0000-000009700000}"/>
    <cellStyle name="Normal 47 2 3 2 2" xfId="8624" xr:uid="{00000000-0005-0000-0000-00000A700000}"/>
    <cellStyle name="Normal 47 2 3 2 3" xfId="8625" xr:uid="{00000000-0005-0000-0000-00000B700000}"/>
    <cellStyle name="Normal 47 2 3 3" xfId="8626" xr:uid="{00000000-0005-0000-0000-00000C700000}"/>
    <cellStyle name="Normal 47 2 3 3 2" xfId="8627" xr:uid="{00000000-0005-0000-0000-00000D700000}"/>
    <cellStyle name="Normal 47 2 3 3 3" xfId="8628" xr:uid="{00000000-0005-0000-0000-00000E700000}"/>
    <cellStyle name="Normal 47 2 3 4" xfId="8629" xr:uid="{00000000-0005-0000-0000-00000F700000}"/>
    <cellStyle name="Normal 47 2 3 5" xfId="8630" xr:uid="{00000000-0005-0000-0000-000010700000}"/>
    <cellStyle name="Normal 47 2 4" xfId="8631" xr:uid="{00000000-0005-0000-0000-000011700000}"/>
    <cellStyle name="Normal 47 2 4 2" xfId="8632" xr:uid="{00000000-0005-0000-0000-000012700000}"/>
    <cellStyle name="Normal 47 2 4 3" xfId="8633" xr:uid="{00000000-0005-0000-0000-000013700000}"/>
    <cellStyle name="Normal 47 2 5" xfId="8634" xr:uid="{00000000-0005-0000-0000-000014700000}"/>
    <cellStyle name="Normal 47 2 5 2" xfId="8635" xr:uid="{00000000-0005-0000-0000-000015700000}"/>
    <cellStyle name="Normal 47 2 5 3" xfId="8636" xr:uid="{00000000-0005-0000-0000-000016700000}"/>
    <cellStyle name="Normal 47 2 6" xfId="8637" xr:uid="{00000000-0005-0000-0000-000017700000}"/>
    <cellStyle name="Normal 47 2 7" xfId="8638" xr:uid="{00000000-0005-0000-0000-000018700000}"/>
    <cellStyle name="Normal 47 3" xfId="8639" xr:uid="{00000000-0005-0000-0000-000019700000}"/>
    <cellStyle name="Normal 48" xfId="201" xr:uid="{00000000-0005-0000-0000-00001A700000}"/>
    <cellStyle name="Normal 48 2" xfId="8640" xr:uid="{00000000-0005-0000-0000-00001B700000}"/>
    <cellStyle name="Normal 48 2 2" xfId="8641" xr:uid="{00000000-0005-0000-0000-00001C700000}"/>
    <cellStyle name="Normal 48 2 2 2" xfId="8642" xr:uid="{00000000-0005-0000-0000-00001D700000}"/>
    <cellStyle name="Normal 48 2 2 2 2" xfId="8643" xr:uid="{00000000-0005-0000-0000-00001E700000}"/>
    <cellStyle name="Normal 48 2 2 2 2 2" xfId="8644" xr:uid="{00000000-0005-0000-0000-00001F700000}"/>
    <cellStyle name="Normal 48 2 2 2 2 3" xfId="8645" xr:uid="{00000000-0005-0000-0000-000020700000}"/>
    <cellStyle name="Normal 48 2 2 2 3" xfId="8646" xr:uid="{00000000-0005-0000-0000-000021700000}"/>
    <cellStyle name="Normal 48 2 2 2 3 2" xfId="8647" xr:uid="{00000000-0005-0000-0000-000022700000}"/>
    <cellStyle name="Normal 48 2 2 2 3 3" xfId="8648" xr:uid="{00000000-0005-0000-0000-000023700000}"/>
    <cellStyle name="Normal 48 2 2 2 4" xfId="8649" xr:uid="{00000000-0005-0000-0000-000024700000}"/>
    <cellStyle name="Normal 48 2 2 2 5" xfId="8650" xr:uid="{00000000-0005-0000-0000-000025700000}"/>
    <cellStyle name="Normal 48 2 2 3" xfId="8651" xr:uid="{00000000-0005-0000-0000-000026700000}"/>
    <cellStyle name="Normal 48 2 2 3 2" xfId="8652" xr:uid="{00000000-0005-0000-0000-000027700000}"/>
    <cellStyle name="Normal 48 2 2 3 3" xfId="8653" xr:uid="{00000000-0005-0000-0000-000028700000}"/>
    <cellStyle name="Normal 48 2 2 4" xfId="8654" xr:uid="{00000000-0005-0000-0000-000029700000}"/>
    <cellStyle name="Normal 48 2 2 4 2" xfId="8655" xr:uid="{00000000-0005-0000-0000-00002A700000}"/>
    <cellStyle name="Normal 48 2 2 4 3" xfId="8656" xr:uid="{00000000-0005-0000-0000-00002B700000}"/>
    <cellStyle name="Normal 48 2 2 5" xfId="8657" xr:uid="{00000000-0005-0000-0000-00002C700000}"/>
    <cellStyle name="Normal 48 2 2 6" xfId="8658" xr:uid="{00000000-0005-0000-0000-00002D700000}"/>
    <cellStyle name="Normal 48 2 3" xfId="8659" xr:uid="{00000000-0005-0000-0000-00002E700000}"/>
    <cellStyle name="Normal 48 2 3 2" xfId="8660" xr:uid="{00000000-0005-0000-0000-00002F700000}"/>
    <cellStyle name="Normal 48 2 3 2 2" xfId="8661" xr:uid="{00000000-0005-0000-0000-000030700000}"/>
    <cellStyle name="Normal 48 2 3 2 3" xfId="8662" xr:uid="{00000000-0005-0000-0000-000031700000}"/>
    <cellStyle name="Normal 48 2 3 3" xfId="8663" xr:uid="{00000000-0005-0000-0000-000032700000}"/>
    <cellStyle name="Normal 48 2 3 3 2" xfId="8664" xr:uid="{00000000-0005-0000-0000-000033700000}"/>
    <cellStyle name="Normal 48 2 3 3 3" xfId="8665" xr:uid="{00000000-0005-0000-0000-000034700000}"/>
    <cellStyle name="Normal 48 2 3 4" xfId="8666" xr:uid="{00000000-0005-0000-0000-000035700000}"/>
    <cellStyle name="Normal 48 2 3 5" xfId="8667" xr:uid="{00000000-0005-0000-0000-000036700000}"/>
    <cellStyle name="Normal 48 2 4" xfId="8668" xr:uid="{00000000-0005-0000-0000-000037700000}"/>
    <cellStyle name="Normal 48 2 4 2" xfId="8669" xr:uid="{00000000-0005-0000-0000-000038700000}"/>
    <cellStyle name="Normal 48 2 4 3" xfId="8670" xr:uid="{00000000-0005-0000-0000-000039700000}"/>
    <cellStyle name="Normal 48 2 5" xfId="8671" xr:uid="{00000000-0005-0000-0000-00003A700000}"/>
    <cellStyle name="Normal 48 2 5 2" xfId="8672" xr:uid="{00000000-0005-0000-0000-00003B700000}"/>
    <cellStyle name="Normal 48 2 5 3" xfId="8673" xr:uid="{00000000-0005-0000-0000-00003C700000}"/>
    <cellStyle name="Normal 48 2 6" xfId="8674" xr:uid="{00000000-0005-0000-0000-00003D700000}"/>
    <cellStyle name="Normal 48 2 7" xfId="8675" xr:uid="{00000000-0005-0000-0000-00003E700000}"/>
    <cellStyle name="Normal 48 3" xfId="8676" xr:uid="{00000000-0005-0000-0000-00003F700000}"/>
    <cellStyle name="Normal 48 3 2" xfId="8677" xr:uid="{00000000-0005-0000-0000-000040700000}"/>
    <cellStyle name="Normal 48 3 2 2" xfId="8678" xr:uid="{00000000-0005-0000-0000-000041700000}"/>
    <cellStyle name="Normal 48 3 2 2 2" xfId="8679" xr:uid="{00000000-0005-0000-0000-000042700000}"/>
    <cellStyle name="Normal 48 3 2 2 3" xfId="8680" xr:uid="{00000000-0005-0000-0000-000043700000}"/>
    <cellStyle name="Normal 48 3 2 3" xfId="8681" xr:uid="{00000000-0005-0000-0000-000044700000}"/>
    <cellStyle name="Normal 48 3 2 3 2" xfId="8682" xr:uid="{00000000-0005-0000-0000-000045700000}"/>
    <cellStyle name="Normal 48 3 2 3 3" xfId="8683" xr:uid="{00000000-0005-0000-0000-000046700000}"/>
    <cellStyle name="Normal 48 3 2 4" xfId="8684" xr:uid="{00000000-0005-0000-0000-000047700000}"/>
    <cellStyle name="Normal 48 3 2 5" xfId="8685" xr:uid="{00000000-0005-0000-0000-000048700000}"/>
    <cellStyle name="Normal 48 3 3" xfId="8686" xr:uid="{00000000-0005-0000-0000-000049700000}"/>
    <cellStyle name="Normal 48 3 3 2" xfId="8687" xr:uid="{00000000-0005-0000-0000-00004A700000}"/>
    <cellStyle name="Normal 48 3 3 3" xfId="8688" xr:uid="{00000000-0005-0000-0000-00004B700000}"/>
    <cellStyle name="Normal 48 3 4" xfId="8689" xr:uid="{00000000-0005-0000-0000-00004C700000}"/>
    <cellStyle name="Normal 48 3 4 2" xfId="8690" xr:uid="{00000000-0005-0000-0000-00004D700000}"/>
    <cellStyle name="Normal 48 3 4 3" xfId="8691" xr:uid="{00000000-0005-0000-0000-00004E700000}"/>
    <cellStyle name="Normal 48 3 5" xfId="8692" xr:uid="{00000000-0005-0000-0000-00004F700000}"/>
    <cellStyle name="Normal 48 3 6" xfId="8693" xr:uid="{00000000-0005-0000-0000-000050700000}"/>
    <cellStyle name="Normal 48 4" xfId="8694" xr:uid="{00000000-0005-0000-0000-000051700000}"/>
    <cellStyle name="Normal 48 4 2" xfId="8695" xr:uid="{00000000-0005-0000-0000-000052700000}"/>
    <cellStyle name="Normal 48 4 2 2" xfId="8696" xr:uid="{00000000-0005-0000-0000-000053700000}"/>
    <cellStyle name="Normal 48 4 2 3" xfId="8697" xr:uid="{00000000-0005-0000-0000-000054700000}"/>
    <cellStyle name="Normal 48 4 3" xfId="8698" xr:uid="{00000000-0005-0000-0000-000055700000}"/>
    <cellStyle name="Normal 48 4 3 2" xfId="8699" xr:uid="{00000000-0005-0000-0000-000056700000}"/>
    <cellStyle name="Normal 48 4 3 3" xfId="8700" xr:uid="{00000000-0005-0000-0000-000057700000}"/>
    <cellStyle name="Normal 48 4 4" xfId="8701" xr:uid="{00000000-0005-0000-0000-000058700000}"/>
    <cellStyle name="Normal 48 4 5" xfId="8702" xr:uid="{00000000-0005-0000-0000-000059700000}"/>
    <cellStyle name="Normal 48 5" xfId="8703" xr:uid="{00000000-0005-0000-0000-00005A700000}"/>
    <cellStyle name="Normal 48 5 2" xfId="8704" xr:uid="{00000000-0005-0000-0000-00005B700000}"/>
    <cellStyle name="Normal 48 5 3" xfId="8705" xr:uid="{00000000-0005-0000-0000-00005C700000}"/>
    <cellStyle name="Normal 48 6" xfId="8706" xr:uid="{00000000-0005-0000-0000-00005D700000}"/>
    <cellStyle name="Normal 48 6 2" xfId="8707" xr:uid="{00000000-0005-0000-0000-00005E700000}"/>
    <cellStyle name="Normal 48 6 3" xfId="8708" xr:uid="{00000000-0005-0000-0000-00005F700000}"/>
    <cellStyle name="Normal 48 7" xfId="8709" xr:uid="{00000000-0005-0000-0000-000060700000}"/>
    <cellStyle name="Normal 48 8" xfId="8710" xr:uid="{00000000-0005-0000-0000-000061700000}"/>
    <cellStyle name="Normal 49" xfId="202" xr:uid="{00000000-0005-0000-0000-000062700000}"/>
    <cellStyle name="Normal 49 2" xfId="8711" xr:uid="{00000000-0005-0000-0000-000063700000}"/>
    <cellStyle name="Normal 49 2 2" xfId="8712" xr:uid="{00000000-0005-0000-0000-000064700000}"/>
    <cellStyle name="Normal 49 2 2 2" xfId="8713" xr:uid="{00000000-0005-0000-0000-000065700000}"/>
    <cellStyle name="Normal 49 2 2 2 2" xfId="8714" xr:uid="{00000000-0005-0000-0000-000066700000}"/>
    <cellStyle name="Normal 49 2 2 2 2 2" xfId="8715" xr:uid="{00000000-0005-0000-0000-000067700000}"/>
    <cellStyle name="Normal 49 2 2 2 2 3" xfId="8716" xr:uid="{00000000-0005-0000-0000-000068700000}"/>
    <cellStyle name="Normal 49 2 2 2 3" xfId="8717" xr:uid="{00000000-0005-0000-0000-000069700000}"/>
    <cellStyle name="Normal 49 2 2 2 3 2" xfId="8718" xr:uid="{00000000-0005-0000-0000-00006A700000}"/>
    <cellStyle name="Normal 49 2 2 2 3 3" xfId="8719" xr:uid="{00000000-0005-0000-0000-00006B700000}"/>
    <cellStyle name="Normal 49 2 2 2 4" xfId="8720" xr:uid="{00000000-0005-0000-0000-00006C700000}"/>
    <cellStyle name="Normal 49 2 2 2 5" xfId="8721" xr:uid="{00000000-0005-0000-0000-00006D700000}"/>
    <cellStyle name="Normal 49 2 2 3" xfId="8722" xr:uid="{00000000-0005-0000-0000-00006E700000}"/>
    <cellStyle name="Normal 49 2 2 3 2" xfId="8723" xr:uid="{00000000-0005-0000-0000-00006F700000}"/>
    <cellStyle name="Normal 49 2 2 3 3" xfId="8724" xr:uid="{00000000-0005-0000-0000-000070700000}"/>
    <cellStyle name="Normal 49 2 2 4" xfId="8725" xr:uid="{00000000-0005-0000-0000-000071700000}"/>
    <cellStyle name="Normal 49 2 2 4 2" xfId="8726" xr:uid="{00000000-0005-0000-0000-000072700000}"/>
    <cellStyle name="Normal 49 2 2 4 3" xfId="8727" xr:uid="{00000000-0005-0000-0000-000073700000}"/>
    <cellStyle name="Normal 49 2 2 5" xfId="8728" xr:uid="{00000000-0005-0000-0000-000074700000}"/>
    <cellStyle name="Normal 49 2 2 6" xfId="8729" xr:uid="{00000000-0005-0000-0000-000075700000}"/>
    <cellStyle name="Normal 49 2 3" xfId="8730" xr:uid="{00000000-0005-0000-0000-000076700000}"/>
    <cellStyle name="Normal 49 2 3 2" xfId="8731" xr:uid="{00000000-0005-0000-0000-000077700000}"/>
    <cellStyle name="Normal 49 2 3 2 2" xfId="8732" xr:uid="{00000000-0005-0000-0000-000078700000}"/>
    <cellStyle name="Normal 49 2 3 2 3" xfId="8733" xr:uid="{00000000-0005-0000-0000-000079700000}"/>
    <cellStyle name="Normal 49 2 3 3" xfId="8734" xr:uid="{00000000-0005-0000-0000-00007A700000}"/>
    <cellStyle name="Normal 49 2 3 3 2" xfId="8735" xr:uid="{00000000-0005-0000-0000-00007B700000}"/>
    <cellStyle name="Normal 49 2 3 3 3" xfId="8736" xr:uid="{00000000-0005-0000-0000-00007C700000}"/>
    <cellStyle name="Normal 49 2 3 4" xfId="8737" xr:uid="{00000000-0005-0000-0000-00007D700000}"/>
    <cellStyle name="Normal 49 2 3 5" xfId="8738" xr:uid="{00000000-0005-0000-0000-00007E700000}"/>
    <cellStyle name="Normal 49 2 4" xfId="8739" xr:uid="{00000000-0005-0000-0000-00007F700000}"/>
    <cellStyle name="Normal 49 2 4 2" xfId="8740" xr:uid="{00000000-0005-0000-0000-000080700000}"/>
    <cellStyle name="Normal 49 2 4 3" xfId="8741" xr:uid="{00000000-0005-0000-0000-000081700000}"/>
    <cellStyle name="Normal 49 2 5" xfId="8742" xr:uid="{00000000-0005-0000-0000-000082700000}"/>
    <cellStyle name="Normal 49 2 5 2" xfId="8743" xr:uid="{00000000-0005-0000-0000-000083700000}"/>
    <cellStyle name="Normal 49 2 5 3" xfId="8744" xr:uid="{00000000-0005-0000-0000-000084700000}"/>
    <cellStyle name="Normal 49 2 6" xfId="8745" xr:uid="{00000000-0005-0000-0000-000085700000}"/>
    <cellStyle name="Normal 49 2 7" xfId="8746" xr:uid="{00000000-0005-0000-0000-000086700000}"/>
    <cellStyle name="Normal 49 3" xfId="8747" xr:uid="{00000000-0005-0000-0000-000087700000}"/>
    <cellStyle name="Normal 49 3 2" xfId="8748" xr:uid="{00000000-0005-0000-0000-000088700000}"/>
    <cellStyle name="Normal 49 3 2 2" xfId="8749" xr:uid="{00000000-0005-0000-0000-000089700000}"/>
    <cellStyle name="Normal 49 3 2 2 2" xfId="8750" xr:uid="{00000000-0005-0000-0000-00008A700000}"/>
    <cellStyle name="Normal 49 3 2 2 3" xfId="8751" xr:uid="{00000000-0005-0000-0000-00008B700000}"/>
    <cellStyle name="Normal 49 3 2 3" xfId="8752" xr:uid="{00000000-0005-0000-0000-00008C700000}"/>
    <cellStyle name="Normal 49 3 2 3 2" xfId="8753" xr:uid="{00000000-0005-0000-0000-00008D700000}"/>
    <cellStyle name="Normal 49 3 2 3 3" xfId="8754" xr:uid="{00000000-0005-0000-0000-00008E700000}"/>
    <cellStyle name="Normal 49 3 2 4" xfId="8755" xr:uid="{00000000-0005-0000-0000-00008F700000}"/>
    <cellStyle name="Normal 49 3 2 5" xfId="8756" xr:uid="{00000000-0005-0000-0000-000090700000}"/>
    <cellStyle name="Normal 49 3 3" xfId="8757" xr:uid="{00000000-0005-0000-0000-000091700000}"/>
    <cellStyle name="Normal 49 3 3 2" xfId="8758" xr:uid="{00000000-0005-0000-0000-000092700000}"/>
    <cellStyle name="Normal 49 3 3 3" xfId="8759" xr:uid="{00000000-0005-0000-0000-000093700000}"/>
    <cellStyle name="Normal 49 3 4" xfId="8760" xr:uid="{00000000-0005-0000-0000-000094700000}"/>
    <cellStyle name="Normal 49 3 4 2" xfId="8761" xr:uid="{00000000-0005-0000-0000-000095700000}"/>
    <cellStyle name="Normal 49 3 4 3" xfId="8762" xr:uid="{00000000-0005-0000-0000-000096700000}"/>
    <cellStyle name="Normal 49 3 5" xfId="8763" xr:uid="{00000000-0005-0000-0000-000097700000}"/>
    <cellStyle name="Normal 49 3 6" xfId="8764" xr:uid="{00000000-0005-0000-0000-000098700000}"/>
    <cellStyle name="Normal 49 4" xfId="8765" xr:uid="{00000000-0005-0000-0000-000099700000}"/>
    <cellStyle name="Normal 49 4 2" xfId="8766" xr:uid="{00000000-0005-0000-0000-00009A700000}"/>
    <cellStyle name="Normal 49 4 2 2" xfId="8767" xr:uid="{00000000-0005-0000-0000-00009B700000}"/>
    <cellStyle name="Normal 49 4 2 3" xfId="8768" xr:uid="{00000000-0005-0000-0000-00009C700000}"/>
    <cellStyle name="Normal 49 4 3" xfId="8769" xr:uid="{00000000-0005-0000-0000-00009D700000}"/>
    <cellStyle name="Normal 49 4 3 2" xfId="8770" xr:uid="{00000000-0005-0000-0000-00009E700000}"/>
    <cellStyle name="Normal 49 4 3 3" xfId="8771" xr:uid="{00000000-0005-0000-0000-00009F700000}"/>
    <cellStyle name="Normal 49 4 4" xfId="8772" xr:uid="{00000000-0005-0000-0000-0000A0700000}"/>
    <cellStyle name="Normal 49 4 5" xfId="8773" xr:uid="{00000000-0005-0000-0000-0000A1700000}"/>
    <cellStyle name="Normal 49 5" xfId="8774" xr:uid="{00000000-0005-0000-0000-0000A2700000}"/>
    <cellStyle name="Normal 49 5 2" xfId="8775" xr:uid="{00000000-0005-0000-0000-0000A3700000}"/>
    <cellStyle name="Normal 49 5 3" xfId="8776" xr:uid="{00000000-0005-0000-0000-0000A4700000}"/>
    <cellStyle name="Normal 49 6" xfId="8777" xr:uid="{00000000-0005-0000-0000-0000A5700000}"/>
    <cellStyle name="Normal 49 6 2" xfId="8778" xr:uid="{00000000-0005-0000-0000-0000A6700000}"/>
    <cellStyle name="Normal 49 6 3" xfId="8779" xr:uid="{00000000-0005-0000-0000-0000A7700000}"/>
    <cellStyle name="Normal 49 7" xfId="8780" xr:uid="{00000000-0005-0000-0000-0000A8700000}"/>
    <cellStyle name="Normal 49 8" xfId="8781" xr:uid="{00000000-0005-0000-0000-0000A9700000}"/>
    <cellStyle name="Normal 5" xfId="22" xr:uid="{00000000-0005-0000-0000-0000AA700000}"/>
    <cellStyle name="Normal 5 10" xfId="8782" xr:uid="{00000000-0005-0000-0000-0000AB700000}"/>
    <cellStyle name="Normal 5 11" xfId="8783" xr:uid="{00000000-0005-0000-0000-0000AC700000}"/>
    <cellStyle name="Normal 5 2" xfId="203" xr:uid="{00000000-0005-0000-0000-0000AD700000}"/>
    <cellStyle name="Normal 5 2 10" xfId="8784" xr:uid="{00000000-0005-0000-0000-0000AE700000}"/>
    <cellStyle name="Normal 5 2 11" xfId="8785" xr:uid="{00000000-0005-0000-0000-0000AF700000}"/>
    <cellStyle name="Normal 5 2 12" xfId="8786" xr:uid="{00000000-0005-0000-0000-0000B0700000}"/>
    <cellStyle name="Normal 5 2 2" xfId="8787" xr:uid="{00000000-0005-0000-0000-0000B1700000}"/>
    <cellStyle name="Normal 5 2 2 2" xfId="8788" xr:uid="{00000000-0005-0000-0000-0000B2700000}"/>
    <cellStyle name="Normal 5 2 2 2 2" xfId="8789" xr:uid="{00000000-0005-0000-0000-0000B3700000}"/>
    <cellStyle name="Normal 5 2 2 2 2 2" xfId="8790" xr:uid="{00000000-0005-0000-0000-0000B4700000}"/>
    <cellStyle name="Normal 5 2 2 2 2 2 2" xfId="8791" xr:uid="{00000000-0005-0000-0000-0000B5700000}"/>
    <cellStyle name="Normal 5 2 2 2 2 2 2 2" xfId="8792" xr:uid="{00000000-0005-0000-0000-0000B6700000}"/>
    <cellStyle name="Normal 5 2 2 2 2 2 2 3" xfId="8793" xr:uid="{00000000-0005-0000-0000-0000B7700000}"/>
    <cellStyle name="Normal 5 2 2 2 2 2 3" xfId="8794" xr:uid="{00000000-0005-0000-0000-0000B8700000}"/>
    <cellStyle name="Normal 5 2 2 2 2 2 3 2" xfId="8795" xr:uid="{00000000-0005-0000-0000-0000B9700000}"/>
    <cellStyle name="Normal 5 2 2 2 2 2 3 3" xfId="8796" xr:uid="{00000000-0005-0000-0000-0000BA700000}"/>
    <cellStyle name="Normal 5 2 2 2 2 2 4" xfId="8797" xr:uid="{00000000-0005-0000-0000-0000BB700000}"/>
    <cellStyle name="Normal 5 2 2 2 2 2 5" xfId="8798" xr:uid="{00000000-0005-0000-0000-0000BC700000}"/>
    <cellStyle name="Normal 5 2 2 2 2 3" xfId="8799" xr:uid="{00000000-0005-0000-0000-0000BD700000}"/>
    <cellStyle name="Normal 5 2 2 2 2 3 2" xfId="8800" xr:uid="{00000000-0005-0000-0000-0000BE700000}"/>
    <cellStyle name="Normal 5 2 2 2 2 3 3" xfId="8801" xr:uid="{00000000-0005-0000-0000-0000BF700000}"/>
    <cellStyle name="Normal 5 2 2 2 2 4" xfId="8802" xr:uid="{00000000-0005-0000-0000-0000C0700000}"/>
    <cellStyle name="Normal 5 2 2 2 2 4 2" xfId="8803" xr:uid="{00000000-0005-0000-0000-0000C1700000}"/>
    <cellStyle name="Normal 5 2 2 2 2 4 3" xfId="8804" xr:uid="{00000000-0005-0000-0000-0000C2700000}"/>
    <cellStyle name="Normal 5 2 2 2 2 5" xfId="8805" xr:uid="{00000000-0005-0000-0000-0000C3700000}"/>
    <cellStyle name="Normal 5 2 2 2 2 6" xfId="8806" xr:uid="{00000000-0005-0000-0000-0000C4700000}"/>
    <cellStyle name="Normal 5 2 2 2 3" xfId="8807" xr:uid="{00000000-0005-0000-0000-0000C5700000}"/>
    <cellStyle name="Normal 5 2 2 2 3 2" xfId="8808" xr:uid="{00000000-0005-0000-0000-0000C6700000}"/>
    <cellStyle name="Normal 5 2 2 2 3 2 2" xfId="8809" xr:uid="{00000000-0005-0000-0000-0000C7700000}"/>
    <cellStyle name="Normal 5 2 2 2 3 2 3" xfId="8810" xr:uid="{00000000-0005-0000-0000-0000C8700000}"/>
    <cellStyle name="Normal 5 2 2 2 3 3" xfId="8811" xr:uid="{00000000-0005-0000-0000-0000C9700000}"/>
    <cellStyle name="Normal 5 2 2 2 3 3 2" xfId="8812" xr:uid="{00000000-0005-0000-0000-0000CA700000}"/>
    <cellStyle name="Normal 5 2 2 2 3 3 3" xfId="8813" xr:uid="{00000000-0005-0000-0000-0000CB700000}"/>
    <cellStyle name="Normal 5 2 2 2 3 4" xfId="8814" xr:uid="{00000000-0005-0000-0000-0000CC700000}"/>
    <cellStyle name="Normal 5 2 2 2 3 5" xfId="8815" xr:uid="{00000000-0005-0000-0000-0000CD700000}"/>
    <cellStyle name="Normal 5 2 2 2 4" xfId="8816" xr:uid="{00000000-0005-0000-0000-0000CE700000}"/>
    <cellStyle name="Normal 5 2 2 2 4 2" xfId="8817" xr:uid="{00000000-0005-0000-0000-0000CF700000}"/>
    <cellStyle name="Normal 5 2 2 2 4 3" xfId="8818" xr:uid="{00000000-0005-0000-0000-0000D0700000}"/>
    <cellStyle name="Normal 5 2 2 2 5" xfId="8819" xr:uid="{00000000-0005-0000-0000-0000D1700000}"/>
    <cellStyle name="Normal 5 2 2 2 5 2" xfId="8820" xr:uid="{00000000-0005-0000-0000-0000D2700000}"/>
    <cellStyle name="Normal 5 2 2 2 5 3" xfId="8821" xr:uid="{00000000-0005-0000-0000-0000D3700000}"/>
    <cellStyle name="Normal 5 2 2 2 6" xfId="8822" xr:uid="{00000000-0005-0000-0000-0000D4700000}"/>
    <cellStyle name="Normal 5 2 2 2 7" xfId="8823" xr:uid="{00000000-0005-0000-0000-0000D5700000}"/>
    <cellStyle name="Normal 5 2 2 3" xfId="8824" xr:uid="{00000000-0005-0000-0000-0000D6700000}"/>
    <cellStyle name="Normal 5 2 2 3 2" xfId="8825" xr:uid="{00000000-0005-0000-0000-0000D7700000}"/>
    <cellStyle name="Normal 5 2 2 3 2 2" xfId="8826" xr:uid="{00000000-0005-0000-0000-0000D8700000}"/>
    <cellStyle name="Normal 5 2 2 3 2 2 2" xfId="8827" xr:uid="{00000000-0005-0000-0000-0000D9700000}"/>
    <cellStyle name="Normal 5 2 2 3 2 2 3" xfId="8828" xr:uid="{00000000-0005-0000-0000-0000DA700000}"/>
    <cellStyle name="Normal 5 2 2 3 2 3" xfId="8829" xr:uid="{00000000-0005-0000-0000-0000DB700000}"/>
    <cellStyle name="Normal 5 2 2 3 2 3 2" xfId="8830" xr:uid="{00000000-0005-0000-0000-0000DC700000}"/>
    <cellStyle name="Normal 5 2 2 3 2 3 3" xfId="8831" xr:uid="{00000000-0005-0000-0000-0000DD700000}"/>
    <cellStyle name="Normal 5 2 2 3 2 4" xfId="8832" xr:uid="{00000000-0005-0000-0000-0000DE700000}"/>
    <cellStyle name="Normal 5 2 2 3 2 5" xfId="8833" xr:uid="{00000000-0005-0000-0000-0000DF700000}"/>
    <cellStyle name="Normal 5 2 2 3 3" xfId="8834" xr:uid="{00000000-0005-0000-0000-0000E0700000}"/>
    <cellStyle name="Normal 5 2 2 3 3 2" xfId="8835" xr:uid="{00000000-0005-0000-0000-0000E1700000}"/>
    <cellStyle name="Normal 5 2 2 3 3 3" xfId="8836" xr:uid="{00000000-0005-0000-0000-0000E2700000}"/>
    <cellStyle name="Normal 5 2 2 3 4" xfId="8837" xr:uid="{00000000-0005-0000-0000-0000E3700000}"/>
    <cellStyle name="Normal 5 2 2 3 4 2" xfId="8838" xr:uid="{00000000-0005-0000-0000-0000E4700000}"/>
    <cellStyle name="Normal 5 2 2 3 4 3" xfId="8839" xr:uid="{00000000-0005-0000-0000-0000E5700000}"/>
    <cellStyle name="Normal 5 2 2 3 5" xfId="8840" xr:uid="{00000000-0005-0000-0000-0000E6700000}"/>
    <cellStyle name="Normal 5 2 2 3 6" xfId="8841" xr:uid="{00000000-0005-0000-0000-0000E7700000}"/>
    <cellStyle name="Normal 5 2 2 4" xfId="8842" xr:uid="{00000000-0005-0000-0000-0000E8700000}"/>
    <cellStyle name="Normal 5 2 2 4 2" xfId="8843" xr:uid="{00000000-0005-0000-0000-0000E9700000}"/>
    <cellStyle name="Normal 5 2 2 4 2 2" xfId="8844" xr:uid="{00000000-0005-0000-0000-0000EA700000}"/>
    <cellStyle name="Normal 5 2 2 4 2 3" xfId="8845" xr:uid="{00000000-0005-0000-0000-0000EB700000}"/>
    <cellStyle name="Normal 5 2 2 4 3" xfId="8846" xr:uid="{00000000-0005-0000-0000-0000EC700000}"/>
    <cellStyle name="Normal 5 2 2 4 3 2" xfId="8847" xr:uid="{00000000-0005-0000-0000-0000ED700000}"/>
    <cellStyle name="Normal 5 2 2 4 3 3" xfId="8848" xr:uid="{00000000-0005-0000-0000-0000EE700000}"/>
    <cellStyle name="Normal 5 2 2 4 4" xfId="8849" xr:uid="{00000000-0005-0000-0000-0000EF700000}"/>
    <cellStyle name="Normal 5 2 2 4 5" xfId="8850" xr:uid="{00000000-0005-0000-0000-0000F0700000}"/>
    <cellStyle name="Normal 5 2 2 5" xfId="8851" xr:uid="{00000000-0005-0000-0000-0000F1700000}"/>
    <cellStyle name="Normal 5 2 2 5 2" xfId="8852" xr:uid="{00000000-0005-0000-0000-0000F2700000}"/>
    <cellStyle name="Normal 5 2 2 5 3" xfId="8853" xr:uid="{00000000-0005-0000-0000-0000F3700000}"/>
    <cellStyle name="Normal 5 2 2 6" xfId="8854" xr:uid="{00000000-0005-0000-0000-0000F4700000}"/>
    <cellStyle name="Normal 5 2 2 6 2" xfId="8855" xr:uid="{00000000-0005-0000-0000-0000F5700000}"/>
    <cellStyle name="Normal 5 2 2 6 3" xfId="8856" xr:uid="{00000000-0005-0000-0000-0000F6700000}"/>
    <cellStyle name="Normal 5 2 2 7" xfId="8857" xr:uid="{00000000-0005-0000-0000-0000F7700000}"/>
    <cellStyle name="Normal 5 2 2 8" xfId="8858" xr:uid="{00000000-0005-0000-0000-0000F8700000}"/>
    <cellStyle name="Normal 5 2 3" xfId="8859" xr:uid="{00000000-0005-0000-0000-0000F9700000}"/>
    <cellStyle name="Normal 5 2 3 2" xfId="8860" xr:uid="{00000000-0005-0000-0000-0000FA700000}"/>
    <cellStyle name="Normal 5 2 3 2 2" xfId="8861" xr:uid="{00000000-0005-0000-0000-0000FB700000}"/>
    <cellStyle name="Normal 5 2 3 2 2 2" xfId="8862" xr:uid="{00000000-0005-0000-0000-0000FC700000}"/>
    <cellStyle name="Normal 5 2 3 2 2 2 2" xfId="8863" xr:uid="{00000000-0005-0000-0000-0000FD700000}"/>
    <cellStyle name="Normal 5 2 3 2 2 2 3" xfId="8864" xr:uid="{00000000-0005-0000-0000-0000FE700000}"/>
    <cellStyle name="Normal 5 2 3 2 2 3" xfId="8865" xr:uid="{00000000-0005-0000-0000-0000FF700000}"/>
    <cellStyle name="Normal 5 2 3 2 2 3 2" xfId="8866" xr:uid="{00000000-0005-0000-0000-000000710000}"/>
    <cellStyle name="Normal 5 2 3 2 2 3 3" xfId="8867" xr:uid="{00000000-0005-0000-0000-000001710000}"/>
    <cellStyle name="Normal 5 2 3 2 2 4" xfId="8868" xr:uid="{00000000-0005-0000-0000-000002710000}"/>
    <cellStyle name="Normal 5 2 3 2 2 5" xfId="8869" xr:uid="{00000000-0005-0000-0000-000003710000}"/>
    <cellStyle name="Normal 5 2 3 2 3" xfId="8870" xr:uid="{00000000-0005-0000-0000-000004710000}"/>
    <cellStyle name="Normal 5 2 3 2 3 2" xfId="8871" xr:uid="{00000000-0005-0000-0000-000005710000}"/>
    <cellStyle name="Normal 5 2 3 2 3 3" xfId="8872" xr:uid="{00000000-0005-0000-0000-000006710000}"/>
    <cellStyle name="Normal 5 2 3 2 4" xfId="8873" xr:uid="{00000000-0005-0000-0000-000007710000}"/>
    <cellStyle name="Normal 5 2 3 2 4 2" xfId="8874" xr:uid="{00000000-0005-0000-0000-000008710000}"/>
    <cellStyle name="Normal 5 2 3 2 4 3" xfId="8875" xr:uid="{00000000-0005-0000-0000-000009710000}"/>
    <cellStyle name="Normal 5 2 3 2 5" xfId="8876" xr:uid="{00000000-0005-0000-0000-00000A710000}"/>
    <cellStyle name="Normal 5 2 3 2 6" xfId="8877" xr:uid="{00000000-0005-0000-0000-00000B710000}"/>
    <cellStyle name="Normal 5 2 3 3" xfId="8878" xr:uid="{00000000-0005-0000-0000-00000C710000}"/>
    <cellStyle name="Normal 5 2 3 3 2" xfId="8879" xr:uid="{00000000-0005-0000-0000-00000D710000}"/>
    <cellStyle name="Normal 5 2 3 3 2 2" xfId="8880" xr:uid="{00000000-0005-0000-0000-00000E710000}"/>
    <cellStyle name="Normal 5 2 3 3 2 3" xfId="8881" xr:uid="{00000000-0005-0000-0000-00000F710000}"/>
    <cellStyle name="Normal 5 2 3 3 3" xfId="8882" xr:uid="{00000000-0005-0000-0000-000010710000}"/>
    <cellStyle name="Normal 5 2 3 3 3 2" xfId="8883" xr:uid="{00000000-0005-0000-0000-000011710000}"/>
    <cellStyle name="Normal 5 2 3 3 3 3" xfId="8884" xr:uid="{00000000-0005-0000-0000-000012710000}"/>
    <cellStyle name="Normal 5 2 3 3 4" xfId="8885" xr:uid="{00000000-0005-0000-0000-000013710000}"/>
    <cellStyle name="Normal 5 2 3 3 5" xfId="8886" xr:uid="{00000000-0005-0000-0000-000014710000}"/>
    <cellStyle name="Normal 5 2 3 4" xfId="8887" xr:uid="{00000000-0005-0000-0000-000015710000}"/>
    <cellStyle name="Normal 5 2 3 4 2" xfId="8888" xr:uid="{00000000-0005-0000-0000-000016710000}"/>
    <cellStyle name="Normal 5 2 3 4 3" xfId="8889" xr:uid="{00000000-0005-0000-0000-000017710000}"/>
    <cellStyle name="Normal 5 2 3 5" xfId="8890" xr:uid="{00000000-0005-0000-0000-000018710000}"/>
    <cellStyle name="Normal 5 2 3 5 2" xfId="8891" xr:uid="{00000000-0005-0000-0000-000019710000}"/>
    <cellStyle name="Normal 5 2 3 5 3" xfId="8892" xr:uid="{00000000-0005-0000-0000-00001A710000}"/>
    <cellStyle name="Normal 5 2 3 6" xfId="8893" xr:uid="{00000000-0005-0000-0000-00001B710000}"/>
    <cellStyle name="Normal 5 2 3 7" xfId="8894" xr:uid="{00000000-0005-0000-0000-00001C710000}"/>
    <cellStyle name="Normal 5 2 4" xfId="8895" xr:uid="{00000000-0005-0000-0000-00001D710000}"/>
    <cellStyle name="Normal 5 2 4 2" xfId="8896" xr:uid="{00000000-0005-0000-0000-00001E710000}"/>
    <cellStyle name="Normal 5 2 4 2 2" xfId="8897" xr:uid="{00000000-0005-0000-0000-00001F710000}"/>
    <cellStyle name="Normal 5 2 4 2 2 2" xfId="8898" xr:uid="{00000000-0005-0000-0000-000020710000}"/>
    <cellStyle name="Normal 5 2 4 2 2 3" xfId="8899" xr:uid="{00000000-0005-0000-0000-000021710000}"/>
    <cellStyle name="Normal 5 2 4 2 3" xfId="8900" xr:uid="{00000000-0005-0000-0000-000022710000}"/>
    <cellStyle name="Normal 5 2 4 2 3 2" xfId="8901" xr:uid="{00000000-0005-0000-0000-000023710000}"/>
    <cellStyle name="Normal 5 2 4 2 3 3" xfId="8902" xr:uid="{00000000-0005-0000-0000-000024710000}"/>
    <cellStyle name="Normal 5 2 4 2 4" xfId="8903" xr:uid="{00000000-0005-0000-0000-000025710000}"/>
    <cellStyle name="Normal 5 2 4 2 5" xfId="8904" xr:uid="{00000000-0005-0000-0000-000026710000}"/>
    <cellStyle name="Normal 5 2 4 3" xfId="8905" xr:uid="{00000000-0005-0000-0000-000027710000}"/>
    <cellStyle name="Normal 5 2 4 3 2" xfId="8906" xr:uid="{00000000-0005-0000-0000-000028710000}"/>
    <cellStyle name="Normal 5 2 4 3 3" xfId="8907" xr:uid="{00000000-0005-0000-0000-000029710000}"/>
    <cellStyle name="Normal 5 2 4 4" xfId="8908" xr:uid="{00000000-0005-0000-0000-00002A710000}"/>
    <cellStyle name="Normal 5 2 4 4 2" xfId="8909" xr:uid="{00000000-0005-0000-0000-00002B710000}"/>
    <cellStyle name="Normal 5 2 4 4 3" xfId="8910" xr:uid="{00000000-0005-0000-0000-00002C710000}"/>
    <cellStyle name="Normal 5 2 4 5" xfId="8911" xr:uid="{00000000-0005-0000-0000-00002D710000}"/>
    <cellStyle name="Normal 5 2 4 6" xfId="8912" xr:uid="{00000000-0005-0000-0000-00002E710000}"/>
    <cellStyle name="Normal 5 2 5" xfId="8913" xr:uid="{00000000-0005-0000-0000-00002F710000}"/>
    <cellStyle name="Normal 5 2 5 10" xfId="8914" xr:uid="{00000000-0005-0000-0000-000030710000}"/>
    <cellStyle name="Normal 5 2 5 10 2" xfId="8915" xr:uid="{00000000-0005-0000-0000-000031710000}"/>
    <cellStyle name="Normal 5 2 5 10 3" xfId="8916" xr:uid="{00000000-0005-0000-0000-000032710000}"/>
    <cellStyle name="Normal 5 2 5 11" xfId="8917" xr:uid="{00000000-0005-0000-0000-000033710000}"/>
    <cellStyle name="Normal 5 2 5 11 2" xfId="8918" xr:uid="{00000000-0005-0000-0000-000034710000}"/>
    <cellStyle name="Normal 5 2 5 12" xfId="8919" xr:uid="{00000000-0005-0000-0000-000035710000}"/>
    <cellStyle name="Normal 5 2 5 12 2" xfId="8920" xr:uid="{00000000-0005-0000-0000-000036710000}"/>
    <cellStyle name="Normal 5 2 5 13" xfId="8921" xr:uid="{00000000-0005-0000-0000-000037710000}"/>
    <cellStyle name="Normal 5 2 5 14" xfId="8922" xr:uid="{00000000-0005-0000-0000-000038710000}"/>
    <cellStyle name="Normal 5 2 5 15" xfId="8923" xr:uid="{00000000-0005-0000-0000-000039710000}"/>
    <cellStyle name="Normal 5 2 5 16" xfId="8924" xr:uid="{00000000-0005-0000-0000-00003A710000}"/>
    <cellStyle name="Normal 5 2 5 17" xfId="8925" xr:uid="{00000000-0005-0000-0000-00003B710000}"/>
    <cellStyle name="Normal 5 2 5 18" xfId="8926" xr:uid="{00000000-0005-0000-0000-00003C710000}"/>
    <cellStyle name="Normal 5 2 5 19" xfId="8927" xr:uid="{00000000-0005-0000-0000-00003D710000}"/>
    <cellStyle name="Normal 5 2 5 19 2" xfId="8928" xr:uid="{00000000-0005-0000-0000-00003E710000}"/>
    <cellStyle name="Normal 5 2 5 19 3" xfId="8929" xr:uid="{00000000-0005-0000-0000-00003F710000}"/>
    <cellStyle name="Normal 5 2 5 19 4" xfId="8930" xr:uid="{00000000-0005-0000-0000-000040710000}"/>
    <cellStyle name="Normal 5 2 5 19 5" xfId="8931" xr:uid="{00000000-0005-0000-0000-000041710000}"/>
    <cellStyle name="Normal 5 2 5 19 6" xfId="8932" xr:uid="{00000000-0005-0000-0000-000042710000}"/>
    <cellStyle name="Normal 5 2 5 19 7" xfId="8933" xr:uid="{00000000-0005-0000-0000-000043710000}"/>
    <cellStyle name="Normal 5 2 5 2" xfId="8934" xr:uid="{00000000-0005-0000-0000-000044710000}"/>
    <cellStyle name="Normal 5 2 5 2 2" xfId="8935" xr:uid="{00000000-0005-0000-0000-000045710000}"/>
    <cellStyle name="Normal 5 2 5 2 2 2" xfId="8936" xr:uid="{00000000-0005-0000-0000-000046710000}"/>
    <cellStyle name="Normal 5 2 5 2 2 3" xfId="8937" xr:uid="{00000000-0005-0000-0000-000047710000}"/>
    <cellStyle name="Normal 5 2 5 2 2 4" xfId="8938" xr:uid="{00000000-0005-0000-0000-000048710000}"/>
    <cellStyle name="Normal 5 2 5 2 2 5" xfId="8939" xr:uid="{00000000-0005-0000-0000-000049710000}"/>
    <cellStyle name="Normal 5 2 5 2 3" xfId="8940" xr:uid="{00000000-0005-0000-0000-00004A710000}"/>
    <cellStyle name="Normal 5 2 5 2 3 2" xfId="8941" xr:uid="{00000000-0005-0000-0000-00004B710000}"/>
    <cellStyle name="Normal 5 2 5 2 3 3" xfId="8942" xr:uid="{00000000-0005-0000-0000-00004C710000}"/>
    <cellStyle name="Normal 5 2 5 2 4" xfId="8943" xr:uid="{00000000-0005-0000-0000-00004D710000}"/>
    <cellStyle name="Normal 5 2 5 2 4 2" xfId="8944" xr:uid="{00000000-0005-0000-0000-00004E710000}"/>
    <cellStyle name="Normal 5 2 5 2 4 3" xfId="8945" xr:uid="{00000000-0005-0000-0000-00004F710000}"/>
    <cellStyle name="Normal 5 2 5 2 5" xfId="8946" xr:uid="{00000000-0005-0000-0000-000050710000}"/>
    <cellStyle name="Normal 5 2 5 2 6" xfId="8947" xr:uid="{00000000-0005-0000-0000-000051710000}"/>
    <cellStyle name="Normal 5 2 5 20" xfId="8948" xr:uid="{00000000-0005-0000-0000-000052710000}"/>
    <cellStyle name="Normal 5 2 5 21" xfId="8949" xr:uid="{00000000-0005-0000-0000-000053710000}"/>
    <cellStyle name="Normal 5 2 5 22" xfId="8950" xr:uid="{00000000-0005-0000-0000-000054710000}"/>
    <cellStyle name="Normal 5 2 5 23" xfId="8951" xr:uid="{00000000-0005-0000-0000-000055710000}"/>
    <cellStyle name="Normal 5 2 5 24" xfId="8952" xr:uid="{00000000-0005-0000-0000-000056710000}"/>
    <cellStyle name="Normal 5 2 5 25" xfId="8953" xr:uid="{00000000-0005-0000-0000-000057710000}"/>
    <cellStyle name="Normal 5 2 5 26" xfId="8954" xr:uid="{00000000-0005-0000-0000-000058710000}"/>
    <cellStyle name="Normal 5 2 5 27" xfId="8955" xr:uid="{00000000-0005-0000-0000-000059710000}"/>
    <cellStyle name="Normal 5 2 5 3" xfId="8956" xr:uid="{00000000-0005-0000-0000-00005A710000}"/>
    <cellStyle name="Normal 5 2 5 3 10" xfId="8957" xr:uid="{00000000-0005-0000-0000-00005B710000}"/>
    <cellStyle name="Normal 5 2 5 3 11" xfId="8958" xr:uid="{00000000-0005-0000-0000-00005C710000}"/>
    <cellStyle name="Normal 5 2 5 3 12" xfId="8959" xr:uid="{00000000-0005-0000-0000-00005D710000}"/>
    <cellStyle name="Normal 5 2 5 3 13" xfId="8960" xr:uid="{00000000-0005-0000-0000-00005E710000}"/>
    <cellStyle name="Normal 5 2 5 3 14" xfId="8961" xr:uid="{00000000-0005-0000-0000-00005F710000}"/>
    <cellStyle name="Normal 5 2 5 3 15" xfId="8962" xr:uid="{00000000-0005-0000-0000-000060710000}"/>
    <cellStyle name="Normal 5 2 5 3 16" xfId="8963" xr:uid="{00000000-0005-0000-0000-000061710000}"/>
    <cellStyle name="Normal 5 2 5 3 17" xfId="8964" xr:uid="{00000000-0005-0000-0000-000062710000}"/>
    <cellStyle name="Normal 5 2 5 3 18" xfId="8965" xr:uid="{00000000-0005-0000-0000-000063710000}"/>
    <cellStyle name="Normal 5 2 5 3 19" xfId="8966" xr:uid="{00000000-0005-0000-0000-000064710000}"/>
    <cellStyle name="Normal 5 2 5 3 2" xfId="8967" xr:uid="{00000000-0005-0000-0000-000065710000}"/>
    <cellStyle name="Normal 5 2 5 3 2 2" xfId="8968" xr:uid="{00000000-0005-0000-0000-000066710000}"/>
    <cellStyle name="Normal 5 2 5 3 2 2 2" xfId="8969" xr:uid="{00000000-0005-0000-0000-000067710000}"/>
    <cellStyle name="Normal 5 2 5 3 2 2 3" xfId="8970" xr:uid="{00000000-0005-0000-0000-000068710000}"/>
    <cellStyle name="Normal 5 2 5 3 2 3" xfId="8971" xr:uid="{00000000-0005-0000-0000-000069710000}"/>
    <cellStyle name="Normal 5 2 5 3 2 3 2" xfId="8972" xr:uid="{00000000-0005-0000-0000-00006A710000}"/>
    <cellStyle name="Normal 5 2 5 3 2 3 3" xfId="8973" xr:uid="{00000000-0005-0000-0000-00006B710000}"/>
    <cellStyle name="Normal 5 2 5 3 2 4" xfId="8974" xr:uid="{00000000-0005-0000-0000-00006C710000}"/>
    <cellStyle name="Normal 5 2 5 3 2 5" xfId="8975" xr:uid="{00000000-0005-0000-0000-00006D710000}"/>
    <cellStyle name="Normal 5 2 5 3 3" xfId="8976" xr:uid="{00000000-0005-0000-0000-00006E710000}"/>
    <cellStyle name="Normal 5 2 5 3 3 2" xfId="8977" xr:uid="{00000000-0005-0000-0000-00006F710000}"/>
    <cellStyle name="Normal 5 2 5 3 3 3" xfId="8978" xr:uid="{00000000-0005-0000-0000-000070710000}"/>
    <cellStyle name="Normal 5 2 5 3 3 4" xfId="8979" xr:uid="{00000000-0005-0000-0000-000071710000}"/>
    <cellStyle name="Normal 5 2 5 3 3 5" xfId="8980" xr:uid="{00000000-0005-0000-0000-000072710000}"/>
    <cellStyle name="Normal 5 2 5 3 4" xfId="8981" xr:uid="{00000000-0005-0000-0000-000073710000}"/>
    <cellStyle name="Normal 5 2 5 3 4 2" xfId="8982" xr:uid="{00000000-0005-0000-0000-000074710000}"/>
    <cellStyle name="Normal 5 2 5 3 4 3" xfId="8983" xr:uid="{00000000-0005-0000-0000-000075710000}"/>
    <cellStyle name="Normal 5 2 5 3 5" xfId="8984" xr:uid="{00000000-0005-0000-0000-000076710000}"/>
    <cellStyle name="Normal 5 2 5 3 5 2" xfId="8985" xr:uid="{00000000-0005-0000-0000-000077710000}"/>
    <cellStyle name="Normal 5 2 5 3 5 3" xfId="8986" xr:uid="{00000000-0005-0000-0000-000078710000}"/>
    <cellStyle name="Normal 5 2 5 3 6" xfId="8987" xr:uid="{00000000-0005-0000-0000-000079710000}"/>
    <cellStyle name="Normal 5 2 5 3 7" xfId="8988" xr:uid="{00000000-0005-0000-0000-00007A710000}"/>
    <cellStyle name="Normal 5 2 5 3 8" xfId="8989" xr:uid="{00000000-0005-0000-0000-00007B710000}"/>
    <cellStyle name="Normal 5 2 5 3 9" xfId="8990" xr:uid="{00000000-0005-0000-0000-00007C710000}"/>
    <cellStyle name="Normal 5 2 5 4" xfId="8991" xr:uid="{00000000-0005-0000-0000-00007D710000}"/>
    <cellStyle name="Normal 5 2 5 4 2" xfId="8992" xr:uid="{00000000-0005-0000-0000-00007E710000}"/>
    <cellStyle name="Normal 5 2 5 4 2 2" xfId="8993" xr:uid="{00000000-0005-0000-0000-00007F710000}"/>
    <cellStyle name="Normal 5 2 5 4 2 3" xfId="8994" xr:uid="{00000000-0005-0000-0000-000080710000}"/>
    <cellStyle name="Normal 5 2 5 4 2 4" xfId="8995" xr:uid="{00000000-0005-0000-0000-000081710000}"/>
    <cellStyle name="Normal 5 2 5 4 2 5" xfId="8996" xr:uid="{00000000-0005-0000-0000-000082710000}"/>
    <cellStyle name="Normal 5 2 5 4 3" xfId="8997" xr:uid="{00000000-0005-0000-0000-000083710000}"/>
    <cellStyle name="Normal 5 2 5 4 3 2" xfId="8998" xr:uid="{00000000-0005-0000-0000-000084710000}"/>
    <cellStyle name="Normal 5 2 5 4 3 3" xfId="8999" xr:uid="{00000000-0005-0000-0000-000085710000}"/>
    <cellStyle name="Normal 5 2 5 4 4" xfId="9000" xr:uid="{00000000-0005-0000-0000-000086710000}"/>
    <cellStyle name="Normal 5 2 5 4 4 2" xfId="9001" xr:uid="{00000000-0005-0000-0000-000087710000}"/>
    <cellStyle name="Normal 5 2 5 4 4 3" xfId="9002" xr:uid="{00000000-0005-0000-0000-000088710000}"/>
    <cellStyle name="Normal 5 2 5 4 5" xfId="9003" xr:uid="{00000000-0005-0000-0000-000089710000}"/>
    <cellStyle name="Normal 5 2 5 4 6" xfId="9004" xr:uid="{00000000-0005-0000-0000-00008A710000}"/>
    <cellStyle name="Normal 5 2 5 5" xfId="9005" xr:uid="{00000000-0005-0000-0000-00008B710000}"/>
    <cellStyle name="Normal 5 2 5 5 2" xfId="9006" xr:uid="{00000000-0005-0000-0000-00008C710000}"/>
    <cellStyle name="Normal 5 2 5 5 2 2" xfId="9007" xr:uid="{00000000-0005-0000-0000-00008D710000}"/>
    <cellStyle name="Normal 5 2 5 5 2 3" xfId="9008" xr:uid="{00000000-0005-0000-0000-00008E710000}"/>
    <cellStyle name="Normal 5 2 5 5 2 4" xfId="9009" xr:uid="{00000000-0005-0000-0000-00008F710000}"/>
    <cellStyle name="Normal 5 2 5 5 2 5" xfId="9010" xr:uid="{00000000-0005-0000-0000-000090710000}"/>
    <cellStyle name="Normal 5 2 5 5 3" xfId="9011" xr:uid="{00000000-0005-0000-0000-000091710000}"/>
    <cellStyle name="Normal 5 2 5 5 3 2" xfId="9012" xr:uid="{00000000-0005-0000-0000-000092710000}"/>
    <cellStyle name="Normal 5 2 5 5 3 3" xfId="9013" xr:uid="{00000000-0005-0000-0000-000093710000}"/>
    <cellStyle name="Normal 5 2 5 5 4" xfId="9014" xr:uid="{00000000-0005-0000-0000-000094710000}"/>
    <cellStyle name="Normal 5 2 5 5 4 2" xfId="9015" xr:uid="{00000000-0005-0000-0000-000095710000}"/>
    <cellStyle name="Normal 5 2 5 5 4 3" xfId="9016" xr:uid="{00000000-0005-0000-0000-000096710000}"/>
    <cellStyle name="Normal 5 2 5 5 5" xfId="9017" xr:uid="{00000000-0005-0000-0000-000097710000}"/>
    <cellStyle name="Normal 5 2 5 5 6" xfId="9018" xr:uid="{00000000-0005-0000-0000-000098710000}"/>
    <cellStyle name="Normal 5 2 5 6" xfId="9019" xr:uid="{00000000-0005-0000-0000-000099710000}"/>
    <cellStyle name="Normal 5 2 5 6 2" xfId="9020" xr:uid="{00000000-0005-0000-0000-00009A710000}"/>
    <cellStyle name="Normal 5 2 5 6 2 2" xfId="9021" xr:uid="{00000000-0005-0000-0000-00009B710000}"/>
    <cellStyle name="Normal 5 2 5 6 2 3" xfId="9022" xr:uid="{00000000-0005-0000-0000-00009C710000}"/>
    <cellStyle name="Normal 5 2 5 6 2 4" xfId="9023" xr:uid="{00000000-0005-0000-0000-00009D710000}"/>
    <cellStyle name="Normal 5 2 5 6 2 5" xfId="9024" xr:uid="{00000000-0005-0000-0000-00009E710000}"/>
    <cellStyle name="Normal 5 2 5 6 3" xfId="9025" xr:uid="{00000000-0005-0000-0000-00009F710000}"/>
    <cellStyle name="Normal 5 2 5 6 3 2" xfId="9026" xr:uid="{00000000-0005-0000-0000-0000A0710000}"/>
    <cellStyle name="Normal 5 2 5 6 3 3" xfId="9027" xr:uid="{00000000-0005-0000-0000-0000A1710000}"/>
    <cellStyle name="Normal 5 2 5 6 4" xfId="9028" xr:uid="{00000000-0005-0000-0000-0000A2710000}"/>
    <cellStyle name="Normal 5 2 5 6 4 2" xfId="9029" xr:uid="{00000000-0005-0000-0000-0000A3710000}"/>
    <cellStyle name="Normal 5 2 5 6 4 3" xfId="9030" xr:uid="{00000000-0005-0000-0000-0000A4710000}"/>
    <cellStyle name="Normal 5 2 5 6 5" xfId="9031" xr:uid="{00000000-0005-0000-0000-0000A5710000}"/>
    <cellStyle name="Normal 5 2 5 6 6" xfId="9032" xr:uid="{00000000-0005-0000-0000-0000A6710000}"/>
    <cellStyle name="Normal 5 2 5 7" xfId="9033" xr:uid="{00000000-0005-0000-0000-0000A7710000}"/>
    <cellStyle name="Normal 5 2 5 7 2" xfId="9034" xr:uid="{00000000-0005-0000-0000-0000A8710000}"/>
    <cellStyle name="Normal 5 2 5 7 2 2" xfId="9035" xr:uid="{00000000-0005-0000-0000-0000A9710000}"/>
    <cellStyle name="Normal 5 2 5 7 2 3" xfId="9036" xr:uid="{00000000-0005-0000-0000-0000AA710000}"/>
    <cellStyle name="Normal 5 2 5 7 3" xfId="9037" xr:uid="{00000000-0005-0000-0000-0000AB710000}"/>
    <cellStyle name="Normal 5 2 5 7 3 2" xfId="9038" xr:uid="{00000000-0005-0000-0000-0000AC710000}"/>
    <cellStyle name="Normal 5 2 5 7 3 3" xfId="9039" xr:uid="{00000000-0005-0000-0000-0000AD710000}"/>
    <cellStyle name="Normal 5 2 5 7 4" xfId="9040" xr:uid="{00000000-0005-0000-0000-0000AE710000}"/>
    <cellStyle name="Normal 5 2 5 7 4 2" xfId="9041" xr:uid="{00000000-0005-0000-0000-0000AF710000}"/>
    <cellStyle name="Normal 5 2 5 7 5" xfId="9042" xr:uid="{00000000-0005-0000-0000-0000B0710000}"/>
    <cellStyle name="Normal 5 2 5 7 6" xfId="9043" xr:uid="{00000000-0005-0000-0000-0000B1710000}"/>
    <cellStyle name="Normal 5 2 5 8" xfId="9044" xr:uid="{00000000-0005-0000-0000-0000B2710000}"/>
    <cellStyle name="Normal 5 2 5 8 2" xfId="9045" xr:uid="{00000000-0005-0000-0000-0000B3710000}"/>
    <cellStyle name="Normal 5 2 5 8 3" xfId="9046" xr:uid="{00000000-0005-0000-0000-0000B4710000}"/>
    <cellStyle name="Normal 5 2 5 8 4" xfId="9047" xr:uid="{00000000-0005-0000-0000-0000B5710000}"/>
    <cellStyle name="Normal 5 2 5 8 5" xfId="9048" xr:uid="{00000000-0005-0000-0000-0000B6710000}"/>
    <cellStyle name="Normal 5 2 5 9" xfId="9049" xr:uid="{00000000-0005-0000-0000-0000B7710000}"/>
    <cellStyle name="Normal 5 2 5 9 2" xfId="9050" xr:uid="{00000000-0005-0000-0000-0000B8710000}"/>
    <cellStyle name="Normal 5 2 5 9 3" xfId="9051" xr:uid="{00000000-0005-0000-0000-0000B9710000}"/>
    <cellStyle name="Normal 5 2 5_10070" xfId="9052" xr:uid="{00000000-0005-0000-0000-0000BA710000}"/>
    <cellStyle name="Normal 5 2 6" xfId="9053" xr:uid="{00000000-0005-0000-0000-0000BB710000}"/>
    <cellStyle name="Normal 5 2 6 2" xfId="9054" xr:uid="{00000000-0005-0000-0000-0000BC710000}"/>
    <cellStyle name="Normal 5 2 6 2 2" xfId="9055" xr:uid="{00000000-0005-0000-0000-0000BD710000}"/>
    <cellStyle name="Normal 5 2 6 2 3" xfId="9056" xr:uid="{00000000-0005-0000-0000-0000BE710000}"/>
    <cellStyle name="Normal 5 2 6 3" xfId="9057" xr:uid="{00000000-0005-0000-0000-0000BF710000}"/>
    <cellStyle name="Normal 5 2 6 3 2" xfId="9058" xr:uid="{00000000-0005-0000-0000-0000C0710000}"/>
    <cellStyle name="Normal 5 2 6 3 3" xfId="9059" xr:uid="{00000000-0005-0000-0000-0000C1710000}"/>
    <cellStyle name="Normal 5 2 6 4" xfId="9060" xr:uid="{00000000-0005-0000-0000-0000C2710000}"/>
    <cellStyle name="Normal 5 2 6 5" xfId="9061" xr:uid="{00000000-0005-0000-0000-0000C3710000}"/>
    <cellStyle name="Normal 5 2 7" xfId="9062" xr:uid="{00000000-0005-0000-0000-0000C4710000}"/>
    <cellStyle name="Normal 5 2 7 2" xfId="9063" xr:uid="{00000000-0005-0000-0000-0000C5710000}"/>
    <cellStyle name="Normal 5 2 7 3" xfId="9064" xr:uid="{00000000-0005-0000-0000-0000C6710000}"/>
    <cellStyle name="Normal 5 2 7 4" xfId="9065" xr:uid="{00000000-0005-0000-0000-0000C7710000}"/>
    <cellStyle name="Normal 5 2 7 5" xfId="9066" xr:uid="{00000000-0005-0000-0000-0000C8710000}"/>
    <cellStyle name="Normal 5 2 8" xfId="9067" xr:uid="{00000000-0005-0000-0000-0000C9710000}"/>
    <cellStyle name="Normal 5 2 9" xfId="9068" xr:uid="{00000000-0005-0000-0000-0000CA710000}"/>
    <cellStyle name="Normal 5 3" xfId="9069" xr:uid="{00000000-0005-0000-0000-0000CB710000}"/>
    <cellStyle name="Normal 5 3 2" xfId="9070" xr:uid="{00000000-0005-0000-0000-0000CC710000}"/>
    <cellStyle name="Normal 5 3 2 2" xfId="9071" xr:uid="{00000000-0005-0000-0000-0000CD710000}"/>
    <cellStyle name="Normal 5 3 2 2 2" xfId="9072" xr:uid="{00000000-0005-0000-0000-0000CE710000}"/>
    <cellStyle name="Normal 5 3 2 2 2 2" xfId="9073" xr:uid="{00000000-0005-0000-0000-0000CF710000}"/>
    <cellStyle name="Normal 5 3 2 2 2 2 2" xfId="9074" xr:uid="{00000000-0005-0000-0000-0000D0710000}"/>
    <cellStyle name="Normal 5 3 2 2 2 2 3" xfId="9075" xr:uid="{00000000-0005-0000-0000-0000D1710000}"/>
    <cellStyle name="Normal 5 3 2 2 2 3" xfId="9076" xr:uid="{00000000-0005-0000-0000-0000D2710000}"/>
    <cellStyle name="Normal 5 3 2 2 2 3 2" xfId="9077" xr:uid="{00000000-0005-0000-0000-0000D3710000}"/>
    <cellStyle name="Normal 5 3 2 2 2 3 3" xfId="9078" xr:uid="{00000000-0005-0000-0000-0000D4710000}"/>
    <cellStyle name="Normal 5 3 2 2 2 4" xfId="9079" xr:uid="{00000000-0005-0000-0000-0000D5710000}"/>
    <cellStyle name="Normal 5 3 2 2 2 5" xfId="9080" xr:uid="{00000000-0005-0000-0000-0000D6710000}"/>
    <cellStyle name="Normal 5 3 2 2 3" xfId="9081" xr:uid="{00000000-0005-0000-0000-0000D7710000}"/>
    <cellStyle name="Normal 5 3 2 2 3 2" xfId="9082" xr:uid="{00000000-0005-0000-0000-0000D8710000}"/>
    <cellStyle name="Normal 5 3 2 2 3 3" xfId="9083" xr:uid="{00000000-0005-0000-0000-0000D9710000}"/>
    <cellStyle name="Normal 5 3 2 2 4" xfId="9084" xr:uid="{00000000-0005-0000-0000-0000DA710000}"/>
    <cellStyle name="Normal 5 3 2 2 4 2" xfId="9085" xr:uid="{00000000-0005-0000-0000-0000DB710000}"/>
    <cellStyle name="Normal 5 3 2 2 4 3" xfId="9086" xr:uid="{00000000-0005-0000-0000-0000DC710000}"/>
    <cellStyle name="Normal 5 3 2 2 5" xfId="9087" xr:uid="{00000000-0005-0000-0000-0000DD710000}"/>
    <cellStyle name="Normal 5 3 2 2 6" xfId="9088" xr:uid="{00000000-0005-0000-0000-0000DE710000}"/>
    <cellStyle name="Normal 5 3 2 3" xfId="9089" xr:uid="{00000000-0005-0000-0000-0000DF710000}"/>
    <cellStyle name="Normal 5 3 2 3 2" xfId="9090" xr:uid="{00000000-0005-0000-0000-0000E0710000}"/>
    <cellStyle name="Normal 5 3 2 3 2 2" xfId="9091" xr:uid="{00000000-0005-0000-0000-0000E1710000}"/>
    <cellStyle name="Normal 5 3 2 3 2 3" xfId="9092" xr:uid="{00000000-0005-0000-0000-0000E2710000}"/>
    <cellStyle name="Normal 5 3 2 3 3" xfId="9093" xr:uid="{00000000-0005-0000-0000-0000E3710000}"/>
    <cellStyle name="Normal 5 3 2 3 3 2" xfId="9094" xr:uid="{00000000-0005-0000-0000-0000E4710000}"/>
    <cellStyle name="Normal 5 3 2 3 3 3" xfId="9095" xr:uid="{00000000-0005-0000-0000-0000E5710000}"/>
    <cellStyle name="Normal 5 3 2 3 4" xfId="9096" xr:uid="{00000000-0005-0000-0000-0000E6710000}"/>
    <cellStyle name="Normal 5 3 2 3 5" xfId="9097" xr:uid="{00000000-0005-0000-0000-0000E7710000}"/>
    <cellStyle name="Normal 5 3 2 4" xfId="9098" xr:uid="{00000000-0005-0000-0000-0000E8710000}"/>
    <cellStyle name="Normal 5 3 2 4 2" xfId="9099" xr:uid="{00000000-0005-0000-0000-0000E9710000}"/>
    <cellStyle name="Normal 5 3 2 4 3" xfId="9100" xr:uid="{00000000-0005-0000-0000-0000EA710000}"/>
    <cellStyle name="Normal 5 3 2 5" xfId="9101" xr:uid="{00000000-0005-0000-0000-0000EB710000}"/>
    <cellStyle name="Normal 5 3 2 5 2" xfId="9102" xr:uid="{00000000-0005-0000-0000-0000EC710000}"/>
    <cellStyle name="Normal 5 3 2 5 3" xfId="9103" xr:uid="{00000000-0005-0000-0000-0000ED710000}"/>
    <cellStyle name="Normal 5 3 2 6" xfId="9104" xr:uid="{00000000-0005-0000-0000-0000EE710000}"/>
    <cellStyle name="Normal 5 3 2 7" xfId="9105" xr:uid="{00000000-0005-0000-0000-0000EF710000}"/>
    <cellStyle name="Normal 5 3 3" xfId="9106" xr:uid="{00000000-0005-0000-0000-0000F0710000}"/>
    <cellStyle name="Normal 5 3 3 2" xfId="9107" xr:uid="{00000000-0005-0000-0000-0000F1710000}"/>
    <cellStyle name="Normal 5 3 3 2 2" xfId="9108" xr:uid="{00000000-0005-0000-0000-0000F2710000}"/>
    <cellStyle name="Normal 5 3 3 2 2 2" xfId="9109" xr:uid="{00000000-0005-0000-0000-0000F3710000}"/>
    <cellStyle name="Normal 5 3 3 2 2 3" xfId="9110" xr:uid="{00000000-0005-0000-0000-0000F4710000}"/>
    <cellStyle name="Normal 5 3 3 2 3" xfId="9111" xr:uid="{00000000-0005-0000-0000-0000F5710000}"/>
    <cellStyle name="Normal 5 3 3 2 3 2" xfId="9112" xr:uid="{00000000-0005-0000-0000-0000F6710000}"/>
    <cellStyle name="Normal 5 3 3 2 3 3" xfId="9113" xr:uid="{00000000-0005-0000-0000-0000F7710000}"/>
    <cellStyle name="Normal 5 3 3 2 4" xfId="9114" xr:uid="{00000000-0005-0000-0000-0000F8710000}"/>
    <cellStyle name="Normal 5 3 3 2 5" xfId="9115" xr:uid="{00000000-0005-0000-0000-0000F9710000}"/>
    <cellStyle name="Normal 5 3 3 3" xfId="9116" xr:uid="{00000000-0005-0000-0000-0000FA710000}"/>
    <cellStyle name="Normal 5 3 3 3 2" xfId="9117" xr:uid="{00000000-0005-0000-0000-0000FB710000}"/>
    <cellStyle name="Normal 5 3 3 3 3" xfId="9118" xr:uid="{00000000-0005-0000-0000-0000FC710000}"/>
    <cellStyle name="Normal 5 3 3 4" xfId="9119" xr:uid="{00000000-0005-0000-0000-0000FD710000}"/>
    <cellStyle name="Normal 5 3 3 4 2" xfId="9120" xr:uid="{00000000-0005-0000-0000-0000FE710000}"/>
    <cellStyle name="Normal 5 3 3 4 3" xfId="9121" xr:uid="{00000000-0005-0000-0000-0000FF710000}"/>
    <cellStyle name="Normal 5 3 3 5" xfId="9122" xr:uid="{00000000-0005-0000-0000-000000720000}"/>
    <cellStyle name="Normal 5 3 3 6" xfId="9123" xr:uid="{00000000-0005-0000-0000-000001720000}"/>
    <cellStyle name="Normal 5 3 4" xfId="9124" xr:uid="{00000000-0005-0000-0000-000002720000}"/>
    <cellStyle name="Normal 5 3 4 2" xfId="9125" xr:uid="{00000000-0005-0000-0000-000003720000}"/>
    <cellStyle name="Normal 5 3 4 2 2" xfId="9126" xr:uid="{00000000-0005-0000-0000-000004720000}"/>
    <cellStyle name="Normal 5 3 4 2 3" xfId="9127" xr:uid="{00000000-0005-0000-0000-000005720000}"/>
    <cellStyle name="Normal 5 3 4 3" xfId="9128" xr:uid="{00000000-0005-0000-0000-000006720000}"/>
    <cellStyle name="Normal 5 3 4 3 2" xfId="9129" xr:uid="{00000000-0005-0000-0000-000007720000}"/>
    <cellStyle name="Normal 5 3 4 3 3" xfId="9130" xr:uid="{00000000-0005-0000-0000-000008720000}"/>
    <cellStyle name="Normal 5 3 4 4" xfId="9131" xr:uid="{00000000-0005-0000-0000-000009720000}"/>
    <cellStyle name="Normal 5 3 4 5" xfId="9132" xr:uid="{00000000-0005-0000-0000-00000A720000}"/>
    <cellStyle name="Normal 5 3 5" xfId="9133" xr:uid="{00000000-0005-0000-0000-00000B720000}"/>
    <cellStyle name="Normal 5 3 5 2" xfId="9134" xr:uid="{00000000-0005-0000-0000-00000C720000}"/>
    <cellStyle name="Normal 5 3 5 3" xfId="9135" xr:uid="{00000000-0005-0000-0000-00000D720000}"/>
    <cellStyle name="Normal 5 3 6" xfId="9136" xr:uid="{00000000-0005-0000-0000-00000E720000}"/>
    <cellStyle name="Normal 5 3 6 2" xfId="9137" xr:uid="{00000000-0005-0000-0000-00000F720000}"/>
    <cellStyle name="Normal 5 3 6 3" xfId="9138" xr:uid="{00000000-0005-0000-0000-000010720000}"/>
    <cellStyle name="Normal 5 3 7" xfId="9139" xr:uid="{00000000-0005-0000-0000-000011720000}"/>
    <cellStyle name="Normal 5 3 8" xfId="9140" xr:uid="{00000000-0005-0000-0000-000012720000}"/>
    <cellStyle name="Normal 5 4" xfId="9141" xr:uid="{00000000-0005-0000-0000-000013720000}"/>
    <cellStyle name="Normal 5 4 2" xfId="9142" xr:uid="{00000000-0005-0000-0000-000014720000}"/>
    <cellStyle name="Normal 5 4 2 2" xfId="9143" xr:uid="{00000000-0005-0000-0000-000015720000}"/>
    <cellStyle name="Normal 5 4 2 2 2" xfId="9144" xr:uid="{00000000-0005-0000-0000-000016720000}"/>
    <cellStyle name="Normal 5 4 2 2 2 2" xfId="9145" xr:uid="{00000000-0005-0000-0000-000017720000}"/>
    <cellStyle name="Normal 5 4 2 2 2 2 2" xfId="9146" xr:uid="{00000000-0005-0000-0000-000018720000}"/>
    <cellStyle name="Normal 5 4 2 2 2 2 3" xfId="9147" xr:uid="{00000000-0005-0000-0000-000019720000}"/>
    <cellStyle name="Normal 5 4 2 2 2 3" xfId="9148" xr:uid="{00000000-0005-0000-0000-00001A720000}"/>
    <cellStyle name="Normal 5 4 2 2 2 3 2" xfId="9149" xr:uid="{00000000-0005-0000-0000-00001B720000}"/>
    <cellStyle name="Normal 5 4 2 2 2 3 3" xfId="9150" xr:uid="{00000000-0005-0000-0000-00001C720000}"/>
    <cellStyle name="Normal 5 4 2 2 2 4" xfId="9151" xr:uid="{00000000-0005-0000-0000-00001D720000}"/>
    <cellStyle name="Normal 5 4 2 2 2 5" xfId="9152" xr:uid="{00000000-0005-0000-0000-00001E720000}"/>
    <cellStyle name="Normal 5 4 2 2 3" xfId="9153" xr:uid="{00000000-0005-0000-0000-00001F720000}"/>
    <cellStyle name="Normal 5 4 2 2 3 2" xfId="9154" xr:uid="{00000000-0005-0000-0000-000020720000}"/>
    <cellStyle name="Normal 5 4 2 2 3 3" xfId="9155" xr:uid="{00000000-0005-0000-0000-000021720000}"/>
    <cellStyle name="Normal 5 4 2 2 4" xfId="9156" xr:uid="{00000000-0005-0000-0000-000022720000}"/>
    <cellStyle name="Normal 5 4 2 2 4 2" xfId="9157" xr:uid="{00000000-0005-0000-0000-000023720000}"/>
    <cellStyle name="Normal 5 4 2 2 4 3" xfId="9158" xr:uid="{00000000-0005-0000-0000-000024720000}"/>
    <cellStyle name="Normal 5 4 2 2 5" xfId="9159" xr:uid="{00000000-0005-0000-0000-000025720000}"/>
    <cellStyle name="Normal 5 4 2 2 6" xfId="9160" xr:uid="{00000000-0005-0000-0000-000026720000}"/>
    <cellStyle name="Normal 5 4 2 3" xfId="9161" xr:uid="{00000000-0005-0000-0000-000027720000}"/>
    <cellStyle name="Normal 5 4 2 3 2" xfId="9162" xr:uid="{00000000-0005-0000-0000-000028720000}"/>
    <cellStyle name="Normal 5 4 2 3 2 2" xfId="9163" xr:uid="{00000000-0005-0000-0000-000029720000}"/>
    <cellStyle name="Normal 5 4 2 3 2 3" xfId="9164" xr:uid="{00000000-0005-0000-0000-00002A720000}"/>
    <cellStyle name="Normal 5 4 2 3 3" xfId="9165" xr:uid="{00000000-0005-0000-0000-00002B720000}"/>
    <cellStyle name="Normal 5 4 2 3 3 2" xfId="9166" xr:uid="{00000000-0005-0000-0000-00002C720000}"/>
    <cellStyle name="Normal 5 4 2 3 3 3" xfId="9167" xr:uid="{00000000-0005-0000-0000-00002D720000}"/>
    <cellStyle name="Normal 5 4 2 3 4" xfId="9168" xr:uid="{00000000-0005-0000-0000-00002E720000}"/>
    <cellStyle name="Normal 5 4 2 3 5" xfId="9169" xr:uid="{00000000-0005-0000-0000-00002F720000}"/>
    <cellStyle name="Normal 5 4 2 4" xfId="9170" xr:uid="{00000000-0005-0000-0000-000030720000}"/>
    <cellStyle name="Normal 5 4 2 4 2" xfId="9171" xr:uid="{00000000-0005-0000-0000-000031720000}"/>
    <cellStyle name="Normal 5 4 2 4 3" xfId="9172" xr:uid="{00000000-0005-0000-0000-000032720000}"/>
    <cellStyle name="Normal 5 4 2 5" xfId="9173" xr:uid="{00000000-0005-0000-0000-000033720000}"/>
    <cellStyle name="Normal 5 4 2 5 2" xfId="9174" xr:uid="{00000000-0005-0000-0000-000034720000}"/>
    <cellStyle name="Normal 5 4 2 5 3" xfId="9175" xr:uid="{00000000-0005-0000-0000-000035720000}"/>
    <cellStyle name="Normal 5 4 2 6" xfId="9176" xr:uid="{00000000-0005-0000-0000-000036720000}"/>
    <cellStyle name="Normal 5 4 2 7" xfId="9177" xr:uid="{00000000-0005-0000-0000-000037720000}"/>
    <cellStyle name="Normal 5 4 3" xfId="9178" xr:uid="{00000000-0005-0000-0000-000038720000}"/>
    <cellStyle name="Normal 5 4 3 2" xfId="9179" xr:uid="{00000000-0005-0000-0000-000039720000}"/>
    <cellStyle name="Normal 5 4 3 2 2" xfId="9180" xr:uid="{00000000-0005-0000-0000-00003A720000}"/>
    <cellStyle name="Normal 5 4 3 2 2 2" xfId="9181" xr:uid="{00000000-0005-0000-0000-00003B720000}"/>
    <cellStyle name="Normal 5 4 3 2 2 3" xfId="9182" xr:uid="{00000000-0005-0000-0000-00003C720000}"/>
    <cellStyle name="Normal 5 4 3 2 3" xfId="9183" xr:uid="{00000000-0005-0000-0000-00003D720000}"/>
    <cellStyle name="Normal 5 4 3 2 3 2" xfId="9184" xr:uid="{00000000-0005-0000-0000-00003E720000}"/>
    <cellStyle name="Normal 5 4 3 2 3 3" xfId="9185" xr:uid="{00000000-0005-0000-0000-00003F720000}"/>
    <cellStyle name="Normal 5 4 3 2 4" xfId="9186" xr:uid="{00000000-0005-0000-0000-000040720000}"/>
    <cellStyle name="Normal 5 4 3 2 5" xfId="9187" xr:uid="{00000000-0005-0000-0000-000041720000}"/>
    <cellStyle name="Normal 5 4 3 3" xfId="9188" xr:uid="{00000000-0005-0000-0000-000042720000}"/>
    <cellStyle name="Normal 5 4 3 3 2" xfId="9189" xr:uid="{00000000-0005-0000-0000-000043720000}"/>
    <cellStyle name="Normal 5 4 3 3 3" xfId="9190" xr:uid="{00000000-0005-0000-0000-000044720000}"/>
    <cellStyle name="Normal 5 4 3 4" xfId="9191" xr:uid="{00000000-0005-0000-0000-000045720000}"/>
    <cellStyle name="Normal 5 4 3 4 2" xfId="9192" xr:uid="{00000000-0005-0000-0000-000046720000}"/>
    <cellStyle name="Normal 5 4 3 4 3" xfId="9193" xr:uid="{00000000-0005-0000-0000-000047720000}"/>
    <cellStyle name="Normal 5 4 3 5" xfId="9194" xr:uid="{00000000-0005-0000-0000-000048720000}"/>
    <cellStyle name="Normal 5 4 3 6" xfId="9195" xr:uid="{00000000-0005-0000-0000-000049720000}"/>
    <cellStyle name="Normal 5 4 4" xfId="9196" xr:uid="{00000000-0005-0000-0000-00004A720000}"/>
    <cellStyle name="Normal 5 4 4 2" xfId="9197" xr:uid="{00000000-0005-0000-0000-00004B720000}"/>
    <cellStyle name="Normal 5 4 4 2 2" xfId="9198" xr:uid="{00000000-0005-0000-0000-00004C720000}"/>
    <cellStyle name="Normal 5 4 4 2 3" xfId="9199" xr:uid="{00000000-0005-0000-0000-00004D720000}"/>
    <cellStyle name="Normal 5 4 4 3" xfId="9200" xr:uid="{00000000-0005-0000-0000-00004E720000}"/>
    <cellStyle name="Normal 5 4 4 3 2" xfId="9201" xr:uid="{00000000-0005-0000-0000-00004F720000}"/>
    <cellStyle name="Normal 5 4 4 3 3" xfId="9202" xr:uid="{00000000-0005-0000-0000-000050720000}"/>
    <cellStyle name="Normal 5 4 4 4" xfId="9203" xr:uid="{00000000-0005-0000-0000-000051720000}"/>
    <cellStyle name="Normal 5 4 4 5" xfId="9204" xr:uid="{00000000-0005-0000-0000-000052720000}"/>
    <cellStyle name="Normal 5 4 5" xfId="9205" xr:uid="{00000000-0005-0000-0000-000053720000}"/>
    <cellStyle name="Normal 5 4 5 2" xfId="9206" xr:uid="{00000000-0005-0000-0000-000054720000}"/>
    <cellStyle name="Normal 5 4 5 3" xfId="9207" xr:uid="{00000000-0005-0000-0000-000055720000}"/>
    <cellStyle name="Normal 5 4 6" xfId="9208" xr:uid="{00000000-0005-0000-0000-000056720000}"/>
    <cellStyle name="Normal 5 4 6 2" xfId="9209" xr:uid="{00000000-0005-0000-0000-000057720000}"/>
    <cellStyle name="Normal 5 4 6 3" xfId="9210" xr:uid="{00000000-0005-0000-0000-000058720000}"/>
    <cellStyle name="Normal 5 4 7" xfId="9211" xr:uid="{00000000-0005-0000-0000-000059720000}"/>
    <cellStyle name="Normal 5 4 8" xfId="9212" xr:uid="{00000000-0005-0000-0000-00005A720000}"/>
    <cellStyle name="Normal 5 5" xfId="9213" xr:uid="{00000000-0005-0000-0000-00005B720000}"/>
    <cellStyle name="Normal 5 5 2" xfId="9214" xr:uid="{00000000-0005-0000-0000-00005C720000}"/>
    <cellStyle name="Normal 5 5 2 2" xfId="9215" xr:uid="{00000000-0005-0000-0000-00005D720000}"/>
    <cellStyle name="Normal 5 5 2 2 2" xfId="9216" xr:uid="{00000000-0005-0000-0000-00005E720000}"/>
    <cellStyle name="Normal 5 5 2 2 2 2" xfId="9217" xr:uid="{00000000-0005-0000-0000-00005F720000}"/>
    <cellStyle name="Normal 5 5 2 2 2 3" xfId="9218" xr:uid="{00000000-0005-0000-0000-000060720000}"/>
    <cellStyle name="Normal 5 5 2 2 3" xfId="9219" xr:uid="{00000000-0005-0000-0000-000061720000}"/>
    <cellStyle name="Normal 5 5 2 2 3 2" xfId="9220" xr:uid="{00000000-0005-0000-0000-000062720000}"/>
    <cellStyle name="Normal 5 5 2 2 3 3" xfId="9221" xr:uid="{00000000-0005-0000-0000-000063720000}"/>
    <cellStyle name="Normal 5 5 2 2 4" xfId="9222" xr:uid="{00000000-0005-0000-0000-000064720000}"/>
    <cellStyle name="Normal 5 5 2 2 5" xfId="9223" xr:uid="{00000000-0005-0000-0000-000065720000}"/>
    <cellStyle name="Normal 5 5 2 3" xfId="9224" xr:uid="{00000000-0005-0000-0000-000066720000}"/>
    <cellStyle name="Normal 5 5 2 3 2" xfId="9225" xr:uid="{00000000-0005-0000-0000-000067720000}"/>
    <cellStyle name="Normal 5 5 2 3 3" xfId="9226" xr:uid="{00000000-0005-0000-0000-000068720000}"/>
    <cellStyle name="Normal 5 5 2 4" xfId="9227" xr:uid="{00000000-0005-0000-0000-000069720000}"/>
    <cellStyle name="Normal 5 5 2 4 2" xfId="9228" xr:uid="{00000000-0005-0000-0000-00006A720000}"/>
    <cellStyle name="Normal 5 5 2 4 3" xfId="9229" xr:uid="{00000000-0005-0000-0000-00006B720000}"/>
    <cellStyle name="Normal 5 5 2 5" xfId="9230" xr:uid="{00000000-0005-0000-0000-00006C720000}"/>
    <cellStyle name="Normal 5 5 2 6" xfId="9231" xr:uid="{00000000-0005-0000-0000-00006D720000}"/>
    <cellStyle name="Normal 5 5 3" xfId="9232" xr:uid="{00000000-0005-0000-0000-00006E720000}"/>
    <cellStyle name="Normal 5 5 3 2" xfId="9233" xr:uid="{00000000-0005-0000-0000-00006F720000}"/>
    <cellStyle name="Normal 5 5 3 2 2" xfId="9234" xr:uid="{00000000-0005-0000-0000-000070720000}"/>
    <cellStyle name="Normal 5 5 3 2 3" xfId="9235" xr:uid="{00000000-0005-0000-0000-000071720000}"/>
    <cellStyle name="Normal 5 5 3 3" xfId="9236" xr:uid="{00000000-0005-0000-0000-000072720000}"/>
    <cellStyle name="Normal 5 5 3 3 2" xfId="9237" xr:uid="{00000000-0005-0000-0000-000073720000}"/>
    <cellStyle name="Normal 5 5 3 3 3" xfId="9238" xr:uid="{00000000-0005-0000-0000-000074720000}"/>
    <cellStyle name="Normal 5 5 3 4" xfId="9239" xr:uid="{00000000-0005-0000-0000-000075720000}"/>
    <cellStyle name="Normal 5 5 3 5" xfId="9240" xr:uid="{00000000-0005-0000-0000-000076720000}"/>
    <cellStyle name="Normal 5 5 4" xfId="9241" xr:uid="{00000000-0005-0000-0000-000077720000}"/>
    <cellStyle name="Normal 5 5 4 2" xfId="9242" xr:uid="{00000000-0005-0000-0000-000078720000}"/>
    <cellStyle name="Normal 5 5 4 3" xfId="9243" xr:uid="{00000000-0005-0000-0000-000079720000}"/>
    <cellStyle name="Normal 5 5 5" xfId="9244" xr:uid="{00000000-0005-0000-0000-00007A720000}"/>
    <cellStyle name="Normal 5 5 5 2" xfId="9245" xr:uid="{00000000-0005-0000-0000-00007B720000}"/>
    <cellStyle name="Normal 5 5 5 3" xfId="9246" xr:uid="{00000000-0005-0000-0000-00007C720000}"/>
    <cellStyle name="Normal 5 5 6" xfId="9247" xr:uid="{00000000-0005-0000-0000-00007D720000}"/>
    <cellStyle name="Normal 5 5 7" xfId="9248" xr:uid="{00000000-0005-0000-0000-00007E720000}"/>
    <cellStyle name="Normal 5 6" xfId="9249" xr:uid="{00000000-0005-0000-0000-00007F720000}"/>
    <cellStyle name="Normal 5 6 2" xfId="9250" xr:uid="{00000000-0005-0000-0000-000080720000}"/>
    <cellStyle name="Normal 5 6 2 2" xfId="9251" xr:uid="{00000000-0005-0000-0000-000081720000}"/>
    <cellStyle name="Normal 5 6 2 2 2" xfId="9252" xr:uid="{00000000-0005-0000-0000-000082720000}"/>
    <cellStyle name="Normal 5 6 2 2 3" xfId="9253" xr:uid="{00000000-0005-0000-0000-000083720000}"/>
    <cellStyle name="Normal 5 6 2 3" xfId="9254" xr:uid="{00000000-0005-0000-0000-000084720000}"/>
    <cellStyle name="Normal 5 6 2 3 2" xfId="9255" xr:uid="{00000000-0005-0000-0000-000085720000}"/>
    <cellStyle name="Normal 5 6 2 3 3" xfId="9256" xr:uid="{00000000-0005-0000-0000-000086720000}"/>
    <cellStyle name="Normal 5 6 2 4" xfId="9257" xr:uid="{00000000-0005-0000-0000-000087720000}"/>
    <cellStyle name="Normal 5 6 2 5" xfId="9258" xr:uid="{00000000-0005-0000-0000-000088720000}"/>
    <cellStyle name="Normal 5 6 3" xfId="9259" xr:uid="{00000000-0005-0000-0000-000089720000}"/>
    <cellStyle name="Normal 5 6 3 2" xfId="9260" xr:uid="{00000000-0005-0000-0000-00008A720000}"/>
    <cellStyle name="Normal 5 6 3 3" xfId="9261" xr:uid="{00000000-0005-0000-0000-00008B720000}"/>
    <cellStyle name="Normal 5 6 4" xfId="9262" xr:uid="{00000000-0005-0000-0000-00008C720000}"/>
    <cellStyle name="Normal 5 6 4 2" xfId="9263" xr:uid="{00000000-0005-0000-0000-00008D720000}"/>
    <cellStyle name="Normal 5 6 4 3" xfId="9264" xr:uid="{00000000-0005-0000-0000-00008E720000}"/>
    <cellStyle name="Normal 5 6 5" xfId="9265" xr:uid="{00000000-0005-0000-0000-00008F720000}"/>
    <cellStyle name="Normal 5 6 6" xfId="9266" xr:uid="{00000000-0005-0000-0000-000090720000}"/>
    <cellStyle name="Normal 5 7" xfId="9267" xr:uid="{00000000-0005-0000-0000-000091720000}"/>
    <cellStyle name="Normal 5 7 2" xfId="9268" xr:uid="{00000000-0005-0000-0000-000092720000}"/>
    <cellStyle name="Normal 5 7 2 2" xfId="9269" xr:uid="{00000000-0005-0000-0000-000093720000}"/>
    <cellStyle name="Normal 5 7 2 3" xfId="9270" xr:uid="{00000000-0005-0000-0000-000094720000}"/>
    <cellStyle name="Normal 5 7 3" xfId="9271" xr:uid="{00000000-0005-0000-0000-000095720000}"/>
    <cellStyle name="Normal 5 7 3 2" xfId="9272" xr:uid="{00000000-0005-0000-0000-000096720000}"/>
    <cellStyle name="Normal 5 7 3 3" xfId="9273" xr:uid="{00000000-0005-0000-0000-000097720000}"/>
    <cellStyle name="Normal 5 7 4" xfId="9274" xr:uid="{00000000-0005-0000-0000-000098720000}"/>
    <cellStyle name="Normal 5 7 5" xfId="9275" xr:uid="{00000000-0005-0000-0000-000099720000}"/>
    <cellStyle name="Normal 5 8" xfId="9276" xr:uid="{00000000-0005-0000-0000-00009A720000}"/>
    <cellStyle name="Normal 5 8 2" xfId="9277" xr:uid="{00000000-0005-0000-0000-00009B720000}"/>
    <cellStyle name="Normal 5 8 3" xfId="9278" xr:uid="{00000000-0005-0000-0000-00009C720000}"/>
    <cellStyle name="Normal 5 9" xfId="9279" xr:uid="{00000000-0005-0000-0000-00009D720000}"/>
    <cellStyle name="Normal 5 9 2" xfId="9280" xr:uid="{00000000-0005-0000-0000-00009E720000}"/>
    <cellStyle name="Normal 5 9 3" xfId="9281" xr:uid="{00000000-0005-0000-0000-00009F720000}"/>
    <cellStyle name="Normal 5_10051" xfId="9282" xr:uid="{00000000-0005-0000-0000-0000A0720000}"/>
    <cellStyle name="Normal 50" xfId="204" xr:uid="{00000000-0005-0000-0000-0000A1720000}"/>
    <cellStyle name="Normal 50 2" xfId="9283" xr:uid="{00000000-0005-0000-0000-0000A2720000}"/>
    <cellStyle name="Normal 50 2 2" xfId="9284" xr:uid="{00000000-0005-0000-0000-0000A3720000}"/>
    <cellStyle name="Normal 50 2 2 2" xfId="9285" xr:uid="{00000000-0005-0000-0000-0000A4720000}"/>
    <cellStyle name="Normal 50 2 2 2 2" xfId="9286" xr:uid="{00000000-0005-0000-0000-0000A5720000}"/>
    <cellStyle name="Normal 50 2 2 2 2 2" xfId="9287" xr:uid="{00000000-0005-0000-0000-0000A6720000}"/>
    <cellStyle name="Normal 50 2 2 2 2 3" xfId="9288" xr:uid="{00000000-0005-0000-0000-0000A7720000}"/>
    <cellStyle name="Normal 50 2 2 2 3" xfId="9289" xr:uid="{00000000-0005-0000-0000-0000A8720000}"/>
    <cellStyle name="Normal 50 2 2 2 3 2" xfId="9290" xr:uid="{00000000-0005-0000-0000-0000A9720000}"/>
    <cellStyle name="Normal 50 2 2 2 3 3" xfId="9291" xr:uid="{00000000-0005-0000-0000-0000AA720000}"/>
    <cellStyle name="Normal 50 2 2 2 4" xfId="9292" xr:uid="{00000000-0005-0000-0000-0000AB720000}"/>
    <cellStyle name="Normal 50 2 2 2 5" xfId="9293" xr:uid="{00000000-0005-0000-0000-0000AC720000}"/>
    <cellStyle name="Normal 50 2 2 3" xfId="9294" xr:uid="{00000000-0005-0000-0000-0000AD720000}"/>
    <cellStyle name="Normal 50 2 2 3 2" xfId="9295" xr:uid="{00000000-0005-0000-0000-0000AE720000}"/>
    <cellStyle name="Normal 50 2 2 3 3" xfId="9296" xr:uid="{00000000-0005-0000-0000-0000AF720000}"/>
    <cellStyle name="Normal 50 2 2 4" xfId="9297" xr:uid="{00000000-0005-0000-0000-0000B0720000}"/>
    <cellStyle name="Normal 50 2 2 4 2" xfId="9298" xr:uid="{00000000-0005-0000-0000-0000B1720000}"/>
    <cellStyle name="Normal 50 2 2 4 3" xfId="9299" xr:uid="{00000000-0005-0000-0000-0000B2720000}"/>
    <cellStyle name="Normal 50 2 2 5" xfId="9300" xr:uid="{00000000-0005-0000-0000-0000B3720000}"/>
    <cellStyle name="Normal 50 2 2 6" xfId="9301" xr:uid="{00000000-0005-0000-0000-0000B4720000}"/>
    <cellStyle name="Normal 50 2 3" xfId="9302" xr:uid="{00000000-0005-0000-0000-0000B5720000}"/>
    <cellStyle name="Normal 50 2 3 2" xfId="9303" xr:uid="{00000000-0005-0000-0000-0000B6720000}"/>
    <cellStyle name="Normal 50 2 3 2 2" xfId="9304" xr:uid="{00000000-0005-0000-0000-0000B7720000}"/>
    <cellStyle name="Normal 50 2 3 2 3" xfId="9305" xr:uid="{00000000-0005-0000-0000-0000B8720000}"/>
    <cellStyle name="Normal 50 2 3 3" xfId="9306" xr:uid="{00000000-0005-0000-0000-0000B9720000}"/>
    <cellStyle name="Normal 50 2 3 3 2" xfId="9307" xr:uid="{00000000-0005-0000-0000-0000BA720000}"/>
    <cellStyle name="Normal 50 2 3 3 3" xfId="9308" xr:uid="{00000000-0005-0000-0000-0000BB720000}"/>
    <cellStyle name="Normal 50 2 3 4" xfId="9309" xr:uid="{00000000-0005-0000-0000-0000BC720000}"/>
    <cellStyle name="Normal 50 2 3 5" xfId="9310" xr:uid="{00000000-0005-0000-0000-0000BD720000}"/>
    <cellStyle name="Normal 50 2 4" xfId="9311" xr:uid="{00000000-0005-0000-0000-0000BE720000}"/>
    <cellStyle name="Normal 50 2 4 2" xfId="9312" xr:uid="{00000000-0005-0000-0000-0000BF720000}"/>
    <cellStyle name="Normal 50 2 4 3" xfId="9313" xr:uid="{00000000-0005-0000-0000-0000C0720000}"/>
    <cellStyle name="Normal 50 2 5" xfId="9314" xr:uid="{00000000-0005-0000-0000-0000C1720000}"/>
    <cellStyle name="Normal 50 2 5 2" xfId="9315" xr:uid="{00000000-0005-0000-0000-0000C2720000}"/>
    <cellStyle name="Normal 50 2 5 3" xfId="9316" xr:uid="{00000000-0005-0000-0000-0000C3720000}"/>
    <cellStyle name="Normal 50 2 6" xfId="9317" xr:uid="{00000000-0005-0000-0000-0000C4720000}"/>
    <cellStyle name="Normal 50 2 7" xfId="9318" xr:uid="{00000000-0005-0000-0000-0000C5720000}"/>
    <cellStyle name="Normal 50 3" xfId="9319" xr:uid="{00000000-0005-0000-0000-0000C6720000}"/>
    <cellStyle name="Normal 50 3 2" xfId="9320" xr:uid="{00000000-0005-0000-0000-0000C7720000}"/>
    <cellStyle name="Normal 50 3 2 2" xfId="9321" xr:uid="{00000000-0005-0000-0000-0000C8720000}"/>
    <cellStyle name="Normal 50 3 2 2 2" xfId="9322" xr:uid="{00000000-0005-0000-0000-0000C9720000}"/>
    <cellStyle name="Normal 50 3 2 2 3" xfId="9323" xr:uid="{00000000-0005-0000-0000-0000CA720000}"/>
    <cellStyle name="Normal 50 3 2 3" xfId="9324" xr:uid="{00000000-0005-0000-0000-0000CB720000}"/>
    <cellStyle name="Normal 50 3 2 3 2" xfId="9325" xr:uid="{00000000-0005-0000-0000-0000CC720000}"/>
    <cellStyle name="Normal 50 3 2 3 3" xfId="9326" xr:uid="{00000000-0005-0000-0000-0000CD720000}"/>
    <cellStyle name="Normal 50 3 2 4" xfId="9327" xr:uid="{00000000-0005-0000-0000-0000CE720000}"/>
    <cellStyle name="Normal 50 3 2 5" xfId="9328" xr:uid="{00000000-0005-0000-0000-0000CF720000}"/>
    <cellStyle name="Normal 50 3 3" xfId="9329" xr:uid="{00000000-0005-0000-0000-0000D0720000}"/>
    <cellStyle name="Normal 50 3 3 2" xfId="9330" xr:uid="{00000000-0005-0000-0000-0000D1720000}"/>
    <cellStyle name="Normal 50 3 3 3" xfId="9331" xr:uid="{00000000-0005-0000-0000-0000D2720000}"/>
    <cellStyle name="Normal 50 3 4" xfId="9332" xr:uid="{00000000-0005-0000-0000-0000D3720000}"/>
    <cellStyle name="Normal 50 3 4 2" xfId="9333" xr:uid="{00000000-0005-0000-0000-0000D4720000}"/>
    <cellStyle name="Normal 50 3 4 3" xfId="9334" xr:uid="{00000000-0005-0000-0000-0000D5720000}"/>
    <cellStyle name="Normal 50 3 5" xfId="9335" xr:uid="{00000000-0005-0000-0000-0000D6720000}"/>
    <cellStyle name="Normal 50 3 6" xfId="9336" xr:uid="{00000000-0005-0000-0000-0000D7720000}"/>
    <cellStyle name="Normal 50 4" xfId="9337" xr:uid="{00000000-0005-0000-0000-0000D8720000}"/>
    <cellStyle name="Normal 50 4 2" xfId="9338" xr:uid="{00000000-0005-0000-0000-0000D9720000}"/>
    <cellStyle name="Normal 50 4 2 2" xfId="9339" xr:uid="{00000000-0005-0000-0000-0000DA720000}"/>
    <cellStyle name="Normal 50 4 2 3" xfId="9340" xr:uid="{00000000-0005-0000-0000-0000DB720000}"/>
    <cellStyle name="Normal 50 4 3" xfId="9341" xr:uid="{00000000-0005-0000-0000-0000DC720000}"/>
    <cellStyle name="Normal 50 4 3 2" xfId="9342" xr:uid="{00000000-0005-0000-0000-0000DD720000}"/>
    <cellStyle name="Normal 50 4 3 3" xfId="9343" xr:uid="{00000000-0005-0000-0000-0000DE720000}"/>
    <cellStyle name="Normal 50 4 4" xfId="9344" xr:uid="{00000000-0005-0000-0000-0000DF720000}"/>
    <cellStyle name="Normal 50 4 5" xfId="9345" xr:uid="{00000000-0005-0000-0000-0000E0720000}"/>
    <cellStyle name="Normal 50 5" xfId="9346" xr:uid="{00000000-0005-0000-0000-0000E1720000}"/>
    <cellStyle name="Normal 50 5 2" xfId="9347" xr:uid="{00000000-0005-0000-0000-0000E2720000}"/>
    <cellStyle name="Normal 50 5 3" xfId="9348" xr:uid="{00000000-0005-0000-0000-0000E3720000}"/>
    <cellStyle name="Normal 50 6" xfId="9349" xr:uid="{00000000-0005-0000-0000-0000E4720000}"/>
    <cellStyle name="Normal 50 6 2" xfId="9350" xr:uid="{00000000-0005-0000-0000-0000E5720000}"/>
    <cellStyle name="Normal 50 6 3" xfId="9351" xr:uid="{00000000-0005-0000-0000-0000E6720000}"/>
    <cellStyle name="Normal 50 7" xfId="9352" xr:uid="{00000000-0005-0000-0000-0000E7720000}"/>
    <cellStyle name="Normal 50 8" xfId="9353" xr:uid="{00000000-0005-0000-0000-0000E8720000}"/>
    <cellStyle name="Normal 51" xfId="205" xr:uid="{00000000-0005-0000-0000-0000E9720000}"/>
    <cellStyle name="Normal 51 2" xfId="9354" xr:uid="{00000000-0005-0000-0000-0000EA720000}"/>
    <cellStyle name="Normal 51 2 2" xfId="9355" xr:uid="{00000000-0005-0000-0000-0000EB720000}"/>
    <cellStyle name="Normal 51 2 2 2" xfId="9356" xr:uid="{00000000-0005-0000-0000-0000EC720000}"/>
    <cellStyle name="Normal 51 2 2 2 2" xfId="9357" xr:uid="{00000000-0005-0000-0000-0000ED720000}"/>
    <cellStyle name="Normal 51 2 2 2 2 2" xfId="9358" xr:uid="{00000000-0005-0000-0000-0000EE720000}"/>
    <cellStyle name="Normal 51 2 2 2 2 3" xfId="9359" xr:uid="{00000000-0005-0000-0000-0000EF720000}"/>
    <cellStyle name="Normal 51 2 2 2 3" xfId="9360" xr:uid="{00000000-0005-0000-0000-0000F0720000}"/>
    <cellStyle name="Normal 51 2 2 2 3 2" xfId="9361" xr:uid="{00000000-0005-0000-0000-0000F1720000}"/>
    <cellStyle name="Normal 51 2 2 2 3 3" xfId="9362" xr:uid="{00000000-0005-0000-0000-0000F2720000}"/>
    <cellStyle name="Normal 51 2 2 2 4" xfId="9363" xr:uid="{00000000-0005-0000-0000-0000F3720000}"/>
    <cellStyle name="Normal 51 2 2 2 5" xfId="9364" xr:uid="{00000000-0005-0000-0000-0000F4720000}"/>
    <cellStyle name="Normal 51 2 2 3" xfId="9365" xr:uid="{00000000-0005-0000-0000-0000F5720000}"/>
    <cellStyle name="Normal 51 2 2 3 2" xfId="9366" xr:uid="{00000000-0005-0000-0000-0000F6720000}"/>
    <cellStyle name="Normal 51 2 2 3 3" xfId="9367" xr:uid="{00000000-0005-0000-0000-0000F7720000}"/>
    <cellStyle name="Normal 51 2 2 4" xfId="9368" xr:uid="{00000000-0005-0000-0000-0000F8720000}"/>
    <cellStyle name="Normal 51 2 2 4 2" xfId="9369" xr:uid="{00000000-0005-0000-0000-0000F9720000}"/>
    <cellStyle name="Normal 51 2 2 4 3" xfId="9370" xr:uid="{00000000-0005-0000-0000-0000FA720000}"/>
    <cellStyle name="Normal 51 2 2 5" xfId="9371" xr:uid="{00000000-0005-0000-0000-0000FB720000}"/>
    <cellStyle name="Normal 51 2 2 6" xfId="9372" xr:uid="{00000000-0005-0000-0000-0000FC720000}"/>
    <cellStyle name="Normal 51 2 3" xfId="9373" xr:uid="{00000000-0005-0000-0000-0000FD720000}"/>
    <cellStyle name="Normal 51 2 3 2" xfId="9374" xr:uid="{00000000-0005-0000-0000-0000FE720000}"/>
    <cellStyle name="Normal 51 2 3 2 2" xfId="9375" xr:uid="{00000000-0005-0000-0000-0000FF720000}"/>
    <cellStyle name="Normal 51 2 3 2 3" xfId="9376" xr:uid="{00000000-0005-0000-0000-000000730000}"/>
    <cellStyle name="Normal 51 2 3 3" xfId="9377" xr:uid="{00000000-0005-0000-0000-000001730000}"/>
    <cellStyle name="Normal 51 2 3 3 2" xfId="9378" xr:uid="{00000000-0005-0000-0000-000002730000}"/>
    <cellStyle name="Normal 51 2 3 3 3" xfId="9379" xr:uid="{00000000-0005-0000-0000-000003730000}"/>
    <cellStyle name="Normal 51 2 3 4" xfId="9380" xr:uid="{00000000-0005-0000-0000-000004730000}"/>
    <cellStyle name="Normal 51 2 3 5" xfId="9381" xr:uid="{00000000-0005-0000-0000-000005730000}"/>
    <cellStyle name="Normal 51 2 4" xfId="9382" xr:uid="{00000000-0005-0000-0000-000006730000}"/>
    <cellStyle name="Normal 51 2 4 2" xfId="9383" xr:uid="{00000000-0005-0000-0000-000007730000}"/>
    <cellStyle name="Normal 51 2 4 3" xfId="9384" xr:uid="{00000000-0005-0000-0000-000008730000}"/>
    <cellStyle name="Normal 51 2 5" xfId="9385" xr:uid="{00000000-0005-0000-0000-000009730000}"/>
    <cellStyle name="Normal 51 2 5 2" xfId="9386" xr:uid="{00000000-0005-0000-0000-00000A730000}"/>
    <cellStyle name="Normal 51 2 5 3" xfId="9387" xr:uid="{00000000-0005-0000-0000-00000B730000}"/>
    <cellStyle name="Normal 51 2 6" xfId="9388" xr:uid="{00000000-0005-0000-0000-00000C730000}"/>
    <cellStyle name="Normal 51 2 7" xfId="9389" xr:uid="{00000000-0005-0000-0000-00000D730000}"/>
    <cellStyle name="Normal 51 3" xfId="9390" xr:uid="{00000000-0005-0000-0000-00000E730000}"/>
    <cellStyle name="Normal 51 3 2" xfId="9391" xr:uid="{00000000-0005-0000-0000-00000F730000}"/>
    <cellStyle name="Normal 51 3 2 2" xfId="9392" xr:uid="{00000000-0005-0000-0000-000010730000}"/>
    <cellStyle name="Normal 51 3 2 2 2" xfId="9393" xr:uid="{00000000-0005-0000-0000-000011730000}"/>
    <cellStyle name="Normal 51 3 2 2 3" xfId="9394" xr:uid="{00000000-0005-0000-0000-000012730000}"/>
    <cellStyle name="Normal 51 3 2 3" xfId="9395" xr:uid="{00000000-0005-0000-0000-000013730000}"/>
    <cellStyle name="Normal 51 3 2 3 2" xfId="9396" xr:uid="{00000000-0005-0000-0000-000014730000}"/>
    <cellStyle name="Normal 51 3 2 3 3" xfId="9397" xr:uid="{00000000-0005-0000-0000-000015730000}"/>
    <cellStyle name="Normal 51 3 2 4" xfId="9398" xr:uid="{00000000-0005-0000-0000-000016730000}"/>
    <cellStyle name="Normal 51 3 2 5" xfId="9399" xr:uid="{00000000-0005-0000-0000-000017730000}"/>
    <cellStyle name="Normal 51 3 3" xfId="9400" xr:uid="{00000000-0005-0000-0000-000018730000}"/>
    <cellStyle name="Normal 51 3 3 2" xfId="9401" xr:uid="{00000000-0005-0000-0000-000019730000}"/>
    <cellStyle name="Normal 51 3 3 3" xfId="9402" xr:uid="{00000000-0005-0000-0000-00001A730000}"/>
    <cellStyle name="Normal 51 3 4" xfId="9403" xr:uid="{00000000-0005-0000-0000-00001B730000}"/>
    <cellStyle name="Normal 51 3 4 2" xfId="9404" xr:uid="{00000000-0005-0000-0000-00001C730000}"/>
    <cellStyle name="Normal 51 3 4 3" xfId="9405" xr:uid="{00000000-0005-0000-0000-00001D730000}"/>
    <cellStyle name="Normal 51 3 5" xfId="9406" xr:uid="{00000000-0005-0000-0000-00001E730000}"/>
    <cellStyle name="Normal 51 3 6" xfId="9407" xr:uid="{00000000-0005-0000-0000-00001F730000}"/>
    <cellStyle name="Normal 51 4" xfId="9408" xr:uid="{00000000-0005-0000-0000-000020730000}"/>
    <cellStyle name="Normal 51 4 2" xfId="9409" xr:uid="{00000000-0005-0000-0000-000021730000}"/>
    <cellStyle name="Normal 51 4 2 2" xfId="9410" xr:uid="{00000000-0005-0000-0000-000022730000}"/>
    <cellStyle name="Normal 51 4 2 3" xfId="9411" xr:uid="{00000000-0005-0000-0000-000023730000}"/>
    <cellStyle name="Normal 51 4 3" xfId="9412" xr:uid="{00000000-0005-0000-0000-000024730000}"/>
    <cellStyle name="Normal 51 4 3 2" xfId="9413" xr:uid="{00000000-0005-0000-0000-000025730000}"/>
    <cellStyle name="Normal 51 4 3 3" xfId="9414" xr:uid="{00000000-0005-0000-0000-000026730000}"/>
    <cellStyle name="Normal 51 4 4" xfId="9415" xr:uid="{00000000-0005-0000-0000-000027730000}"/>
    <cellStyle name="Normal 51 4 5" xfId="9416" xr:uid="{00000000-0005-0000-0000-000028730000}"/>
    <cellStyle name="Normal 51 5" xfId="9417" xr:uid="{00000000-0005-0000-0000-000029730000}"/>
    <cellStyle name="Normal 51 5 2" xfId="9418" xr:uid="{00000000-0005-0000-0000-00002A730000}"/>
    <cellStyle name="Normal 51 5 3" xfId="9419" xr:uid="{00000000-0005-0000-0000-00002B730000}"/>
    <cellStyle name="Normal 51 6" xfId="9420" xr:uid="{00000000-0005-0000-0000-00002C730000}"/>
    <cellStyle name="Normal 51 6 2" xfId="9421" xr:uid="{00000000-0005-0000-0000-00002D730000}"/>
    <cellStyle name="Normal 51 6 3" xfId="9422" xr:uid="{00000000-0005-0000-0000-00002E730000}"/>
    <cellStyle name="Normal 51 7" xfId="9423" xr:uid="{00000000-0005-0000-0000-00002F730000}"/>
    <cellStyle name="Normal 51 8" xfId="9424" xr:uid="{00000000-0005-0000-0000-000030730000}"/>
    <cellStyle name="Normal 52" xfId="206" xr:uid="{00000000-0005-0000-0000-000031730000}"/>
    <cellStyle name="Normal 52 2" xfId="9425" xr:uid="{00000000-0005-0000-0000-000032730000}"/>
    <cellStyle name="Normal 52 2 2" xfId="9426" xr:uid="{00000000-0005-0000-0000-000033730000}"/>
    <cellStyle name="Normal 52 2 2 2" xfId="9427" xr:uid="{00000000-0005-0000-0000-000034730000}"/>
    <cellStyle name="Normal 52 2 2 2 2" xfId="9428" xr:uid="{00000000-0005-0000-0000-000035730000}"/>
    <cellStyle name="Normal 52 2 2 2 2 2" xfId="9429" xr:uid="{00000000-0005-0000-0000-000036730000}"/>
    <cellStyle name="Normal 52 2 2 2 2 3" xfId="9430" xr:uid="{00000000-0005-0000-0000-000037730000}"/>
    <cellStyle name="Normal 52 2 2 2 3" xfId="9431" xr:uid="{00000000-0005-0000-0000-000038730000}"/>
    <cellStyle name="Normal 52 2 2 2 3 2" xfId="9432" xr:uid="{00000000-0005-0000-0000-000039730000}"/>
    <cellStyle name="Normal 52 2 2 2 3 3" xfId="9433" xr:uid="{00000000-0005-0000-0000-00003A730000}"/>
    <cellStyle name="Normal 52 2 2 2 4" xfId="9434" xr:uid="{00000000-0005-0000-0000-00003B730000}"/>
    <cellStyle name="Normal 52 2 2 2 5" xfId="9435" xr:uid="{00000000-0005-0000-0000-00003C730000}"/>
    <cellStyle name="Normal 52 2 2 3" xfId="9436" xr:uid="{00000000-0005-0000-0000-00003D730000}"/>
    <cellStyle name="Normal 52 2 2 3 2" xfId="9437" xr:uid="{00000000-0005-0000-0000-00003E730000}"/>
    <cellStyle name="Normal 52 2 2 3 3" xfId="9438" xr:uid="{00000000-0005-0000-0000-00003F730000}"/>
    <cellStyle name="Normal 52 2 2 4" xfId="9439" xr:uid="{00000000-0005-0000-0000-000040730000}"/>
    <cellStyle name="Normal 52 2 2 4 2" xfId="9440" xr:uid="{00000000-0005-0000-0000-000041730000}"/>
    <cellStyle name="Normal 52 2 2 4 3" xfId="9441" xr:uid="{00000000-0005-0000-0000-000042730000}"/>
    <cellStyle name="Normal 52 2 2 5" xfId="9442" xr:uid="{00000000-0005-0000-0000-000043730000}"/>
    <cellStyle name="Normal 52 2 2 6" xfId="9443" xr:uid="{00000000-0005-0000-0000-000044730000}"/>
    <cellStyle name="Normal 52 2 3" xfId="9444" xr:uid="{00000000-0005-0000-0000-000045730000}"/>
    <cellStyle name="Normal 52 2 3 2" xfId="9445" xr:uid="{00000000-0005-0000-0000-000046730000}"/>
    <cellStyle name="Normal 52 2 3 2 2" xfId="9446" xr:uid="{00000000-0005-0000-0000-000047730000}"/>
    <cellStyle name="Normal 52 2 3 2 3" xfId="9447" xr:uid="{00000000-0005-0000-0000-000048730000}"/>
    <cellStyle name="Normal 52 2 3 3" xfId="9448" xr:uid="{00000000-0005-0000-0000-000049730000}"/>
    <cellStyle name="Normal 52 2 3 3 2" xfId="9449" xr:uid="{00000000-0005-0000-0000-00004A730000}"/>
    <cellStyle name="Normal 52 2 3 3 3" xfId="9450" xr:uid="{00000000-0005-0000-0000-00004B730000}"/>
    <cellStyle name="Normal 52 2 3 4" xfId="9451" xr:uid="{00000000-0005-0000-0000-00004C730000}"/>
    <cellStyle name="Normal 52 2 3 5" xfId="9452" xr:uid="{00000000-0005-0000-0000-00004D730000}"/>
    <cellStyle name="Normal 52 2 4" xfId="9453" xr:uid="{00000000-0005-0000-0000-00004E730000}"/>
    <cellStyle name="Normal 52 2 4 2" xfId="9454" xr:uid="{00000000-0005-0000-0000-00004F730000}"/>
    <cellStyle name="Normal 52 2 4 3" xfId="9455" xr:uid="{00000000-0005-0000-0000-000050730000}"/>
    <cellStyle name="Normal 52 2 5" xfId="9456" xr:uid="{00000000-0005-0000-0000-000051730000}"/>
    <cellStyle name="Normal 52 2 5 2" xfId="9457" xr:uid="{00000000-0005-0000-0000-000052730000}"/>
    <cellStyle name="Normal 52 2 5 3" xfId="9458" xr:uid="{00000000-0005-0000-0000-000053730000}"/>
    <cellStyle name="Normal 52 2 6" xfId="9459" xr:uid="{00000000-0005-0000-0000-000054730000}"/>
    <cellStyle name="Normal 52 2 7" xfId="9460" xr:uid="{00000000-0005-0000-0000-000055730000}"/>
    <cellStyle name="Normal 52 3" xfId="9461" xr:uid="{00000000-0005-0000-0000-000056730000}"/>
    <cellStyle name="Normal 52 3 2" xfId="9462" xr:uid="{00000000-0005-0000-0000-000057730000}"/>
    <cellStyle name="Normal 52 3 2 2" xfId="9463" xr:uid="{00000000-0005-0000-0000-000058730000}"/>
    <cellStyle name="Normal 52 3 2 2 2" xfId="9464" xr:uid="{00000000-0005-0000-0000-000059730000}"/>
    <cellStyle name="Normal 52 3 2 2 3" xfId="9465" xr:uid="{00000000-0005-0000-0000-00005A730000}"/>
    <cellStyle name="Normal 52 3 2 3" xfId="9466" xr:uid="{00000000-0005-0000-0000-00005B730000}"/>
    <cellStyle name="Normal 52 3 2 3 2" xfId="9467" xr:uid="{00000000-0005-0000-0000-00005C730000}"/>
    <cellStyle name="Normal 52 3 2 3 3" xfId="9468" xr:uid="{00000000-0005-0000-0000-00005D730000}"/>
    <cellStyle name="Normal 52 3 2 4" xfId="9469" xr:uid="{00000000-0005-0000-0000-00005E730000}"/>
    <cellStyle name="Normal 52 3 2 5" xfId="9470" xr:uid="{00000000-0005-0000-0000-00005F730000}"/>
    <cellStyle name="Normal 52 3 3" xfId="9471" xr:uid="{00000000-0005-0000-0000-000060730000}"/>
    <cellStyle name="Normal 52 3 3 2" xfId="9472" xr:uid="{00000000-0005-0000-0000-000061730000}"/>
    <cellStyle name="Normal 52 3 3 3" xfId="9473" xr:uid="{00000000-0005-0000-0000-000062730000}"/>
    <cellStyle name="Normal 52 3 4" xfId="9474" xr:uid="{00000000-0005-0000-0000-000063730000}"/>
    <cellStyle name="Normal 52 3 4 2" xfId="9475" xr:uid="{00000000-0005-0000-0000-000064730000}"/>
    <cellStyle name="Normal 52 3 4 3" xfId="9476" xr:uid="{00000000-0005-0000-0000-000065730000}"/>
    <cellStyle name="Normal 52 3 5" xfId="9477" xr:uid="{00000000-0005-0000-0000-000066730000}"/>
    <cellStyle name="Normal 52 3 6" xfId="9478" xr:uid="{00000000-0005-0000-0000-000067730000}"/>
    <cellStyle name="Normal 52 4" xfId="9479" xr:uid="{00000000-0005-0000-0000-000068730000}"/>
    <cellStyle name="Normal 52 4 2" xfId="9480" xr:uid="{00000000-0005-0000-0000-000069730000}"/>
    <cellStyle name="Normal 52 4 2 2" xfId="9481" xr:uid="{00000000-0005-0000-0000-00006A730000}"/>
    <cellStyle name="Normal 52 4 2 3" xfId="9482" xr:uid="{00000000-0005-0000-0000-00006B730000}"/>
    <cellStyle name="Normal 52 4 3" xfId="9483" xr:uid="{00000000-0005-0000-0000-00006C730000}"/>
    <cellStyle name="Normal 52 4 3 2" xfId="9484" xr:uid="{00000000-0005-0000-0000-00006D730000}"/>
    <cellStyle name="Normal 52 4 3 3" xfId="9485" xr:uid="{00000000-0005-0000-0000-00006E730000}"/>
    <cellStyle name="Normal 52 4 4" xfId="9486" xr:uid="{00000000-0005-0000-0000-00006F730000}"/>
    <cellStyle name="Normal 52 4 5" xfId="9487" xr:uid="{00000000-0005-0000-0000-000070730000}"/>
    <cellStyle name="Normal 52 5" xfId="9488" xr:uid="{00000000-0005-0000-0000-000071730000}"/>
    <cellStyle name="Normal 52 5 2" xfId="9489" xr:uid="{00000000-0005-0000-0000-000072730000}"/>
    <cellStyle name="Normal 52 5 3" xfId="9490" xr:uid="{00000000-0005-0000-0000-000073730000}"/>
    <cellStyle name="Normal 52 6" xfId="9491" xr:uid="{00000000-0005-0000-0000-000074730000}"/>
    <cellStyle name="Normal 52 6 2" xfId="9492" xr:uid="{00000000-0005-0000-0000-000075730000}"/>
    <cellStyle name="Normal 52 6 3" xfId="9493" xr:uid="{00000000-0005-0000-0000-000076730000}"/>
    <cellStyle name="Normal 52 7" xfId="9494" xr:uid="{00000000-0005-0000-0000-000077730000}"/>
    <cellStyle name="Normal 52 8" xfId="9495" xr:uid="{00000000-0005-0000-0000-000078730000}"/>
    <cellStyle name="Normal 53" xfId="207" xr:uid="{00000000-0005-0000-0000-000079730000}"/>
    <cellStyle name="Normal 53 2" xfId="9496" xr:uid="{00000000-0005-0000-0000-00007A730000}"/>
    <cellStyle name="Normal 53 2 2" xfId="9497" xr:uid="{00000000-0005-0000-0000-00007B730000}"/>
    <cellStyle name="Normal 53 2 2 2" xfId="9498" xr:uid="{00000000-0005-0000-0000-00007C730000}"/>
    <cellStyle name="Normal 53 2 2 2 2" xfId="9499" xr:uid="{00000000-0005-0000-0000-00007D730000}"/>
    <cellStyle name="Normal 53 2 2 2 2 2" xfId="9500" xr:uid="{00000000-0005-0000-0000-00007E730000}"/>
    <cellStyle name="Normal 53 2 2 2 2 3" xfId="9501" xr:uid="{00000000-0005-0000-0000-00007F730000}"/>
    <cellStyle name="Normal 53 2 2 2 3" xfId="9502" xr:uid="{00000000-0005-0000-0000-000080730000}"/>
    <cellStyle name="Normal 53 2 2 2 3 2" xfId="9503" xr:uid="{00000000-0005-0000-0000-000081730000}"/>
    <cellStyle name="Normal 53 2 2 2 3 3" xfId="9504" xr:uid="{00000000-0005-0000-0000-000082730000}"/>
    <cellStyle name="Normal 53 2 2 2 4" xfId="9505" xr:uid="{00000000-0005-0000-0000-000083730000}"/>
    <cellStyle name="Normal 53 2 2 2 5" xfId="9506" xr:uid="{00000000-0005-0000-0000-000084730000}"/>
    <cellStyle name="Normal 53 2 2 3" xfId="9507" xr:uid="{00000000-0005-0000-0000-000085730000}"/>
    <cellStyle name="Normal 53 2 2 3 2" xfId="9508" xr:uid="{00000000-0005-0000-0000-000086730000}"/>
    <cellStyle name="Normal 53 2 2 3 3" xfId="9509" xr:uid="{00000000-0005-0000-0000-000087730000}"/>
    <cellStyle name="Normal 53 2 2 4" xfId="9510" xr:uid="{00000000-0005-0000-0000-000088730000}"/>
    <cellStyle name="Normal 53 2 2 4 2" xfId="9511" xr:uid="{00000000-0005-0000-0000-000089730000}"/>
    <cellStyle name="Normal 53 2 2 4 3" xfId="9512" xr:uid="{00000000-0005-0000-0000-00008A730000}"/>
    <cellStyle name="Normal 53 2 2 5" xfId="9513" xr:uid="{00000000-0005-0000-0000-00008B730000}"/>
    <cellStyle name="Normal 53 2 2 6" xfId="9514" xr:uid="{00000000-0005-0000-0000-00008C730000}"/>
    <cellStyle name="Normal 53 2 3" xfId="9515" xr:uid="{00000000-0005-0000-0000-00008D730000}"/>
    <cellStyle name="Normal 53 2 3 2" xfId="9516" xr:uid="{00000000-0005-0000-0000-00008E730000}"/>
    <cellStyle name="Normal 53 2 3 2 2" xfId="9517" xr:uid="{00000000-0005-0000-0000-00008F730000}"/>
    <cellStyle name="Normal 53 2 3 2 3" xfId="9518" xr:uid="{00000000-0005-0000-0000-000090730000}"/>
    <cellStyle name="Normal 53 2 3 3" xfId="9519" xr:uid="{00000000-0005-0000-0000-000091730000}"/>
    <cellStyle name="Normal 53 2 3 3 2" xfId="9520" xr:uid="{00000000-0005-0000-0000-000092730000}"/>
    <cellStyle name="Normal 53 2 3 3 3" xfId="9521" xr:uid="{00000000-0005-0000-0000-000093730000}"/>
    <cellStyle name="Normal 53 2 3 4" xfId="9522" xr:uid="{00000000-0005-0000-0000-000094730000}"/>
    <cellStyle name="Normal 53 2 3 5" xfId="9523" xr:uid="{00000000-0005-0000-0000-000095730000}"/>
    <cellStyle name="Normal 53 2 4" xfId="9524" xr:uid="{00000000-0005-0000-0000-000096730000}"/>
    <cellStyle name="Normal 53 2 4 2" xfId="9525" xr:uid="{00000000-0005-0000-0000-000097730000}"/>
    <cellStyle name="Normal 53 2 4 3" xfId="9526" xr:uid="{00000000-0005-0000-0000-000098730000}"/>
    <cellStyle name="Normal 53 2 5" xfId="9527" xr:uid="{00000000-0005-0000-0000-000099730000}"/>
    <cellStyle name="Normal 53 2 5 2" xfId="9528" xr:uid="{00000000-0005-0000-0000-00009A730000}"/>
    <cellStyle name="Normal 53 2 5 3" xfId="9529" xr:uid="{00000000-0005-0000-0000-00009B730000}"/>
    <cellStyle name="Normal 53 2 6" xfId="9530" xr:uid="{00000000-0005-0000-0000-00009C730000}"/>
    <cellStyle name="Normal 53 2 7" xfId="9531" xr:uid="{00000000-0005-0000-0000-00009D730000}"/>
    <cellStyle name="Normal 53 3" xfId="9532" xr:uid="{00000000-0005-0000-0000-00009E730000}"/>
    <cellStyle name="Normal 53 3 2" xfId="9533" xr:uid="{00000000-0005-0000-0000-00009F730000}"/>
    <cellStyle name="Normal 53 3 2 2" xfId="9534" xr:uid="{00000000-0005-0000-0000-0000A0730000}"/>
    <cellStyle name="Normal 53 3 2 2 2" xfId="9535" xr:uid="{00000000-0005-0000-0000-0000A1730000}"/>
    <cellStyle name="Normal 53 3 2 2 3" xfId="9536" xr:uid="{00000000-0005-0000-0000-0000A2730000}"/>
    <cellStyle name="Normal 53 3 2 3" xfId="9537" xr:uid="{00000000-0005-0000-0000-0000A3730000}"/>
    <cellStyle name="Normal 53 3 2 3 2" xfId="9538" xr:uid="{00000000-0005-0000-0000-0000A4730000}"/>
    <cellStyle name="Normal 53 3 2 3 3" xfId="9539" xr:uid="{00000000-0005-0000-0000-0000A5730000}"/>
    <cellStyle name="Normal 53 3 2 4" xfId="9540" xr:uid="{00000000-0005-0000-0000-0000A6730000}"/>
    <cellStyle name="Normal 53 3 2 5" xfId="9541" xr:uid="{00000000-0005-0000-0000-0000A7730000}"/>
    <cellStyle name="Normal 53 3 3" xfId="9542" xr:uid="{00000000-0005-0000-0000-0000A8730000}"/>
    <cellStyle name="Normal 53 3 3 2" xfId="9543" xr:uid="{00000000-0005-0000-0000-0000A9730000}"/>
    <cellStyle name="Normal 53 3 3 3" xfId="9544" xr:uid="{00000000-0005-0000-0000-0000AA730000}"/>
    <cellStyle name="Normal 53 3 4" xfId="9545" xr:uid="{00000000-0005-0000-0000-0000AB730000}"/>
    <cellStyle name="Normal 53 3 4 2" xfId="9546" xr:uid="{00000000-0005-0000-0000-0000AC730000}"/>
    <cellStyle name="Normal 53 3 4 3" xfId="9547" xr:uid="{00000000-0005-0000-0000-0000AD730000}"/>
    <cellStyle name="Normal 53 3 5" xfId="9548" xr:uid="{00000000-0005-0000-0000-0000AE730000}"/>
    <cellStyle name="Normal 53 3 6" xfId="9549" xr:uid="{00000000-0005-0000-0000-0000AF730000}"/>
    <cellStyle name="Normal 53 4" xfId="9550" xr:uid="{00000000-0005-0000-0000-0000B0730000}"/>
    <cellStyle name="Normal 53 4 2" xfId="9551" xr:uid="{00000000-0005-0000-0000-0000B1730000}"/>
    <cellStyle name="Normal 53 4 2 2" xfId="9552" xr:uid="{00000000-0005-0000-0000-0000B2730000}"/>
    <cellStyle name="Normal 53 4 2 3" xfId="9553" xr:uid="{00000000-0005-0000-0000-0000B3730000}"/>
    <cellStyle name="Normal 53 4 3" xfId="9554" xr:uid="{00000000-0005-0000-0000-0000B4730000}"/>
    <cellStyle name="Normal 53 4 3 2" xfId="9555" xr:uid="{00000000-0005-0000-0000-0000B5730000}"/>
    <cellStyle name="Normal 53 4 3 3" xfId="9556" xr:uid="{00000000-0005-0000-0000-0000B6730000}"/>
    <cellStyle name="Normal 53 4 4" xfId="9557" xr:uid="{00000000-0005-0000-0000-0000B7730000}"/>
    <cellStyle name="Normal 53 4 5" xfId="9558" xr:uid="{00000000-0005-0000-0000-0000B8730000}"/>
    <cellStyle name="Normal 53 5" xfId="9559" xr:uid="{00000000-0005-0000-0000-0000B9730000}"/>
    <cellStyle name="Normal 53 5 2" xfId="9560" xr:uid="{00000000-0005-0000-0000-0000BA730000}"/>
    <cellStyle name="Normal 53 5 3" xfId="9561" xr:uid="{00000000-0005-0000-0000-0000BB730000}"/>
    <cellStyle name="Normal 53 6" xfId="9562" xr:uid="{00000000-0005-0000-0000-0000BC730000}"/>
    <cellStyle name="Normal 53 6 2" xfId="9563" xr:uid="{00000000-0005-0000-0000-0000BD730000}"/>
    <cellStyle name="Normal 53 6 3" xfId="9564" xr:uid="{00000000-0005-0000-0000-0000BE730000}"/>
    <cellStyle name="Normal 53 7" xfId="9565" xr:uid="{00000000-0005-0000-0000-0000BF730000}"/>
    <cellStyle name="Normal 53 8" xfId="9566" xr:uid="{00000000-0005-0000-0000-0000C0730000}"/>
    <cellStyle name="Normal 54" xfId="208" xr:uid="{00000000-0005-0000-0000-0000C1730000}"/>
    <cellStyle name="Normal 54 2" xfId="9567" xr:uid="{00000000-0005-0000-0000-0000C2730000}"/>
    <cellStyle name="Normal 54 2 2" xfId="9568" xr:uid="{00000000-0005-0000-0000-0000C3730000}"/>
    <cellStyle name="Normal 54 2 2 2" xfId="9569" xr:uid="{00000000-0005-0000-0000-0000C4730000}"/>
    <cellStyle name="Normal 54 2 2 2 2" xfId="9570" xr:uid="{00000000-0005-0000-0000-0000C5730000}"/>
    <cellStyle name="Normal 54 2 2 2 2 2" xfId="9571" xr:uid="{00000000-0005-0000-0000-0000C6730000}"/>
    <cellStyle name="Normal 54 2 2 2 2 3" xfId="9572" xr:uid="{00000000-0005-0000-0000-0000C7730000}"/>
    <cellStyle name="Normal 54 2 2 2 3" xfId="9573" xr:uid="{00000000-0005-0000-0000-0000C8730000}"/>
    <cellStyle name="Normal 54 2 2 2 3 2" xfId="9574" xr:uid="{00000000-0005-0000-0000-0000C9730000}"/>
    <cellStyle name="Normal 54 2 2 2 3 3" xfId="9575" xr:uid="{00000000-0005-0000-0000-0000CA730000}"/>
    <cellStyle name="Normal 54 2 2 2 4" xfId="9576" xr:uid="{00000000-0005-0000-0000-0000CB730000}"/>
    <cellStyle name="Normal 54 2 2 2 5" xfId="9577" xr:uid="{00000000-0005-0000-0000-0000CC730000}"/>
    <cellStyle name="Normal 54 2 2 3" xfId="9578" xr:uid="{00000000-0005-0000-0000-0000CD730000}"/>
    <cellStyle name="Normal 54 2 2 3 2" xfId="9579" xr:uid="{00000000-0005-0000-0000-0000CE730000}"/>
    <cellStyle name="Normal 54 2 2 3 3" xfId="9580" xr:uid="{00000000-0005-0000-0000-0000CF730000}"/>
    <cellStyle name="Normal 54 2 2 4" xfId="9581" xr:uid="{00000000-0005-0000-0000-0000D0730000}"/>
    <cellStyle name="Normal 54 2 2 4 2" xfId="9582" xr:uid="{00000000-0005-0000-0000-0000D1730000}"/>
    <cellStyle name="Normal 54 2 2 4 3" xfId="9583" xr:uid="{00000000-0005-0000-0000-0000D2730000}"/>
    <cellStyle name="Normal 54 2 2 5" xfId="9584" xr:uid="{00000000-0005-0000-0000-0000D3730000}"/>
    <cellStyle name="Normal 54 2 2 6" xfId="9585" xr:uid="{00000000-0005-0000-0000-0000D4730000}"/>
    <cellStyle name="Normal 54 2 3" xfId="9586" xr:uid="{00000000-0005-0000-0000-0000D5730000}"/>
    <cellStyle name="Normal 54 2 3 2" xfId="9587" xr:uid="{00000000-0005-0000-0000-0000D6730000}"/>
    <cellStyle name="Normal 54 2 3 2 2" xfId="9588" xr:uid="{00000000-0005-0000-0000-0000D7730000}"/>
    <cellStyle name="Normal 54 2 3 2 3" xfId="9589" xr:uid="{00000000-0005-0000-0000-0000D8730000}"/>
    <cellStyle name="Normal 54 2 3 3" xfId="9590" xr:uid="{00000000-0005-0000-0000-0000D9730000}"/>
    <cellStyle name="Normal 54 2 3 3 2" xfId="9591" xr:uid="{00000000-0005-0000-0000-0000DA730000}"/>
    <cellStyle name="Normal 54 2 3 3 3" xfId="9592" xr:uid="{00000000-0005-0000-0000-0000DB730000}"/>
    <cellStyle name="Normal 54 2 3 4" xfId="9593" xr:uid="{00000000-0005-0000-0000-0000DC730000}"/>
    <cellStyle name="Normal 54 2 3 5" xfId="9594" xr:uid="{00000000-0005-0000-0000-0000DD730000}"/>
    <cellStyle name="Normal 54 2 4" xfId="9595" xr:uid="{00000000-0005-0000-0000-0000DE730000}"/>
    <cellStyle name="Normal 54 2 4 2" xfId="9596" xr:uid="{00000000-0005-0000-0000-0000DF730000}"/>
    <cellStyle name="Normal 54 2 4 3" xfId="9597" xr:uid="{00000000-0005-0000-0000-0000E0730000}"/>
    <cellStyle name="Normal 54 2 5" xfId="9598" xr:uid="{00000000-0005-0000-0000-0000E1730000}"/>
    <cellStyle name="Normal 54 2 5 2" xfId="9599" xr:uid="{00000000-0005-0000-0000-0000E2730000}"/>
    <cellStyle name="Normal 54 2 5 3" xfId="9600" xr:uid="{00000000-0005-0000-0000-0000E3730000}"/>
    <cellStyle name="Normal 54 2 6" xfId="9601" xr:uid="{00000000-0005-0000-0000-0000E4730000}"/>
    <cellStyle name="Normal 54 2 7" xfId="9602" xr:uid="{00000000-0005-0000-0000-0000E5730000}"/>
    <cellStyle name="Normal 54 3" xfId="9603" xr:uid="{00000000-0005-0000-0000-0000E6730000}"/>
    <cellStyle name="Normal 54 3 2" xfId="9604" xr:uid="{00000000-0005-0000-0000-0000E7730000}"/>
    <cellStyle name="Normal 54 3 2 2" xfId="9605" xr:uid="{00000000-0005-0000-0000-0000E8730000}"/>
    <cellStyle name="Normal 54 3 2 2 2" xfId="9606" xr:uid="{00000000-0005-0000-0000-0000E9730000}"/>
    <cellStyle name="Normal 54 3 2 2 3" xfId="9607" xr:uid="{00000000-0005-0000-0000-0000EA730000}"/>
    <cellStyle name="Normal 54 3 2 3" xfId="9608" xr:uid="{00000000-0005-0000-0000-0000EB730000}"/>
    <cellStyle name="Normal 54 3 2 3 2" xfId="9609" xr:uid="{00000000-0005-0000-0000-0000EC730000}"/>
    <cellStyle name="Normal 54 3 2 3 3" xfId="9610" xr:uid="{00000000-0005-0000-0000-0000ED730000}"/>
    <cellStyle name="Normal 54 3 2 4" xfId="9611" xr:uid="{00000000-0005-0000-0000-0000EE730000}"/>
    <cellStyle name="Normal 54 3 2 5" xfId="9612" xr:uid="{00000000-0005-0000-0000-0000EF730000}"/>
    <cellStyle name="Normal 54 3 3" xfId="9613" xr:uid="{00000000-0005-0000-0000-0000F0730000}"/>
    <cellStyle name="Normal 54 3 3 2" xfId="9614" xr:uid="{00000000-0005-0000-0000-0000F1730000}"/>
    <cellStyle name="Normal 54 3 3 3" xfId="9615" xr:uid="{00000000-0005-0000-0000-0000F2730000}"/>
    <cellStyle name="Normal 54 3 4" xfId="9616" xr:uid="{00000000-0005-0000-0000-0000F3730000}"/>
    <cellStyle name="Normal 54 3 4 2" xfId="9617" xr:uid="{00000000-0005-0000-0000-0000F4730000}"/>
    <cellStyle name="Normal 54 3 4 3" xfId="9618" xr:uid="{00000000-0005-0000-0000-0000F5730000}"/>
    <cellStyle name="Normal 54 3 5" xfId="9619" xr:uid="{00000000-0005-0000-0000-0000F6730000}"/>
    <cellStyle name="Normal 54 3 6" xfId="9620" xr:uid="{00000000-0005-0000-0000-0000F7730000}"/>
    <cellStyle name="Normal 54 4" xfId="9621" xr:uid="{00000000-0005-0000-0000-0000F8730000}"/>
    <cellStyle name="Normal 54 4 2" xfId="9622" xr:uid="{00000000-0005-0000-0000-0000F9730000}"/>
    <cellStyle name="Normal 54 4 2 2" xfId="9623" xr:uid="{00000000-0005-0000-0000-0000FA730000}"/>
    <cellStyle name="Normal 54 4 2 3" xfId="9624" xr:uid="{00000000-0005-0000-0000-0000FB730000}"/>
    <cellStyle name="Normal 54 4 3" xfId="9625" xr:uid="{00000000-0005-0000-0000-0000FC730000}"/>
    <cellStyle name="Normal 54 4 3 2" xfId="9626" xr:uid="{00000000-0005-0000-0000-0000FD730000}"/>
    <cellStyle name="Normal 54 4 3 3" xfId="9627" xr:uid="{00000000-0005-0000-0000-0000FE730000}"/>
    <cellStyle name="Normal 54 4 4" xfId="9628" xr:uid="{00000000-0005-0000-0000-0000FF730000}"/>
    <cellStyle name="Normal 54 4 5" xfId="9629" xr:uid="{00000000-0005-0000-0000-000000740000}"/>
    <cellStyle name="Normal 54 5" xfId="9630" xr:uid="{00000000-0005-0000-0000-000001740000}"/>
    <cellStyle name="Normal 54 5 2" xfId="9631" xr:uid="{00000000-0005-0000-0000-000002740000}"/>
    <cellStyle name="Normal 54 5 3" xfId="9632" xr:uid="{00000000-0005-0000-0000-000003740000}"/>
    <cellStyle name="Normal 54 6" xfId="9633" xr:uid="{00000000-0005-0000-0000-000004740000}"/>
    <cellStyle name="Normal 54 6 2" xfId="9634" xr:uid="{00000000-0005-0000-0000-000005740000}"/>
    <cellStyle name="Normal 54 6 3" xfId="9635" xr:uid="{00000000-0005-0000-0000-000006740000}"/>
    <cellStyle name="Normal 54 7" xfId="9636" xr:uid="{00000000-0005-0000-0000-000007740000}"/>
    <cellStyle name="Normal 54 8" xfId="9637" xr:uid="{00000000-0005-0000-0000-000008740000}"/>
    <cellStyle name="Normal 55" xfId="209" xr:uid="{00000000-0005-0000-0000-000009740000}"/>
    <cellStyle name="Normal 55 2" xfId="9638" xr:uid="{00000000-0005-0000-0000-00000A740000}"/>
    <cellStyle name="Normal 55 2 2" xfId="9639" xr:uid="{00000000-0005-0000-0000-00000B740000}"/>
    <cellStyle name="Normal 55 2 2 2" xfId="9640" xr:uid="{00000000-0005-0000-0000-00000C740000}"/>
    <cellStyle name="Normal 55 2 2 2 2" xfId="9641" xr:uid="{00000000-0005-0000-0000-00000D740000}"/>
    <cellStyle name="Normal 55 2 2 2 2 2" xfId="9642" xr:uid="{00000000-0005-0000-0000-00000E740000}"/>
    <cellStyle name="Normal 55 2 2 2 2 3" xfId="9643" xr:uid="{00000000-0005-0000-0000-00000F740000}"/>
    <cellStyle name="Normal 55 2 2 2 3" xfId="9644" xr:uid="{00000000-0005-0000-0000-000010740000}"/>
    <cellStyle name="Normal 55 2 2 2 3 2" xfId="9645" xr:uid="{00000000-0005-0000-0000-000011740000}"/>
    <cellStyle name="Normal 55 2 2 2 3 3" xfId="9646" xr:uid="{00000000-0005-0000-0000-000012740000}"/>
    <cellStyle name="Normal 55 2 2 2 4" xfId="9647" xr:uid="{00000000-0005-0000-0000-000013740000}"/>
    <cellStyle name="Normal 55 2 2 2 5" xfId="9648" xr:uid="{00000000-0005-0000-0000-000014740000}"/>
    <cellStyle name="Normal 55 2 2 3" xfId="9649" xr:uid="{00000000-0005-0000-0000-000015740000}"/>
    <cellStyle name="Normal 55 2 2 3 2" xfId="9650" xr:uid="{00000000-0005-0000-0000-000016740000}"/>
    <cellStyle name="Normal 55 2 2 3 3" xfId="9651" xr:uid="{00000000-0005-0000-0000-000017740000}"/>
    <cellStyle name="Normal 55 2 2 4" xfId="9652" xr:uid="{00000000-0005-0000-0000-000018740000}"/>
    <cellStyle name="Normal 55 2 2 4 2" xfId="9653" xr:uid="{00000000-0005-0000-0000-000019740000}"/>
    <cellStyle name="Normal 55 2 2 4 3" xfId="9654" xr:uid="{00000000-0005-0000-0000-00001A740000}"/>
    <cellStyle name="Normal 55 2 2 5" xfId="9655" xr:uid="{00000000-0005-0000-0000-00001B740000}"/>
    <cellStyle name="Normal 55 2 2 6" xfId="9656" xr:uid="{00000000-0005-0000-0000-00001C740000}"/>
    <cellStyle name="Normal 55 2 3" xfId="9657" xr:uid="{00000000-0005-0000-0000-00001D740000}"/>
    <cellStyle name="Normal 55 2 3 2" xfId="9658" xr:uid="{00000000-0005-0000-0000-00001E740000}"/>
    <cellStyle name="Normal 55 2 3 2 2" xfId="9659" xr:uid="{00000000-0005-0000-0000-00001F740000}"/>
    <cellStyle name="Normal 55 2 3 2 3" xfId="9660" xr:uid="{00000000-0005-0000-0000-000020740000}"/>
    <cellStyle name="Normal 55 2 3 3" xfId="9661" xr:uid="{00000000-0005-0000-0000-000021740000}"/>
    <cellStyle name="Normal 55 2 3 3 2" xfId="9662" xr:uid="{00000000-0005-0000-0000-000022740000}"/>
    <cellStyle name="Normal 55 2 3 3 3" xfId="9663" xr:uid="{00000000-0005-0000-0000-000023740000}"/>
    <cellStyle name="Normal 55 2 3 4" xfId="9664" xr:uid="{00000000-0005-0000-0000-000024740000}"/>
    <cellStyle name="Normal 55 2 3 5" xfId="9665" xr:uid="{00000000-0005-0000-0000-000025740000}"/>
    <cellStyle name="Normal 55 2 4" xfId="9666" xr:uid="{00000000-0005-0000-0000-000026740000}"/>
    <cellStyle name="Normal 55 2 4 2" xfId="9667" xr:uid="{00000000-0005-0000-0000-000027740000}"/>
    <cellStyle name="Normal 55 2 4 3" xfId="9668" xr:uid="{00000000-0005-0000-0000-000028740000}"/>
    <cellStyle name="Normal 55 2 5" xfId="9669" xr:uid="{00000000-0005-0000-0000-000029740000}"/>
    <cellStyle name="Normal 55 2 5 2" xfId="9670" xr:uid="{00000000-0005-0000-0000-00002A740000}"/>
    <cellStyle name="Normal 55 2 5 3" xfId="9671" xr:uid="{00000000-0005-0000-0000-00002B740000}"/>
    <cellStyle name="Normal 55 2 6" xfId="9672" xr:uid="{00000000-0005-0000-0000-00002C740000}"/>
    <cellStyle name="Normal 55 2 7" xfId="9673" xr:uid="{00000000-0005-0000-0000-00002D740000}"/>
    <cellStyle name="Normal 55 3" xfId="9674" xr:uid="{00000000-0005-0000-0000-00002E740000}"/>
    <cellStyle name="Normal 55 3 2" xfId="9675" xr:uid="{00000000-0005-0000-0000-00002F740000}"/>
    <cellStyle name="Normal 55 3 2 2" xfId="9676" xr:uid="{00000000-0005-0000-0000-000030740000}"/>
    <cellStyle name="Normal 55 3 2 2 2" xfId="9677" xr:uid="{00000000-0005-0000-0000-000031740000}"/>
    <cellStyle name="Normal 55 3 2 2 3" xfId="9678" xr:uid="{00000000-0005-0000-0000-000032740000}"/>
    <cellStyle name="Normal 55 3 2 3" xfId="9679" xr:uid="{00000000-0005-0000-0000-000033740000}"/>
    <cellStyle name="Normal 55 3 2 3 2" xfId="9680" xr:uid="{00000000-0005-0000-0000-000034740000}"/>
    <cellStyle name="Normal 55 3 2 3 3" xfId="9681" xr:uid="{00000000-0005-0000-0000-000035740000}"/>
    <cellStyle name="Normal 55 3 2 4" xfId="9682" xr:uid="{00000000-0005-0000-0000-000036740000}"/>
    <cellStyle name="Normal 55 3 2 5" xfId="9683" xr:uid="{00000000-0005-0000-0000-000037740000}"/>
    <cellStyle name="Normal 55 3 3" xfId="9684" xr:uid="{00000000-0005-0000-0000-000038740000}"/>
    <cellStyle name="Normal 55 3 3 2" xfId="9685" xr:uid="{00000000-0005-0000-0000-000039740000}"/>
    <cellStyle name="Normal 55 3 3 3" xfId="9686" xr:uid="{00000000-0005-0000-0000-00003A740000}"/>
    <cellStyle name="Normal 55 3 4" xfId="9687" xr:uid="{00000000-0005-0000-0000-00003B740000}"/>
    <cellStyle name="Normal 55 3 4 2" xfId="9688" xr:uid="{00000000-0005-0000-0000-00003C740000}"/>
    <cellStyle name="Normal 55 3 4 3" xfId="9689" xr:uid="{00000000-0005-0000-0000-00003D740000}"/>
    <cellStyle name="Normal 55 3 5" xfId="9690" xr:uid="{00000000-0005-0000-0000-00003E740000}"/>
    <cellStyle name="Normal 55 3 6" xfId="9691" xr:uid="{00000000-0005-0000-0000-00003F740000}"/>
    <cellStyle name="Normal 55 4" xfId="9692" xr:uid="{00000000-0005-0000-0000-000040740000}"/>
    <cellStyle name="Normal 55 4 2" xfId="9693" xr:uid="{00000000-0005-0000-0000-000041740000}"/>
    <cellStyle name="Normal 55 4 2 2" xfId="9694" xr:uid="{00000000-0005-0000-0000-000042740000}"/>
    <cellStyle name="Normal 55 4 2 3" xfId="9695" xr:uid="{00000000-0005-0000-0000-000043740000}"/>
    <cellStyle name="Normal 55 4 3" xfId="9696" xr:uid="{00000000-0005-0000-0000-000044740000}"/>
    <cellStyle name="Normal 55 4 3 2" xfId="9697" xr:uid="{00000000-0005-0000-0000-000045740000}"/>
    <cellStyle name="Normal 55 4 3 3" xfId="9698" xr:uid="{00000000-0005-0000-0000-000046740000}"/>
    <cellStyle name="Normal 55 4 4" xfId="9699" xr:uid="{00000000-0005-0000-0000-000047740000}"/>
    <cellStyle name="Normal 55 4 5" xfId="9700" xr:uid="{00000000-0005-0000-0000-000048740000}"/>
    <cellStyle name="Normal 55 5" xfId="9701" xr:uid="{00000000-0005-0000-0000-000049740000}"/>
    <cellStyle name="Normal 55 5 2" xfId="9702" xr:uid="{00000000-0005-0000-0000-00004A740000}"/>
    <cellStyle name="Normal 55 5 3" xfId="9703" xr:uid="{00000000-0005-0000-0000-00004B740000}"/>
    <cellStyle name="Normal 55 6" xfId="9704" xr:uid="{00000000-0005-0000-0000-00004C740000}"/>
    <cellStyle name="Normal 55 6 2" xfId="9705" xr:uid="{00000000-0005-0000-0000-00004D740000}"/>
    <cellStyle name="Normal 55 6 3" xfId="9706" xr:uid="{00000000-0005-0000-0000-00004E740000}"/>
    <cellStyle name="Normal 55 7" xfId="9707" xr:uid="{00000000-0005-0000-0000-00004F740000}"/>
    <cellStyle name="Normal 55 8" xfId="9708" xr:uid="{00000000-0005-0000-0000-000050740000}"/>
    <cellStyle name="Normal 56" xfId="210" xr:uid="{00000000-0005-0000-0000-000051740000}"/>
    <cellStyle name="Normal 56 2" xfId="9709" xr:uid="{00000000-0005-0000-0000-000052740000}"/>
    <cellStyle name="Normal 56 2 2" xfId="9710" xr:uid="{00000000-0005-0000-0000-000053740000}"/>
    <cellStyle name="Normal 56 2 2 2" xfId="9711" xr:uid="{00000000-0005-0000-0000-000054740000}"/>
    <cellStyle name="Normal 56 2 2 2 2" xfId="9712" xr:uid="{00000000-0005-0000-0000-000055740000}"/>
    <cellStyle name="Normal 56 2 2 2 2 2" xfId="9713" xr:uid="{00000000-0005-0000-0000-000056740000}"/>
    <cellStyle name="Normal 56 2 2 2 2 3" xfId="9714" xr:uid="{00000000-0005-0000-0000-000057740000}"/>
    <cellStyle name="Normal 56 2 2 2 3" xfId="9715" xr:uid="{00000000-0005-0000-0000-000058740000}"/>
    <cellStyle name="Normal 56 2 2 2 3 2" xfId="9716" xr:uid="{00000000-0005-0000-0000-000059740000}"/>
    <cellStyle name="Normal 56 2 2 2 3 3" xfId="9717" xr:uid="{00000000-0005-0000-0000-00005A740000}"/>
    <cellStyle name="Normal 56 2 2 2 4" xfId="9718" xr:uid="{00000000-0005-0000-0000-00005B740000}"/>
    <cellStyle name="Normal 56 2 2 2 5" xfId="9719" xr:uid="{00000000-0005-0000-0000-00005C740000}"/>
    <cellStyle name="Normal 56 2 2 3" xfId="9720" xr:uid="{00000000-0005-0000-0000-00005D740000}"/>
    <cellStyle name="Normal 56 2 2 3 2" xfId="9721" xr:uid="{00000000-0005-0000-0000-00005E740000}"/>
    <cellStyle name="Normal 56 2 2 3 3" xfId="9722" xr:uid="{00000000-0005-0000-0000-00005F740000}"/>
    <cellStyle name="Normal 56 2 2 4" xfId="9723" xr:uid="{00000000-0005-0000-0000-000060740000}"/>
    <cellStyle name="Normal 56 2 2 4 2" xfId="9724" xr:uid="{00000000-0005-0000-0000-000061740000}"/>
    <cellStyle name="Normal 56 2 2 4 3" xfId="9725" xr:uid="{00000000-0005-0000-0000-000062740000}"/>
    <cellStyle name="Normal 56 2 2 5" xfId="9726" xr:uid="{00000000-0005-0000-0000-000063740000}"/>
    <cellStyle name="Normal 56 2 2 6" xfId="9727" xr:uid="{00000000-0005-0000-0000-000064740000}"/>
    <cellStyle name="Normal 56 2 3" xfId="9728" xr:uid="{00000000-0005-0000-0000-000065740000}"/>
    <cellStyle name="Normal 56 2 3 2" xfId="9729" xr:uid="{00000000-0005-0000-0000-000066740000}"/>
    <cellStyle name="Normal 56 2 3 2 2" xfId="9730" xr:uid="{00000000-0005-0000-0000-000067740000}"/>
    <cellStyle name="Normal 56 2 3 2 3" xfId="9731" xr:uid="{00000000-0005-0000-0000-000068740000}"/>
    <cellStyle name="Normal 56 2 3 3" xfId="9732" xr:uid="{00000000-0005-0000-0000-000069740000}"/>
    <cellStyle name="Normal 56 2 3 3 2" xfId="9733" xr:uid="{00000000-0005-0000-0000-00006A740000}"/>
    <cellStyle name="Normal 56 2 3 3 3" xfId="9734" xr:uid="{00000000-0005-0000-0000-00006B740000}"/>
    <cellStyle name="Normal 56 2 3 4" xfId="9735" xr:uid="{00000000-0005-0000-0000-00006C740000}"/>
    <cellStyle name="Normal 56 2 3 5" xfId="9736" xr:uid="{00000000-0005-0000-0000-00006D740000}"/>
    <cellStyle name="Normal 56 2 4" xfId="9737" xr:uid="{00000000-0005-0000-0000-00006E740000}"/>
    <cellStyle name="Normal 56 2 4 2" xfId="9738" xr:uid="{00000000-0005-0000-0000-00006F740000}"/>
    <cellStyle name="Normal 56 2 4 3" xfId="9739" xr:uid="{00000000-0005-0000-0000-000070740000}"/>
    <cellStyle name="Normal 56 2 5" xfId="9740" xr:uid="{00000000-0005-0000-0000-000071740000}"/>
    <cellStyle name="Normal 56 2 5 2" xfId="9741" xr:uid="{00000000-0005-0000-0000-000072740000}"/>
    <cellStyle name="Normal 56 2 5 3" xfId="9742" xr:uid="{00000000-0005-0000-0000-000073740000}"/>
    <cellStyle name="Normal 56 2 6" xfId="9743" xr:uid="{00000000-0005-0000-0000-000074740000}"/>
    <cellStyle name="Normal 56 2 7" xfId="9744" xr:uid="{00000000-0005-0000-0000-000075740000}"/>
    <cellStyle name="Normal 56 3" xfId="9745" xr:uid="{00000000-0005-0000-0000-000076740000}"/>
    <cellStyle name="Normal 56 3 2" xfId="9746" xr:uid="{00000000-0005-0000-0000-000077740000}"/>
    <cellStyle name="Normal 56 3 2 2" xfId="9747" xr:uid="{00000000-0005-0000-0000-000078740000}"/>
    <cellStyle name="Normal 56 3 2 2 2" xfId="9748" xr:uid="{00000000-0005-0000-0000-000079740000}"/>
    <cellStyle name="Normal 56 3 2 2 3" xfId="9749" xr:uid="{00000000-0005-0000-0000-00007A740000}"/>
    <cellStyle name="Normal 56 3 2 3" xfId="9750" xr:uid="{00000000-0005-0000-0000-00007B740000}"/>
    <cellStyle name="Normal 56 3 2 3 2" xfId="9751" xr:uid="{00000000-0005-0000-0000-00007C740000}"/>
    <cellStyle name="Normal 56 3 2 3 3" xfId="9752" xr:uid="{00000000-0005-0000-0000-00007D740000}"/>
    <cellStyle name="Normal 56 3 2 4" xfId="9753" xr:uid="{00000000-0005-0000-0000-00007E740000}"/>
    <cellStyle name="Normal 56 3 2 5" xfId="9754" xr:uid="{00000000-0005-0000-0000-00007F740000}"/>
    <cellStyle name="Normal 56 3 3" xfId="9755" xr:uid="{00000000-0005-0000-0000-000080740000}"/>
    <cellStyle name="Normal 56 3 3 2" xfId="9756" xr:uid="{00000000-0005-0000-0000-000081740000}"/>
    <cellStyle name="Normal 56 3 3 3" xfId="9757" xr:uid="{00000000-0005-0000-0000-000082740000}"/>
    <cellStyle name="Normal 56 3 4" xfId="9758" xr:uid="{00000000-0005-0000-0000-000083740000}"/>
    <cellStyle name="Normal 56 3 4 2" xfId="9759" xr:uid="{00000000-0005-0000-0000-000084740000}"/>
    <cellStyle name="Normal 56 3 4 3" xfId="9760" xr:uid="{00000000-0005-0000-0000-000085740000}"/>
    <cellStyle name="Normal 56 3 5" xfId="9761" xr:uid="{00000000-0005-0000-0000-000086740000}"/>
    <cellStyle name="Normal 56 3 6" xfId="9762" xr:uid="{00000000-0005-0000-0000-000087740000}"/>
    <cellStyle name="Normal 56 4" xfId="9763" xr:uid="{00000000-0005-0000-0000-000088740000}"/>
    <cellStyle name="Normal 56 4 2" xfId="9764" xr:uid="{00000000-0005-0000-0000-000089740000}"/>
    <cellStyle name="Normal 56 4 2 2" xfId="9765" xr:uid="{00000000-0005-0000-0000-00008A740000}"/>
    <cellStyle name="Normal 56 4 2 3" xfId="9766" xr:uid="{00000000-0005-0000-0000-00008B740000}"/>
    <cellStyle name="Normal 56 4 3" xfId="9767" xr:uid="{00000000-0005-0000-0000-00008C740000}"/>
    <cellStyle name="Normal 56 4 3 2" xfId="9768" xr:uid="{00000000-0005-0000-0000-00008D740000}"/>
    <cellStyle name="Normal 56 4 3 3" xfId="9769" xr:uid="{00000000-0005-0000-0000-00008E740000}"/>
    <cellStyle name="Normal 56 4 4" xfId="9770" xr:uid="{00000000-0005-0000-0000-00008F740000}"/>
    <cellStyle name="Normal 56 4 5" xfId="9771" xr:uid="{00000000-0005-0000-0000-000090740000}"/>
    <cellStyle name="Normal 56 5" xfId="9772" xr:uid="{00000000-0005-0000-0000-000091740000}"/>
    <cellStyle name="Normal 56 5 2" xfId="9773" xr:uid="{00000000-0005-0000-0000-000092740000}"/>
    <cellStyle name="Normal 56 5 3" xfId="9774" xr:uid="{00000000-0005-0000-0000-000093740000}"/>
    <cellStyle name="Normal 56 6" xfId="9775" xr:uid="{00000000-0005-0000-0000-000094740000}"/>
    <cellStyle name="Normal 56 6 2" xfId="9776" xr:uid="{00000000-0005-0000-0000-000095740000}"/>
    <cellStyle name="Normal 56 6 3" xfId="9777" xr:uid="{00000000-0005-0000-0000-000096740000}"/>
    <cellStyle name="Normal 56 7" xfId="9778" xr:uid="{00000000-0005-0000-0000-000097740000}"/>
    <cellStyle name="Normal 56 8" xfId="9779" xr:uid="{00000000-0005-0000-0000-000098740000}"/>
    <cellStyle name="Normal 57" xfId="211" xr:uid="{00000000-0005-0000-0000-000099740000}"/>
    <cellStyle name="Normal 57 2" xfId="9780" xr:uid="{00000000-0005-0000-0000-00009A740000}"/>
    <cellStyle name="Normal 57 2 2" xfId="9781" xr:uid="{00000000-0005-0000-0000-00009B740000}"/>
    <cellStyle name="Normal 57 2 2 2" xfId="9782" xr:uid="{00000000-0005-0000-0000-00009C740000}"/>
    <cellStyle name="Normal 57 2 2 2 2" xfId="9783" xr:uid="{00000000-0005-0000-0000-00009D740000}"/>
    <cellStyle name="Normal 57 2 2 2 2 2" xfId="9784" xr:uid="{00000000-0005-0000-0000-00009E740000}"/>
    <cellStyle name="Normal 57 2 2 2 2 3" xfId="9785" xr:uid="{00000000-0005-0000-0000-00009F740000}"/>
    <cellStyle name="Normal 57 2 2 2 3" xfId="9786" xr:uid="{00000000-0005-0000-0000-0000A0740000}"/>
    <cellStyle name="Normal 57 2 2 2 3 2" xfId="9787" xr:uid="{00000000-0005-0000-0000-0000A1740000}"/>
    <cellStyle name="Normal 57 2 2 2 3 3" xfId="9788" xr:uid="{00000000-0005-0000-0000-0000A2740000}"/>
    <cellStyle name="Normal 57 2 2 2 4" xfId="9789" xr:uid="{00000000-0005-0000-0000-0000A3740000}"/>
    <cellStyle name="Normal 57 2 2 2 5" xfId="9790" xr:uid="{00000000-0005-0000-0000-0000A4740000}"/>
    <cellStyle name="Normal 57 2 2 3" xfId="9791" xr:uid="{00000000-0005-0000-0000-0000A5740000}"/>
    <cellStyle name="Normal 57 2 2 3 2" xfId="9792" xr:uid="{00000000-0005-0000-0000-0000A6740000}"/>
    <cellStyle name="Normal 57 2 2 3 3" xfId="9793" xr:uid="{00000000-0005-0000-0000-0000A7740000}"/>
    <cellStyle name="Normal 57 2 2 4" xfId="9794" xr:uid="{00000000-0005-0000-0000-0000A8740000}"/>
    <cellStyle name="Normal 57 2 2 4 2" xfId="9795" xr:uid="{00000000-0005-0000-0000-0000A9740000}"/>
    <cellStyle name="Normal 57 2 2 4 3" xfId="9796" xr:uid="{00000000-0005-0000-0000-0000AA740000}"/>
    <cellStyle name="Normal 57 2 2 5" xfId="9797" xr:uid="{00000000-0005-0000-0000-0000AB740000}"/>
    <cellStyle name="Normal 57 2 2 6" xfId="9798" xr:uid="{00000000-0005-0000-0000-0000AC740000}"/>
    <cellStyle name="Normal 57 2 3" xfId="9799" xr:uid="{00000000-0005-0000-0000-0000AD740000}"/>
    <cellStyle name="Normal 57 2 3 2" xfId="9800" xr:uid="{00000000-0005-0000-0000-0000AE740000}"/>
    <cellStyle name="Normal 57 2 3 2 2" xfId="9801" xr:uid="{00000000-0005-0000-0000-0000AF740000}"/>
    <cellStyle name="Normal 57 2 3 2 3" xfId="9802" xr:uid="{00000000-0005-0000-0000-0000B0740000}"/>
    <cellStyle name="Normal 57 2 3 3" xfId="9803" xr:uid="{00000000-0005-0000-0000-0000B1740000}"/>
    <cellStyle name="Normal 57 2 3 3 2" xfId="9804" xr:uid="{00000000-0005-0000-0000-0000B2740000}"/>
    <cellStyle name="Normal 57 2 3 3 3" xfId="9805" xr:uid="{00000000-0005-0000-0000-0000B3740000}"/>
    <cellStyle name="Normal 57 2 3 4" xfId="9806" xr:uid="{00000000-0005-0000-0000-0000B4740000}"/>
    <cellStyle name="Normal 57 2 3 5" xfId="9807" xr:uid="{00000000-0005-0000-0000-0000B5740000}"/>
    <cellStyle name="Normal 57 2 4" xfId="9808" xr:uid="{00000000-0005-0000-0000-0000B6740000}"/>
    <cellStyle name="Normal 57 2 4 2" xfId="9809" xr:uid="{00000000-0005-0000-0000-0000B7740000}"/>
    <cellStyle name="Normal 57 2 4 3" xfId="9810" xr:uid="{00000000-0005-0000-0000-0000B8740000}"/>
    <cellStyle name="Normal 57 2 5" xfId="9811" xr:uid="{00000000-0005-0000-0000-0000B9740000}"/>
    <cellStyle name="Normal 57 2 5 2" xfId="9812" xr:uid="{00000000-0005-0000-0000-0000BA740000}"/>
    <cellStyle name="Normal 57 2 5 3" xfId="9813" xr:uid="{00000000-0005-0000-0000-0000BB740000}"/>
    <cellStyle name="Normal 57 2 6" xfId="9814" xr:uid="{00000000-0005-0000-0000-0000BC740000}"/>
    <cellStyle name="Normal 57 2 7" xfId="9815" xr:uid="{00000000-0005-0000-0000-0000BD740000}"/>
    <cellStyle name="Normal 57 3" xfId="9816" xr:uid="{00000000-0005-0000-0000-0000BE740000}"/>
    <cellStyle name="Normal 57 3 2" xfId="9817" xr:uid="{00000000-0005-0000-0000-0000BF740000}"/>
    <cellStyle name="Normal 57 3 2 2" xfId="9818" xr:uid="{00000000-0005-0000-0000-0000C0740000}"/>
    <cellStyle name="Normal 57 3 2 2 2" xfId="9819" xr:uid="{00000000-0005-0000-0000-0000C1740000}"/>
    <cellStyle name="Normal 57 3 2 2 3" xfId="9820" xr:uid="{00000000-0005-0000-0000-0000C2740000}"/>
    <cellStyle name="Normal 57 3 2 3" xfId="9821" xr:uid="{00000000-0005-0000-0000-0000C3740000}"/>
    <cellStyle name="Normal 57 3 2 3 2" xfId="9822" xr:uid="{00000000-0005-0000-0000-0000C4740000}"/>
    <cellStyle name="Normal 57 3 2 3 3" xfId="9823" xr:uid="{00000000-0005-0000-0000-0000C5740000}"/>
    <cellStyle name="Normal 57 3 2 4" xfId="9824" xr:uid="{00000000-0005-0000-0000-0000C6740000}"/>
    <cellStyle name="Normal 57 3 2 5" xfId="9825" xr:uid="{00000000-0005-0000-0000-0000C7740000}"/>
    <cellStyle name="Normal 57 3 3" xfId="9826" xr:uid="{00000000-0005-0000-0000-0000C8740000}"/>
    <cellStyle name="Normal 57 3 3 2" xfId="9827" xr:uid="{00000000-0005-0000-0000-0000C9740000}"/>
    <cellStyle name="Normal 57 3 3 3" xfId="9828" xr:uid="{00000000-0005-0000-0000-0000CA740000}"/>
    <cellStyle name="Normal 57 3 4" xfId="9829" xr:uid="{00000000-0005-0000-0000-0000CB740000}"/>
    <cellStyle name="Normal 57 3 4 2" xfId="9830" xr:uid="{00000000-0005-0000-0000-0000CC740000}"/>
    <cellStyle name="Normal 57 3 4 3" xfId="9831" xr:uid="{00000000-0005-0000-0000-0000CD740000}"/>
    <cellStyle name="Normal 57 3 5" xfId="9832" xr:uid="{00000000-0005-0000-0000-0000CE740000}"/>
    <cellStyle name="Normal 57 3 6" xfId="9833" xr:uid="{00000000-0005-0000-0000-0000CF740000}"/>
    <cellStyle name="Normal 57 4" xfId="9834" xr:uid="{00000000-0005-0000-0000-0000D0740000}"/>
    <cellStyle name="Normal 57 4 2" xfId="9835" xr:uid="{00000000-0005-0000-0000-0000D1740000}"/>
    <cellStyle name="Normal 57 4 2 2" xfId="9836" xr:uid="{00000000-0005-0000-0000-0000D2740000}"/>
    <cellStyle name="Normal 57 4 2 3" xfId="9837" xr:uid="{00000000-0005-0000-0000-0000D3740000}"/>
    <cellStyle name="Normal 57 4 3" xfId="9838" xr:uid="{00000000-0005-0000-0000-0000D4740000}"/>
    <cellStyle name="Normal 57 4 3 2" xfId="9839" xr:uid="{00000000-0005-0000-0000-0000D5740000}"/>
    <cellStyle name="Normal 57 4 3 3" xfId="9840" xr:uid="{00000000-0005-0000-0000-0000D6740000}"/>
    <cellStyle name="Normal 57 4 4" xfId="9841" xr:uid="{00000000-0005-0000-0000-0000D7740000}"/>
    <cellStyle name="Normal 57 4 5" xfId="9842" xr:uid="{00000000-0005-0000-0000-0000D8740000}"/>
    <cellStyle name="Normal 57 5" xfId="9843" xr:uid="{00000000-0005-0000-0000-0000D9740000}"/>
    <cellStyle name="Normal 57 5 2" xfId="9844" xr:uid="{00000000-0005-0000-0000-0000DA740000}"/>
    <cellStyle name="Normal 57 5 3" xfId="9845" xr:uid="{00000000-0005-0000-0000-0000DB740000}"/>
    <cellStyle name="Normal 57 6" xfId="9846" xr:uid="{00000000-0005-0000-0000-0000DC740000}"/>
    <cellStyle name="Normal 57 6 2" xfId="9847" xr:uid="{00000000-0005-0000-0000-0000DD740000}"/>
    <cellStyle name="Normal 57 6 3" xfId="9848" xr:uid="{00000000-0005-0000-0000-0000DE740000}"/>
    <cellStyle name="Normal 57 7" xfId="9849" xr:uid="{00000000-0005-0000-0000-0000DF740000}"/>
    <cellStyle name="Normal 57 8" xfId="9850" xr:uid="{00000000-0005-0000-0000-0000E0740000}"/>
    <cellStyle name="Normal 58" xfId="212" xr:uid="{00000000-0005-0000-0000-0000E1740000}"/>
    <cellStyle name="Normal 58 2" xfId="9851" xr:uid="{00000000-0005-0000-0000-0000E2740000}"/>
    <cellStyle name="Normal 58 2 2" xfId="9852" xr:uid="{00000000-0005-0000-0000-0000E3740000}"/>
    <cellStyle name="Normal 58 2 2 2" xfId="9853" xr:uid="{00000000-0005-0000-0000-0000E4740000}"/>
    <cellStyle name="Normal 58 2 2 2 2" xfId="9854" xr:uid="{00000000-0005-0000-0000-0000E5740000}"/>
    <cellStyle name="Normal 58 2 2 2 2 2" xfId="9855" xr:uid="{00000000-0005-0000-0000-0000E6740000}"/>
    <cellStyle name="Normal 58 2 2 2 2 3" xfId="9856" xr:uid="{00000000-0005-0000-0000-0000E7740000}"/>
    <cellStyle name="Normal 58 2 2 2 3" xfId="9857" xr:uid="{00000000-0005-0000-0000-0000E8740000}"/>
    <cellStyle name="Normal 58 2 2 2 3 2" xfId="9858" xr:uid="{00000000-0005-0000-0000-0000E9740000}"/>
    <cellStyle name="Normal 58 2 2 2 3 3" xfId="9859" xr:uid="{00000000-0005-0000-0000-0000EA740000}"/>
    <cellStyle name="Normal 58 2 2 2 4" xfId="9860" xr:uid="{00000000-0005-0000-0000-0000EB740000}"/>
    <cellStyle name="Normal 58 2 2 2 5" xfId="9861" xr:uid="{00000000-0005-0000-0000-0000EC740000}"/>
    <cellStyle name="Normal 58 2 2 3" xfId="9862" xr:uid="{00000000-0005-0000-0000-0000ED740000}"/>
    <cellStyle name="Normal 58 2 2 3 2" xfId="9863" xr:uid="{00000000-0005-0000-0000-0000EE740000}"/>
    <cellStyle name="Normal 58 2 2 3 3" xfId="9864" xr:uid="{00000000-0005-0000-0000-0000EF740000}"/>
    <cellStyle name="Normal 58 2 2 4" xfId="9865" xr:uid="{00000000-0005-0000-0000-0000F0740000}"/>
    <cellStyle name="Normal 58 2 2 4 2" xfId="9866" xr:uid="{00000000-0005-0000-0000-0000F1740000}"/>
    <cellStyle name="Normal 58 2 2 4 3" xfId="9867" xr:uid="{00000000-0005-0000-0000-0000F2740000}"/>
    <cellStyle name="Normal 58 2 2 5" xfId="9868" xr:uid="{00000000-0005-0000-0000-0000F3740000}"/>
    <cellStyle name="Normal 58 2 2 6" xfId="9869" xr:uid="{00000000-0005-0000-0000-0000F4740000}"/>
    <cellStyle name="Normal 58 2 3" xfId="9870" xr:uid="{00000000-0005-0000-0000-0000F5740000}"/>
    <cellStyle name="Normal 58 2 3 2" xfId="9871" xr:uid="{00000000-0005-0000-0000-0000F6740000}"/>
    <cellStyle name="Normal 58 2 3 2 2" xfId="9872" xr:uid="{00000000-0005-0000-0000-0000F7740000}"/>
    <cellStyle name="Normal 58 2 3 2 3" xfId="9873" xr:uid="{00000000-0005-0000-0000-0000F8740000}"/>
    <cellStyle name="Normal 58 2 3 3" xfId="9874" xr:uid="{00000000-0005-0000-0000-0000F9740000}"/>
    <cellStyle name="Normal 58 2 3 3 2" xfId="9875" xr:uid="{00000000-0005-0000-0000-0000FA740000}"/>
    <cellStyle name="Normal 58 2 3 3 3" xfId="9876" xr:uid="{00000000-0005-0000-0000-0000FB740000}"/>
    <cellStyle name="Normal 58 2 3 4" xfId="9877" xr:uid="{00000000-0005-0000-0000-0000FC740000}"/>
    <cellStyle name="Normal 58 2 3 5" xfId="9878" xr:uid="{00000000-0005-0000-0000-0000FD740000}"/>
    <cellStyle name="Normal 58 2 4" xfId="9879" xr:uid="{00000000-0005-0000-0000-0000FE740000}"/>
    <cellStyle name="Normal 58 2 4 2" xfId="9880" xr:uid="{00000000-0005-0000-0000-0000FF740000}"/>
    <cellStyle name="Normal 58 2 4 3" xfId="9881" xr:uid="{00000000-0005-0000-0000-000000750000}"/>
    <cellStyle name="Normal 58 2 5" xfId="9882" xr:uid="{00000000-0005-0000-0000-000001750000}"/>
    <cellStyle name="Normal 58 2 5 2" xfId="9883" xr:uid="{00000000-0005-0000-0000-000002750000}"/>
    <cellStyle name="Normal 58 2 5 3" xfId="9884" xr:uid="{00000000-0005-0000-0000-000003750000}"/>
    <cellStyle name="Normal 58 2 6" xfId="9885" xr:uid="{00000000-0005-0000-0000-000004750000}"/>
    <cellStyle name="Normal 58 2 7" xfId="9886" xr:uid="{00000000-0005-0000-0000-000005750000}"/>
    <cellStyle name="Normal 58 3" xfId="9887" xr:uid="{00000000-0005-0000-0000-000006750000}"/>
    <cellStyle name="Normal 58 3 2" xfId="9888" xr:uid="{00000000-0005-0000-0000-000007750000}"/>
    <cellStyle name="Normal 58 3 2 2" xfId="9889" xr:uid="{00000000-0005-0000-0000-000008750000}"/>
    <cellStyle name="Normal 58 3 2 2 2" xfId="9890" xr:uid="{00000000-0005-0000-0000-000009750000}"/>
    <cellStyle name="Normal 58 3 2 2 3" xfId="9891" xr:uid="{00000000-0005-0000-0000-00000A750000}"/>
    <cellStyle name="Normal 58 3 2 3" xfId="9892" xr:uid="{00000000-0005-0000-0000-00000B750000}"/>
    <cellStyle name="Normal 58 3 2 3 2" xfId="9893" xr:uid="{00000000-0005-0000-0000-00000C750000}"/>
    <cellStyle name="Normal 58 3 2 3 3" xfId="9894" xr:uid="{00000000-0005-0000-0000-00000D750000}"/>
    <cellStyle name="Normal 58 3 2 4" xfId="9895" xr:uid="{00000000-0005-0000-0000-00000E750000}"/>
    <cellStyle name="Normal 58 3 2 5" xfId="9896" xr:uid="{00000000-0005-0000-0000-00000F750000}"/>
    <cellStyle name="Normal 58 3 3" xfId="9897" xr:uid="{00000000-0005-0000-0000-000010750000}"/>
    <cellStyle name="Normal 58 3 3 2" xfId="9898" xr:uid="{00000000-0005-0000-0000-000011750000}"/>
    <cellStyle name="Normal 58 3 3 3" xfId="9899" xr:uid="{00000000-0005-0000-0000-000012750000}"/>
    <cellStyle name="Normal 58 3 4" xfId="9900" xr:uid="{00000000-0005-0000-0000-000013750000}"/>
    <cellStyle name="Normal 58 3 4 2" xfId="9901" xr:uid="{00000000-0005-0000-0000-000014750000}"/>
    <cellStyle name="Normal 58 3 4 3" xfId="9902" xr:uid="{00000000-0005-0000-0000-000015750000}"/>
    <cellStyle name="Normal 58 3 5" xfId="9903" xr:uid="{00000000-0005-0000-0000-000016750000}"/>
    <cellStyle name="Normal 58 3 6" xfId="9904" xr:uid="{00000000-0005-0000-0000-000017750000}"/>
    <cellStyle name="Normal 58 4" xfId="9905" xr:uid="{00000000-0005-0000-0000-000018750000}"/>
    <cellStyle name="Normal 58 4 2" xfId="9906" xr:uid="{00000000-0005-0000-0000-000019750000}"/>
    <cellStyle name="Normal 58 4 2 2" xfId="9907" xr:uid="{00000000-0005-0000-0000-00001A750000}"/>
    <cellStyle name="Normal 58 4 2 3" xfId="9908" xr:uid="{00000000-0005-0000-0000-00001B750000}"/>
    <cellStyle name="Normal 58 4 3" xfId="9909" xr:uid="{00000000-0005-0000-0000-00001C750000}"/>
    <cellStyle name="Normal 58 4 3 2" xfId="9910" xr:uid="{00000000-0005-0000-0000-00001D750000}"/>
    <cellStyle name="Normal 58 4 3 3" xfId="9911" xr:uid="{00000000-0005-0000-0000-00001E750000}"/>
    <cellStyle name="Normal 58 4 4" xfId="9912" xr:uid="{00000000-0005-0000-0000-00001F750000}"/>
    <cellStyle name="Normal 58 4 5" xfId="9913" xr:uid="{00000000-0005-0000-0000-000020750000}"/>
    <cellStyle name="Normal 58 5" xfId="9914" xr:uid="{00000000-0005-0000-0000-000021750000}"/>
    <cellStyle name="Normal 58 5 2" xfId="9915" xr:uid="{00000000-0005-0000-0000-000022750000}"/>
    <cellStyle name="Normal 58 5 3" xfId="9916" xr:uid="{00000000-0005-0000-0000-000023750000}"/>
    <cellStyle name="Normal 58 6" xfId="9917" xr:uid="{00000000-0005-0000-0000-000024750000}"/>
    <cellStyle name="Normal 58 6 2" xfId="9918" xr:uid="{00000000-0005-0000-0000-000025750000}"/>
    <cellStyle name="Normal 58 6 3" xfId="9919" xr:uid="{00000000-0005-0000-0000-000026750000}"/>
    <cellStyle name="Normal 58 7" xfId="9920" xr:uid="{00000000-0005-0000-0000-000027750000}"/>
    <cellStyle name="Normal 58 8" xfId="9921" xr:uid="{00000000-0005-0000-0000-000028750000}"/>
    <cellStyle name="Normal 59" xfId="213" xr:uid="{00000000-0005-0000-0000-000029750000}"/>
    <cellStyle name="Normal 59 2" xfId="9922" xr:uid="{00000000-0005-0000-0000-00002A750000}"/>
    <cellStyle name="Normal 59 2 2" xfId="9923" xr:uid="{00000000-0005-0000-0000-00002B750000}"/>
    <cellStyle name="Normal 59 2 2 2" xfId="9924" xr:uid="{00000000-0005-0000-0000-00002C750000}"/>
    <cellStyle name="Normal 59 2 2 2 2" xfId="9925" xr:uid="{00000000-0005-0000-0000-00002D750000}"/>
    <cellStyle name="Normal 59 2 2 2 2 2" xfId="9926" xr:uid="{00000000-0005-0000-0000-00002E750000}"/>
    <cellStyle name="Normal 59 2 2 2 2 3" xfId="9927" xr:uid="{00000000-0005-0000-0000-00002F750000}"/>
    <cellStyle name="Normal 59 2 2 2 3" xfId="9928" xr:uid="{00000000-0005-0000-0000-000030750000}"/>
    <cellStyle name="Normal 59 2 2 2 3 2" xfId="9929" xr:uid="{00000000-0005-0000-0000-000031750000}"/>
    <cellStyle name="Normal 59 2 2 2 3 3" xfId="9930" xr:uid="{00000000-0005-0000-0000-000032750000}"/>
    <cellStyle name="Normal 59 2 2 2 4" xfId="9931" xr:uid="{00000000-0005-0000-0000-000033750000}"/>
    <cellStyle name="Normal 59 2 2 2 5" xfId="9932" xr:uid="{00000000-0005-0000-0000-000034750000}"/>
    <cellStyle name="Normal 59 2 2 3" xfId="9933" xr:uid="{00000000-0005-0000-0000-000035750000}"/>
    <cellStyle name="Normal 59 2 2 3 2" xfId="9934" xr:uid="{00000000-0005-0000-0000-000036750000}"/>
    <cellStyle name="Normal 59 2 2 3 3" xfId="9935" xr:uid="{00000000-0005-0000-0000-000037750000}"/>
    <cellStyle name="Normal 59 2 2 4" xfId="9936" xr:uid="{00000000-0005-0000-0000-000038750000}"/>
    <cellStyle name="Normal 59 2 2 4 2" xfId="9937" xr:uid="{00000000-0005-0000-0000-000039750000}"/>
    <cellStyle name="Normal 59 2 2 4 3" xfId="9938" xr:uid="{00000000-0005-0000-0000-00003A750000}"/>
    <cellStyle name="Normal 59 2 2 5" xfId="9939" xr:uid="{00000000-0005-0000-0000-00003B750000}"/>
    <cellStyle name="Normal 59 2 2 6" xfId="9940" xr:uid="{00000000-0005-0000-0000-00003C750000}"/>
    <cellStyle name="Normal 59 2 3" xfId="9941" xr:uid="{00000000-0005-0000-0000-00003D750000}"/>
    <cellStyle name="Normal 59 2 3 2" xfId="9942" xr:uid="{00000000-0005-0000-0000-00003E750000}"/>
    <cellStyle name="Normal 59 2 3 2 2" xfId="9943" xr:uid="{00000000-0005-0000-0000-00003F750000}"/>
    <cellStyle name="Normal 59 2 3 2 3" xfId="9944" xr:uid="{00000000-0005-0000-0000-000040750000}"/>
    <cellStyle name="Normal 59 2 3 3" xfId="9945" xr:uid="{00000000-0005-0000-0000-000041750000}"/>
    <cellStyle name="Normal 59 2 3 3 2" xfId="9946" xr:uid="{00000000-0005-0000-0000-000042750000}"/>
    <cellStyle name="Normal 59 2 3 3 3" xfId="9947" xr:uid="{00000000-0005-0000-0000-000043750000}"/>
    <cellStyle name="Normal 59 2 3 4" xfId="9948" xr:uid="{00000000-0005-0000-0000-000044750000}"/>
    <cellStyle name="Normal 59 2 3 5" xfId="9949" xr:uid="{00000000-0005-0000-0000-000045750000}"/>
    <cellStyle name="Normal 59 2 4" xfId="9950" xr:uid="{00000000-0005-0000-0000-000046750000}"/>
    <cellStyle name="Normal 59 2 4 2" xfId="9951" xr:uid="{00000000-0005-0000-0000-000047750000}"/>
    <cellStyle name="Normal 59 2 4 3" xfId="9952" xr:uid="{00000000-0005-0000-0000-000048750000}"/>
    <cellStyle name="Normal 59 2 5" xfId="9953" xr:uid="{00000000-0005-0000-0000-000049750000}"/>
    <cellStyle name="Normal 59 2 5 2" xfId="9954" xr:uid="{00000000-0005-0000-0000-00004A750000}"/>
    <cellStyle name="Normal 59 2 5 3" xfId="9955" xr:uid="{00000000-0005-0000-0000-00004B750000}"/>
    <cellStyle name="Normal 59 2 6" xfId="9956" xr:uid="{00000000-0005-0000-0000-00004C750000}"/>
    <cellStyle name="Normal 59 2 7" xfId="9957" xr:uid="{00000000-0005-0000-0000-00004D750000}"/>
    <cellStyle name="Normal 59 3" xfId="9958" xr:uid="{00000000-0005-0000-0000-00004E750000}"/>
    <cellStyle name="Normal 59 3 2" xfId="9959" xr:uid="{00000000-0005-0000-0000-00004F750000}"/>
    <cellStyle name="Normal 59 3 2 2" xfId="9960" xr:uid="{00000000-0005-0000-0000-000050750000}"/>
    <cellStyle name="Normal 59 3 2 2 2" xfId="9961" xr:uid="{00000000-0005-0000-0000-000051750000}"/>
    <cellStyle name="Normal 59 3 2 2 3" xfId="9962" xr:uid="{00000000-0005-0000-0000-000052750000}"/>
    <cellStyle name="Normal 59 3 2 3" xfId="9963" xr:uid="{00000000-0005-0000-0000-000053750000}"/>
    <cellStyle name="Normal 59 3 2 3 2" xfId="9964" xr:uid="{00000000-0005-0000-0000-000054750000}"/>
    <cellStyle name="Normal 59 3 2 3 3" xfId="9965" xr:uid="{00000000-0005-0000-0000-000055750000}"/>
    <cellStyle name="Normal 59 3 2 4" xfId="9966" xr:uid="{00000000-0005-0000-0000-000056750000}"/>
    <cellStyle name="Normal 59 3 2 5" xfId="9967" xr:uid="{00000000-0005-0000-0000-000057750000}"/>
    <cellStyle name="Normal 59 3 3" xfId="9968" xr:uid="{00000000-0005-0000-0000-000058750000}"/>
    <cellStyle name="Normal 59 3 3 2" xfId="9969" xr:uid="{00000000-0005-0000-0000-000059750000}"/>
    <cellStyle name="Normal 59 3 3 3" xfId="9970" xr:uid="{00000000-0005-0000-0000-00005A750000}"/>
    <cellStyle name="Normal 59 3 4" xfId="9971" xr:uid="{00000000-0005-0000-0000-00005B750000}"/>
    <cellStyle name="Normal 59 3 4 2" xfId="9972" xr:uid="{00000000-0005-0000-0000-00005C750000}"/>
    <cellStyle name="Normal 59 3 4 3" xfId="9973" xr:uid="{00000000-0005-0000-0000-00005D750000}"/>
    <cellStyle name="Normal 59 3 5" xfId="9974" xr:uid="{00000000-0005-0000-0000-00005E750000}"/>
    <cellStyle name="Normal 59 3 6" xfId="9975" xr:uid="{00000000-0005-0000-0000-00005F750000}"/>
    <cellStyle name="Normal 59 4" xfId="9976" xr:uid="{00000000-0005-0000-0000-000060750000}"/>
    <cellStyle name="Normal 59 4 2" xfId="9977" xr:uid="{00000000-0005-0000-0000-000061750000}"/>
    <cellStyle name="Normal 59 4 2 2" xfId="9978" xr:uid="{00000000-0005-0000-0000-000062750000}"/>
    <cellStyle name="Normal 59 4 2 3" xfId="9979" xr:uid="{00000000-0005-0000-0000-000063750000}"/>
    <cellStyle name="Normal 59 4 3" xfId="9980" xr:uid="{00000000-0005-0000-0000-000064750000}"/>
    <cellStyle name="Normal 59 4 3 2" xfId="9981" xr:uid="{00000000-0005-0000-0000-000065750000}"/>
    <cellStyle name="Normal 59 4 3 3" xfId="9982" xr:uid="{00000000-0005-0000-0000-000066750000}"/>
    <cellStyle name="Normal 59 4 4" xfId="9983" xr:uid="{00000000-0005-0000-0000-000067750000}"/>
    <cellStyle name="Normal 59 4 5" xfId="9984" xr:uid="{00000000-0005-0000-0000-000068750000}"/>
    <cellStyle name="Normal 59 5" xfId="9985" xr:uid="{00000000-0005-0000-0000-000069750000}"/>
    <cellStyle name="Normal 59 5 2" xfId="9986" xr:uid="{00000000-0005-0000-0000-00006A750000}"/>
    <cellStyle name="Normal 59 5 3" xfId="9987" xr:uid="{00000000-0005-0000-0000-00006B750000}"/>
    <cellStyle name="Normal 59 6" xfId="9988" xr:uid="{00000000-0005-0000-0000-00006C750000}"/>
    <cellStyle name="Normal 59 6 2" xfId="9989" xr:uid="{00000000-0005-0000-0000-00006D750000}"/>
    <cellStyle name="Normal 59 6 3" xfId="9990" xr:uid="{00000000-0005-0000-0000-00006E750000}"/>
    <cellStyle name="Normal 59 7" xfId="9991" xr:uid="{00000000-0005-0000-0000-00006F750000}"/>
    <cellStyle name="Normal 59 8" xfId="9992" xr:uid="{00000000-0005-0000-0000-000070750000}"/>
    <cellStyle name="Normal 6" xfId="23" xr:uid="{00000000-0005-0000-0000-000071750000}"/>
    <cellStyle name="Normal 6 10" xfId="9993" xr:uid="{00000000-0005-0000-0000-000072750000}"/>
    <cellStyle name="Normal 6 11" xfId="9994" xr:uid="{00000000-0005-0000-0000-000073750000}"/>
    <cellStyle name="Normal 6 2" xfId="214" xr:uid="{00000000-0005-0000-0000-000074750000}"/>
    <cellStyle name="Normal 6 2 2" xfId="9995" xr:uid="{00000000-0005-0000-0000-000075750000}"/>
    <cellStyle name="Normal 6 2 2 2" xfId="9996" xr:uid="{00000000-0005-0000-0000-000076750000}"/>
    <cellStyle name="Normal 6 2 2 2 2" xfId="9997" xr:uid="{00000000-0005-0000-0000-000077750000}"/>
    <cellStyle name="Normal 6 2 2 2 2 2" xfId="9998" xr:uid="{00000000-0005-0000-0000-000078750000}"/>
    <cellStyle name="Normal 6 2 2 2 2 2 2" xfId="9999" xr:uid="{00000000-0005-0000-0000-000079750000}"/>
    <cellStyle name="Normal 6 2 2 2 2 2 2 2" xfId="10000" xr:uid="{00000000-0005-0000-0000-00007A750000}"/>
    <cellStyle name="Normal 6 2 2 2 2 2 2 3" xfId="10001" xr:uid="{00000000-0005-0000-0000-00007B750000}"/>
    <cellStyle name="Normal 6 2 2 2 2 2 3" xfId="10002" xr:uid="{00000000-0005-0000-0000-00007C750000}"/>
    <cellStyle name="Normal 6 2 2 2 2 2 3 2" xfId="10003" xr:uid="{00000000-0005-0000-0000-00007D750000}"/>
    <cellStyle name="Normal 6 2 2 2 2 2 3 3" xfId="10004" xr:uid="{00000000-0005-0000-0000-00007E750000}"/>
    <cellStyle name="Normal 6 2 2 2 2 2 4" xfId="10005" xr:uid="{00000000-0005-0000-0000-00007F750000}"/>
    <cellStyle name="Normal 6 2 2 2 2 2 5" xfId="10006" xr:uid="{00000000-0005-0000-0000-000080750000}"/>
    <cellStyle name="Normal 6 2 2 2 2 3" xfId="10007" xr:uid="{00000000-0005-0000-0000-000081750000}"/>
    <cellStyle name="Normal 6 2 2 2 2 3 2" xfId="10008" xr:uid="{00000000-0005-0000-0000-000082750000}"/>
    <cellStyle name="Normal 6 2 2 2 2 3 3" xfId="10009" xr:uid="{00000000-0005-0000-0000-000083750000}"/>
    <cellStyle name="Normal 6 2 2 2 2 4" xfId="10010" xr:uid="{00000000-0005-0000-0000-000084750000}"/>
    <cellStyle name="Normal 6 2 2 2 2 4 2" xfId="10011" xr:uid="{00000000-0005-0000-0000-000085750000}"/>
    <cellStyle name="Normal 6 2 2 2 2 4 3" xfId="10012" xr:uid="{00000000-0005-0000-0000-000086750000}"/>
    <cellStyle name="Normal 6 2 2 2 2 5" xfId="10013" xr:uid="{00000000-0005-0000-0000-000087750000}"/>
    <cellStyle name="Normal 6 2 2 2 2 6" xfId="10014" xr:uid="{00000000-0005-0000-0000-000088750000}"/>
    <cellStyle name="Normal 6 2 2 2 3" xfId="10015" xr:uid="{00000000-0005-0000-0000-000089750000}"/>
    <cellStyle name="Normal 6 2 2 2 3 2" xfId="10016" xr:uid="{00000000-0005-0000-0000-00008A750000}"/>
    <cellStyle name="Normal 6 2 2 2 3 2 2" xfId="10017" xr:uid="{00000000-0005-0000-0000-00008B750000}"/>
    <cellStyle name="Normal 6 2 2 2 3 2 3" xfId="10018" xr:uid="{00000000-0005-0000-0000-00008C750000}"/>
    <cellStyle name="Normal 6 2 2 2 3 3" xfId="10019" xr:uid="{00000000-0005-0000-0000-00008D750000}"/>
    <cellStyle name="Normal 6 2 2 2 3 3 2" xfId="10020" xr:uid="{00000000-0005-0000-0000-00008E750000}"/>
    <cellStyle name="Normal 6 2 2 2 3 3 3" xfId="10021" xr:uid="{00000000-0005-0000-0000-00008F750000}"/>
    <cellStyle name="Normal 6 2 2 2 3 4" xfId="10022" xr:uid="{00000000-0005-0000-0000-000090750000}"/>
    <cellStyle name="Normal 6 2 2 2 3 5" xfId="10023" xr:uid="{00000000-0005-0000-0000-000091750000}"/>
    <cellStyle name="Normal 6 2 2 2 3 6" xfId="34896" xr:uid="{00000000-0005-0000-0000-000092750000}"/>
    <cellStyle name="Normal 6 2 2 2 4" xfId="10024" xr:uid="{00000000-0005-0000-0000-000093750000}"/>
    <cellStyle name="Normal 6 2 2 2 4 2" xfId="10025" xr:uid="{00000000-0005-0000-0000-000094750000}"/>
    <cellStyle name="Normal 6 2 2 2 4 3" xfId="10026" xr:uid="{00000000-0005-0000-0000-000095750000}"/>
    <cellStyle name="Normal 6 2 2 2 5" xfId="10027" xr:uid="{00000000-0005-0000-0000-000096750000}"/>
    <cellStyle name="Normal 6 2 2 2 5 2" xfId="10028" xr:uid="{00000000-0005-0000-0000-000097750000}"/>
    <cellStyle name="Normal 6 2 2 2 5 3" xfId="10029" xr:uid="{00000000-0005-0000-0000-000098750000}"/>
    <cellStyle name="Normal 6 2 2 2 6" xfId="10030" xr:uid="{00000000-0005-0000-0000-000099750000}"/>
    <cellStyle name="Normal 6 2 2 2 7" xfId="10031" xr:uid="{00000000-0005-0000-0000-00009A750000}"/>
    <cellStyle name="Normal 6 2 2 3" xfId="10032" xr:uid="{00000000-0005-0000-0000-00009B750000}"/>
    <cellStyle name="Normal 6 2 2 3 2" xfId="10033" xr:uid="{00000000-0005-0000-0000-00009C750000}"/>
    <cellStyle name="Normal 6 2 2 3 2 2" xfId="10034" xr:uid="{00000000-0005-0000-0000-00009D750000}"/>
    <cellStyle name="Normal 6 2 2 3 2 2 2" xfId="10035" xr:uid="{00000000-0005-0000-0000-00009E750000}"/>
    <cellStyle name="Normal 6 2 2 3 2 2 3" xfId="10036" xr:uid="{00000000-0005-0000-0000-00009F750000}"/>
    <cellStyle name="Normal 6 2 2 3 2 3" xfId="10037" xr:uid="{00000000-0005-0000-0000-0000A0750000}"/>
    <cellStyle name="Normal 6 2 2 3 2 3 2" xfId="10038" xr:uid="{00000000-0005-0000-0000-0000A1750000}"/>
    <cellStyle name="Normal 6 2 2 3 2 3 3" xfId="10039" xr:uid="{00000000-0005-0000-0000-0000A2750000}"/>
    <cellStyle name="Normal 6 2 2 3 2 4" xfId="10040" xr:uid="{00000000-0005-0000-0000-0000A3750000}"/>
    <cellStyle name="Normal 6 2 2 3 2 5" xfId="10041" xr:uid="{00000000-0005-0000-0000-0000A4750000}"/>
    <cellStyle name="Normal 6 2 2 3 3" xfId="10042" xr:uid="{00000000-0005-0000-0000-0000A5750000}"/>
    <cellStyle name="Normal 6 2 2 3 3 2" xfId="10043" xr:uid="{00000000-0005-0000-0000-0000A6750000}"/>
    <cellStyle name="Normal 6 2 2 3 3 3" xfId="10044" xr:uid="{00000000-0005-0000-0000-0000A7750000}"/>
    <cellStyle name="Normal 6 2 2 3 4" xfId="10045" xr:uid="{00000000-0005-0000-0000-0000A8750000}"/>
    <cellStyle name="Normal 6 2 2 3 4 2" xfId="10046" xr:uid="{00000000-0005-0000-0000-0000A9750000}"/>
    <cellStyle name="Normal 6 2 2 3 4 3" xfId="10047" xr:uid="{00000000-0005-0000-0000-0000AA750000}"/>
    <cellStyle name="Normal 6 2 2 3 5" xfId="10048" xr:uid="{00000000-0005-0000-0000-0000AB750000}"/>
    <cellStyle name="Normal 6 2 2 3 6" xfId="10049" xr:uid="{00000000-0005-0000-0000-0000AC750000}"/>
    <cellStyle name="Normal 6 2 2 4" xfId="10050" xr:uid="{00000000-0005-0000-0000-0000AD750000}"/>
    <cellStyle name="Normal 6 2 2 4 2" xfId="10051" xr:uid="{00000000-0005-0000-0000-0000AE750000}"/>
    <cellStyle name="Normal 6 2 2 4 2 2" xfId="10052" xr:uid="{00000000-0005-0000-0000-0000AF750000}"/>
    <cellStyle name="Normal 6 2 2 4 2 3" xfId="10053" xr:uid="{00000000-0005-0000-0000-0000B0750000}"/>
    <cellStyle name="Normal 6 2 2 4 3" xfId="10054" xr:uid="{00000000-0005-0000-0000-0000B1750000}"/>
    <cellStyle name="Normal 6 2 2 4 3 2" xfId="10055" xr:uid="{00000000-0005-0000-0000-0000B2750000}"/>
    <cellStyle name="Normal 6 2 2 4 3 3" xfId="10056" xr:uid="{00000000-0005-0000-0000-0000B3750000}"/>
    <cellStyle name="Normal 6 2 2 4 4" xfId="10057" xr:uid="{00000000-0005-0000-0000-0000B4750000}"/>
    <cellStyle name="Normal 6 2 2 4 5" xfId="10058" xr:uid="{00000000-0005-0000-0000-0000B5750000}"/>
    <cellStyle name="Normal 6 2 2 5" xfId="10059" xr:uid="{00000000-0005-0000-0000-0000B6750000}"/>
    <cellStyle name="Normal 6 2 2 5 2" xfId="10060" xr:uid="{00000000-0005-0000-0000-0000B7750000}"/>
    <cellStyle name="Normal 6 2 2 5 3" xfId="10061" xr:uid="{00000000-0005-0000-0000-0000B8750000}"/>
    <cellStyle name="Normal 6 2 2 6" xfId="10062" xr:uid="{00000000-0005-0000-0000-0000B9750000}"/>
    <cellStyle name="Normal 6 2 2 6 2" xfId="10063" xr:uid="{00000000-0005-0000-0000-0000BA750000}"/>
    <cellStyle name="Normal 6 2 2 6 3" xfId="10064" xr:uid="{00000000-0005-0000-0000-0000BB750000}"/>
    <cellStyle name="Normal 6 2 2 7" xfId="10065" xr:uid="{00000000-0005-0000-0000-0000BC750000}"/>
    <cellStyle name="Normal 6 2 2 8" xfId="10066" xr:uid="{00000000-0005-0000-0000-0000BD750000}"/>
    <cellStyle name="Normal 6 2 3" xfId="10067" xr:uid="{00000000-0005-0000-0000-0000BE750000}"/>
    <cellStyle name="Normal 6 2 3 2" xfId="10068" xr:uid="{00000000-0005-0000-0000-0000BF750000}"/>
    <cellStyle name="Normal 6 2 3 2 2" xfId="10069" xr:uid="{00000000-0005-0000-0000-0000C0750000}"/>
    <cellStyle name="Normal 6 2 3 2 2 2" xfId="10070" xr:uid="{00000000-0005-0000-0000-0000C1750000}"/>
    <cellStyle name="Normal 6 2 3 2 2 2 2" xfId="10071" xr:uid="{00000000-0005-0000-0000-0000C2750000}"/>
    <cellStyle name="Normal 6 2 3 2 2 2 3" xfId="10072" xr:uid="{00000000-0005-0000-0000-0000C3750000}"/>
    <cellStyle name="Normal 6 2 3 2 2 3" xfId="10073" xr:uid="{00000000-0005-0000-0000-0000C4750000}"/>
    <cellStyle name="Normal 6 2 3 2 2 3 2" xfId="10074" xr:uid="{00000000-0005-0000-0000-0000C5750000}"/>
    <cellStyle name="Normal 6 2 3 2 2 3 3" xfId="10075" xr:uid="{00000000-0005-0000-0000-0000C6750000}"/>
    <cellStyle name="Normal 6 2 3 2 2 4" xfId="10076" xr:uid="{00000000-0005-0000-0000-0000C7750000}"/>
    <cellStyle name="Normal 6 2 3 2 2 5" xfId="10077" xr:uid="{00000000-0005-0000-0000-0000C8750000}"/>
    <cellStyle name="Normal 6 2 3 2 3" xfId="10078" xr:uid="{00000000-0005-0000-0000-0000C9750000}"/>
    <cellStyle name="Normal 6 2 3 2 3 2" xfId="10079" xr:uid="{00000000-0005-0000-0000-0000CA750000}"/>
    <cellStyle name="Normal 6 2 3 2 3 3" xfId="10080" xr:uid="{00000000-0005-0000-0000-0000CB750000}"/>
    <cellStyle name="Normal 6 2 3 2 4" xfId="10081" xr:uid="{00000000-0005-0000-0000-0000CC750000}"/>
    <cellStyle name="Normal 6 2 3 2 4 2" xfId="10082" xr:uid="{00000000-0005-0000-0000-0000CD750000}"/>
    <cellStyle name="Normal 6 2 3 2 4 3" xfId="10083" xr:uid="{00000000-0005-0000-0000-0000CE750000}"/>
    <cellStyle name="Normal 6 2 3 2 5" xfId="10084" xr:uid="{00000000-0005-0000-0000-0000CF750000}"/>
    <cellStyle name="Normal 6 2 3 2 6" xfId="10085" xr:uid="{00000000-0005-0000-0000-0000D0750000}"/>
    <cellStyle name="Normal 6 2 3 3" xfId="10086" xr:uid="{00000000-0005-0000-0000-0000D1750000}"/>
    <cellStyle name="Normal 6 2 3 3 2" xfId="10087" xr:uid="{00000000-0005-0000-0000-0000D2750000}"/>
    <cellStyle name="Normal 6 2 3 3 2 2" xfId="10088" xr:uid="{00000000-0005-0000-0000-0000D3750000}"/>
    <cellStyle name="Normal 6 2 3 3 2 3" xfId="10089" xr:uid="{00000000-0005-0000-0000-0000D4750000}"/>
    <cellStyle name="Normal 6 2 3 3 3" xfId="10090" xr:uid="{00000000-0005-0000-0000-0000D5750000}"/>
    <cellStyle name="Normal 6 2 3 3 3 2" xfId="10091" xr:uid="{00000000-0005-0000-0000-0000D6750000}"/>
    <cellStyle name="Normal 6 2 3 3 3 3" xfId="10092" xr:uid="{00000000-0005-0000-0000-0000D7750000}"/>
    <cellStyle name="Normal 6 2 3 3 4" xfId="10093" xr:uid="{00000000-0005-0000-0000-0000D8750000}"/>
    <cellStyle name="Normal 6 2 3 3 5" xfId="10094" xr:uid="{00000000-0005-0000-0000-0000D9750000}"/>
    <cellStyle name="Normal 6 2 3 4" xfId="10095" xr:uid="{00000000-0005-0000-0000-0000DA750000}"/>
    <cellStyle name="Normal 6 2 3 4 2" xfId="10096" xr:uid="{00000000-0005-0000-0000-0000DB750000}"/>
    <cellStyle name="Normal 6 2 3 4 3" xfId="10097" xr:uid="{00000000-0005-0000-0000-0000DC750000}"/>
    <cellStyle name="Normal 6 2 3 5" xfId="10098" xr:uid="{00000000-0005-0000-0000-0000DD750000}"/>
    <cellStyle name="Normal 6 2 3 5 2" xfId="10099" xr:uid="{00000000-0005-0000-0000-0000DE750000}"/>
    <cellStyle name="Normal 6 2 3 5 3" xfId="10100" xr:uid="{00000000-0005-0000-0000-0000DF750000}"/>
    <cellStyle name="Normal 6 2 3 6" xfId="10101" xr:uid="{00000000-0005-0000-0000-0000E0750000}"/>
    <cellStyle name="Normal 6 2 3 7" xfId="10102" xr:uid="{00000000-0005-0000-0000-0000E1750000}"/>
    <cellStyle name="Normal 6 2 4" xfId="10103" xr:uid="{00000000-0005-0000-0000-0000E2750000}"/>
    <cellStyle name="Normal 6 2 4 2" xfId="10104" xr:uid="{00000000-0005-0000-0000-0000E3750000}"/>
    <cellStyle name="Normal 6 2 4 2 2" xfId="10105" xr:uid="{00000000-0005-0000-0000-0000E4750000}"/>
    <cellStyle name="Normal 6 2 4 2 2 2" xfId="10106" xr:uid="{00000000-0005-0000-0000-0000E5750000}"/>
    <cellStyle name="Normal 6 2 4 2 2 3" xfId="10107" xr:uid="{00000000-0005-0000-0000-0000E6750000}"/>
    <cellStyle name="Normal 6 2 4 2 3" xfId="10108" xr:uid="{00000000-0005-0000-0000-0000E7750000}"/>
    <cellStyle name="Normal 6 2 4 2 3 2" xfId="10109" xr:uid="{00000000-0005-0000-0000-0000E8750000}"/>
    <cellStyle name="Normal 6 2 4 2 3 3" xfId="10110" xr:uid="{00000000-0005-0000-0000-0000E9750000}"/>
    <cellStyle name="Normal 6 2 4 2 4" xfId="10111" xr:uid="{00000000-0005-0000-0000-0000EA750000}"/>
    <cellStyle name="Normal 6 2 4 2 5" xfId="10112" xr:uid="{00000000-0005-0000-0000-0000EB750000}"/>
    <cellStyle name="Normal 6 2 4 3" xfId="10113" xr:uid="{00000000-0005-0000-0000-0000EC750000}"/>
    <cellStyle name="Normal 6 2 4 3 2" xfId="10114" xr:uid="{00000000-0005-0000-0000-0000ED750000}"/>
    <cellStyle name="Normal 6 2 4 3 3" xfId="10115" xr:uid="{00000000-0005-0000-0000-0000EE750000}"/>
    <cellStyle name="Normal 6 2 4 4" xfId="10116" xr:uid="{00000000-0005-0000-0000-0000EF750000}"/>
    <cellStyle name="Normal 6 2 4 4 2" xfId="10117" xr:uid="{00000000-0005-0000-0000-0000F0750000}"/>
    <cellStyle name="Normal 6 2 4 4 3" xfId="10118" xr:uid="{00000000-0005-0000-0000-0000F1750000}"/>
    <cellStyle name="Normal 6 2 4 5" xfId="10119" xr:uid="{00000000-0005-0000-0000-0000F2750000}"/>
    <cellStyle name="Normal 6 2 4 6" xfId="10120" xr:uid="{00000000-0005-0000-0000-0000F3750000}"/>
    <cellStyle name="Normal 6 2 5" xfId="10121" xr:uid="{00000000-0005-0000-0000-0000F4750000}"/>
    <cellStyle name="Normal 6 2 5 2" xfId="10122" xr:uid="{00000000-0005-0000-0000-0000F5750000}"/>
    <cellStyle name="Normal 6 2 5 2 2" xfId="10123" xr:uid="{00000000-0005-0000-0000-0000F6750000}"/>
    <cellStyle name="Normal 6 2 5 2 3" xfId="10124" xr:uid="{00000000-0005-0000-0000-0000F7750000}"/>
    <cellStyle name="Normal 6 2 5 3" xfId="10125" xr:uid="{00000000-0005-0000-0000-0000F8750000}"/>
    <cellStyle name="Normal 6 2 5 3 2" xfId="10126" xr:uid="{00000000-0005-0000-0000-0000F9750000}"/>
    <cellStyle name="Normal 6 2 5 3 3" xfId="10127" xr:uid="{00000000-0005-0000-0000-0000FA750000}"/>
    <cellStyle name="Normal 6 2 5 4" xfId="10128" xr:uid="{00000000-0005-0000-0000-0000FB750000}"/>
    <cellStyle name="Normal 6 2 5 5" xfId="10129" xr:uid="{00000000-0005-0000-0000-0000FC750000}"/>
    <cellStyle name="Normal 6 2 6" xfId="10130" xr:uid="{00000000-0005-0000-0000-0000FD750000}"/>
    <cellStyle name="Normal 6 2 6 2" xfId="10131" xr:uid="{00000000-0005-0000-0000-0000FE750000}"/>
    <cellStyle name="Normal 6 2 6 3" xfId="10132" xr:uid="{00000000-0005-0000-0000-0000FF750000}"/>
    <cellStyle name="Normal 6 2 7" xfId="10133" xr:uid="{00000000-0005-0000-0000-000000760000}"/>
    <cellStyle name="Normal 6 2 7 2" xfId="10134" xr:uid="{00000000-0005-0000-0000-000001760000}"/>
    <cellStyle name="Normal 6 2 7 3" xfId="10135" xr:uid="{00000000-0005-0000-0000-000002760000}"/>
    <cellStyle name="Normal 6 2 8" xfId="10136" xr:uid="{00000000-0005-0000-0000-000003760000}"/>
    <cellStyle name="Normal 6 2 9" xfId="10137" xr:uid="{00000000-0005-0000-0000-000004760000}"/>
    <cellStyle name="Normal 6 3" xfId="10138" xr:uid="{00000000-0005-0000-0000-000005760000}"/>
    <cellStyle name="Normal 6 3 2" xfId="10139" xr:uid="{00000000-0005-0000-0000-000006760000}"/>
    <cellStyle name="Normal 6 3 2 2" xfId="10140" xr:uid="{00000000-0005-0000-0000-000007760000}"/>
    <cellStyle name="Normal 6 3 2 2 2" xfId="10141" xr:uid="{00000000-0005-0000-0000-000008760000}"/>
    <cellStyle name="Normal 6 3 2 2 2 2" xfId="10142" xr:uid="{00000000-0005-0000-0000-000009760000}"/>
    <cellStyle name="Normal 6 3 2 2 2 2 2" xfId="10143" xr:uid="{00000000-0005-0000-0000-00000A760000}"/>
    <cellStyle name="Normal 6 3 2 2 2 2 3" xfId="10144" xr:uid="{00000000-0005-0000-0000-00000B760000}"/>
    <cellStyle name="Normal 6 3 2 2 2 3" xfId="10145" xr:uid="{00000000-0005-0000-0000-00000C760000}"/>
    <cellStyle name="Normal 6 3 2 2 2 3 2" xfId="10146" xr:uid="{00000000-0005-0000-0000-00000D760000}"/>
    <cellStyle name="Normal 6 3 2 2 2 3 3" xfId="10147" xr:uid="{00000000-0005-0000-0000-00000E760000}"/>
    <cellStyle name="Normal 6 3 2 2 2 4" xfId="10148" xr:uid="{00000000-0005-0000-0000-00000F760000}"/>
    <cellStyle name="Normal 6 3 2 2 2 5" xfId="10149" xr:uid="{00000000-0005-0000-0000-000010760000}"/>
    <cellStyle name="Normal 6 3 2 2 3" xfId="10150" xr:uid="{00000000-0005-0000-0000-000011760000}"/>
    <cellStyle name="Normal 6 3 2 2 3 2" xfId="10151" xr:uid="{00000000-0005-0000-0000-000012760000}"/>
    <cellStyle name="Normal 6 3 2 2 3 3" xfId="10152" xr:uid="{00000000-0005-0000-0000-000013760000}"/>
    <cellStyle name="Normal 6 3 2 2 4" xfId="10153" xr:uid="{00000000-0005-0000-0000-000014760000}"/>
    <cellStyle name="Normal 6 3 2 2 4 2" xfId="10154" xr:uid="{00000000-0005-0000-0000-000015760000}"/>
    <cellStyle name="Normal 6 3 2 2 4 3" xfId="10155" xr:uid="{00000000-0005-0000-0000-000016760000}"/>
    <cellStyle name="Normal 6 3 2 2 5" xfId="10156" xr:uid="{00000000-0005-0000-0000-000017760000}"/>
    <cellStyle name="Normal 6 3 2 2 6" xfId="10157" xr:uid="{00000000-0005-0000-0000-000018760000}"/>
    <cellStyle name="Normal 6 3 2 3" xfId="10158" xr:uid="{00000000-0005-0000-0000-000019760000}"/>
    <cellStyle name="Normal 6 3 2 3 2" xfId="10159" xr:uid="{00000000-0005-0000-0000-00001A760000}"/>
    <cellStyle name="Normal 6 3 2 3 2 2" xfId="10160" xr:uid="{00000000-0005-0000-0000-00001B760000}"/>
    <cellStyle name="Normal 6 3 2 3 2 3" xfId="10161" xr:uid="{00000000-0005-0000-0000-00001C760000}"/>
    <cellStyle name="Normal 6 3 2 3 3" xfId="10162" xr:uid="{00000000-0005-0000-0000-00001D760000}"/>
    <cellStyle name="Normal 6 3 2 3 3 2" xfId="10163" xr:uid="{00000000-0005-0000-0000-00001E760000}"/>
    <cellStyle name="Normal 6 3 2 3 3 3" xfId="10164" xr:uid="{00000000-0005-0000-0000-00001F760000}"/>
    <cellStyle name="Normal 6 3 2 3 4" xfId="10165" xr:uid="{00000000-0005-0000-0000-000020760000}"/>
    <cellStyle name="Normal 6 3 2 3 5" xfId="10166" xr:uid="{00000000-0005-0000-0000-000021760000}"/>
    <cellStyle name="Normal 6 3 2 4" xfId="10167" xr:uid="{00000000-0005-0000-0000-000022760000}"/>
    <cellStyle name="Normal 6 3 2 4 2" xfId="10168" xr:uid="{00000000-0005-0000-0000-000023760000}"/>
    <cellStyle name="Normal 6 3 2 4 3" xfId="10169" xr:uid="{00000000-0005-0000-0000-000024760000}"/>
    <cellStyle name="Normal 6 3 2 5" xfId="10170" xr:uid="{00000000-0005-0000-0000-000025760000}"/>
    <cellStyle name="Normal 6 3 2 5 2" xfId="10171" xr:uid="{00000000-0005-0000-0000-000026760000}"/>
    <cellStyle name="Normal 6 3 2 5 3" xfId="10172" xr:uid="{00000000-0005-0000-0000-000027760000}"/>
    <cellStyle name="Normal 6 3 2 6" xfId="10173" xr:uid="{00000000-0005-0000-0000-000028760000}"/>
    <cellStyle name="Normal 6 3 2 7" xfId="10174" xr:uid="{00000000-0005-0000-0000-000029760000}"/>
    <cellStyle name="Normal 6 3 3" xfId="10175" xr:uid="{00000000-0005-0000-0000-00002A760000}"/>
    <cellStyle name="Normal 6 3 3 2" xfId="10176" xr:uid="{00000000-0005-0000-0000-00002B760000}"/>
    <cellStyle name="Normal 6 3 3 2 2" xfId="10177" xr:uid="{00000000-0005-0000-0000-00002C760000}"/>
    <cellStyle name="Normal 6 3 3 2 2 2" xfId="10178" xr:uid="{00000000-0005-0000-0000-00002D760000}"/>
    <cellStyle name="Normal 6 3 3 2 2 3" xfId="10179" xr:uid="{00000000-0005-0000-0000-00002E760000}"/>
    <cellStyle name="Normal 6 3 3 2 3" xfId="10180" xr:uid="{00000000-0005-0000-0000-00002F760000}"/>
    <cellStyle name="Normal 6 3 3 2 3 2" xfId="10181" xr:uid="{00000000-0005-0000-0000-000030760000}"/>
    <cellStyle name="Normal 6 3 3 2 3 3" xfId="10182" xr:uid="{00000000-0005-0000-0000-000031760000}"/>
    <cellStyle name="Normal 6 3 3 2 4" xfId="10183" xr:uid="{00000000-0005-0000-0000-000032760000}"/>
    <cellStyle name="Normal 6 3 3 2 5" xfId="10184" xr:uid="{00000000-0005-0000-0000-000033760000}"/>
    <cellStyle name="Normal 6 3 3 3" xfId="10185" xr:uid="{00000000-0005-0000-0000-000034760000}"/>
    <cellStyle name="Normal 6 3 3 3 2" xfId="10186" xr:uid="{00000000-0005-0000-0000-000035760000}"/>
    <cellStyle name="Normal 6 3 3 3 3" xfId="10187" xr:uid="{00000000-0005-0000-0000-000036760000}"/>
    <cellStyle name="Normal 6 3 3 4" xfId="10188" xr:uid="{00000000-0005-0000-0000-000037760000}"/>
    <cellStyle name="Normal 6 3 3 4 2" xfId="10189" xr:uid="{00000000-0005-0000-0000-000038760000}"/>
    <cellStyle name="Normal 6 3 3 4 3" xfId="10190" xr:uid="{00000000-0005-0000-0000-000039760000}"/>
    <cellStyle name="Normal 6 3 3 5" xfId="10191" xr:uid="{00000000-0005-0000-0000-00003A760000}"/>
    <cellStyle name="Normal 6 3 3 6" xfId="10192" xr:uid="{00000000-0005-0000-0000-00003B760000}"/>
    <cellStyle name="Normal 6 3 4" xfId="10193" xr:uid="{00000000-0005-0000-0000-00003C760000}"/>
    <cellStyle name="Normal 6 3 4 2" xfId="10194" xr:uid="{00000000-0005-0000-0000-00003D760000}"/>
    <cellStyle name="Normal 6 3 4 2 2" xfId="10195" xr:uid="{00000000-0005-0000-0000-00003E760000}"/>
    <cellStyle name="Normal 6 3 4 2 3" xfId="10196" xr:uid="{00000000-0005-0000-0000-00003F760000}"/>
    <cellStyle name="Normal 6 3 4 3" xfId="10197" xr:uid="{00000000-0005-0000-0000-000040760000}"/>
    <cellStyle name="Normal 6 3 4 3 2" xfId="10198" xr:uid="{00000000-0005-0000-0000-000041760000}"/>
    <cellStyle name="Normal 6 3 4 3 3" xfId="10199" xr:uid="{00000000-0005-0000-0000-000042760000}"/>
    <cellStyle name="Normal 6 3 4 4" xfId="10200" xr:uid="{00000000-0005-0000-0000-000043760000}"/>
    <cellStyle name="Normal 6 3 4 5" xfId="10201" xr:uid="{00000000-0005-0000-0000-000044760000}"/>
    <cellStyle name="Normal 6 3 5" xfId="10202" xr:uid="{00000000-0005-0000-0000-000045760000}"/>
    <cellStyle name="Normal 6 3 5 2" xfId="10203" xr:uid="{00000000-0005-0000-0000-000046760000}"/>
    <cellStyle name="Normal 6 3 5 3" xfId="10204" xr:uid="{00000000-0005-0000-0000-000047760000}"/>
    <cellStyle name="Normal 6 3 6" xfId="10205" xr:uid="{00000000-0005-0000-0000-000048760000}"/>
    <cellStyle name="Normal 6 3 6 2" xfId="10206" xr:uid="{00000000-0005-0000-0000-000049760000}"/>
    <cellStyle name="Normal 6 3 6 3" xfId="10207" xr:uid="{00000000-0005-0000-0000-00004A760000}"/>
    <cellStyle name="Normal 6 3 7" xfId="10208" xr:uid="{00000000-0005-0000-0000-00004B760000}"/>
    <cellStyle name="Normal 6 3 8" xfId="10209" xr:uid="{00000000-0005-0000-0000-00004C760000}"/>
    <cellStyle name="Normal 6 4" xfId="10210" xr:uid="{00000000-0005-0000-0000-00004D760000}"/>
    <cellStyle name="Normal 6 4 2" xfId="10211" xr:uid="{00000000-0005-0000-0000-00004E760000}"/>
    <cellStyle name="Normal 6 4 2 2" xfId="10212" xr:uid="{00000000-0005-0000-0000-00004F760000}"/>
    <cellStyle name="Normal 6 4 2 2 2" xfId="10213" xr:uid="{00000000-0005-0000-0000-000050760000}"/>
    <cellStyle name="Normal 6 4 2 2 2 2" xfId="10214" xr:uid="{00000000-0005-0000-0000-000051760000}"/>
    <cellStyle name="Normal 6 4 2 2 2 2 2" xfId="10215" xr:uid="{00000000-0005-0000-0000-000052760000}"/>
    <cellStyle name="Normal 6 4 2 2 2 2 3" xfId="10216" xr:uid="{00000000-0005-0000-0000-000053760000}"/>
    <cellStyle name="Normal 6 4 2 2 2 3" xfId="10217" xr:uid="{00000000-0005-0000-0000-000054760000}"/>
    <cellStyle name="Normal 6 4 2 2 2 3 2" xfId="10218" xr:uid="{00000000-0005-0000-0000-000055760000}"/>
    <cellStyle name="Normal 6 4 2 2 2 3 3" xfId="10219" xr:uid="{00000000-0005-0000-0000-000056760000}"/>
    <cellStyle name="Normal 6 4 2 2 2 4" xfId="10220" xr:uid="{00000000-0005-0000-0000-000057760000}"/>
    <cellStyle name="Normal 6 4 2 2 2 5" xfId="10221" xr:uid="{00000000-0005-0000-0000-000058760000}"/>
    <cellStyle name="Normal 6 4 2 2 3" xfId="10222" xr:uid="{00000000-0005-0000-0000-000059760000}"/>
    <cellStyle name="Normal 6 4 2 2 3 2" xfId="10223" xr:uid="{00000000-0005-0000-0000-00005A760000}"/>
    <cellStyle name="Normal 6 4 2 2 3 3" xfId="10224" xr:uid="{00000000-0005-0000-0000-00005B760000}"/>
    <cellStyle name="Normal 6 4 2 2 4" xfId="10225" xr:uid="{00000000-0005-0000-0000-00005C760000}"/>
    <cellStyle name="Normal 6 4 2 2 4 2" xfId="10226" xr:uid="{00000000-0005-0000-0000-00005D760000}"/>
    <cellStyle name="Normal 6 4 2 2 4 3" xfId="10227" xr:uid="{00000000-0005-0000-0000-00005E760000}"/>
    <cellStyle name="Normal 6 4 2 2 5" xfId="10228" xr:uid="{00000000-0005-0000-0000-00005F760000}"/>
    <cellStyle name="Normal 6 4 2 2 6" xfId="10229" xr:uid="{00000000-0005-0000-0000-000060760000}"/>
    <cellStyle name="Normal 6 4 2 3" xfId="10230" xr:uid="{00000000-0005-0000-0000-000061760000}"/>
    <cellStyle name="Normal 6 4 2 3 2" xfId="10231" xr:uid="{00000000-0005-0000-0000-000062760000}"/>
    <cellStyle name="Normal 6 4 2 3 2 2" xfId="10232" xr:uid="{00000000-0005-0000-0000-000063760000}"/>
    <cellStyle name="Normal 6 4 2 3 2 3" xfId="10233" xr:uid="{00000000-0005-0000-0000-000064760000}"/>
    <cellStyle name="Normal 6 4 2 3 3" xfId="10234" xr:uid="{00000000-0005-0000-0000-000065760000}"/>
    <cellStyle name="Normal 6 4 2 3 3 2" xfId="10235" xr:uid="{00000000-0005-0000-0000-000066760000}"/>
    <cellStyle name="Normal 6 4 2 3 3 3" xfId="10236" xr:uid="{00000000-0005-0000-0000-000067760000}"/>
    <cellStyle name="Normal 6 4 2 3 4" xfId="10237" xr:uid="{00000000-0005-0000-0000-000068760000}"/>
    <cellStyle name="Normal 6 4 2 3 5" xfId="10238" xr:uid="{00000000-0005-0000-0000-000069760000}"/>
    <cellStyle name="Normal 6 4 2 4" xfId="10239" xr:uid="{00000000-0005-0000-0000-00006A760000}"/>
    <cellStyle name="Normal 6 4 2 4 2" xfId="10240" xr:uid="{00000000-0005-0000-0000-00006B760000}"/>
    <cellStyle name="Normal 6 4 2 4 3" xfId="10241" xr:uid="{00000000-0005-0000-0000-00006C760000}"/>
    <cellStyle name="Normal 6 4 2 5" xfId="10242" xr:uid="{00000000-0005-0000-0000-00006D760000}"/>
    <cellStyle name="Normal 6 4 2 5 2" xfId="10243" xr:uid="{00000000-0005-0000-0000-00006E760000}"/>
    <cellStyle name="Normal 6 4 2 5 3" xfId="10244" xr:uid="{00000000-0005-0000-0000-00006F760000}"/>
    <cellStyle name="Normal 6 4 2 6" xfId="10245" xr:uid="{00000000-0005-0000-0000-000070760000}"/>
    <cellStyle name="Normal 6 4 2 7" xfId="10246" xr:uid="{00000000-0005-0000-0000-000071760000}"/>
    <cellStyle name="Normal 6 4 3" xfId="10247" xr:uid="{00000000-0005-0000-0000-000072760000}"/>
    <cellStyle name="Normal 6 4 3 2" xfId="10248" xr:uid="{00000000-0005-0000-0000-000073760000}"/>
    <cellStyle name="Normal 6 4 3 2 2" xfId="10249" xr:uid="{00000000-0005-0000-0000-000074760000}"/>
    <cellStyle name="Normal 6 4 3 2 2 2" xfId="10250" xr:uid="{00000000-0005-0000-0000-000075760000}"/>
    <cellStyle name="Normal 6 4 3 2 2 3" xfId="10251" xr:uid="{00000000-0005-0000-0000-000076760000}"/>
    <cellStyle name="Normal 6 4 3 2 3" xfId="10252" xr:uid="{00000000-0005-0000-0000-000077760000}"/>
    <cellStyle name="Normal 6 4 3 2 3 2" xfId="10253" xr:uid="{00000000-0005-0000-0000-000078760000}"/>
    <cellStyle name="Normal 6 4 3 2 3 3" xfId="10254" xr:uid="{00000000-0005-0000-0000-000079760000}"/>
    <cellStyle name="Normal 6 4 3 2 4" xfId="10255" xr:uid="{00000000-0005-0000-0000-00007A760000}"/>
    <cellStyle name="Normal 6 4 3 2 5" xfId="10256" xr:uid="{00000000-0005-0000-0000-00007B760000}"/>
    <cellStyle name="Normal 6 4 3 3" xfId="10257" xr:uid="{00000000-0005-0000-0000-00007C760000}"/>
    <cellStyle name="Normal 6 4 3 3 2" xfId="10258" xr:uid="{00000000-0005-0000-0000-00007D760000}"/>
    <cellStyle name="Normal 6 4 3 3 3" xfId="10259" xr:uid="{00000000-0005-0000-0000-00007E760000}"/>
    <cellStyle name="Normal 6 4 3 4" xfId="10260" xr:uid="{00000000-0005-0000-0000-00007F760000}"/>
    <cellStyle name="Normal 6 4 3 4 2" xfId="10261" xr:uid="{00000000-0005-0000-0000-000080760000}"/>
    <cellStyle name="Normal 6 4 3 4 3" xfId="10262" xr:uid="{00000000-0005-0000-0000-000081760000}"/>
    <cellStyle name="Normal 6 4 3 5" xfId="10263" xr:uid="{00000000-0005-0000-0000-000082760000}"/>
    <cellStyle name="Normal 6 4 3 6" xfId="10264" xr:uid="{00000000-0005-0000-0000-000083760000}"/>
    <cellStyle name="Normal 6 4 4" xfId="10265" xr:uid="{00000000-0005-0000-0000-000084760000}"/>
    <cellStyle name="Normal 6 4 4 2" xfId="10266" xr:uid="{00000000-0005-0000-0000-000085760000}"/>
    <cellStyle name="Normal 6 4 4 2 2" xfId="10267" xr:uid="{00000000-0005-0000-0000-000086760000}"/>
    <cellStyle name="Normal 6 4 4 2 3" xfId="10268" xr:uid="{00000000-0005-0000-0000-000087760000}"/>
    <cellStyle name="Normal 6 4 4 3" xfId="10269" xr:uid="{00000000-0005-0000-0000-000088760000}"/>
    <cellStyle name="Normal 6 4 4 3 2" xfId="10270" xr:uid="{00000000-0005-0000-0000-000089760000}"/>
    <cellStyle name="Normal 6 4 4 3 3" xfId="10271" xr:uid="{00000000-0005-0000-0000-00008A760000}"/>
    <cellStyle name="Normal 6 4 4 4" xfId="10272" xr:uid="{00000000-0005-0000-0000-00008B760000}"/>
    <cellStyle name="Normal 6 4 4 5" xfId="10273" xr:uid="{00000000-0005-0000-0000-00008C760000}"/>
    <cellStyle name="Normal 6 4 5" xfId="10274" xr:uid="{00000000-0005-0000-0000-00008D760000}"/>
    <cellStyle name="Normal 6 4 5 2" xfId="10275" xr:uid="{00000000-0005-0000-0000-00008E760000}"/>
    <cellStyle name="Normal 6 4 5 3" xfId="10276" xr:uid="{00000000-0005-0000-0000-00008F760000}"/>
    <cellStyle name="Normal 6 4 6" xfId="10277" xr:uid="{00000000-0005-0000-0000-000090760000}"/>
    <cellStyle name="Normal 6 4 6 2" xfId="10278" xr:uid="{00000000-0005-0000-0000-000091760000}"/>
    <cellStyle name="Normal 6 4 6 3" xfId="10279" xr:uid="{00000000-0005-0000-0000-000092760000}"/>
    <cellStyle name="Normal 6 4 7" xfId="10280" xr:uid="{00000000-0005-0000-0000-000093760000}"/>
    <cellStyle name="Normal 6 4 8" xfId="10281" xr:uid="{00000000-0005-0000-0000-000094760000}"/>
    <cellStyle name="Normal 6 5" xfId="10282" xr:uid="{00000000-0005-0000-0000-000095760000}"/>
    <cellStyle name="Normal 6 5 2" xfId="10283" xr:uid="{00000000-0005-0000-0000-000096760000}"/>
    <cellStyle name="Normal 6 5 2 2" xfId="10284" xr:uid="{00000000-0005-0000-0000-000097760000}"/>
    <cellStyle name="Normal 6 5 2 2 2" xfId="10285" xr:uid="{00000000-0005-0000-0000-000098760000}"/>
    <cellStyle name="Normal 6 5 2 2 2 2" xfId="10286" xr:uid="{00000000-0005-0000-0000-000099760000}"/>
    <cellStyle name="Normal 6 5 2 2 2 3" xfId="10287" xr:uid="{00000000-0005-0000-0000-00009A760000}"/>
    <cellStyle name="Normal 6 5 2 2 3" xfId="10288" xr:uid="{00000000-0005-0000-0000-00009B760000}"/>
    <cellStyle name="Normal 6 5 2 2 3 2" xfId="10289" xr:uid="{00000000-0005-0000-0000-00009C760000}"/>
    <cellStyle name="Normal 6 5 2 2 3 3" xfId="10290" xr:uid="{00000000-0005-0000-0000-00009D760000}"/>
    <cellStyle name="Normal 6 5 2 2 4" xfId="10291" xr:uid="{00000000-0005-0000-0000-00009E760000}"/>
    <cellStyle name="Normal 6 5 2 2 5" xfId="10292" xr:uid="{00000000-0005-0000-0000-00009F760000}"/>
    <cellStyle name="Normal 6 5 2 3" xfId="10293" xr:uid="{00000000-0005-0000-0000-0000A0760000}"/>
    <cellStyle name="Normal 6 5 2 3 2" xfId="10294" xr:uid="{00000000-0005-0000-0000-0000A1760000}"/>
    <cellStyle name="Normal 6 5 2 3 3" xfId="10295" xr:uid="{00000000-0005-0000-0000-0000A2760000}"/>
    <cellStyle name="Normal 6 5 2 4" xfId="10296" xr:uid="{00000000-0005-0000-0000-0000A3760000}"/>
    <cellStyle name="Normal 6 5 2 4 2" xfId="10297" xr:uid="{00000000-0005-0000-0000-0000A4760000}"/>
    <cellStyle name="Normal 6 5 2 4 3" xfId="10298" xr:uid="{00000000-0005-0000-0000-0000A5760000}"/>
    <cellStyle name="Normal 6 5 2 5" xfId="10299" xr:uid="{00000000-0005-0000-0000-0000A6760000}"/>
    <cellStyle name="Normal 6 5 2 6" xfId="10300" xr:uid="{00000000-0005-0000-0000-0000A7760000}"/>
    <cellStyle name="Normal 6 5 3" xfId="10301" xr:uid="{00000000-0005-0000-0000-0000A8760000}"/>
    <cellStyle name="Normal 6 5 3 2" xfId="10302" xr:uid="{00000000-0005-0000-0000-0000A9760000}"/>
    <cellStyle name="Normal 6 5 3 2 2" xfId="10303" xr:uid="{00000000-0005-0000-0000-0000AA760000}"/>
    <cellStyle name="Normal 6 5 3 2 3" xfId="10304" xr:uid="{00000000-0005-0000-0000-0000AB760000}"/>
    <cellStyle name="Normal 6 5 3 3" xfId="10305" xr:uid="{00000000-0005-0000-0000-0000AC760000}"/>
    <cellStyle name="Normal 6 5 3 3 2" xfId="10306" xr:uid="{00000000-0005-0000-0000-0000AD760000}"/>
    <cellStyle name="Normal 6 5 3 3 3" xfId="10307" xr:uid="{00000000-0005-0000-0000-0000AE760000}"/>
    <cellStyle name="Normal 6 5 3 4" xfId="10308" xr:uid="{00000000-0005-0000-0000-0000AF760000}"/>
    <cellStyle name="Normal 6 5 3 5" xfId="10309" xr:uid="{00000000-0005-0000-0000-0000B0760000}"/>
    <cellStyle name="Normal 6 5 4" xfId="10310" xr:uid="{00000000-0005-0000-0000-0000B1760000}"/>
    <cellStyle name="Normal 6 5 4 2" xfId="10311" xr:uid="{00000000-0005-0000-0000-0000B2760000}"/>
    <cellStyle name="Normal 6 5 4 3" xfId="10312" xr:uid="{00000000-0005-0000-0000-0000B3760000}"/>
    <cellStyle name="Normal 6 5 5" xfId="10313" xr:uid="{00000000-0005-0000-0000-0000B4760000}"/>
    <cellStyle name="Normal 6 5 5 2" xfId="10314" xr:uid="{00000000-0005-0000-0000-0000B5760000}"/>
    <cellStyle name="Normal 6 5 5 3" xfId="10315" xr:uid="{00000000-0005-0000-0000-0000B6760000}"/>
    <cellStyle name="Normal 6 5 6" xfId="10316" xr:uid="{00000000-0005-0000-0000-0000B7760000}"/>
    <cellStyle name="Normal 6 5 7" xfId="10317" xr:uid="{00000000-0005-0000-0000-0000B8760000}"/>
    <cellStyle name="Normal 6 6" xfId="10318" xr:uid="{00000000-0005-0000-0000-0000B9760000}"/>
    <cellStyle name="Normal 6 6 2" xfId="10319" xr:uid="{00000000-0005-0000-0000-0000BA760000}"/>
    <cellStyle name="Normal 6 6 2 2" xfId="10320" xr:uid="{00000000-0005-0000-0000-0000BB760000}"/>
    <cellStyle name="Normal 6 6 2 2 2" xfId="10321" xr:uid="{00000000-0005-0000-0000-0000BC760000}"/>
    <cellStyle name="Normal 6 6 2 2 3" xfId="10322" xr:uid="{00000000-0005-0000-0000-0000BD760000}"/>
    <cellStyle name="Normal 6 6 2 3" xfId="10323" xr:uid="{00000000-0005-0000-0000-0000BE760000}"/>
    <cellStyle name="Normal 6 6 2 3 2" xfId="10324" xr:uid="{00000000-0005-0000-0000-0000BF760000}"/>
    <cellStyle name="Normal 6 6 2 3 3" xfId="10325" xr:uid="{00000000-0005-0000-0000-0000C0760000}"/>
    <cellStyle name="Normal 6 6 2 4" xfId="10326" xr:uid="{00000000-0005-0000-0000-0000C1760000}"/>
    <cellStyle name="Normal 6 6 2 5" xfId="10327" xr:uid="{00000000-0005-0000-0000-0000C2760000}"/>
    <cellStyle name="Normal 6 6 3" xfId="10328" xr:uid="{00000000-0005-0000-0000-0000C3760000}"/>
    <cellStyle name="Normal 6 6 3 2" xfId="10329" xr:uid="{00000000-0005-0000-0000-0000C4760000}"/>
    <cellStyle name="Normal 6 6 3 3" xfId="10330" xr:uid="{00000000-0005-0000-0000-0000C5760000}"/>
    <cellStyle name="Normal 6 6 4" xfId="10331" xr:uid="{00000000-0005-0000-0000-0000C6760000}"/>
    <cellStyle name="Normal 6 6 4 2" xfId="10332" xr:uid="{00000000-0005-0000-0000-0000C7760000}"/>
    <cellStyle name="Normal 6 6 4 3" xfId="10333" xr:uid="{00000000-0005-0000-0000-0000C8760000}"/>
    <cellStyle name="Normal 6 6 5" xfId="10334" xr:uid="{00000000-0005-0000-0000-0000C9760000}"/>
    <cellStyle name="Normal 6 6 6" xfId="10335" xr:uid="{00000000-0005-0000-0000-0000CA760000}"/>
    <cellStyle name="Normal 6 7" xfId="10336" xr:uid="{00000000-0005-0000-0000-0000CB760000}"/>
    <cellStyle name="Normal 6 7 2" xfId="10337" xr:uid="{00000000-0005-0000-0000-0000CC760000}"/>
    <cellStyle name="Normal 6 7 2 2" xfId="10338" xr:uid="{00000000-0005-0000-0000-0000CD760000}"/>
    <cellStyle name="Normal 6 7 2 3" xfId="10339" xr:uid="{00000000-0005-0000-0000-0000CE760000}"/>
    <cellStyle name="Normal 6 7 3" xfId="10340" xr:uid="{00000000-0005-0000-0000-0000CF760000}"/>
    <cellStyle name="Normal 6 7 3 2" xfId="10341" xr:uid="{00000000-0005-0000-0000-0000D0760000}"/>
    <cellStyle name="Normal 6 7 3 3" xfId="10342" xr:uid="{00000000-0005-0000-0000-0000D1760000}"/>
    <cellStyle name="Normal 6 7 4" xfId="10343" xr:uid="{00000000-0005-0000-0000-0000D2760000}"/>
    <cellStyle name="Normal 6 7 5" xfId="10344" xr:uid="{00000000-0005-0000-0000-0000D3760000}"/>
    <cellStyle name="Normal 6 8" xfId="10345" xr:uid="{00000000-0005-0000-0000-0000D4760000}"/>
    <cellStyle name="Normal 6 8 2" xfId="10346" xr:uid="{00000000-0005-0000-0000-0000D5760000}"/>
    <cellStyle name="Normal 6 8 3" xfId="10347" xr:uid="{00000000-0005-0000-0000-0000D6760000}"/>
    <cellStyle name="Normal 6 9" xfId="10348" xr:uid="{00000000-0005-0000-0000-0000D7760000}"/>
    <cellStyle name="Normal 6 9 2" xfId="10349" xr:uid="{00000000-0005-0000-0000-0000D8760000}"/>
    <cellStyle name="Normal 6 9 3" xfId="10350" xr:uid="{00000000-0005-0000-0000-0000D9760000}"/>
    <cellStyle name="Normal 6_2180" xfId="10351" xr:uid="{00000000-0005-0000-0000-0000DA760000}"/>
    <cellStyle name="Normal 60" xfId="215" xr:uid="{00000000-0005-0000-0000-0000DB760000}"/>
    <cellStyle name="Normal 60 2" xfId="10352" xr:uid="{00000000-0005-0000-0000-0000DC760000}"/>
    <cellStyle name="Normal 60 2 2" xfId="10353" xr:uid="{00000000-0005-0000-0000-0000DD760000}"/>
    <cellStyle name="Normal 60 2 2 2" xfId="10354" xr:uid="{00000000-0005-0000-0000-0000DE760000}"/>
    <cellStyle name="Normal 60 2 2 2 2" xfId="10355" xr:uid="{00000000-0005-0000-0000-0000DF760000}"/>
    <cellStyle name="Normal 60 2 2 2 2 2" xfId="10356" xr:uid="{00000000-0005-0000-0000-0000E0760000}"/>
    <cellStyle name="Normal 60 2 2 2 2 3" xfId="10357" xr:uid="{00000000-0005-0000-0000-0000E1760000}"/>
    <cellStyle name="Normal 60 2 2 2 3" xfId="10358" xr:uid="{00000000-0005-0000-0000-0000E2760000}"/>
    <cellStyle name="Normal 60 2 2 2 3 2" xfId="10359" xr:uid="{00000000-0005-0000-0000-0000E3760000}"/>
    <cellStyle name="Normal 60 2 2 2 3 3" xfId="10360" xr:uid="{00000000-0005-0000-0000-0000E4760000}"/>
    <cellStyle name="Normal 60 2 2 2 4" xfId="10361" xr:uid="{00000000-0005-0000-0000-0000E5760000}"/>
    <cellStyle name="Normal 60 2 2 2 5" xfId="10362" xr:uid="{00000000-0005-0000-0000-0000E6760000}"/>
    <cellStyle name="Normal 60 2 2 3" xfId="10363" xr:uid="{00000000-0005-0000-0000-0000E7760000}"/>
    <cellStyle name="Normal 60 2 2 3 2" xfId="10364" xr:uid="{00000000-0005-0000-0000-0000E8760000}"/>
    <cellStyle name="Normal 60 2 2 3 3" xfId="10365" xr:uid="{00000000-0005-0000-0000-0000E9760000}"/>
    <cellStyle name="Normal 60 2 2 4" xfId="10366" xr:uid="{00000000-0005-0000-0000-0000EA760000}"/>
    <cellStyle name="Normal 60 2 2 4 2" xfId="10367" xr:uid="{00000000-0005-0000-0000-0000EB760000}"/>
    <cellStyle name="Normal 60 2 2 4 3" xfId="10368" xr:uid="{00000000-0005-0000-0000-0000EC760000}"/>
    <cellStyle name="Normal 60 2 2 5" xfId="10369" xr:uid="{00000000-0005-0000-0000-0000ED760000}"/>
    <cellStyle name="Normal 60 2 2 6" xfId="10370" xr:uid="{00000000-0005-0000-0000-0000EE760000}"/>
    <cellStyle name="Normal 60 2 3" xfId="10371" xr:uid="{00000000-0005-0000-0000-0000EF760000}"/>
    <cellStyle name="Normal 60 2 3 2" xfId="10372" xr:uid="{00000000-0005-0000-0000-0000F0760000}"/>
    <cellStyle name="Normal 60 2 3 2 2" xfId="10373" xr:uid="{00000000-0005-0000-0000-0000F1760000}"/>
    <cellStyle name="Normal 60 2 3 2 3" xfId="10374" xr:uid="{00000000-0005-0000-0000-0000F2760000}"/>
    <cellStyle name="Normal 60 2 3 3" xfId="10375" xr:uid="{00000000-0005-0000-0000-0000F3760000}"/>
    <cellStyle name="Normal 60 2 3 3 2" xfId="10376" xr:uid="{00000000-0005-0000-0000-0000F4760000}"/>
    <cellStyle name="Normal 60 2 3 3 3" xfId="10377" xr:uid="{00000000-0005-0000-0000-0000F5760000}"/>
    <cellStyle name="Normal 60 2 3 4" xfId="10378" xr:uid="{00000000-0005-0000-0000-0000F6760000}"/>
    <cellStyle name="Normal 60 2 3 5" xfId="10379" xr:uid="{00000000-0005-0000-0000-0000F7760000}"/>
    <cellStyle name="Normal 60 2 4" xfId="10380" xr:uid="{00000000-0005-0000-0000-0000F8760000}"/>
    <cellStyle name="Normal 60 2 4 2" xfId="10381" xr:uid="{00000000-0005-0000-0000-0000F9760000}"/>
    <cellStyle name="Normal 60 2 4 3" xfId="10382" xr:uid="{00000000-0005-0000-0000-0000FA760000}"/>
    <cellStyle name="Normal 60 2 5" xfId="10383" xr:uid="{00000000-0005-0000-0000-0000FB760000}"/>
    <cellStyle name="Normal 60 2 5 2" xfId="10384" xr:uid="{00000000-0005-0000-0000-0000FC760000}"/>
    <cellStyle name="Normal 60 2 5 3" xfId="10385" xr:uid="{00000000-0005-0000-0000-0000FD760000}"/>
    <cellStyle name="Normal 60 2 6" xfId="10386" xr:uid="{00000000-0005-0000-0000-0000FE760000}"/>
    <cellStyle name="Normal 60 2 7" xfId="10387" xr:uid="{00000000-0005-0000-0000-0000FF760000}"/>
    <cellStyle name="Normal 60 3" xfId="10388" xr:uid="{00000000-0005-0000-0000-000000770000}"/>
    <cellStyle name="Normal 60 3 2" xfId="10389" xr:uid="{00000000-0005-0000-0000-000001770000}"/>
    <cellStyle name="Normal 60 3 2 2" xfId="10390" xr:uid="{00000000-0005-0000-0000-000002770000}"/>
    <cellStyle name="Normal 60 3 2 2 2" xfId="10391" xr:uid="{00000000-0005-0000-0000-000003770000}"/>
    <cellStyle name="Normal 60 3 2 2 3" xfId="10392" xr:uid="{00000000-0005-0000-0000-000004770000}"/>
    <cellStyle name="Normal 60 3 2 3" xfId="10393" xr:uid="{00000000-0005-0000-0000-000005770000}"/>
    <cellStyle name="Normal 60 3 2 3 2" xfId="10394" xr:uid="{00000000-0005-0000-0000-000006770000}"/>
    <cellStyle name="Normal 60 3 2 3 3" xfId="10395" xr:uid="{00000000-0005-0000-0000-000007770000}"/>
    <cellStyle name="Normal 60 3 2 4" xfId="10396" xr:uid="{00000000-0005-0000-0000-000008770000}"/>
    <cellStyle name="Normal 60 3 2 5" xfId="10397" xr:uid="{00000000-0005-0000-0000-000009770000}"/>
    <cellStyle name="Normal 60 3 3" xfId="10398" xr:uid="{00000000-0005-0000-0000-00000A770000}"/>
    <cellStyle name="Normal 60 3 3 2" xfId="10399" xr:uid="{00000000-0005-0000-0000-00000B770000}"/>
    <cellStyle name="Normal 60 3 3 3" xfId="10400" xr:uid="{00000000-0005-0000-0000-00000C770000}"/>
    <cellStyle name="Normal 60 3 4" xfId="10401" xr:uid="{00000000-0005-0000-0000-00000D770000}"/>
    <cellStyle name="Normal 60 3 4 2" xfId="10402" xr:uid="{00000000-0005-0000-0000-00000E770000}"/>
    <cellStyle name="Normal 60 3 4 3" xfId="10403" xr:uid="{00000000-0005-0000-0000-00000F770000}"/>
    <cellStyle name="Normal 60 3 5" xfId="10404" xr:uid="{00000000-0005-0000-0000-000010770000}"/>
    <cellStyle name="Normal 60 3 6" xfId="10405" xr:uid="{00000000-0005-0000-0000-000011770000}"/>
    <cellStyle name="Normal 60 4" xfId="10406" xr:uid="{00000000-0005-0000-0000-000012770000}"/>
    <cellStyle name="Normal 60 4 2" xfId="10407" xr:uid="{00000000-0005-0000-0000-000013770000}"/>
    <cellStyle name="Normal 60 4 2 2" xfId="10408" xr:uid="{00000000-0005-0000-0000-000014770000}"/>
    <cellStyle name="Normal 60 4 2 3" xfId="10409" xr:uid="{00000000-0005-0000-0000-000015770000}"/>
    <cellStyle name="Normal 60 4 3" xfId="10410" xr:uid="{00000000-0005-0000-0000-000016770000}"/>
    <cellStyle name="Normal 60 4 3 2" xfId="10411" xr:uid="{00000000-0005-0000-0000-000017770000}"/>
    <cellStyle name="Normal 60 4 3 3" xfId="10412" xr:uid="{00000000-0005-0000-0000-000018770000}"/>
    <cellStyle name="Normal 60 4 4" xfId="10413" xr:uid="{00000000-0005-0000-0000-000019770000}"/>
    <cellStyle name="Normal 60 4 5" xfId="10414" xr:uid="{00000000-0005-0000-0000-00001A770000}"/>
    <cellStyle name="Normal 60 5" xfId="10415" xr:uid="{00000000-0005-0000-0000-00001B770000}"/>
    <cellStyle name="Normal 60 5 2" xfId="10416" xr:uid="{00000000-0005-0000-0000-00001C770000}"/>
    <cellStyle name="Normal 60 5 3" xfId="10417" xr:uid="{00000000-0005-0000-0000-00001D770000}"/>
    <cellStyle name="Normal 60 6" xfId="10418" xr:uid="{00000000-0005-0000-0000-00001E770000}"/>
    <cellStyle name="Normal 60 6 2" xfId="10419" xr:uid="{00000000-0005-0000-0000-00001F770000}"/>
    <cellStyle name="Normal 60 6 3" xfId="10420" xr:uid="{00000000-0005-0000-0000-000020770000}"/>
    <cellStyle name="Normal 60 7" xfId="10421" xr:uid="{00000000-0005-0000-0000-000021770000}"/>
    <cellStyle name="Normal 60 8" xfId="10422" xr:uid="{00000000-0005-0000-0000-000022770000}"/>
    <cellStyle name="Normal 61" xfId="216" xr:uid="{00000000-0005-0000-0000-000023770000}"/>
    <cellStyle name="Normal 61 2" xfId="10423" xr:uid="{00000000-0005-0000-0000-000024770000}"/>
    <cellStyle name="Normal 61 2 2" xfId="10424" xr:uid="{00000000-0005-0000-0000-000025770000}"/>
    <cellStyle name="Normal 61 2 2 2" xfId="10425" xr:uid="{00000000-0005-0000-0000-000026770000}"/>
    <cellStyle name="Normal 61 2 2 2 2" xfId="10426" xr:uid="{00000000-0005-0000-0000-000027770000}"/>
    <cellStyle name="Normal 61 2 2 2 2 2" xfId="10427" xr:uid="{00000000-0005-0000-0000-000028770000}"/>
    <cellStyle name="Normal 61 2 2 2 2 3" xfId="10428" xr:uid="{00000000-0005-0000-0000-000029770000}"/>
    <cellStyle name="Normal 61 2 2 2 3" xfId="10429" xr:uid="{00000000-0005-0000-0000-00002A770000}"/>
    <cellStyle name="Normal 61 2 2 2 3 2" xfId="10430" xr:uid="{00000000-0005-0000-0000-00002B770000}"/>
    <cellStyle name="Normal 61 2 2 2 3 3" xfId="10431" xr:uid="{00000000-0005-0000-0000-00002C770000}"/>
    <cellStyle name="Normal 61 2 2 2 4" xfId="10432" xr:uid="{00000000-0005-0000-0000-00002D770000}"/>
    <cellStyle name="Normal 61 2 2 2 5" xfId="10433" xr:uid="{00000000-0005-0000-0000-00002E770000}"/>
    <cellStyle name="Normal 61 2 2 3" xfId="10434" xr:uid="{00000000-0005-0000-0000-00002F770000}"/>
    <cellStyle name="Normal 61 2 2 3 2" xfId="10435" xr:uid="{00000000-0005-0000-0000-000030770000}"/>
    <cellStyle name="Normal 61 2 2 3 3" xfId="10436" xr:uid="{00000000-0005-0000-0000-000031770000}"/>
    <cellStyle name="Normal 61 2 2 4" xfId="10437" xr:uid="{00000000-0005-0000-0000-000032770000}"/>
    <cellStyle name="Normal 61 2 2 4 2" xfId="10438" xr:uid="{00000000-0005-0000-0000-000033770000}"/>
    <cellStyle name="Normal 61 2 2 4 3" xfId="10439" xr:uid="{00000000-0005-0000-0000-000034770000}"/>
    <cellStyle name="Normal 61 2 2 5" xfId="10440" xr:uid="{00000000-0005-0000-0000-000035770000}"/>
    <cellStyle name="Normal 61 2 2 6" xfId="10441" xr:uid="{00000000-0005-0000-0000-000036770000}"/>
    <cellStyle name="Normal 61 2 3" xfId="10442" xr:uid="{00000000-0005-0000-0000-000037770000}"/>
    <cellStyle name="Normal 61 2 3 2" xfId="10443" xr:uid="{00000000-0005-0000-0000-000038770000}"/>
    <cellStyle name="Normal 61 2 3 2 2" xfId="10444" xr:uid="{00000000-0005-0000-0000-000039770000}"/>
    <cellStyle name="Normal 61 2 3 2 3" xfId="10445" xr:uid="{00000000-0005-0000-0000-00003A770000}"/>
    <cellStyle name="Normal 61 2 3 3" xfId="10446" xr:uid="{00000000-0005-0000-0000-00003B770000}"/>
    <cellStyle name="Normal 61 2 3 3 2" xfId="10447" xr:uid="{00000000-0005-0000-0000-00003C770000}"/>
    <cellStyle name="Normal 61 2 3 3 3" xfId="10448" xr:uid="{00000000-0005-0000-0000-00003D770000}"/>
    <cellStyle name="Normal 61 2 3 4" xfId="10449" xr:uid="{00000000-0005-0000-0000-00003E770000}"/>
    <cellStyle name="Normal 61 2 3 5" xfId="10450" xr:uid="{00000000-0005-0000-0000-00003F770000}"/>
    <cellStyle name="Normal 61 2 4" xfId="10451" xr:uid="{00000000-0005-0000-0000-000040770000}"/>
    <cellStyle name="Normal 61 2 4 2" xfId="10452" xr:uid="{00000000-0005-0000-0000-000041770000}"/>
    <cellStyle name="Normal 61 2 4 3" xfId="10453" xr:uid="{00000000-0005-0000-0000-000042770000}"/>
    <cellStyle name="Normal 61 2 5" xfId="10454" xr:uid="{00000000-0005-0000-0000-000043770000}"/>
    <cellStyle name="Normal 61 2 5 2" xfId="10455" xr:uid="{00000000-0005-0000-0000-000044770000}"/>
    <cellStyle name="Normal 61 2 5 3" xfId="10456" xr:uid="{00000000-0005-0000-0000-000045770000}"/>
    <cellStyle name="Normal 61 2 6" xfId="10457" xr:uid="{00000000-0005-0000-0000-000046770000}"/>
    <cellStyle name="Normal 61 2 7" xfId="10458" xr:uid="{00000000-0005-0000-0000-000047770000}"/>
    <cellStyle name="Normal 61 3" xfId="10459" xr:uid="{00000000-0005-0000-0000-000048770000}"/>
    <cellStyle name="Normal 61 3 2" xfId="10460" xr:uid="{00000000-0005-0000-0000-000049770000}"/>
    <cellStyle name="Normal 61 3 2 2" xfId="10461" xr:uid="{00000000-0005-0000-0000-00004A770000}"/>
    <cellStyle name="Normal 61 3 2 2 2" xfId="10462" xr:uid="{00000000-0005-0000-0000-00004B770000}"/>
    <cellStyle name="Normal 61 3 2 2 3" xfId="10463" xr:uid="{00000000-0005-0000-0000-00004C770000}"/>
    <cellStyle name="Normal 61 3 2 3" xfId="10464" xr:uid="{00000000-0005-0000-0000-00004D770000}"/>
    <cellStyle name="Normal 61 3 2 3 2" xfId="10465" xr:uid="{00000000-0005-0000-0000-00004E770000}"/>
    <cellStyle name="Normal 61 3 2 3 3" xfId="10466" xr:uid="{00000000-0005-0000-0000-00004F770000}"/>
    <cellStyle name="Normal 61 3 2 4" xfId="10467" xr:uid="{00000000-0005-0000-0000-000050770000}"/>
    <cellStyle name="Normal 61 3 2 5" xfId="10468" xr:uid="{00000000-0005-0000-0000-000051770000}"/>
    <cellStyle name="Normal 61 3 3" xfId="10469" xr:uid="{00000000-0005-0000-0000-000052770000}"/>
    <cellStyle name="Normal 61 3 3 2" xfId="10470" xr:uid="{00000000-0005-0000-0000-000053770000}"/>
    <cellStyle name="Normal 61 3 3 3" xfId="10471" xr:uid="{00000000-0005-0000-0000-000054770000}"/>
    <cellStyle name="Normal 61 3 4" xfId="10472" xr:uid="{00000000-0005-0000-0000-000055770000}"/>
    <cellStyle name="Normal 61 3 4 2" xfId="10473" xr:uid="{00000000-0005-0000-0000-000056770000}"/>
    <cellStyle name="Normal 61 3 4 3" xfId="10474" xr:uid="{00000000-0005-0000-0000-000057770000}"/>
    <cellStyle name="Normal 61 3 5" xfId="10475" xr:uid="{00000000-0005-0000-0000-000058770000}"/>
    <cellStyle name="Normal 61 3 6" xfId="10476" xr:uid="{00000000-0005-0000-0000-000059770000}"/>
    <cellStyle name="Normal 61 4" xfId="10477" xr:uid="{00000000-0005-0000-0000-00005A770000}"/>
    <cellStyle name="Normal 61 4 2" xfId="10478" xr:uid="{00000000-0005-0000-0000-00005B770000}"/>
    <cellStyle name="Normal 61 4 2 2" xfId="10479" xr:uid="{00000000-0005-0000-0000-00005C770000}"/>
    <cellStyle name="Normal 61 4 2 3" xfId="10480" xr:uid="{00000000-0005-0000-0000-00005D770000}"/>
    <cellStyle name="Normal 61 4 3" xfId="10481" xr:uid="{00000000-0005-0000-0000-00005E770000}"/>
    <cellStyle name="Normal 61 4 3 2" xfId="10482" xr:uid="{00000000-0005-0000-0000-00005F770000}"/>
    <cellStyle name="Normal 61 4 3 3" xfId="10483" xr:uid="{00000000-0005-0000-0000-000060770000}"/>
    <cellStyle name="Normal 61 4 4" xfId="10484" xr:uid="{00000000-0005-0000-0000-000061770000}"/>
    <cellStyle name="Normal 61 4 5" xfId="10485" xr:uid="{00000000-0005-0000-0000-000062770000}"/>
    <cellStyle name="Normal 61 5" xfId="10486" xr:uid="{00000000-0005-0000-0000-000063770000}"/>
    <cellStyle name="Normal 61 5 2" xfId="10487" xr:uid="{00000000-0005-0000-0000-000064770000}"/>
    <cellStyle name="Normal 61 5 3" xfId="10488" xr:uid="{00000000-0005-0000-0000-000065770000}"/>
    <cellStyle name="Normal 61 6" xfId="10489" xr:uid="{00000000-0005-0000-0000-000066770000}"/>
    <cellStyle name="Normal 61 6 2" xfId="10490" xr:uid="{00000000-0005-0000-0000-000067770000}"/>
    <cellStyle name="Normal 61 6 3" xfId="10491" xr:uid="{00000000-0005-0000-0000-000068770000}"/>
    <cellStyle name="Normal 61 7" xfId="10492" xr:uid="{00000000-0005-0000-0000-000069770000}"/>
    <cellStyle name="Normal 61 8" xfId="10493" xr:uid="{00000000-0005-0000-0000-00006A770000}"/>
    <cellStyle name="Normal 62" xfId="217" xr:uid="{00000000-0005-0000-0000-00006B770000}"/>
    <cellStyle name="Normal 62 2" xfId="10494" xr:uid="{00000000-0005-0000-0000-00006C770000}"/>
    <cellStyle name="Normal 62 2 2" xfId="10495" xr:uid="{00000000-0005-0000-0000-00006D770000}"/>
    <cellStyle name="Normal 62 2 2 2" xfId="10496" xr:uid="{00000000-0005-0000-0000-00006E770000}"/>
    <cellStyle name="Normal 62 2 2 2 2" xfId="10497" xr:uid="{00000000-0005-0000-0000-00006F770000}"/>
    <cellStyle name="Normal 62 2 2 2 2 2" xfId="10498" xr:uid="{00000000-0005-0000-0000-000070770000}"/>
    <cellStyle name="Normal 62 2 2 2 2 3" xfId="10499" xr:uid="{00000000-0005-0000-0000-000071770000}"/>
    <cellStyle name="Normal 62 2 2 2 3" xfId="10500" xr:uid="{00000000-0005-0000-0000-000072770000}"/>
    <cellStyle name="Normal 62 2 2 2 3 2" xfId="10501" xr:uid="{00000000-0005-0000-0000-000073770000}"/>
    <cellStyle name="Normal 62 2 2 2 3 3" xfId="10502" xr:uid="{00000000-0005-0000-0000-000074770000}"/>
    <cellStyle name="Normal 62 2 2 2 4" xfId="10503" xr:uid="{00000000-0005-0000-0000-000075770000}"/>
    <cellStyle name="Normal 62 2 2 2 5" xfId="10504" xr:uid="{00000000-0005-0000-0000-000076770000}"/>
    <cellStyle name="Normal 62 2 2 3" xfId="10505" xr:uid="{00000000-0005-0000-0000-000077770000}"/>
    <cellStyle name="Normal 62 2 2 3 2" xfId="10506" xr:uid="{00000000-0005-0000-0000-000078770000}"/>
    <cellStyle name="Normal 62 2 2 3 3" xfId="10507" xr:uid="{00000000-0005-0000-0000-000079770000}"/>
    <cellStyle name="Normal 62 2 2 4" xfId="10508" xr:uid="{00000000-0005-0000-0000-00007A770000}"/>
    <cellStyle name="Normal 62 2 2 4 2" xfId="10509" xr:uid="{00000000-0005-0000-0000-00007B770000}"/>
    <cellStyle name="Normal 62 2 2 4 3" xfId="10510" xr:uid="{00000000-0005-0000-0000-00007C770000}"/>
    <cellStyle name="Normal 62 2 2 5" xfId="10511" xr:uid="{00000000-0005-0000-0000-00007D770000}"/>
    <cellStyle name="Normal 62 2 2 6" xfId="10512" xr:uid="{00000000-0005-0000-0000-00007E770000}"/>
    <cellStyle name="Normal 62 2 3" xfId="10513" xr:uid="{00000000-0005-0000-0000-00007F770000}"/>
    <cellStyle name="Normal 62 2 3 2" xfId="10514" xr:uid="{00000000-0005-0000-0000-000080770000}"/>
    <cellStyle name="Normal 62 2 3 2 2" xfId="10515" xr:uid="{00000000-0005-0000-0000-000081770000}"/>
    <cellStyle name="Normal 62 2 3 2 3" xfId="10516" xr:uid="{00000000-0005-0000-0000-000082770000}"/>
    <cellStyle name="Normal 62 2 3 3" xfId="10517" xr:uid="{00000000-0005-0000-0000-000083770000}"/>
    <cellStyle name="Normal 62 2 3 3 2" xfId="10518" xr:uid="{00000000-0005-0000-0000-000084770000}"/>
    <cellStyle name="Normal 62 2 3 3 3" xfId="10519" xr:uid="{00000000-0005-0000-0000-000085770000}"/>
    <cellStyle name="Normal 62 2 3 4" xfId="10520" xr:uid="{00000000-0005-0000-0000-000086770000}"/>
    <cellStyle name="Normal 62 2 3 5" xfId="10521" xr:uid="{00000000-0005-0000-0000-000087770000}"/>
    <cellStyle name="Normal 62 2 4" xfId="10522" xr:uid="{00000000-0005-0000-0000-000088770000}"/>
    <cellStyle name="Normal 62 2 4 2" xfId="10523" xr:uid="{00000000-0005-0000-0000-000089770000}"/>
    <cellStyle name="Normal 62 2 4 3" xfId="10524" xr:uid="{00000000-0005-0000-0000-00008A770000}"/>
    <cellStyle name="Normal 62 2 5" xfId="10525" xr:uid="{00000000-0005-0000-0000-00008B770000}"/>
    <cellStyle name="Normal 62 2 5 2" xfId="10526" xr:uid="{00000000-0005-0000-0000-00008C770000}"/>
    <cellStyle name="Normal 62 2 5 3" xfId="10527" xr:uid="{00000000-0005-0000-0000-00008D770000}"/>
    <cellStyle name="Normal 62 2 6" xfId="10528" xr:uid="{00000000-0005-0000-0000-00008E770000}"/>
    <cellStyle name="Normal 62 2 7" xfId="10529" xr:uid="{00000000-0005-0000-0000-00008F770000}"/>
    <cellStyle name="Normal 62 3" xfId="10530" xr:uid="{00000000-0005-0000-0000-000090770000}"/>
    <cellStyle name="Normal 62 3 2" xfId="10531" xr:uid="{00000000-0005-0000-0000-000091770000}"/>
    <cellStyle name="Normal 62 3 2 2" xfId="10532" xr:uid="{00000000-0005-0000-0000-000092770000}"/>
    <cellStyle name="Normal 62 3 2 2 2" xfId="10533" xr:uid="{00000000-0005-0000-0000-000093770000}"/>
    <cellStyle name="Normal 62 3 2 2 3" xfId="10534" xr:uid="{00000000-0005-0000-0000-000094770000}"/>
    <cellStyle name="Normal 62 3 2 3" xfId="10535" xr:uid="{00000000-0005-0000-0000-000095770000}"/>
    <cellStyle name="Normal 62 3 2 3 2" xfId="10536" xr:uid="{00000000-0005-0000-0000-000096770000}"/>
    <cellStyle name="Normal 62 3 2 3 3" xfId="10537" xr:uid="{00000000-0005-0000-0000-000097770000}"/>
    <cellStyle name="Normal 62 3 2 4" xfId="10538" xr:uid="{00000000-0005-0000-0000-000098770000}"/>
    <cellStyle name="Normal 62 3 2 5" xfId="10539" xr:uid="{00000000-0005-0000-0000-000099770000}"/>
    <cellStyle name="Normal 62 3 3" xfId="10540" xr:uid="{00000000-0005-0000-0000-00009A770000}"/>
    <cellStyle name="Normal 62 3 3 2" xfId="10541" xr:uid="{00000000-0005-0000-0000-00009B770000}"/>
    <cellStyle name="Normal 62 3 3 3" xfId="10542" xr:uid="{00000000-0005-0000-0000-00009C770000}"/>
    <cellStyle name="Normal 62 3 4" xfId="10543" xr:uid="{00000000-0005-0000-0000-00009D770000}"/>
    <cellStyle name="Normal 62 3 4 2" xfId="10544" xr:uid="{00000000-0005-0000-0000-00009E770000}"/>
    <cellStyle name="Normal 62 3 4 3" xfId="10545" xr:uid="{00000000-0005-0000-0000-00009F770000}"/>
    <cellStyle name="Normal 62 3 5" xfId="10546" xr:uid="{00000000-0005-0000-0000-0000A0770000}"/>
    <cellStyle name="Normal 62 3 6" xfId="10547" xr:uid="{00000000-0005-0000-0000-0000A1770000}"/>
    <cellStyle name="Normal 62 4" xfId="10548" xr:uid="{00000000-0005-0000-0000-0000A2770000}"/>
    <cellStyle name="Normal 62 4 2" xfId="10549" xr:uid="{00000000-0005-0000-0000-0000A3770000}"/>
    <cellStyle name="Normal 62 4 2 2" xfId="10550" xr:uid="{00000000-0005-0000-0000-0000A4770000}"/>
    <cellStyle name="Normal 62 4 2 3" xfId="10551" xr:uid="{00000000-0005-0000-0000-0000A5770000}"/>
    <cellStyle name="Normal 62 4 3" xfId="10552" xr:uid="{00000000-0005-0000-0000-0000A6770000}"/>
    <cellStyle name="Normal 62 4 3 2" xfId="10553" xr:uid="{00000000-0005-0000-0000-0000A7770000}"/>
    <cellStyle name="Normal 62 4 3 3" xfId="10554" xr:uid="{00000000-0005-0000-0000-0000A8770000}"/>
    <cellStyle name="Normal 62 4 4" xfId="10555" xr:uid="{00000000-0005-0000-0000-0000A9770000}"/>
    <cellStyle name="Normal 62 4 5" xfId="10556" xr:uid="{00000000-0005-0000-0000-0000AA770000}"/>
    <cellStyle name="Normal 62 5" xfId="10557" xr:uid="{00000000-0005-0000-0000-0000AB770000}"/>
    <cellStyle name="Normal 62 5 2" xfId="10558" xr:uid="{00000000-0005-0000-0000-0000AC770000}"/>
    <cellStyle name="Normal 62 5 3" xfId="10559" xr:uid="{00000000-0005-0000-0000-0000AD770000}"/>
    <cellStyle name="Normal 62 6" xfId="10560" xr:uid="{00000000-0005-0000-0000-0000AE770000}"/>
    <cellStyle name="Normal 62 6 2" xfId="10561" xr:uid="{00000000-0005-0000-0000-0000AF770000}"/>
    <cellStyle name="Normal 62 6 3" xfId="10562" xr:uid="{00000000-0005-0000-0000-0000B0770000}"/>
    <cellStyle name="Normal 62 7" xfId="10563" xr:uid="{00000000-0005-0000-0000-0000B1770000}"/>
    <cellStyle name="Normal 62 8" xfId="10564" xr:uid="{00000000-0005-0000-0000-0000B2770000}"/>
    <cellStyle name="Normal 63" xfId="218" xr:uid="{00000000-0005-0000-0000-0000B3770000}"/>
    <cellStyle name="Normal 63 2" xfId="10565" xr:uid="{00000000-0005-0000-0000-0000B4770000}"/>
    <cellStyle name="Normal 63 2 2" xfId="10566" xr:uid="{00000000-0005-0000-0000-0000B5770000}"/>
    <cellStyle name="Normal 63 2 2 2" xfId="10567" xr:uid="{00000000-0005-0000-0000-0000B6770000}"/>
    <cellStyle name="Normal 63 2 2 2 2" xfId="10568" xr:uid="{00000000-0005-0000-0000-0000B7770000}"/>
    <cellStyle name="Normal 63 2 2 2 2 2" xfId="10569" xr:uid="{00000000-0005-0000-0000-0000B8770000}"/>
    <cellStyle name="Normal 63 2 2 2 2 3" xfId="10570" xr:uid="{00000000-0005-0000-0000-0000B9770000}"/>
    <cellStyle name="Normal 63 2 2 2 3" xfId="10571" xr:uid="{00000000-0005-0000-0000-0000BA770000}"/>
    <cellStyle name="Normal 63 2 2 2 3 2" xfId="10572" xr:uid="{00000000-0005-0000-0000-0000BB770000}"/>
    <cellStyle name="Normal 63 2 2 2 3 3" xfId="10573" xr:uid="{00000000-0005-0000-0000-0000BC770000}"/>
    <cellStyle name="Normal 63 2 2 2 4" xfId="10574" xr:uid="{00000000-0005-0000-0000-0000BD770000}"/>
    <cellStyle name="Normal 63 2 2 2 5" xfId="10575" xr:uid="{00000000-0005-0000-0000-0000BE770000}"/>
    <cellStyle name="Normal 63 2 2 3" xfId="10576" xr:uid="{00000000-0005-0000-0000-0000BF770000}"/>
    <cellStyle name="Normal 63 2 2 3 2" xfId="10577" xr:uid="{00000000-0005-0000-0000-0000C0770000}"/>
    <cellStyle name="Normal 63 2 2 3 3" xfId="10578" xr:uid="{00000000-0005-0000-0000-0000C1770000}"/>
    <cellStyle name="Normal 63 2 2 4" xfId="10579" xr:uid="{00000000-0005-0000-0000-0000C2770000}"/>
    <cellStyle name="Normal 63 2 2 4 2" xfId="10580" xr:uid="{00000000-0005-0000-0000-0000C3770000}"/>
    <cellStyle name="Normal 63 2 2 4 3" xfId="10581" xr:uid="{00000000-0005-0000-0000-0000C4770000}"/>
    <cellStyle name="Normal 63 2 2 5" xfId="10582" xr:uid="{00000000-0005-0000-0000-0000C5770000}"/>
    <cellStyle name="Normal 63 2 2 6" xfId="10583" xr:uid="{00000000-0005-0000-0000-0000C6770000}"/>
    <cellStyle name="Normal 63 2 3" xfId="10584" xr:uid="{00000000-0005-0000-0000-0000C7770000}"/>
    <cellStyle name="Normal 63 2 3 2" xfId="10585" xr:uid="{00000000-0005-0000-0000-0000C8770000}"/>
    <cellStyle name="Normal 63 2 3 2 2" xfId="10586" xr:uid="{00000000-0005-0000-0000-0000C9770000}"/>
    <cellStyle name="Normal 63 2 3 2 3" xfId="10587" xr:uid="{00000000-0005-0000-0000-0000CA770000}"/>
    <cellStyle name="Normal 63 2 3 3" xfId="10588" xr:uid="{00000000-0005-0000-0000-0000CB770000}"/>
    <cellStyle name="Normal 63 2 3 3 2" xfId="10589" xr:uid="{00000000-0005-0000-0000-0000CC770000}"/>
    <cellStyle name="Normal 63 2 3 3 3" xfId="10590" xr:uid="{00000000-0005-0000-0000-0000CD770000}"/>
    <cellStyle name="Normal 63 2 3 4" xfId="10591" xr:uid="{00000000-0005-0000-0000-0000CE770000}"/>
    <cellStyle name="Normal 63 2 3 5" xfId="10592" xr:uid="{00000000-0005-0000-0000-0000CF770000}"/>
    <cellStyle name="Normal 63 2 4" xfId="10593" xr:uid="{00000000-0005-0000-0000-0000D0770000}"/>
    <cellStyle name="Normal 63 2 4 2" xfId="10594" xr:uid="{00000000-0005-0000-0000-0000D1770000}"/>
    <cellStyle name="Normal 63 2 4 3" xfId="10595" xr:uid="{00000000-0005-0000-0000-0000D2770000}"/>
    <cellStyle name="Normal 63 2 5" xfId="10596" xr:uid="{00000000-0005-0000-0000-0000D3770000}"/>
    <cellStyle name="Normal 63 2 5 2" xfId="10597" xr:uid="{00000000-0005-0000-0000-0000D4770000}"/>
    <cellStyle name="Normal 63 2 5 3" xfId="10598" xr:uid="{00000000-0005-0000-0000-0000D5770000}"/>
    <cellStyle name="Normal 63 2 6" xfId="10599" xr:uid="{00000000-0005-0000-0000-0000D6770000}"/>
    <cellStyle name="Normal 63 2 7" xfId="10600" xr:uid="{00000000-0005-0000-0000-0000D7770000}"/>
    <cellStyle name="Normal 63 3" xfId="10601" xr:uid="{00000000-0005-0000-0000-0000D8770000}"/>
    <cellStyle name="Normal 63 3 2" xfId="10602" xr:uid="{00000000-0005-0000-0000-0000D9770000}"/>
    <cellStyle name="Normal 63 3 2 2" xfId="10603" xr:uid="{00000000-0005-0000-0000-0000DA770000}"/>
    <cellStyle name="Normal 63 3 2 2 2" xfId="10604" xr:uid="{00000000-0005-0000-0000-0000DB770000}"/>
    <cellStyle name="Normal 63 3 2 2 3" xfId="10605" xr:uid="{00000000-0005-0000-0000-0000DC770000}"/>
    <cellStyle name="Normal 63 3 2 3" xfId="10606" xr:uid="{00000000-0005-0000-0000-0000DD770000}"/>
    <cellStyle name="Normal 63 3 2 3 2" xfId="10607" xr:uid="{00000000-0005-0000-0000-0000DE770000}"/>
    <cellStyle name="Normal 63 3 2 3 3" xfId="10608" xr:uid="{00000000-0005-0000-0000-0000DF770000}"/>
    <cellStyle name="Normal 63 3 2 4" xfId="10609" xr:uid="{00000000-0005-0000-0000-0000E0770000}"/>
    <cellStyle name="Normal 63 3 2 5" xfId="10610" xr:uid="{00000000-0005-0000-0000-0000E1770000}"/>
    <cellStyle name="Normal 63 3 3" xfId="10611" xr:uid="{00000000-0005-0000-0000-0000E2770000}"/>
    <cellStyle name="Normal 63 3 3 2" xfId="10612" xr:uid="{00000000-0005-0000-0000-0000E3770000}"/>
    <cellStyle name="Normal 63 3 3 3" xfId="10613" xr:uid="{00000000-0005-0000-0000-0000E4770000}"/>
    <cellStyle name="Normal 63 3 4" xfId="10614" xr:uid="{00000000-0005-0000-0000-0000E5770000}"/>
    <cellStyle name="Normal 63 3 4 2" xfId="10615" xr:uid="{00000000-0005-0000-0000-0000E6770000}"/>
    <cellStyle name="Normal 63 3 4 3" xfId="10616" xr:uid="{00000000-0005-0000-0000-0000E7770000}"/>
    <cellStyle name="Normal 63 3 5" xfId="10617" xr:uid="{00000000-0005-0000-0000-0000E8770000}"/>
    <cellStyle name="Normal 63 3 6" xfId="10618" xr:uid="{00000000-0005-0000-0000-0000E9770000}"/>
    <cellStyle name="Normal 63 4" xfId="10619" xr:uid="{00000000-0005-0000-0000-0000EA770000}"/>
    <cellStyle name="Normal 63 4 2" xfId="10620" xr:uid="{00000000-0005-0000-0000-0000EB770000}"/>
    <cellStyle name="Normal 63 4 2 2" xfId="10621" xr:uid="{00000000-0005-0000-0000-0000EC770000}"/>
    <cellStyle name="Normal 63 4 2 3" xfId="10622" xr:uid="{00000000-0005-0000-0000-0000ED770000}"/>
    <cellStyle name="Normal 63 4 3" xfId="10623" xr:uid="{00000000-0005-0000-0000-0000EE770000}"/>
    <cellStyle name="Normal 63 4 3 2" xfId="10624" xr:uid="{00000000-0005-0000-0000-0000EF770000}"/>
    <cellStyle name="Normal 63 4 3 3" xfId="10625" xr:uid="{00000000-0005-0000-0000-0000F0770000}"/>
    <cellStyle name="Normal 63 4 4" xfId="10626" xr:uid="{00000000-0005-0000-0000-0000F1770000}"/>
    <cellStyle name="Normal 63 4 5" xfId="10627" xr:uid="{00000000-0005-0000-0000-0000F2770000}"/>
    <cellStyle name="Normal 63 5" xfId="10628" xr:uid="{00000000-0005-0000-0000-0000F3770000}"/>
    <cellStyle name="Normal 63 5 2" xfId="10629" xr:uid="{00000000-0005-0000-0000-0000F4770000}"/>
    <cellStyle name="Normal 63 5 3" xfId="10630" xr:uid="{00000000-0005-0000-0000-0000F5770000}"/>
    <cellStyle name="Normal 63 6" xfId="10631" xr:uid="{00000000-0005-0000-0000-0000F6770000}"/>
    <cellStyle name="Normal 63 6 2" xfId="10632" xr:uid="{00000000-0005-0000-0000-0000F7770000}"/>
    <cellStyle name="Normal 63 6 3" xfId="10633" xr:uid="{00000000-0005-0000-0000-0000F8770000}"/>
    <cellStyle name="Normal 63 7" xfId="10634" xr:uid="{00000000-0005-0000-0000-0000F9770000}"/>
    <cellStyle name="Normal 63 8" xfId="10635" xr:uid="{00000000-0005-0000-0000-0000FA770000}"/>
    <cellStyle name="Normal 64" xfId="219" xr:uid="{00000000-0005-0000-0000-0000FB770000}"/>
    <cellStyle name="Normal 64 2" xfId="10636" xr:uid="{00000000-0005-0000-0000-0000FC770000}"/>
    <cellStyle name="Normal 64 3" xfId="10637" xr:uid="{00000000-0005-0000-0000-0000FD770000}"/>
    <cellStyle name="Normal 65" xfId="220" xr:uid="{00000000-0005-0000-0000-0000FE770000}"/>
    <cellStyle name="Normal 65 2" xfId="10638" xr:uid="{00000000-0005-0000-0000-0000FF770000}"/>
    <cellStyle name="Normal 65 2 2" xfId="10639" xr:uid="{00000000-0005-0000-0000-000000780000}"/>
    <cellStyle name="Normal 65 2 2 2" xfId="10640" xr:uid="{00000000-0005-0000-0000-000001780000}"/>
    <cellStyle name="Normal 65 2 2 2 2" xfId="10641" xr:uid="{00000000-0005-0000-0000-000002780000}"/>
    <cellStyle name="Normal 65 2 2 2 2 2" xfId="10642" xr:uid="{00000000-0005-0000-0000-000003780000}"/>
    <cellStyle name="Normal 65 2 2 2 2 3" xfId="10643" xr:uid="{00000000-0005-0000-0000-000004780000}"/>
    <cellStyle name="Normal 65 2 2 2 3" xfId="10644" xr:uid="{00000000-0005-0000-0000-000005780000}"/>
    <cellStyle name="Normal 65 2 2 2 3 2" xfId="10645" xr:uid="{00000000-0005-0000-0000-000006780000}"/>
    <cellStyle name="Normal 65 2 2 2 3 3" xfId="10646" xr:uid="{00000000-0005-0000-0000-000007780000}"/>
    <cellStyle name="Normal 65 2 2 2 4" xfId="10647" xr:uid="{00000000-0005-0000-0000-000008780000}"/>
    <cellStyle name="Normal 65 2 2 2 5" xfId="10648" xr:uid="{00000000-0005-0000-0000-000009780000}"/>
    <cellStyle name="Normal 65 2 2 3" xfId="10649" xr:uid="{00000000-0005-0000-0000-00000A780000}"/>
    <cellStyle name="Normal 65 2 2 3 2" xfId="10650" xr:uid="{00000000-0005-0000-0000-00000B780000}"/>
    <cellStyle name="Normal 65 2 2 3 3" xfId="10651" xr:uid="{00000000-0005-0000-0000-00000C780000}"/>
    <cellStyle name="Normal 65 2 2 4" xfId="10652" xr:uid="{00000000-0005-0000-0000-00000D780000}"/>
    <cellStyle name="Normal 65 2 2 4 2" xfId="10653" xr:uid="{00000000-0005-0000-0000-00000E780000}"/>
    <cellStyle name="Normal 65 2 2 4 3" xfId="10654" xr:uid="{00000000-0005-0000-0000-00000F780000}"/>
    <cellStyle name="Normal 65 2 2 5" xfId="10655" xr:uid="{00000000-0005-0000-0000-000010780000}"/>
    <cellStyle name="Normal 65 2 2 6" xfId="10656" xr:uid="{00000000-0005-0000-0000-000011780000}"/>
    <cellStyle name="Normal 65 2 3" xfId="10657" xr:uid="{00000000-0005-0000-0000-000012780000}"/>
    <cellStyle name="Normal 65 2 3 2" xfId="10658" xr:uid="{00000000-0005-0000-0000-000013780000}"/>
    <cellStyle name="Normal 65 2 3 2 2" xfId="10659" xr:uid="{00000000-0005-0000-0000-000014780000}"/>
    <cellStyle name="Normal 65 2 3 2 3" xfId="10660" xr:uid="{00000000-0005-0000-0000-000015780000}"/>
    <cellStyle name="Normal 65 2 3 3" xfId="10661" xr:uid="{00000000-0005-0000-0000-000016780000}"/>
    <cellStyle name="Normal 65 2 3 3 2" xfId="10662" xr:uid="{00000000-0005-0000-0000-000017780000}"/>
    <cellStyle name="Normal 65 2 3 3 3" xfId="10663" xr:uid="{00000000-0005-0000-0000-000018780000}"/>
    <cellStyle name="Normal 65 2 3 4" xfId="10664" xr:uid="{00000000-0005-0000-0000-000019780000}"/>
    <cellStyle name="Normal 65 2 3 5" xfId="10665" xr:uid="{00000000-0005-0000-0000-00001A780000}"/>
    <cellStyle name="Normal 65 2 4" xfId="10666" xr:uid="{00000000-0005-0000-0000-00001B780000}"/>
    <cellStyle name="Normal 65 2 4 2" xfId="10667" xr:uid="{00000000-0005-0000-0000-00001C780000}"/>
    <cellStyle name="Normal 65 2 4 3" xfId="10668" xr:uid="{00000000-0005-0000-0000-00001D780000}"/>
    <cellStyle name="Normal 65 2 5" xfId="10669" xr:uid="{00000000-0005-0000-0000-00001E780000}"/>
    <cellStyle name="Normal 65 2 5 2" xfId="10670" xr:uid="{00000000-0005-0000-0000-00001F780000}"/>
    <cellStyle name="Normal 65 2 5 3" xfId="10671" xr:uid="{00000000-0005-0000-0000-000020780000}"/>
    <cellStyle name="Normal 65 2 6" xfId="10672" xr:uid="{00000000-0005-0000-0000-000021780000}"/>
    <cellStyle name="Normal 65 2 7" xfId="10673" xr:uid="{00000000-0005-0000-0000-000022780000}"/>
    <cellStyle name="Normal 65 3" xfId="10674" xr:uid="{00000000-0005-0000-0000-000023780000}"/>
    <cellStyle name="Normal 65 3 2" xfId="10675" xr:uid="{00000000-0005-0000-0000-000024780000}"/>
    <cellStyle name="Normal 65 3 2 2" xfId="10676" xr:uid="{00000000-0005-0000-0000-000025780000}"/>
    <cellStyle name="Normal 65 3 2 2 2" xfId="10677" xr:uid="{00000000-0005-0000-0000-000026780000}"/>
    <cellStyle name="Normal 65 3 2 2 3" xfId="10678" xr:uid="{00000000-0005-0000-0000-000027780000}"/>
    <cellStyle name="Normal 65 3 2 3" xfId="10679" xr:uid="{00000000-0005-0000-0000-000028780000}"/>
    <cellStyle name="Normal 65 3 2 3 2" xfId="10680" xr:uid="{00000000-0005-0000-0000-000029780000}"/>
    <cellStyle name="Normal 65 3 2 3 3" xfId="10681" xr:uid="{00000000-0005-0000-0000-00002A780000}"/>
    <cellStyle name="Normal 65 3 2 4" xfId="10682" xr:uid="{00000000-0005-0000-0000-00002B780000}"/>
    <cellStyle name="Normal 65 3 2 5" xfId="10683" xr:uid="{00000000-0005-0000-0000-00002C780000}"/>
    <cellStyle name="Normal 65 3 3" xfId="10684" xr:uid="{00000000-0005-0000-0000-00002D780000}"/>
    <cellStyle name="Normal 65 3 3 2" xfId="10685" xr:uid="{00000000-0005-0000-0000-00002E780000}"/>
    <cellStyle name="Normal 65 3 3 3" xfId="10686" xr:uid="{00000000-0005-0000-0000-00002F780000}"/>
    <cellStyle name="Normal 65 3 4" xfId="10687" xr:uid="{00000000-0005-0000-0000-000030780000}"/>
    <cellStyle name="Normal 65 3 4 2" xfId="10688" xr:uid="{00000000-0005-0000-0000-000031780000}"/>
    <cellStyle name="Normal 65 3 4 3" xfId="10689" xr:uid="{00000000-0005-0000-0000-000032780000}"/>
    <cellStyle name="Normal 65 3 5" xfId="10690" xr:uid="{00000000-0005-0000-0000-000033780000}"/>
    <cellStyle name="Normal 65 3 6" xfId="10691" xr:uid="{00000000-0005-0000-0000-000034780000}"/>
    <cellStyle name="Normal 65 4" xfId="10692" xr:uid="{00000000-0005-0000-0000-000035780000}"/>
    <cellStyle name="Normal 65 4 2" xfId="10693" xr:uid="{00000000-0005-0000-0000-000036780000}"/>
    <cellStyle name="Normal 65 4 2 2" xfId="10694" xr:uid="{00000000-0005-0000-0000-000037780000}"/>
    <cellStyle name="Normal 65 4 2 3" xfId="10695" xr:uid="{00000000-0005-0000-0000-000038780000}"/>
    <cellStyle name="Normal 65 4 3" xfId="10696" xr:uid="{00000000-0005-0000-0000-000039780000}"/>
    <cellStyle name="Normal 65 4 3 2" xfId="10697" xr:uid="{00000000-0005-0000-0000-00003A780000}"/>
    <cellStyle name="Normal 65 4 3 3" xfId="10698" xr:uid="{00000000-0005-0000-0000-00003B780000}"/>
    <cellStyle name="Normal 65 4 4" xfId="10699" xr:uid="{00000000-0005-0000-0000-00003C780000}"/>
    <cellStyle name="Normal 65 4 5" xfId="10700" xr:uid="{00000000-0005-0000-0000-00003D780000}"/>
    <cellStyle name="Normal 65 5" xfId="10701" xr:uid="{00000000-0005-0000-0000-00003E780000}"/>
    <cellStyle name="Normal 65 5 2" xfId="10702" xr:uid="{00000000-0005-0000-0000-00003F780000}"/>
    <cellStyle name="Normal 65 5 3" xfId="10703" xr:uid="{00000000-0005-0000-0000-000040780000}"/>
    <cellStyle name="Normal 65 6" xfId="10704" xr:uid="{00000000-0005-0000-0000-000041780000}"/>
    <cellStyle name="Normal 65 6 2" xfId="10705" xr:uid="{00000000-0005-0000-0000-000042780000}"/>
    <cellStyle name="Normal 65 6 3" xfId="10706" xr:uid="{00000000-0005-0000-0000-000043780000}"/>
    <cellStyle name="Normal 65 7" xfId="10707" xr:uid="{00000000-0005-0000-0000-000044780000}"/>
    <cellStyle name="Normal 65 8" xfId="10708" xr:uid="{00000000-0005-0000-0000-000045780000}"/>
    <cellStyle name="Normal 66" xfId="221" xr:uid="{00000000-0005-0000-0000-000046780000}"/>
    <cellStyle name="Normal 66 2" xfId="10709" xr:uid="{00000000-0005-0000-0000-000047780000}"/>
    <cellStyle name="Normal 66 3" xfId="10710" xr:uid="{00000000-0005-0000-0000-000048780000}"/>
    <cellStyle name="Normal 67" xfId="222" xr:uid="{00000000-0005-0000-0000-000049780000}"/>
    <cellStyle name="Normal 67 2" xfId="10711" xr:uid="{00000000-0005-0000-0000-00004A780000}"/>
    <cellStyle name="Normal 67 3" xfId="10712" xr:uid="{00000000-0005-0000-0000-00004B780000}"/>
    <cellStyle name="Normal 68" xfId="223" xr:uid="{00000000-0005-0000-0000-00004C780000}"/>
    <cellStyle name="Normal 68 2" xfId="10713" xr:uid="{00000000-0005-0000-0000-00004D780000}"/>
    <cellStyle name="Normal 68 3" xfId="10714" xr:uid="{00000000-0005-0000-0000-00004E780000}"/>
    <cellStyle name="Normal 69" xfId="224" xr:uid="{00000000-0005-0000-0000-00004F780000}"/>
    <cellStyle name="Normal 69 2" xfId="10715" xr:uid="{00000000-0005-0000-0000-000050780000}"/>
    <cellStyle name="Normal 69 3" xfId="10716" xr:uid="{00000000-0005-0000-0000-000051780000}"/>
    <cellStyle name="Normal 7" xfId="225" xr:uid="{00000000-0005-0000-0000-000052780000}"/>
    <cellStyle name="Normal 7 10" xfId="10717" xr:uid="{00000000-0005-0000-0000-000053780000}"/>
    <cellStyle name="Normal 7 10 2" xfId="10718" xr:uid="{00000000-0005-0000-0000-000054780000}"/>
    <cellStyle name="Normal 7 10 3" xfId="10719" xr:uid="{00000000-0005-0000-0000-000055780000}"/>
    <cellStyle name="Normal 7 11" xfId="10720" xr:uid="{00000000-0005-0000-0000-000056780000}"/>
    <cellStyle name="Normal 7 12" xfId="10721" xr:uid="{00000000-0005-0000-0000-000057780000}"/>
    <cellStyle name="Normal 7 2" xfId="10722" xr:uid="{00000000-0005-0000-0000-000058780000}"/>
    <cellStyle name="Normal 7 2 10" xfId="10723" xr:uid="{00000000-0005-0000-0000-000059780000}"/>
    <cellStyle name="Normal 7 2 11" xfId="10724" xr:uid="{00000000-0005-0000-0000-00005A780000}"/>
    <cellStyle name="Normal 7 2 2" xfId="10725" xr:uid="{00000000-0005-0000-0000-00005B780000}"/>
    <cellStyle name="Normal 7 2 2 2" xfId="10726" xr:uid="{00000000-0005-0000-0000-00005C780000}"/>
    <cellStyle name="Normal 7 2 2 2 2" xfId="10727" xr:uid="{00000000-0005-0000-0000-00005D780000}"/>
    <cellStyle name="Normal 7 2 2 2 2 2" xfId="10728" xr:uid="{00000000-0005-0000-0000-00005E780000}"/>
    <cellStyle name="Normal 7 2 2 2 2 2 2" xfId="10729" xr:uid="{00000000-0005-0000-0000-00005F780000}"/>
    <cellStyle name="Normal 7 2 2 2 2 2 2 2" xfId="10730" xr:uid="{00000000-0005-0000-0000-000060780000}"/>
    <cellStyle name="Normal 7 2 2 2 2 2 2 2 2" xfId="10731" xr:uid="{00000000-0005-0000-0000-000061780000}"/>
    <cellStyle name="Normal 7 2 2 2 2 2 2 2 3" xfId="10732" xr:uid="{00000000-0005-0000-0000-000062780000}"/>
    <cellStyle name="Normal 7 2 2 2 2 2 2 3" xfId="10733" xr:uid="{00000000-0005-0000-0000-000063780000}"/>
    <cellStyle name="Normal 7 2 2 2 2 2 2 3 2" xfId="10734" xr:uid="{00000000-0005-0000-0000-000064780000}"/>
    <cellStyle name="Normal 7 2 2 2 2 2 2 3 3" xfId="10735" xr:uid="{00000000-0005-0000-0000-000065780000}"/>
    <cellStyle name="Normal 7 2 2 2 2 2 2 4" xfId="10736" xr:uid="{00000000-0005-0000-0000-000066780000}"/>
    <cellStyle name="Normal 7 2 2 2 2 2 2 5" xfId="10737" xr:uid="{00000000-0005-0000-0000-000067780000}"/>
    <cellStyle name="Normal 7 2 2 2 2 2 3" xfId="10738" xr:uid="{00000000-0005-0000-0000-000068780000}"/>
    <cellStyle name="Normal 7 2 2 2 2 2 3 2" xfId="10739" xr:uid="{00000000-0005-0000-0000-000069780000}"/>
    <cellStyle name="Normal 7 2 2 2 2 2 3 3" xfId="10740" xr:uid="{00000000-0005-0000-0000-00006A780000}"/>
    <cellStyle name="Normal 7 2 2 2 2 2 4" xfId="10741" xr:uid="{00000000-0005-0000-0000-00006B780000}"/>
    <cellStyle name="Normal 7 2 2 2 2 2 4 2" xfId="10742" xr:uid="{00000000-0005-0000-0000-00006C780000}"/>
    <cellStyle name="Normal 7 2 2 2 2 2 4 3" xfId="10743" xr:uid="{00000000-0005-0000-0000-00006D780000}"/>
    <cellStyle name="Normal 7 2 2 2 2 2 5" xfId="10744" xr:uid="{00000000-0005-0000-0000-00006E780000}"/>
    <cellStyle name="Normal 7 2 2 2 2 2 6" xfId="10745" xr:uid="{00000000-0005-0000-0000-00006F780000}"/>
    <cellStyle name="Normal 7 2 2 2 2 3" xfId="10746" xr:uid="{00000000-0005-0000-0000-000070780000}"/>
    <cellStyle name="Normal 7 2 2 2 2 3 2" xfId="10747" xr:uid="{00000000-0005-0000-0000-000071780000}"/>
    <cellStyle name="Normal 7 2 2 2 2 3 2 2" xfId="10748" xr:uid="{00000000-0005-0000-0000-000072780000}"/>
    <cellStyle name="Normal 7 2 2 2 2 3 2 3" xfId="10749" xr:uid="{00000000-0005-0000-0000-000073780000}"/>
    <cellStyle name="Normal 7 2 2 2 2 3 3" xfId="10750" xr:uid="{00000000-0005-0000-0000-000074780000}"/>
    <cellStyle name="Normal 7 2 2 2 2 3 3 2" xfId="10751" xr:uid="{00000000-0005-0000-0000-000075780000}"/>
    <cellStyle name="Normal 7 2 2 2 2 3 3 3" xfId="10752" xr:uid="{00000000-0005-0000-0000-000076780000}"/>
    <cellStyle name="Normal 7 2 2 2 2 3 4" xfId="10753" xr:uid="{00000000-0005-0000-0000-000077780000}"/>
    <cellStyle name="Normal 7 2 2 2 2 3 5" xfId="10754" xr:uid="{00000000-0005-0000-0000-000078780000}"/>
    <cellStyle name="Normal 7 2 2 2 2 4" xfId="10755" xr:uid="{00000000-0005-0000-0000-000079780000}"/>
    <cellStyle name="Normal 7 2 2 2 2 4 2" xfId="10756" xr:uid="{00000000-0005-0000-0000-00007A780000}"/>
    <cellStyle name="Normal 7 2 2 2 2 4 3" xfId="10757" xr:uid="{00000000-0005-0000-0000-00007B780000}"/>
    <cellStyle name="Normal 7 2 2 2 2 5" xfId="10758" xr:uid="{00000000-0005-0000-0000-00007C780000}"/>
    <cellStyle name="Normal 7 2 2 2 2 5 2" xfId="10759" xr:uid="{00000000-0005-0000-0000-00007D780000}"/>
    <cellStyle name="Normal 7 2 2 2 2 5 3" xfId="10760" xr:uid="{00000000-0005-0000-0000-00007E780000}"/>
    <cellStyle name="Normal 7 2 2 2 2 6" xfId="10761" xr:uid="{00000000-0005-0000-0000-00007F780000}"/>
    <cellStyle name="Normal 7 2 2 2 2 7" xfId="10762" xr:uid="{00000000-0005-0000-0000-000080780000}"/>
    <cellStyle name="Normal 7 2 2 2 3" xfId="10763" xr:uid="{00000000-0005-0000-0000-000081780000}"/>
    <cellStyle name="Normal 7 2 2 2 3 2" xfId="10764" xr:uid="{00000000-0005-0000-0000-000082780000}"/>
    <cellStyle name="Normal 7 2 2 2 3 2 2" xfId="10765" xr:uid="{00000000-0005-0000-0000-000083780000}"/>
    <cellStyle name="Normal 7 2 2 2 3 2 2 2" xfId="10766" xr:uid="{00000000-0005-0000-0000-000084780000}"/>
    <cellStyle name="Normal 7 2 2 2 3 2 2 3" xfId="10767" xr:uid="{00000000-0005-0000-0000-000085780000}"/>
    <cellStyle name="Normal 7 2 2 2 3 2 3" xfId="10768" xr:uid="{00000000-0005-0000-0000-000086780000}"/>
    <cellStyle name="Normal 7 2 2 2 3 2 3 2" xfId="10769" xr:uid="{00000000-0005-0000-0000-000087780000}"/>
    <cellStyle name="Normal 7 2 2 2 3 2 3 3" xfId="10770" xr:uid="{00000000-0005-0000-0000-000088780000}"/>
    <cellStyle name="Normal 7 2 2 2 3 2 4" xfId="10771" xr:uid="{00000000-0005-0000-0000-000089780000}"/>
    <cellStyle name="Normal 7 2 2 2 3 2 5" xfId="10772" xr:uid="{00000000-0005-0000-0000-00008A780000}"/>
    <cellStyle name="Normal 7 2 2 2 3 3" xfId="10773" xr:uid="{00000000-0005-0000-0000-00008B780000}"/>
    <cellStyle name="Normal 7 2 2 2 3 3 2" xfId="10774" xr:uid="{00000000-0005-0000-0000-00008C780000}"/>
    <cellStyle name="Normal 7 2 2 2 3 3 3" xfId="10775" xr:uid="{00000000-0005-0000-0000-00008D780000}"/>
    <cellStyle name="Normal 7 2 2 2 3 4" xfId="10776" xr:uid="{00000000-0005-0000-0000-00008E780000}"/>
    <cellStyle name="Normal 7 2 2 2 3 4 2" xfId="10777" xr:uid="{00000000-0005-0000-0000-00008F780000}"/>
    <cellStyle name="Normal 7 2 2 2 3 4 3" xfId="10778" xr:uid="{00000000-0005-0000-0000-000090780000}"/>
    <cellStyle name="Normal 7 2 2 2 3 5" xfId="10779" xr:uid="{00000000-0005-0000-0000-000091780000}"/>
    <cellStyle name="Normal 7 2 2 2 3 6" xfId="10780" xr:uid="{00000000-0005-0000-0000-000092780000}"/>
    <cellStyle name="Normal 7 2 2 2 4" xfId="10781" xr:uid="{00000000-0005-0000-0000-000093780000}"/>
    <cellStyle name="Normal 7 2 2 2 4 2" xfId="10782" xr:uid="{00000000-0005-0000-0000-000094780000}"/>
    <cellStyle name="Normal 7 2 2 2 4 2 2" xfId="10783" xr:uid="{00000000-0005-0000-0000-000095780000}"/>
    <cellStyle name="Normal 7 2 2 2 4 2 3" xfId="10784" xr:uid="{00000000-0005-0000-0000-000096780000}"/>
    <cellStyle name="Normal 7 2 2 2 4 3" xfId="10785" xr:uid="{00000000-0005-0000-0000-000097780000}"/>
    <cellStyle name="Normal 7 2 2 2 4 3 2" xfId="10786" xr:uid="{00000000-0005-0000-0000-000098780000}"/>
    <cellStyle name="Normal 7 2 2 2 4 3 3" xfId="10787" xr:uid="{00000000-0005-0000-0000-000099780000}"/>
    <cellStyle name="Normal 7 2 2 2 4 4" xfId="10788" xr:uid="{00000000-0005-0000-0000-00009A780000}"/>
    <cellStyle name="Normal 7 2 2 2 4 5" xfId="10789" xr:uid="{00000000-0005-0000-0000-00009B780000}"/>
    <cellStyle name="Normal 7 2 2 2 5" xfId="10790" xr:uid="{00000000-0005-0000-0000-00009C780000}"/>
    <cellStyle name="Normal 7 2 2 2 5 2" xfId="10791" xr:uid="{00000000-0005-0000-0000-00009D780000}"/>
    <cellStyle name="Normal 7 2 2 2 5 3" xfId="10792" xr:uid="{00000000-0005-0000-0000-00009E780000}"/>
    <cellStyle name="Normal 7 2 2 2 6" xfId="10793" xr:uid="{00000000-0005-0000-0000-00009F780000}"/>
    <cellStyle name="Normal 7 2 2 2 6 2" xfId="10794" xr:uid="{00000000-0005-0000-0000-0000A0780000}"/>
    <cellStyle name="Normal 7 2 2 2 6 3" xfId="10795" xr:uid="{00000000-0005-0000-0000-0000A1780000}"/>
    <cellStyle name="Normal 7 2 2 2 7" xfId="10796" xr:uid="{00000000-0005-0000-0000-0000A2780000}"/>
    <cellStyle name="Normal 7 2 2 2 8" xfId="10797" xr:uid="{00000000-0005-0000-0000-0000A3780000}"/>
    <cellStyle name="Normal 7 2 2 3" xfId="10798" xr:uid="{00000000-0005-0000-0000-0000A4780000}"/>
    <cellStyle name="Normal 7 2 2 3 2" xfId="10799" xr:uid="{00000000-0005-0000-0000-0000A5780000}"/>
    <cellStyle name="Normal 7 2 2 3 2 2" xfId="10800" xr:uid="{00000000-0005-0000-0000-0000A6780000}"/>
    <cellStyle name="Normal 7 2 2 3 2 2 2" xfId="10801" xr:uid="{00000000-0005-0000-0000-0000A7780000}"/>
    <cellStyle name="Normal 7 2 2 3 2 2 2 2" xfId="10802" xr:uid="{00000000-0005-0000-0000-0000A8780000}"/>
    <cellStyle name="Normal 7 2 2 3 2 2 2 3" xfId="10803" xr:uid="{00000000-0005-0000-0000-0000A9780000}"/>
    <cellStyle name="Normal 7 2 2 3 2 2 3" xfId="10804" xr:uid="{00000000-0005-0000-0000-0000AA780000}"/>
    <cellStyle name="Normal 7 2 2 3 2 2 3 2" xfId="10805" xr:uid="{00000000-0005-0000-0000-0000AB780000}"/>
    <cellStyle name="Normal 7 2 2 3 2 2 3 3" xfId="10806" xr:uid="{00000000-0005-0000-0000-0000AC780000}"/>
    <cellStyle name="Normal 7 2 2 3 2 2 4" xfId="10807" xr:uid="{00000000-0005-0000-0000-0000AD780000}"/>
    <cellStyle name="Normal 7 2 2 3 2 2 5" xfId="10808" xr:uid="{00000000-0005-0000-0000-0000AE780000}"/>
    <cellStyle name="Normal 7 2 2 3 2 3" xfId="10809" xr:uid="{00000000-0005-0000-0000-0000AF780000}"/>
    <cellStyle name="Normal 7 2 2 3 2 3 2" xfId="10810" xr:uid="{00000000-0005-0000-0000-0000B0780000}"/>
    <cellStyle name="Normal 7 2 2 3 2 3 3" xfId="10811" xr:uid="{00000000-0005-0000-0000-0000B1780000}"/>
    <cellStyle name="Normal 7 2 2 3 2 4" xfId="10812" xr:uid="{00000000-0005-0000-0000-0000B2780000}"/>
    <cellStyle name="Normal 7 2 2 3 2 4 2" xfId="10813" xr:uid="{00000000-0005-0000-0000-0000B3780000}"/>
    <cellStyle name="Normal 7 2 2 3 2 4 3" xfId="10814" xr:uid="{00000000-0005-0000-0000-0000B4780000}"/>
    <cellStyle name="Normal 7 2 2 3 2 5" xfId="10815" xr:uid="{00000000-0005-0000-0000-0000B5780000}"/>
    <cellStyle name="Normal 7 2 2 3 2 6" xfId="10816" xr:uid="{00000000-0005-0000-0000-0000B6780000}"/>
    <cellStyle name="Normal 7 2 2 3 3" xfId="10817" xr:uid="{00000000-0005-0000-0000-0000B7780000}"/>
    <cellStyle name="Normal 7 2 2 3 3 2" xfId="10818" xr:uid="{00000000-0005-0000-0000-0000B8780000}"/>
    <cellStyle name="Normal 7 2 2 3 3 2 2" xfId="10819" xr:uid="{00000000-0005-0000-0000-0000B9780000}"/>
    <cellStyle name="Normal 7 2 2 3 3 2 3" xfId="10820" xr:uid="{00000000-0005-0000-0000-0000BA780000}"/>
    <cellStyle name="Normal 7 2 2 3 3 3" xfId="10821" xr:uid="{00000000-0005-0000-0000-0000BB780000}"/>
    <cellStyle name="Normal 7 2 2 3 3 3 2" xfId="10822" xr:uid="{00000000-0005-0000-0000-0000BC780000}"/>
    <cellStyle name="Normal 7 2 2 3 3 3 3" xfId="10823" xr:uid="{00000000-0005-0000-0000-0000BD780000}"/>
    <cellStyle name="Normal 7 2 2 3 3 4" xfId="10824" xr:uid="{00000000-0005-0000-0000-0000BE780000}"/>
    <cellStyle name="Normal 7 2 2 3 3 5" xfId="10825" xr:uid="{00000000-0005-0000-0000-0000BF780000}"/>
    <cellStyle name="Normal 7 2 2 3 3 6" xfId="34905" xr:uid="{00000000-0005-0000-0000-0000C0780000}"/>
    <cellStyle name="Normal 7 2 2 3 4" xfId="10826" xr:uid="{00000000-0005-0000-0000-0000C1780000}"/>
    <cellStyle name="Normal 7 2 2 3 4 2" xfId="10827" xr:uid="{00000000-0005-0000-0000-0000C2780000}"/>
    <cellStyle name="Normal 7 2 2 3 4 3" xfId="10828" xr:uid="{00000000-0005-0000-0000-0000C3780000}"/>
    <cellStyle name="Normal 7 2 2 3 5" xfId="10829" xr:uid="{00000000-0005-0000-0000-0000C4780000}"/>
    <cellStyle name="Normal 7 2 2 3 5 2" xfId="10830" xr:uid="{00000000-0005-0000-0000-0000C5780000}"/>
    <cellStyle name="Normal 7 2 2 3 5 3" xfId="10831" xr:uid="{00000000-0005-0000-0000-0000C6780000}"/>
    <cellStyle name="Normal 7 2 2 3 6" xfId="10832" xr:uid="{00000000-0005-0000-0000-0000C7780000}"/>
    <cellStyle name="Normal 7 2 2 3 7" xfId="10833" xr:uid="{00000000-0005-0000-0000-0000C8780000}"/>
    <cellStyle name="Normal 7 2 2 4" xfId="10834" xr:uid="{00000000-0005-0000-0000-0000C9780000}"/>
    <cellStyle name="Normal 7 2 2 4 2" xfId="10835" xr:uid="{00000000-0005-0000-0000-0000CA780000}"/>
    <cellStyle name="Normal 7 2 2 4 2 2" xfId="10836" xr:uid="{00000000-0005-0000-0000-0000CB780000}"/>
    <cellStyle name="Normal 7 2 2 4 2 2 2" xfId="10837" xr:uid="{00000000-0005-0000-0000-0000CC780000}"/>
    <cellStyle name="Normal 7 2 2 4 2 2 3" xfId="10838" xr:uid="{00000000-0005-0000-0000-0000CD780000}"/>
    <cellStyle name="Normal 7 2 2 4 2 3" xfId="10839" xr:uid="{00000000-0005-0000-0000-0000CE780000}"/>
    <cellStyle name="Normal 7 2 2 4 2 3 2" xfId="10840" xr:uid="{00000000-0005-0000-0000-0000CF780000}"/>
    <cellStyle name="Normal 7 2 2 4 2 3 3" xfId="10841" xr:uid="{00000000-0005-0000-0000-0000D0780000}"/>
    <cellStyle name="Normal 7 2 2 4 2 4" xfId="10842" xr:uid="{00000000-0005-0000-0000-0000D1780000}"/>
    <cellStyle name="Normal 7 2 2 4 2 5" xfId="10843" xr:uid="{00000000-0005-0000-0000-0000D2780000}"/>
    <cellStyle name="Normal 7 2 2 4 3" xfId="10844" xr:uid="{00000000-0005-0000-0000-0000D3780000}"/>
    <cellStyle name="Normal 7 2 2 4 3 2" xfId="10845" xr:uid="{00000000-0005-0000-0000-0000D4780000}"/>
    <cellStyle name="Normal 7 2 2 4 3 3" xfId="10846" xr:uid="{00000000-0005-0000-0000-0000D5780000}"/>
    <cellStyle name="Normal 7 2 2 4 4" xfId="10847" xr:uid="{00000000-0005-0000-0000-0000D6780000}"/>
    <cellStyle name="Normal 7 2 2 4 4 2" xfId="10848" xr:uid="{00000000-0005-0000-0000-0000D7780000}"/>
    <cellStyle name="Normal 7 2 2 4 4 3" xfId="10849" xr:uid="{00000000-0005-0000-0000-0000D8780000}"/>
    <cellStyle name="Normal 7 2 2 4 5" xfId="10850" xr:uid="{00000000-0005-0000-0000-0000D9780000}"/>
    <cellStyle name="Normal 7 2 2 4 6" xfId="10851" xr:uid="{00000000-0005-0000-0000-0000DA780000}"/>
    <cellStyle name="Normal 7 2 2 5" xfId="10852" xr:uid="{00000000-0005-0000-0000-0000DB780000}"/>
    <cellStyle name="Normal 7 2 2 5 2" xfId="10853" xr:uid="{00000000-0005-0000-0000-0000DC780000}"/>
    <cellStyle name="Normal 7 2 2 5 2 2" xfId="10854" xr:uid="{00000000-0005-0000-0000-0000DD780000}"/>
    <cellStyle name="Normal 7 2 2 5 2 3" xfId="10855" xr:uid="{00000000-0005-0000-0000-0000DE780000}"/>
    <cellStyle name="Normal 7 2 2 5 3" xfId="10856" xr:uid="{00000000-0005-0000-0000-0000DF780000}"/>
    <cellStyle name="Normal 7 2 2 5 3 2" xfId="10857" xr:uid="{00000000-0005-0000-0000-0000E0780000}"/>
    <cellStyle name="Normal 7 2 2 5 3 3" xfId="10858" xr:uid="{00000000-0005-0000-0000-0000E1780000}"/>
    <cellStyle name="Normal 7 2 2 5 4" xfId="10859" xr:uid="{00000000-0005-0000-0000-0000E2780000}"/>
    <cellStyle name="Normal 7 2 2 5 5" xfId="10860" xr:uid="{00000000-0005-0000-0000-0000E3780000}"/>
    <cellStyle name="Normal 7 2 2 6" xfId="10861" xr:uid="{00000000-0005-0000-0000-0000E4780000}"/>
    <cellStyle name="Normal 7 2 2 6 2" xfId="10862" xr:uid="{00000000-0005-0000-0000-0000E5780000}"/>
    <cellStyle name="Normal 7 2 2 6 3" xfId="10863" xr:uid="{00000000-0005-0000-0000-0000E6780000}"/>
    <cellStyle name="Normal 7 2 2 7" xfId="10864" xr:uid="{00000000-0005-0000-0000-0000E7780000}"/>
    <cellStyle name="Normal 7 2 2 7 2" xfId="10865" xr:uid="{00000000-0005-0000-0000-0000E8780000}"/>
    <cellStyle name="Normal 7 2 2 7 3" xfId="10866" xr:uid="{00000000-0005-0000-0000-0000E9780000}"/>
    <cellStyle name="Normal 7 2 2 8" xfId="10867" xr:uid="{00000000-0005-0000-0000-0000EA780000}"/>
    <cellStyle name="Normal 7 2 2 9" xfId="10868" xr:uid="{00000000-0005-0000-0000-0000EB780000}"/>
    <cellStyle name="Normal 7 2 3" xfId="10869" xr:uid="{00000000-0005-0000-0000-0000EC780000}"/>
    <cellStyle name="Normal 7 2 3 2" xfId="10870" xr:uid="{00000000-0005-0000-0000-0000ED780000}"/>
    <cellStyle name="Normal 7 2 3 2 2" xfId="10871" xr:uid="{00000000-0005-0000-0000-0000EE780000}"/>
    <cellStyle name="Normal 7 2 3 2 2 2" xfId="10872" xr:uid="{00000000-0005-0000-0000-0000EF780000}"/>
    <cellStyle name="Normal 7 2 3 2 2 2 2" xfId="10873" xr:uid="{00000000-0005-0000-0000-0000F0780000}"/>
    <cellStyle name="Normal 7 2 3 2 2 2 2 2" xfId="10874" xr:uid="{00000000-0005-0000-0000-0000F1780000}"/>
    <cellStyle name="Normal 7 2 3 2 2 2 2 3" xfId="10875" xr:uid="{00000000-0005-0000-0000-0000F2780000}"/>
    <cellStyle name="Normal 7 2 3 2 2 2 3" xfId="10876" xr:uid="{00000000-0005-0000-0000-0000F3780000}"/>
    <cellStyle name="Normal 7 2 3 2 2 2 3 2" xfId="10877" xr:uid="{00000000-0005-0000-0000-0000F4780000}"/>
    <cellStyle name="Normal 7 2 3 2 2 2 3 3" xfId="10878" xr:uid="{00000000-0005-0000-0000-0000F5780000}"/>
    <cellStyle name="Normal 7 2 3 2 2 2 4" xfId="10879" xr:uid="{00000000-0005-0000-0000-0000F6780000}"/>
    <cellStyle name="Normal 7 2 3 2 2 2 5" xfId="10880" xr:uid="{00000000-0005-0000-0000-0000F7780000}"/>
    <cellStyle name="Normal 7 2 3 2 2 3" xfId="10881" xr:uid="{00000000-0005-0000-0000-0000F8780000}"/>
    <cellStyle name="Normal 7 2 3 2 2 3 2" xfId="10882" xr:uid="{00000000-0005-0000-0000-0000F9780000}"/>
    <cellStyle name="Normal 7 2 3 2 2 3 3" xfId="10883" xr:uid="{00000000-0005-0000-0000-0000FA780000}"/>
    <cellStyle name="Normal 7 2 3 2 2 4" xfId="10884" xr:uid="{00000000-0005-0000-0000-0000FB780000}"/>
    <cellStyle name="Normal 7 2 3 2 2 4 2" xfId="10885" xr:uid="{00000000-0005-0000-0000-0000FC780000}"/>
    <cellStyle name="Normal 7 2 3 2 2 4 3" xfId="10886" xr:uid="{00000000-0005-0000-0000-0000FD780000}"/>
    <cellStyle name="Normal 7 2 3 2 2 5" xfId="10887" xr:uid="{00000000-0005-0000-0000-0000FE780000}"/>
    <cellStyle name="Normal 7 2 3 2 2 6" xfId="10888" xr:uid="{00000000-0005-0000-0000-0000FF780000}"/>
    <cellStyle name="Normal 7 2 3 2 3" xfId="10889" xr:uid="{00000000-0005-0000-0000-000000790000}"/>
    <cellStyle name="Normal 7 2 3 2 3 2" xfId="10890" xr:uid="{00000000-0005-0000-0000-000001790000}"/>
    <cellStyle name="Normal 7 2 3 2 3 2 2" xfId="10891" xr:uid="{00000000-0005-0000-0000-000002790000}"/>
    <cellStyle name="Normal 7 2 3 2 3 2 3" xfId="10892" xr:uid="{00000000-0005-0000-0000-000003790000}"/>
    <cellStyle name="Normal 7 2 3 2 3 3" xfId="10893" xr:uid="{00000000-0005-0000-0000-000004790000}"/>
    <cellStyle name="Normal 7 2 3 2 3 3 2" xfId="10894" xr:uid="{00000000-0005-0000-0000-000005790000}"/>
    <cellStyle name="Normal 7 2 3 2 3 3 3" xfId="10895" xr:uid="{00000000-0005-0000-0000-000006790000}"/>
    <cellStyle name="Normal 7 2 3 2 3 4" xfId="10896" xr:uid="{00000000-0005-0000-0000-000007790000}"/>
    <cellStyle name="Normal 7 2 3 2 3 5" xfId="10897" xr:uid="{00000000-0005-0000-0000-000008790000}"/>
    <cellStyle name="Normal 7 2 3 2 4" xfId="10898" xr:uid="{00000000-0005-0000-0000-000009790000}"/>
    <cellStyle name="Normal 7 2 3 2 4 2" xfId="10899" xr:uid="{00000000-0005-0000-0000-00000A790000}"/>
    <cellStyle name="Normal 7 2 3 2 4 3" xfId="10900" xr:uid="{00000000-0005-0000-0000-00000B790000}"/>
    <cellStyle name="Normal 7 2 3 2 5" xfId="10901" xr:uid="{00000000-0005-0000-0000-00000C790000}"/>
    <cellStyle name="Normal 7 2 3 2 5 2" xfId="10902" xr:uid="{00000000-0005-0000-0000-00000D790000}"/>
    <cellStyle name="Normal 7 2 3 2 5 3" xfId="10903" xr:uid="{00000000-0005-0000-0000-00000E790000}"/>
    <cellStyle name="Normal 7 2 3 2 6" xfId="10904" xr:uid="{00000000-0005-0000-0000-00000F790000}"/>
    <cellStyle name="Normal 7 2 3 2 7" xfId="10905" xr:uid="{00000000-0005-0000-0000-000010790000}"/>
    <cellStyle name="Normal 7 2 3 3" xfId="10906" xr:uid="{00000000-0005-0000-0000-000011790000}"/>
    <cellStyle name="Normal 7 2 3 3 2" xfId="10907" xr:uid="{00000000-0005-0000-0000-000012790000}"/>
    <cellStyle name="Normal 7 2 3 3 2 2" xfId="10908" xr:uid="{00000000-0005-0000-0000-000013790000}"/>
    <cellStyle name="Normal 7 2 3 3 2 2 2" xfId="10909" xr:uid="{00000000-0005-0000-0000-000014790000}"/>
    <cellStyle name="Normal 7 2 3 3 2 2 3" xfId="10910" xr:uid="{00000000-0005-0000-0000-000015790000}"/>
    <cellStyle name="Normal 7 2 3 3 2 3" xfId="10911" xr:uid="{00000000-0005-0000-0000-000016790000}"/>
    <cellStyle name="Normal 7 2 3 3 2 3 2" xfId="10912" xr:uid="{00000000-0005-0000-0000-000017790000}"/>
    <cellStyle name="Normal 7 2 3 3 2 3 3" xfId="10913" xr:uid="{00000000-0005-0000-0000-000018790000}"/>
    <cellStyle name="Normal 7 2 3 3 2 4" xfId="10914" xr:uid="{00000000-0005-0000-0000-000019790000}"/>
    <cellStyle name="Normal 7 2 3 3 2 5" xfId="10915" xr:uid="{00000000-0005-0000-0000-00001A790000}"/>
    <cellStyle name="Normal 7 2 3 3 3" xfId="10916" xr:uid="{00000000-0005-0000-0000-00001B790000}"/>
    <cellStyle name="Normal 7 2 3 3 3 2" xfId="10917" xr:uid="{00000000-0005-0000-0000-00001C790000}"/>
    <cellStyle name="Normal 7 2 3 3 3 3" xfId="10918" xr:uid="{00000000-0005-0000-0000-00001D790000}"/>
    <cellStyle name="Normal 7 2 3 3 4" xfId="10919" xr:uid="{00000000-0005-0000-0000-00001E790000}"/>
    <cellStyle name="Normal 7 2 3 3 4 2" xfId="10920" xr:uid="{00000000-0005-0000-0000-00001F790000}"/>
    <cellStyle name="Normal 7 2 3 3 4 3" xfId="10921" xr:uid="{00000000-0005-0000-0000-000020790000}"/>
    <cellStyle name="Normal 7 2 3 3 5" xfId="10922" xr:uid="{00000000-0005-0000-0000-000021790000}"/>
    <cellStyle name="Normal 7 2 3 3 6" xfId="10923" xr:uid="{00000000-0005-0000-0000-000022790000}"/>
    <cellStyle name="Normal 7 2 3 4" xfId="10924" xr:uid="{00000000-0005-0000-0000-000023790000}"/>
    <cellStyle name="Normal 7 2 3 4 2" xfId="10925" xr:uid="{00000000-0005-0000-0000-000024790000}"/>
    <cellStyle name="Normal 7 2 3 4 2 2" xfId="10926" xr:uid="{00000000-0005-0000-0000-000025790000}"/>
    <cellStyle name="Normal 7 2 3 4 2 3" xfId="10927" xr:uid="{00000000-0005-0000-0000-000026790000}"/>
    <cellStyle name="Normal 7 2 3 4 3" xfId="10928" xr:uid="{00000000-0005-0000-0000-000027790000}"/>
    <cellStyle name="Normal 7 2 3 4 3 2" xfId="10929" xr:uid="{00000000-0005-0000-0000-000028790000}"/>
    <cellStyle name="Normal 7 2 3 4 3 3" xfId="10930" xr:uid="{00000000-0005-0000-0000-000029790000}"/>
    <cellStyle name="Normal 7 2 3 4 4" xfId="10931" xr:uid="{00000000-0005-0000-0000-00002A790000}"/>
    <cellStyle name="Normal 7 2 3 4 5" xfId="10932" xr:uid="{00000000-0005-0000-0000-00002B790000}"/>
    <cellStyle name="Normal 7 2 3 5" xfId="10933" xr:uid="{00000000-0005-0000-0000-00002C790000}"/>
    <cellStyle name="Normal 7 2 3 5 2" xfId="10934" xr:uid="{00000000-0005-0000-0000-00002D790000}"/>
    <cellStyle name="Normal 7 2 3 5 3" xfId="10935" xr:uid="{00000000-0005-0000-0000-00002E790000}"/>
    <cellStyle name="Normal 7 2 3 6" xfId="10936" xr:uid="{00000000-0005-0000-0000-00002F790000}"/>
    <cellStyle name="Normal 7 2 3 6 2" xfId="10937" xr:uid="{00000000-0005-0000-0000-000030790000}"/>
    <cellStyle name="Normal 7 2 3 6 3" xfId="10938" xr:uid="{00000000-0005-0000-0000-000031790000}"/>
    <cellStyle name="Normal 7 2 3 7" xfId="10939" xr:uid="{00000000-0005-0000-0000-000032790000}"/>
    <cellStyle name="Normal 7 2 3 8" xfId="10940" xr:uid="{00000000-0005-0000-0000-000033790000}"/>
    <cellStyle name="Normal 7 2 4" xfId="10941" xr:uid="{00000000-0005-0000-0000-000034790000}"/>
    <cellStyle name="Normal 7 2 4 2" xfId="10942" xr:uid="{00000000-0005-0000-0000-000035790000}"/>
    <cellStyle name="Normal 7 2 4 2 2" xfId="10943" xr:uid="{00000000-0005-0000-0000-000036790000}"/>
    <cellStyle name="Normal 7 2 4 2 2 2" xfId="10944" xr:uid="{00000000-0005-0000-0000-000037790000}"/>
    <cellStyle name="Normal 7 2 4 2 2 2 2" xfId="10945" xr:uid="{00000000-0005-0000-0000-000038790000}"/>
    <cellStyle name="Normal 7 2 4 2 2 2 2 2" xfId="10946" xr:uid="{00000000-0005-0000-0000-000039790000}"/>
    <cellStyle name="Normal 7 2 4 2 2 2 2 3" xfId="10947" xr:uid="{00000000-0005-0000-0000-00003A790000}"/>
    <cellStyle name="Normal 7 2 4 2 2 2 3" xfId="10948" xr:uid="{00000000-0005-0000-0000-00003B790000}"/>
    <cellStyle name="Normal 7 2 4 2 2 2 3 2" xfId="10949" xr:uid="{00000000-0005-0000-0000-00003C790000}"/>
    <cellStyle name="Normal 7 2 4 2 2 2 3 3" xfId="10950" xr:uid="{00000000-0005-0000-0000-00003D790000}"/>
    <cellStyle name="Normal 7 2 4 2 2 2 4" xfId="10951" xr:uid="{00000000-0005-0000-0000-00003E790000}"/>
    <cellStyle name="Normal 7 2 4 2 2 2 5" xfId="10952" xr:uid="{00000000-0005-0000-0000-00003F790000}"/>
    <cellStyle name="Normal 7 2 4 2 2 3" xfId="10953" xr:uid="{00000000-0005-0000-0000-000040790000}"/>
    <cellStyle name="Normal 7 2 4 2 2 3 2" xfId="10954" xr:uid="{00000000-0005-0000-0000-000041790000}"/>
    <cellStyle name="Normal 7 2 4 2 2 3 3" xfId="10955" xr:uid="{00000000-0005-0000-0000-000042790000}"/>
    <cellStyle name="Normal 7 2 4 2 2 4" xfId="10956" xr:uid="{00000000-0005-0000-0000-000043790000}"/>
    <cellStyle name="Normal 7 2 4 2 2 4 2" xfId="10957" xr:uid="{00000000-0005-0000-0000-000044790000}"/>
    <cellStyle name="Normal 7 2 4 2 2 4 3" xfId="10958" xr:uid="{00000000-0005-0000-0000-000045790000}"/>
    <cellStyle name="Normal 7 2 4 2 2 5" xfId="10959" xr:uid="{00000000-0005-0000-0000-000046790000}"/>
    <cellStyle name="Normal 7 2 4 2 2 6" xfId="10960" xr:uid="{00000000-0005-0000-0000-000047790000}"/>
    <cellStyle name="Normal 7 2 4 2 3" xfId="10961" xr:uid="{00000000-0005-0000-0000-000048790000}"/>
    <cellStyle name="Normal 7 2 4 2 3 2" xfId="10962" xr:uid="{00000000-0005-0000-0000-000049790000}"/>
    <cellStyle name="Normal 7 2 4 2 3 2 2" xfId="10963" xr:uid="{00000000-0005-0000-0000-00004A790000}"/>
    <cellStyle name="Normal 7 2 4 2 3 2 3" xfId="10964" xr:uid="{00000000-0005-0000-0000-00004B790000}"/>
    <cellStyle name="Normal 7 2 4 2 3 3" xfId="10965" xr:uid="{00000000-0005-0000-0000-00004C790000}"/>
    <cellStyle name="Normal 7 2 4 2 3 3 2" xfId="10966" xr:uid="{00000000-0005-0000-0000-00004D790000}"/>
    <cellStyle name="Normal 7 2 4 2 3 3 3" xfId="10967" xr:uid="{00000000-0005-0000-0000-00004E790000}"/>
    <cellStyle name="Normal 7 2 4 2 3 4" xfId="10968" xr:uid="{00000000-0005-0000-0000-00004F790000}"/>
    <cellStyle name="Normal 7 2 4 2 3 5" xfId="10969" xr:uid="{00000000-0005-0000-0000-000050790000}"/>
    <cellStyle name="Normal 7 2 4 2 4" xfId="10970" xr:uid="{00000000-0005-0000-0000-000051790000}"/>
    <cellStyle name="Normal 7 2 4 2 4 2" xfId="10971" xr:uid="{00000000-0005-0000-0000-000052790000}"/>
    <cellStyle name="Normal 7 2 4 2 4 3" xfId="10972" xr:uid="{00000000-0005-0000-0000-000053790000}"/>
    <cellStyle name="Normal 7 2 4 2 5" xfId="10973" xr:uid="{00000000-0005-0000-0000-000054790000}"/>
    <cellStyle name="Normal 7 2 4 2 5 2" xfId="10974" xr:uid="{00000000-0005-0000-0000-000055790000}"/>
    <cellStyle name="Normal 7 2 4 2 5 3" xfId="10975" xr:uid="{00000000-0005-0000-0000-000056790000}"/>
    <cellStyle name="Normal 7 2 4 2 6" xfId="10976" xr:uid="{00000000-0005-0000-0000-000057790000}"/>
    <cellStyle name="Normal 7 2 4 2 7" xfId="10977" xr:uid="{00000000-0005-0000-0000-000058790000}"/>
    <cellStyle name="Normal 7 2 4 3" xfId="10978" xr:uid="{00000000-0005-0000-0000-000059790000}"/>
    <cellStyle name="Normal 7 2 4 3 2" xfId="10979" xr:uid="{00000000-0005-0000-0000-00005A790000}"/>
    <cellStyle name="Normal 7 2 4 3 2 2" xfId="10980" xr:uid="{00000000-0005-0000-0000-00005B790000}"/>
    <cellStyle name="Normal 7 2 4 3 2 2 2" xfId="10981" xr:uid="{00000000-0005-0000-0000-00005C790000}"/>
    <cellStyle name="Normal 7 2 4 3 2 2 3" xfId="10982" xr:uid="{00000000-0005-0000-0000-00005D790000}"/>
    <cellStyle name="Normal 7 2 4 3 2 3" xfId="10983" xr:uid="{00000000-0005-0000-0000-00005E790000}"/>
    <cellStyle name="Normal 7 2 4 3 2 3 2" xfId="10984" xr:uid="{00000000-0005-0000-0000-00005F790000}"/>
    <cellStyle name="Normal 7 2 4 3 2 3 3" xfId="10985" xr:uid="{00000000-0005-0000-0000-000060790000}"/>
    <cellStyle name="Normal 7 2 4 3 2 4" xfId="10986" xr:uid="{00000000-0005-0000-0000-000061790000}"/>
    <cellStyle name="Normal 7 2 4 3 2 5" xfId="10987" xr:uid="{00000000-0005-0000-0000-000062790000}"/>
    <cellStyle name="Normal 7 2 4 3 3" xfId="10988" xr:uid="{00000000-0005-0000-0000-000063790000}"/>
    <cellStyle name="Normal 7 2 4 3 3 2" xfId="10989" xr:uid="{00000000-0005-0000-0000-000064790000}"/>
    <cellStyle name="Normal 7 2 4 3 3 3" xfId="10990" xr:uid="{00000000-0005-0000-0000-000065790000}"/>
    <cellStyle name="Normal 7 2 4 3 4" xfId="10991" xr:uid="{00000000-0005-0000-0000-000066790000}"/>
    <cellStyle name="Normal 7 2 4 3 4 2" xfId="10992" xr:uid="{00000000-0005-0000-0000-000067790000}"/>
    <cellStyle name="Normal 7 2 4 3 4 3" xfId="10993" xr:uid="{00000000-0005-0000-0000-000068790000}"/>
    <cellStyle name="Normal 7 2 4 3 5" xfId="10994" xr:uid="{00000000-0005-0000-0000-000069790000}"/>
    <cellStyle name="Normal 7 2 4 3 6" xfId="10995" xr:uid="{00000000-0005-0000-0000-00006A790000}"/>
    <cellStyle name="Normal 7 2 4 4" xfId="10996" xr:uid="{00000000-0005-0000-0000-00006B790000}"/>
    <cellStyle name="Normal 7 2 4 4 2" xfId="10997" xr:uid="{00000000-0005-0000-0000-00006C790000}"/>
    <cellStyle name="Normal 7 2 4 4 2 2" xfId="10998" xr:uid="{00000000-0005-0000-0000-00006D790000}"/>
    <cellStyle name="Normal 7 2 4 4 2 3" xfId="10999" xr:uid="{00000000-0005-0000-0000-00006E790000}"/>
    <cellStyle name="Normal 7 2 4 4 3" xfId="11000" xr:uid="{00000000-0005-0000-0000-00006F790000}"/>
    <cellStyle name="Normal 7 2 4 4 3 2" xfId="11001" xr:uid="{00000000-0005-0000-0000-000070790000}"/>
    <cellStyle name="Normal 7 2 4 4 3 3" xfId="11002" xr:uid="{00000000-0005-0000-0000-000071790000}"/>
    <cellStyle name="Normal 7 2 4 4 4" xfId="11003" xr:uid="{00000000-0005-0000-0000-000072790000}"/>
    <cellStyle name="Normal 7 2 4 4 5" xfId="11004" xr:uid="{00000000-0005-0000-0000-000073790000}"/>
    <cellStyle name="Normal 7 2 4 5" xfId="11005" xr:uid="{00000000-0005-0000-0000-000074790000}"/>
    <cellStyle name="Normal 7 2 4 5 2" xfId="11006" xr:uid="{00000000-0005-0000-0000-000075790000}"/>
    <cellStyle name="Normal 7 2 4 5 3" xfId="11007" xr:uid="{00000000-0005-0000-0000-000076790000}"/>
    <cellStyle name="Normal 7 2 4 6" xfId="11008" xr:uid="{00000000-0005-0000-0000-000077790000}"/>
    <cellStyle name="Normal 7 2 4 6 2" xfId="11009" xr:uid="{00000000-0005-0000-0000-000078790000}"/>
    <cellStyle name="Normal 7 2 4 6 3" xfId="11010" xr:uid="{00000000-0005-0000-0000-000079790000}"/>
    <cellStyle name="Normal 7 2 4 7" xfId="11011" xr:uid="{00000000-0005-0000-0000-00007A790000}"/>
    <cellStyle name="Normal 7 2 4 8" xfId="11012" xr:uid="{00000000-0005-0000-0000-00007B790000}"/>
    <cellStyle name="Normal 7 2 5" xfId="11013" xr:uid="{00000000-0005-0000-0000-00007C790000}"/>
    <cellStyle name="Normal 7 2 5 2" xfId="11014" xr:uid="{00000000-0005-0000-0000-00007D790000}"/>
    <cellStyle name="Normal 7 2 5 2 2" xfId="11015" xr:uid="{00000000-0005-0000-0000-00007E790000}"/>
    <cellStyle name="Normal 7 2 5 2 2 2" xfId="11016" xr:uid="{00000000-0005-0000-0000-00007F790000}"/>
    <cellStyle name="Normal 7 2 5 2 2 2 2" xfId="11017" xr:uid="{00000000-0005-0000-0000-000080790000}"/>
    <cellStyle name="Normal 7 2 5 2 2 2 3" xfId="11018" xr:uid="{00000000-0005-0000-0000-000081790000}"/>
    <cellStyle name="Normal 7 2 5 2 2 3" xfId="11019" xr:uid="{00000000-0005-0000-0000-000082790000}"/>
    <cellStyle name="Normal 7 2 5 2 2 3 2" xfId="11020" xr:uid="{00000000-0005-0000-0000-000083790000}"/>
    <cellStyle name="Normal 7 2 5 2 2 3 3" xfId="11021" xr:uid="{00000000-0005-0000-0000-000084790000}"/>
    <cellStyle name="Normal 7 2 5 2 2 4" xfId="11022" xr:uid="{00000000-0005-0000-0000-000085790000}"/>
    <cellStyle name="Normal 7 2 5 2 2 5" xfId="11023" xr:uid="{00000000-0005-0000-0000-000086790000}"/>
    <cellStyle name="Normal 7 2 5 2 3" xfId="11024" xr:uid="{00000000-0005-0000-0000-000087790000}"/>
    <cellStyle name="Normal 7 2 5 2 3 2" xfId="11025" xr:uid="{00000000-0005-0000-0000-000088790000}"/>
    <cellStyle name="Normal 7 2 5 2 3 3" xfId="11026" xr:uid="{00000000-0005-0000-0000-000089790000}"/>
    <cellStyle name="Normal 7 2 5 2 4" xfId="11027" xr:uid="{00000000-0005-0000-0000-00008A790000}"/>
    <cellStyle name="Normal 7 2 5 2 4 2" xfId="11028" xr:uid="{00000000-0005-0000-0000-00008B790000}"/>
    <cellStyle name="Normal 7 2 5 2 4 3" xfId="11029" xr:uid="{00000000-0005-0000-0000-00008C790000}"/>
    <cellStyle name="Normal 7 2 5 2 5" xfId="11030" xr:uid="{00000000-0005-0000-0000-00008D790000}"/>
    <cellStyle name="Normal 7 2 5 2 6" xfId="11031" xr:uid="{00000000-0005-0000-0000-00008E790000}"/>
    <cellStyle name="Normal 7 2 5 3" xfId="11032" xr:uid="{00000000-0005-0000-0000-00008F790000}"/>
    <cellStyle name="Normal 7 2 5 3 2" xfId="11033" xr:uid="{00000000-0005-0000-0000-000090790000}"/>
    <cellStyle name="Normal 7 2 5 3 2 2" xfId="11034" xr:uid="{00000000-0005-0000-0000-000091790000}"/>
    <cellStyle name="Normal 7 2 5 3 2 3" xfId="11035" xr:uid="{00000000-0005-0000-0000-000092790000}"/>
    <cellStyle name="Normal 7 2 5 3 3" xfId="11036" xr:uid="{00000000-0005-0000-0000-000093790000}"/>
    <cellStyle name="Normal 7 2 5 3 3 2" xfId="11037" xr:uid="{00000000-0005-0000-0000-000094790000}"/>
    <cellStyle name="Normal 7 2 5 3 3 3" xfId="11038" xr:uid="{00000000-0005-0000-0000-000095790000}"/>
    <cellStyle name="Normal 7 2 5 3 4" xfId="11039" xr:uid="{00000000-0005-0000-0000-000096790000}"/>
    <cellStyle name="Normal 7 2 5 3 5" xfId="11040" xr:uid="{00000000-0005-0000-0000-000097790000}"/>
    <cellStyle name="Normal 7 2 5 4" xfId="11041" xr:uid="{00000000-0005-0000-0000-000098790000}"/>
    <cellStyle name="Normal 7 2 5 4 2" xfId="11042" xr:uid="{00000000-0005-0000-0000-000099790000}"/>
    <cellStyle name="Normal 7 2 5 4 3" xfId="11043" xr:uid="{00000000-0005-0000-0000-00009A790000}"/>
    <cellStyle name="Normal 7 2 5 5" xfId="11044" xr:uid="{00000000-0005-0000-0000-00009B790000}"/>
    <cellStyle name="Normal 7 2 5 5 2" xfId="11045" xr:uid="{00000000-0005-0000-0000-00009C790000}"/>
    <cellStyle name="Normal 7 2 5 5 3" xfId="11046" xr:uid="{00000000-0005-0000-0000-00009D790000}"/>
    <cellStyle name="Normal 7 2 5 6" xfId="11047" xr:uid="{00000000-0005-0000-0000-00009E790000}"/>
    <cellStyle name="Normal 7 2 5 7" xfId="11048" xr:uid="{00000000-0005-0000-0000-00009F790000}"/>
    <cellStyle name="Normal 7 2 6" xfId="11049" xr:uid="{00000000-0005-0000-0000-0000A0790000}"/>
    <cellStyle name="Normal 7 2 6 2" xfId="11050" xr:uid="{00000000-0005-0000-0000-0000A1790000}"/>
    <cellStyle name="Normal 7 2 6 2 2" xfId="11051" xr:uid="{00000000-0005-0000-0000-0000A2790000}"/>
    <cellStyle name="Normal 7 2 6 2 2 2" xfId="11052" xr:uid="{00000000-0005-0000-0000-0000A3790000}"/>
    <cellStyle name="Normal 7 2 6 2 2 3" xfId="11053" xr:uid="{00000000-0005-0000-0000-0000A4790000}"/>
    <cellStyle name="Normal 7 2 6 2 3" xfId="11054" xr:uid="{00000000-0005-0000-0000-0000A5790000}"/>
    <cellStyle name="Normal 7 2 6 2 3 2" xfId="11055" xr:uid="{00000000-0005-0000-0000-0000A6790000}"/>
    <cellStyle name="Normal 7 2 6 2 3 3" xfId="11056" xr:uid="{00000000-0005-0000-0000-0000A7790000}"/>
    <cellStyle name="Normal 7 2 6 2 4" xfId="11057" xr:uid="{00000000-0005-0000-0000-0000A8790000}"/>
    <cellStyle name="Normal 7 2 6 2 5" xfId="11058" xr:uid="{00000000-0005-0000-0000-0000A9790000}"/>
    <cellStyle name="Normal 7 2 6 3" xfId="11059" xr:uid="{00000000-0005-0000-0000-0000AA790000}"/>
    <cellStyle name="Normal 7 2 6 3 2" xfId="11060" xr:uid="{00000000-0005-0000-0000-0000AB790000}"/>
    <cellStyle name="Normal 7 2 6 3 3" xfId="11061" xr:uid="{00000000-0005-0000-0000-0000AC790000}"/>
    <cellStyle name="Normal 7 2 6 4" xfId="11062" xr:uid="{00000000-0005-0000-0000-0000AD790000}"/>
    <cellStyle name="Normal 7 2 6 4 2" xfId="11063" xr:uid="{00000000-0005-0000-0000-0000AE790000}"/>
    <cellStyle name="Normal 7 2 6 4 3" xfId="11064" xr:uid="{00000000-0005-0000-0000-0000AF790000}"/>
    <cellStyle name="Normal 7 2 6 5" xfId="11065" xr:uid="{00000000-0005-0000-0000-0000B0790000}"/>
    <cellStyle name="Normal 7 2 6 6" xfId="11066" xr:uid="{00000000-0005-0000-0000-0000B1790000}"/>
    <cellStyle name="Normal 7 2 7" xfId="11067" xr:uid="{00000000-0005-0000-0000-0000B2790000}"/>
    <cellStyle name="Normal 7 2 7 2" xfId="11068" xr:uid="{00000000-0005-0000-0000-0000B3790000}"/>
    <cellStyle name="Normal 7 2 7 2 2" xfId="11069" xr:uid="{00000000-0005-0000-0000-0000B4790000}"/>
    <cellStyle name="Normal 7 2 7 2 3" xfId="11070" xr:uid="{00000000-0005-0000-0000-0000B5790000}"/>
    <cellStyle name="Normal 7 2 7 3" xfId="11071" xr:uid="{00000000-0005-0000-0000-0000B6790000}"/>
    <cellStyle name="Normal 7 2 7 3 2" xfId="11072" xr:uid="{00000000-0005-0000-0000-0000B7790000}"/>
    <cellStyle name="Normal 7 2 7 3 3" xfId="11073" xr:uid="{00000000-0005-0000-0000-0000B8790000}"/>
    <cellStyle name="Normal 7 2 7 4" xfId="11074" xr:uid="{00000000-0005-0000-0000-0000B9790000}"/>
    <cellStyle name="Normal 7 2 7 5" xfId="11075" xr:uid="{00000000-0005-0000-0000-0000BA790000}"/>
    <cellStyle name="Normal 7 2 8" xfId="11076" xr:uid="{00000000-0005-0000-0000-0000BB790000}"/>
    <cellStyle name="Normal 7 2 8 2" xfId="11077" xr:uid="{00000000-0005-0000-0000-0000BC790000}"/>
    <cellStyle name="Normal 7 2 8 3" xfId="11078" xr:uid="{00000000-0005-0000-0000-0000BD790000}"/>
    <cellStyle name="Normal 7 2 9" xfId="11079" xr:uid="{00000000-0005-0000-0000-0000BE790000}"/>
    <cellStyle name="Normal 7 2 9 2" xfId="11080" xr:uid="{00000000-0005-0000-0000-0000BF790000}"/>
    <cellStyle name="Normal 7 2 9 3" xfId="11081" xr:uid="{00000000-0005-0000-0000-0000C0790000}"/>
    <cellStyle name="Normal 7 3" xfId="11082" xr:uid="{00000000-0005-0000-0000-0000C1790000}"/>
    <cellStyle name="Normal 7 3 2" xfId="11083" xr:uid="{00000000-0005-0000-0000-0000C2790000}"/>
    <cellStyle name="Normal 7 3 2 2" xfId="11084" xr:uid="{00000000-0005-0000-0000-0000C3790000}"/>
    <cellStyle name="Normal 7 3 2 2 2" xfId="11085" xr:uid="{00000000-0005-0000-0000-0000C4790000}"/>
    <cellStyle name="Normal 7 3 2 2 2 2" xfId="11086" xr:uid="{00000000-0005-0000-0000-0000C5790000}"/>
    <cellStyle name="Normal 7 3 2 2 2 2 2" xfId="11087" xr:uid="{00000000-0005-0000-0000-0000C6790000}"/>
    <cellStyle name="Normal 7 3 2 2 2 2 2 2" xfId="11088" xr:uid="{00000000-0005-0000-0000-0000C7790000}"/>
    <cellStyle name="Normal 7 3 2 2 2 2 2 3" xfId="11089" xr:uid="{00000000-0005-0000-0000-0000C8790000}"/>
    <cellStyle name="Normal 7 3 2 2 2 2 3" xfId="11090" xr:uid="{00000000-0005-0000-0000-0000C9790000}"/>
    <cellStyle name="Normal 7 3 2 2 2 2 3 2" xfId="11091" xr:uid="{00000000-0005-0000-0000-0000CA790000}"/>
    <cellStyle name="Normal 7 3 2 2 2 2 3 3" xfId="11092" xr:uid="{00000000-0005-0000-0000-0000CB790000}"/>
    <cellStyle name="Normal 7 3 2 2 2 2 4" xfId="11093" xr:uid="{00000000-0005-0000-0000-0000CC790000}"/>
    <cellStyle name="Normal 7 3 2 2 2 2 5" xfId="11094" xr:uid="{00000000-0005-0000-0000-0000CD790000}"/>
    <cellStyle name="Normal 7 3 2 2 2 3" xfId="11095" xr:uid="{00000000-0005-0000-0000-0000CE790000}"/>
    <cellStyle name="Normal 7 3 2 2 2 3 2" xfId="11096" xr:uid="{00000000-0005-0000-0000-0000CF790000}"/>
    <cellStyle name="Normal 7 3 2 2 2 3 3" xfId="11097" xr:uid="{00000000-0005-0000-0000-0000D0790000}"/>
    <cellStyle name="Normal 7 3 2 2 2 4" xfId="11098" xr:uid="{00000000-0005-0000-0000-0000D1790000}"/>
    <cellStyle name="Normal 7 3 2 2 2 4 2" xfId="11099" xr:uid="{00000000-0005-0000-0000-0000D2790000}"/>
    <cellStyle name="Normal 7 3 2 2 2 4 3" xfId="11100" xr:uid="{00000000-0005-0000-0000-0000D3790000}"/>
    <cellStyle name="Normal 7 3 2 2 2 5" xfId="11101" xr:uid="{00000000-0005-0000-0000-0000D4790000}"/>
    <cellStyle name="Normal 7 3 2 2 2 6" xfId="11102" xr:uid="{00000000-0005-0000-0000-0000D5790000}"/>
    <cellStyle name="Normal 7 3 2 2 3" xfId="11103" xr:uid="{00000000-0005-0000-0000-0000D6790000}"/>
    <cellStyle name="Normal 7 3 2 2 3 2" xfId="11104" xr:uid="{00000000-0005-0000-0000-0000D7790000}"/>
    <cellStyle name="Normal 7 3 2 2 3 2 2" xfId="11105" xr:uid="{00000000-0005-0000-0000-0000D8790000}"/>
    <cellStyle name="Normal 7 3 2 2 3 2 3" xfId="11106" xr:uid="{00000000-0005-0000-0000-0000D9790000}"/>
    <cellStyle name="Normal 7 3 2 2 3 3" xfId="11107" xr:uid="{00000000-0005-0000-0000-0000DA790000}"/>
    <cellStyle name="Normal 7 3 2 2 3 3 2" xfId="11108" xr:uid="{00000000-0005-0000-0000-0000DB790000}"/>
    <cellStyle name="Normal 7 3 2 2 3 3 3" xfId="11109" xr:uid="{00000000-0005-0000-0000-0000DC790000}"/>
    <cellStyle name="Normal 7 3 2 2 3 4" xfId="11110" xr:uid="{00000000-0005-0000-0000-0000DD790000}"/>
    <cellStyle name="Normal 7 3 2 2 3 5" xfId="11111" xr:uid="{00000000-0005-0000-0000-0000DE790000}"/>
    <cellStyle name="Normal 7 3 2 2 4" xfId="11112" xr:uid="{00000000-0005-0000-0000-0000DF790000}"/>
    <cellStyle name="Normal 7 3 2 2 4 2" xfId="11113" xr:uid="{00000000-0005-0000-0000-0000E0790000}"/>
    <cellStyle name="Normal 7 3 2 2 4 3" xfId="11114" xr:uid="{00000000-0005-0000-0000-0000E1790000}"/>
    <cellStyle name="Normal 7 3 2 2 5" xfId="11115" xr:uid="{00000000-0005-0000-0000-0000E2790000}"/>
    <cellStyle name="Normal 7 3 2 2 5 2" xfId="11116" xr:uid="{00000000-0005-0000-0000-0000E3790000}"/>
    <cellStyle name="Normal 7 3 2 2 5 3" xfId="11117" xr:uid="{00000000-0005-0000-0000-0000E4790000}"/>
    <cellStyle name="Normal 7 3 2 2 6" xfId="11118" xr:uid="{00000000-0005-0000-0000-0000E5790000}"/>
    <cellStyle name="Normal 7 3 2 2 7" xfId="11119" xr:uid="{00000000-0005-0000-0000-0000E6790000}"/>
    <cellStyle name="Normal 7 3 2 3" xfId="11120" xr:uid="{00000000-0005-0000-0000-0000E7790000}"/>
    <cellStyle name="Normal 7 3 2 3 2" xfId="11121" xr:uid="{00000000-0005-0000-0000-0000E8790000}"/>
    <cellStyle name="Normal 7 3 2 3 2 2" xfId="11122" xr:uid="{00000000-0005-0000-0000-0000E9790000}"/>
    <cellStyle name="Normal 7 3 2 3 2 2 2" xfId="11123" xr:uid="{00000000-0005-0000-0000-0000EA790000}"/>
    <cellStyle name="Normal 7 3 2 3 2 2 3" xfId="11124" xr:uid="{00000000-0005-0000-0000-0000EB790000}"/>
    <cellStyle name="Normal 7 3 2 3 2 3" xfId="11125" xr:uid="{00000000-0005-0000-0000-0000EC790000}"/>
    <cellStyle name="Normal 7 3 2 3 2 3 2" xfId="11126" xr:uid="{00000000-0005-0000-0000-0000ED790000}"/>
    <cellStyle name="Normal 7 3 2 3 2 3 3" xfId="11127" xr:uid="{00000000-0005-0000-0000-0000EE790000}"/>
    <cellStyle name="Normal 7 3 2 3 2 4" xfId="11128" xr:uid="{00000000-0005-0000-0000-0000EF790000}"/>
    <cellStyle name="Normal 7 3 2 3 2 5" xfId="11129" xr:uid="{00000000-0005-0000-0000-0000F0790000}"/>
    <cellStyle name="Normal 7 3 2 3 3" xfId="11130" xr:uid="{00000000-0005-0000-0000-0000F1790000}"/>
    <cellStyle name="Normal 7 3 2 3 3 2" xfId="11131" xr:uid="{00000000-0005-0000-0000-0000F2790000}"/>
    <cellStyle name="Normal 7 3 2 3 3 3" xfId="11132" xr:uid="{00000000-0005-0000-0000-0000F3790000}"/>
    <cellStyle name="Normal 7 3 2 3 4" xfId="11133" xr:uid="{00000000-0005-0000-0000-0000F4790000}"/>
    <cellStyle name="Normal 7 3 2 3 4 2" xfId="11134" xr:uid="{00000000-0005-0000-0000-0000F5790000}"/>
    <cellStyle name="Normal 7 3 2 3 4 3" xfId="11135" xr:uid="{00000000-0005-0000-0000-0000F6790000}"/>
    <cellStyle name="Normal 7 3 2 3 5" xfId="11136" xr:uid="{00000000-0005-0000-0000-0000F7790000}"/>
    <cellStyle name="Normal 7 3 2 3 6" xfId="11137" xr:uid="{00000000-0005-0000-0000-0000F8790000}"/>
    <cellStyle name="Normal 7 3 2 4" xfId="11138" xr:uid="{00000000-0005-0000-0000-0000F9790000}"/>
    <cellStyle name="Normal 7 3 2 4 2" xfId="11139" xr:uid="{00000000-0005-0000-0000-0000FA790000}"/>
    <cellStyle name="Normal 7 3 2 4 2 2" xfId="11140" xr:uid="{00000000-0005-0000-0000-0000FB790000}"/>
    <cellStyle name="Normal 7 3 2 4 2 3" xfId="11141" xr:uid="{00000000-0005-0000-0000-0000FC790000}"/>
    <cellStyle name="Normal 7 3 2 4 3" xfId="11142" xr:uid="{00000000-0005-0000-0000-0000FD790000}"/>
    <cellStyle name="Normal 7 3 2 4 3 2" xfId="11143" xr:uid="{00000000-0005-0000-0000-0000FE790000}"/>
    <cellStyle name="Normal 7 3 2 4 3 3" xfId="11144" xr:uid="{00000000-0005-0000-0000-0000FF790000}"/>
    <cellStyle name="Normal 7 3 2 4 4" xfId="11145" xr:uid="{00000000-0005-0000-0000-0000007A0000}"/>
    <cellStyle name="Normal 7 3 2 4 5" xfId="11146" xr:uid="{00000000-0005-0000-0000-0000017A0000}"/>
    <cellStyle name="Normal 7 3 2 5" xfId="11147" xr:uid="{00000000-0005-0000-0000-0000027A0000}"/>
    <cellStyle name="Normal 7 3 2 5 2" xfId="11148" xr:uid="{00000000-0005-0000-0000-0000037A0000}"/>
    <cellStyle name="Normal 7 3 2 5 3" xfId="11149" xr:uid="{00000000-0005-0000-0000-0000047A0000}"/>
    <cellStyle name="Normal 7 3 2 6" xfId="11150" xr:uid="{00000000-0005-0000-0000-0000057A0000}"/>
    <cellStyle name="Normal 7 3 2 6 2" xfId="11151" xr:uid="{00000000-0005-0000-0000-0000067A0000}"/>
    <cellStyle name="Normal 7 3 2 6 3" xfId="11152" xr:uid="{00000000-0005-0000-0000-0000077A0000}"/>
    <cellStyle name="Normal 7 3 2 7" xfId="11153" xr:uid="{00000000-0005-0000-0000-0000087A0000}"/>
    <cellStyle name="Normal 7 3 2 8" xfId="11154" xr:uid="{00000000-0005-0000-0000-0000097A0000}"/>
    <cellStyle name="Normal 7 3 3" xfId="11155" xr:uid="{00000000-0005-0000-0000-00000A7A0000}"/>
    <cellStyle name="Normal 7 3 3 2" xfId="11156" xr:uid="{00000000-0005-0000-0000-00000B7A0000}"/>
    <cellStyle name="Normal 7 3 3 2 2" xfId="11157" xr:uid="{00000000-0005-0000-0000-00000C7A0000}"/>
    <cellStyle name="Normal 7 3 3 2 2 2" xfId="11158" xr:uid="{00000000-0005-0000-0000-00000D7A0000}"/>
    <cellStyle name="Normal 7 3 3 2 2 2 2" xfId="11159" xr:uid="{00000000-0005-0000-0000-00000E7A0000}"/>
    <cellStyle name="Normal 7 3 3 2 2 2 3" xfId="11160" xr:uid="{00000000-0005-0000-0000-00000F7A0000}"/>
    <cellStyle name="Normal 7 3 3 2 2 3" xfId="11161" xr:uid="{00000000-0005-0000-0000-0000107A0000}"/>
    <cellStyle name="Normal 7 3 3 2 2 3 2" xfId="11162" xr:uid="{00000000-0005-0000-0000-0000117A0000}"/>
    <cellStyle name="Normal 7 3 3 2 2 3 3" xfId="11163" xr:uid="{00000000-0005-0000-0000-0000127A0000}"/>
    <cellStyle name="Normal 7 3 3 2 2 4" xfId="11164" xr:uid="{00000000-0005-0000-0000-0000137A0000}"/>
    <cellStyle name="Normal 7 3 3 2 2 5" xfId="11165" xr:uid="{00000000-0005-0000-0000-0000147A0000}"/>
    <cellStyle name="Normal 7 3 3 2 3" xfId="11166" xr:uid="{00000000-0005-0000-0000-0000157A0000}"/>
    <cellStyle name="Normal 7 3 3 2 3 2" xfId="11167" xr:uid="{00000000-0005-0000-0000-0000167A0000}"/>
    <cellStyle name="Normal 7 3 3 2 3 3" xfId="11168" xr:uid="{00000000-0005-0000-0000-0000177A0000}"/>
    <cellStyle name="Normal 7 3 3 2 4" xfId="11169" xr:uid="{00000000-0005-0000-0000-0000187A0000}"/>
    <cellStyle name="Normal 7 3 3 2 4 2" xfId="11170" xr:uid="{00000000-0005-0000-0000-0000197A0000}"/>
    <cellStyle name="Normal 7 3 3 2 4 3" xfId="11171" xr:uid="{00000000-0005-0000-0000-00001A7A0000}"/>
    <cellStyle name="Normal 7 3 3 2 5" xfId="11172" xr:uid="{00000000-0005-0000-0000-00001B7A0000}"/>
    <cellStyle name="Normal 7 3 3 2 6" xfId="11173" xr:uid="{00000000-0005-0000-0000-00001C7A0000}"/>
    <cellStyle name="Normal 7 3 3 3" xfId="11174" xr:uid="{00000000-0005-0000-0000-00001D7A0000}"/>
    <cellStyle name="Normal 7 3 3 3 2" xfId="11175" xr:uid="{00000000-0005-0000-0000-00001E7A0000}"/>
    <cellStyle name="Normal 7 3 3 3 2 2" xfId="11176" xr:uid="{00000000-0005-0000-0000-00001F7A0000}"/>
    <cellStyle name="Normal 7 3 3 3 2 3" xfId="11177" xr:uid="{00000000-0005-0000-0000-0000207A0000}"/>
    <cellStyle name="Normal 7 3 3 3 3" xfId="11178" xr:uid="{00000000-0005-0000-0000-0000217A0000}"/>
    <cellStyle name="Normal 7 3 3 3 3 2" xfId="11179" xr:uid="{00000000-0005-0000-0000-0000227A0000}"/>
    <cellStyle name="Normal 7 3 3 3 3 3" xfId="11180" xr:uid="{00000000-0005-0000-0000-0000237A0000}"/>
    <cellStyle name="Normal 7 3 3 3 4" xfId="11181" xr:uid="{00000000-0005-0000-0000-0000247A0000}"/>
    <cellStyle name="Normal 7 3 3 3 5" xfId="11182" xr:uid="{00000000-0005-0000-0000-0000257A0000}"/>
    <cellStyle name="Normal 7 3 3 4" xfId="11183" xr:uid="{00000000-0005-0000-0000-0000267A0000}"/>
    <cellStyle name="Normal 7 3 3 4 2" xfId="11184" xr:uid="{00000000-0005-0000-0000-0000277A0000}"/>
    <cellStyle name="Normal 7 3 3 4 3" xfId="11185" xr:uid="{00000000-0005-0000-0000-0000287A0000}"/>
    <cellStyle name="Normal 7 3 3 5" xfId="11186" xr:uid="{00000000-0005-0000-0000-0000297A0000}"/>
    <cellStyle name="Normal 7 3 3 5 2" xfId="11187" xr:uid="{00000000-0005-0000-0000-00002A7A0000}"/>
    <cellStyle name="Normal 7 3 3 5 3" xfId="11188" xr:uid="{00000000-0005-0000-0000-00002B7A0000}"/>
    <cellStyle name="Normal 7 3 3 6" xfId="11189" xr:uid="{00000000-0005-0000-0000-00002C7A0000}"/>
    <cellStyle name="Normal 7 3 3 7" xfId="11190" xr:uid="{00000000-0005-0000-0000-00002D7A0000}"/>
    <cellStyle name="Normal 7 3 4" xfId="11191" xr:uid="{00000000-0005-0000-0000-00002E7A0000}"/>
    <cellStyle name="Normal 7 3 4 2" xfId="11192" xr:uid="{00000000-0005-0000-0000-00002F7A0000}"/>
    <cellStyle name="Normal 7 3 4 2 2" xfId="11193" xr:uid="{00000000-0005-0000-0000-0000307A0000}"/>
    <cellStyle name="Normal 7 3 4 2 2 2" xfId="11194" xr:uid="{00000000-0005-0000-0000-0000317A0000}"/>
    <cellStyle name="Normal 7 3 4 2 2 3" xfId="11195" xr:uid="{00000000-0005-0000-0000-0000327A0000}"/>
    <cellStyle name="Normal 7 3 4 2 3" xfId="11196" xr:uid="{00000000-0005-0000-0000-0000337A0000}"/>
    <cellStyle name="Normal 7 3 4 2 3 2" xfId="11197" xr:uid="{00000000-0005-0000-0000-0000347A0000}"/>
    <cellStyle name="Normal 7 3 4 2 3 3" xfId="11198" xr:uid="{00000000-0005-0000-0000-0000357A0000}"/>
    <cellStyle name="Normal 7 3 4 2 4" xfId="11199" xr:uid="{00000000-0005-0000-0000-0000367A0000}"/>
    <cellStyle name="Normal 7 3 4 2 5" xfId="11200" xr:uid="{00000000-0005-0000-0000-0000377A0000}"/>
    <cellStyle name="Normal 7 3 4 3" xfId="11201" xr:uid="{00000000-0005-0000-0000-0000387A0000}"/>
    <cellStyle name="Normal 7 3 4 3 2" xfId="11202" xr:uid="{00000000-0005-0000-0000-0000397A0000}"/>
    <cellStyle name="Normal 7 3 4 3 3" xfId="11203" xr:uid="{00000000-0005-0000-0000-00003A7A0000}"/>
    <cellStyle name="Normal 7 3 4 4" xfId="11204" xr:uid="{00000000-0005-0000-0000-00003B7A0000}"/>
    <cellStyle name="Normal 7 3 4 4 2" xfId="11205" xr:uid="{00000000-0005-0000-0000-00003C7A0000}"/>
    <cellStyle name="Normal 7 3 4 4 3" xfId="11206" xr:uid="{00000000-0005-0000-0000-00003D7A0000}"/>
    <cellStyle name="Normal 7 3 4 5" xfId="11207" xr:uid="{00000000-0005-0000-0000-00003E7A0000}"/>
    <cellStyle name="Normal 7 3 4 6" xfId="11208" xr:uid="{00000000-0005-0000-0000-00003F7A0000}"/>
    <cellStyle name="Normal 7 3 5" xfId="11209" xr:uid="{00000000-0005-0000-0000-0000407A0000}"/>
    <cellStyle name="Normal 7 3 5 2" xfId="11210" xr:uid="{00000000-0005-0000-0000-0000417A0000}"/>
    <cellStyle name="Normal 7 3 5 2 2" xfId="11211" xr:uid="{00000000-0005-0000-0000-0000427A0000}"/>
    <cellStyle name="Normal 7 3 5 2 3" xfId="11212" xr:uid="{00000000-0005-0000-0000-0000437A0000}"/>
    <cellStyle name="Normal 7 3 5 3" xfId="11213" xr:uid="{00000000-0005-0000-0000-0000447A0000}"/>
    <cellStyle name="Normal 7 3 5 3 2" xfId="11214" xr:uid="{00000000-0005-0000-0000-0000457A0000}"/>
    <cellStyle name="Normal 7 3 5 3 3" xfId="11215" xr:uid="{00000000-0005-0000-0000-0000467A0000}"/>
    <cellStyle name="Normal 7 3 5 4" xfId="11216" xr:uid="{00000000-0005-0000-0000-0000477A0000}"/>
    <cellStyle name="Normal 7 3 5 5" xfId="11217" xr:uid="{00000000-0005-0000-0000-0000487A0000}"/>
    <cellStyle name="Normal 7 3 6" xfId="11218" xr:uid="{00000000-0005-0000-0000-0000497A0000}"/>
    <cellStyle name="Normal 7 3 6 2" xfId="11219" xr:uid="{00000000-0005-0000-0000-00004A7A0000}"/>
    <cellStyle name="Normal 7 3 6 3" xfId="11220" xr:uid="{00000000-0005-0000-0000-00004B7A0000}"/>
    <cellStyle name="Normal 7 3 7" xfId="11221" xr:uid="{00000000-0005-0000-0000-00004C7A0000}"/>
    <cellStyle name="Normal 7 3 7 2" xfId="11222" xr:uid="{00000000-0005-0000-0000-00004D7A0000}"/>
    <cellStyle name="Normal 7 3 7 3" xfId="11223" xr:uid="{00000000-0005-0000-0000-00004E7A0000}"/>
    <cellStyle name="Normal 7 3 8" xfId="11224" xr:uid="{00000000-0005-0000-0000-00004F7A0000}"/>
    <cellStyle name="Normal 7 3 9" xfId="11225" xr:uid="{00000000-0005-0000-0000-0000507A0000}"/>
    <cellStyle name="Normal 7 4" xfId="11226" xr:uid="{00000000-0005-0000-0000-0000517A0000}"/>
    <cellStyle name="Normal 7 4 2" xfId="11227" xr:uid="{00000000-0005-0000-0000-0000527A0000}"/>
    <cellStyle name="Normal 7 4 2 2" xfId="11228" xr:uid="{00000000-0005-0000-0000-0000537A0000}"/>
    <cellStyle name="Normal 7 4 2 2 2" xfId="11229" xr:uid="{00000000-0005-0000-0000-0000547A0000}"/>
    <cellStyle name="Normal 7 4 2 2 2 2" xfId="11230" xr:uid="{00000000-0005-0000-0000-0000557A0000}"/>
    <cellStyle name="Normal 7 4 2 2 2 2 2" xfId="11231" xr:uid="{00000000-0005-0000-0000-0000567A0000}"/>
    <cellStyle name="Normal 7 4 2 2 2 2 3" xfId="11232" xr:uid="{00000000-0005-0000-0000-0000577A0000}"/>
    <cellStyle name="Normal 7 4 2 2 2 3" xfId="11233" xr:uid="{00000000-0005-0000-0000-0000587A0000}"/>
    <cellStyle name="Normal 7 4 2 2 2 3 2" xfId="11234" xr:uid="{00000000-0005-0000-0000-0000597A0000}"/>
    <cellStyle name="Normal 7 4 2 2 2 3 3" xfId="11235" xr:uid="{00000000-0005-0000-0000-00005A7A0000}"/>
    <cellStyle name="Normal 7 4 2 2 2 4" xfId="11236" xr:uid="{00000000-0005-0000-0000-00005B7A0000}"/>
    <cellStyle name="Normal 7 4 2 2 2 5" xfId="11237" xr:uid="{00000000-0005-0000-0000-00005C7A0000}"/>
    <cellStyle name="Normal 7 4 2 2 3" xfId="11238" xr:uid="{00000000-0005-0000-0000-00005D7A0000}"/>
    <cellStyle name="Normal 7 4 2 2 3 2" xfId="11239" xr:uid="{00000000-0005-0000-0000-00005E7A0000}"/>
    <cellStyle name="Normal 7 4 2 2 3 3" xfId="11240" xr:uid="{00000000-0005-0000-0000-00005F7A0000}"/>
    <cellStyle name="Normal 7 4 2 2 4" xfId="11241" xr:uid="{00000000-0005-0000-0000-0000607A0000}"/>
    <cellStyle name="Normal 7 4 2 2 4 2" xfId="11242" xr:uid="{00000000-0005-0000-0000-0000617A0000}"/>
    <cellStyle name="Normal 7 4 2 2 4 3" xfId="11243" xr:uid="{00000000-0005-0000-0000-0000627A0000}"/>
    <cellStyle name="Normal 7 4 2 2 5" xfId="11244" xr:uid="{00000000-0005-0000-0000-0000637A0000}"/>
    <cellStyle name="Normal 7 4 2 2 6" xfId="11245" xr:uid="{00000000-0005-0000-0000-0000647A0000}"/>
    <cellStyle name="Normal 7 4 2 3" xfId="11246" xr:uid="{00000000-0005-0000-0000-0000657A0000}"/>
    <cellStyle name="Normal 7 4 2 3 2" xfId="11247" xr:uid="{00000000-0005-0000-0000-0000667A0000}"/>
    <cellStyle name="Normal 7 4 2 3 2 2" xfId="11248" xr:uid="{00000000-0005-0000-0000-0000677A0000}"/>
    <cellStyle name="Normal 7 4 2 3 2 3" xfId="11249" xr:uid="{00000000-0005-0000-0000-0000687A0000}"/>
    <cellStyle name="Normal 7 4 2 3 3" xfId="11250" xr:uid="{00000000-0005-0000-0000-0000697A0000}"/>
    <cellStyle name="Normal 7 4 2 3 3 2" xfId="11251" xr:uid="{00000000-0005-0000-0000-00006A7A0000}"/>
    <cellStyle name="Normal 7 4 2 3 3 3" xfId="11252" xr:uid="{00000000-0005-0000-0000-00006B7A0000}"/>
    <cellStyle name="Normal 7 4 2 3 4" xfId="11253" xr:uid="{00000000-0005-0000-0000-00006C7A0000}"/>
    <cellStyle name="Normal 7 4 2 3 5" xfId="11254" xr:uid="{00000000-0005-0000-0000-00006D7A0000}"/>
    <cellStyle name="Normal 7 4 2 4" xfId="11255" xr:uid="{00000000-0005-0000-0000-00006E7A0000}"/>
    <cellStyle name="Normal 7 4 2 4 2" xfId="11256" xr:uid="{00000000-0005-0000-0000-00006F7A0000}"/>
    <cellStyle name="Normal 7 4 2 4 3" xfId="11257" xr:uid="{00000000-0005-0000-0000-0000707A0000}"/>
    <cellStyle name="Normal 7 4 2 5" xfId="11258" xr:uid="{00000000-0005-0000-0000-0000717A0000}"/>
    <cellStyle name="Normal 7 4 2 5 2" xfId="11259" xr:uid="{00000000-0005-0000-0000-0000727A0000}"/>
    <cellStyle name="Normal 7 4 2 5 3" xfId="11260" xr:uid="{00000000-0005-0000-0000-0000737A0000}"/>
    <cellStyle name="Normal 7 4 2 6" xfId="11261" xr:uid="{00000000-0005-0000-0000-0000747A0000}"/>
    <cellStyle name="Normal 7 4 2 7" xfId="11262" xr:uid="{00000000-0005-0000-0000-0000757A0000}"/>
    <cellStyle name="Normal 7 4 3" xfId="11263" xr:uid="{00000000-0005-0000-0000-0000767A0000}"/>
    <cellStyle name="Normal 7 4 3 2" xfId="11264" xr:uid="{00000000-0005-0000-0000-0000777A0000}"/>
    <cellStyle name="Normal 7 4 3 2 2" xfId="11265" xr:uid="{00000000-0005-0000-0000-0000787A0000}"/>
    <cellStyle name="Normal 7 4 3 2 2 2" xfId="11266" xr:uid="{00000000-0005-0000-0000-0000797A0000}"/>
    <cellStyle name="Normal 7 4 3 2 2 3" xfId="11267" xr:uid="{00000000-0005-0000-0000-00007A7A0000}"/>
    <cellStyle name="Normal 7 4 3 2 3" xfId="11268" xr:uid="{00000000-0005-0000-0000-00007B7A0000}"/>
    <cellStyle name="Normal 7 4 3 2 3 2" xfId="11269" xr:uid="{00000000-0005-0000-0000-00007C7A0000}"/>
    <cellStyle name="Normal 7 4 3 2 3 3" xfId="11270" xr:uid="{00000000-0005-0000-0000-00007D7A0000}"/>
    <cellStyle name="Normal 7 4 3 2 4" xfId="11271" xr:uid="{00000000-0005-0000-0000-00007E7A0000}"/>
    <cellStyle name="Normal 7 4 3 2 5" xfId="11272" xr:uid="{00000000-0005-0000-0000-00007F7A0000}"/>
    <cellStyle name="Normal 7 4 3 3" xfId="11273" xr:uid="{00000000-0005-0000-0000-0000807A0000}"/>
    <cellStyle name="Normal 7 4 3 3 2" xfId="11274" xr:uid="{00000000-0005-0000-0000-0000817A0000}"/>
    <cellStyle name="Normal 7 4 3 3 3" xfId="11275" xr:uid="{00000000-0005-0000-0000-0000827A0000}"/>
    <cellStyle name="Normal 7 4 3 4" xfId="11276" xr:uid="{00000000-0005-0000-0000-0000837A0000}"/>
    <cellStyle name="Normal 7 4 3 4 2" xfId="11277" xr:uid="{00000000-0005-0000-0000-0000847A0000}"/>
    <cellStyle name="Normal 7 4 3 4 3" xfId="11278" xr:uid="{00000000-0005-0000-0000-0000857A0000}"/>
    <cellStyle name="Normal 7 4 3 5" xfId="11279" xr:uid="{00000000-0005-0000-0000-0000867A0000}"/>
    <cellStyle name="Normal 7 4 3 6" xfId="11280" xr:uid="{00000000-0005-0000-0000-0000877A0000}"/>
    <cellStyle name="Normal 7 4 4" xfId="11281" xr:uid="{00000000-0005-0000-0000-0000887A0000}"/>
    <cellStyle name="Normal 7 4 4 2" xfId="11282" xr:uid="{00000000-0005-0000-0000-0000897A0000}"/>
    <cellStyle name="Normal 7 4 4 2 2" xfId="11283" xr:uid="{00000000-0005-0000-0000-00008A7A0000}"/>
    <cellStyle name="Normal 7 4 4 2 3" xfId="11284" xr:uid="{00000000-0005-0000-0000-00008B7A0000}"/>
    <cellStyle name="Normal 7 4 4 3" xfId="11285" xr:uid="{00000000-0005-0000-0000-00008C7A0000}"/>
    <cellStyle name="Normal 7 4 4 3 2" xfId="11286" xr:uid="{00000000-0005-0000-0000-00008D7A0000}"/>
    <cellStyle name="Normal 7 4 4 3 3" xfId="11287" xr:uid="{00000000-0005-0000-0000-00008E7A0000}"/>
    <cellStyle name="Normal 7 4 4 4" xfId="11288" xr:uid="{00000000-0005-0000-0000-00008F7A0000}"/>
    <cellStyle name="Normal 7 4 4 5" xfId="11289" xr:uid="{00000000-0005-0000-0000-0000907A0000}"/>
    <cellStyle name="Normal 7 4 5" xfId="11290" xr:uid="{00000000-0005-0000-0000-0000917A0000}"/>
    <cellStyle name="Normal 7 4 5 2" xfId="11291" xr:uid="{00000000-0005-0000-0000-0000927A0000}"/>
    <cellStyle name="Normal 7 4 5 3" xfId="11292" xr:uid="{00000000-0005-0000-0000-0000937A0000}"/>
    <cellStyle name="Normal 7 4 6" xfId="11293" xr:uid="{00000000-0005-0000-0000-0000947A0000}"/>
    <cellStyle name="Normal 7 4 6 2" xfId="11294" xr:uid="{00000000-0005-0000-0000-0000957A0000}"/>
    <cellStyle name="Normal 7 4 6 3" xfId="11295" xr:uid="{00000000-0005-0000-0000-0000967A0000}"/>
    <cellStyle name="Normal 7 4 7" xfId="11296" xr:uid="{00000000-0005-0000-0000-0000977A0000}"/>
    <cellStyle name="Normal 7 4 8" xfId="11297" xr:uid="{00000000-0005-0000-0000-0000987A0000}"/>
    <cellStyle name="Normal 7 5" xfId="11298" xr:uid="{00000000-0005-0000-0000-0000997A0000}"/>
    <cellStyle name="Normal 7 5 2" xfId="11299" xr:uid="{00000000-0005-0000-0000-00009A7A0000}"/>
    <cellStyle name="Normal 7 5 2 2" xfId="11300" xr:uid="{00000000-0005-0000-0000-00009B7A0000}"/>
    <cellStyle name="Normal 7 5 2 2 2" xfId="11301" xr:uid="{00000000-0005-0000-0000-00009C7A0000}"/>
    <cellStyle name="Normal 7 5 2 2 2 2" xfId="11302" xr:uid="{00000000-0005-0000-0000-00009D7A0000}"/>
    <cellStyle name="Normal 7 5 2 2 2 2 2" xfId="11303" xr:uid="{00000000-0005-0000-0000-00009E7A0000}"/>
    <cellStyle name="Normal 7 5 2 2 2 2 3" xfId="11304" xr:uid="{00000000-0005-0000-0000-00009F7A0000}"/>
    <cellStyle name="Normal 7 5 2 2 2 3" xfId="11305" xr:uid="{00000000-0005-0000-0000-0000A07A0000}"/>
    <cellStyle name="Normal 7 5 2 2 2 3 2" xfId="11306" xr:uid="{00000000-0005-0000-0000-0000A17A0000}"/>
    <cellStyle name="Normal 7 5 2 2 2 3 3" xfId="11307" xr:uid="{00000000-0005-0000-0000-0000A27A0000}"/>
    <cellStyle name="Normal 7 5 2 2 2 4" xfId="11308" xr:uid="{00000000-0005-0000-0000-0000A37A0000}"/>
    <cellStyle name="Normal 7 5 2 2 2 5" xfId="11309" xr:uid="{00000000-0005-0000-0000-0000A47A0000}"/>
    <cellStyle name="Normal 7 5 2 2 3" xfId="11310" xr:uid="{00000000-0005-0000-0000-0000A57A0000}"/>
    <cellStyle name="Normal 7 5 2 2 3 2" xfId="11311" xr:uid="{00000000-0005-0000-0000-0000A67A0000}"/>
    <cellStyle name="Normal 7 5 2 2 3 3" xfId="11312" xr:uid="{00000000-0005-0000-0000-0000A77A0000}"/>
    <cellStyle name="Normal 7 5 2 2 4" xfId="11313" xr:uid="{00000000-0005-0000-0000-0000A87A0000}"/>
    <cellStyle name="Normal 7 5 2 2 4 2" xfId="11314" xr:uid="{00000000-0005-0000-0000-0000A97A0000}"/>
    <cellStyle name="Normal 7 5 2 2 4 3" xfId="11315" xr:uid="{00000000-0005-0000-0000-0000AA7A0000}"/>
    <cellStyle name="Normal 7 5 2 2 5" xfId="11316" xr:uid="{00000000-0005-0000-0000-0000AB7A0000}"/>
    <cellStyle name="Normal 7 5 2 2 6" xfId="11317" xr:uid="{00000000-0005-0000-0000-0000AC7A0000}"/>
    <cellStyle name="Normal 7 5 2 3" xfId="11318" xr:uid="{00000000-0005-0000-0000-0000AD7A0000}"/>
    <cellStyle name="Normal 7 5 2 3 2" xfId="11319" xr:uid="{00000000-0005-0000-0000-0000AE7A0000}"/>
    <cellStyle name="Normal 7 5 2 3 2 2" xfId="11320" xr:uid="{00000000-0005-0000-0000-0000AF7A0000}"/>
    <cellStyle name="Normal 7 5 2 3 2 3" xfId="11321" xr:uid="{00000000-0005-0000-0000-0000B07A0000}"/>
    <cellStyle name="Normal 7 5 2 3 3" xfId="11322" xr:uid="{00000000-0005-0000-0000-0000B17A0000}"/>
    <cellStyle name="Normal 7 5 2 3 3 2" xfId="11323" xr:uid="{00000000-0005-0000-0000-0000B27A0000}"/>
    <cellStyle name="Normal 7 5 2 3 3 3" xfId="11324" xr:uid="{00000000-0005-0000-0000-0000B37A0000}"/>
    <cellStyle name="Normal 7 5 2 3 4" xfId="11325" xr:uid="{00000000-0005-0000-0000-0000B47A0000}"/>
    <cellStyle name="Normal 7 5 2 3 5" xfId="11326" xr:uid="{00000000-0005-0000-0000-0000B57A0000}"/>
    <cellStyle name="Normal 7 5 2 4" xfId="11327" xr:uid="{00000000-0005-0000-0000-0000B67A0000}"/>
    <cellStyle name="Normal 7 5 2 4 2" xfId="11328" xr:uid="{00000000-0005-0000-0000-0000B77A0000}"/>
    <cellStyle name="Normal 7 5 2 4 3" xfId="11329" xr:uid="{00000000-0005-0000-0000-0000B87A0000}"/>
    <cellStyle name="Normal 7 5 2 5" xfId="11330" xr:uid="{00000000-0005-0000-0000-0000B97A0000}"/>
    <cellStyle name="Normal 7 5 2 5 2" xfId="11331" xr:uid="{00000000-0005-0000-0000-0000BA7A0000}"/>
    <cellStyle name="Normal 7 5 2 5 3" xfId="11332" xr:uid="{00000000-0005-0000-0000-0000BB7A0000}"/>
    <cellStyle name="Normal 7 5 2 6" xfId="11333" xr:uid="{00000000-0005-0000-0000-0000BC7A0000}"/>
    <cellStyle name="Normal 7 5 2 7" xfId="11334" xr:uid="{00000000-0005-0000-0000-0000BD7A0000}"/>
    <cellStyle name="Normal 7 5 3" xfId="11335" xr:uid="{00000000-0005-0000-0000-0000BE7A0000}"/>
    <cellStyle name="Normal 7 5 3 2" xfId="11336" xr:uid="{00000000-0005-0000-0000-0000BF7A0000}"/>
    <cellStyle name="Normal 7 5 3 2 2" xfId="11337" xr:uid="{00000000-0005-0000-0000-0000C07A0000}"/>
    <cellStyle name="Normal 7 5 3 2 2 2" xfId="11338" xr:uid="{00000000-0005-0000-0000-0000C17A0000}"/>
    <cellStyle name="Normal 7 5 3 2 2 3" xfId="11339" xr:uid="{00000000-0005-0000-0000-0000C27A0000}"/>
    <cellStyle name="Normal 7 5 3 2 3" xfId="11340" xr:uid="{00000000-0005-0000-0000-0000C37A0000}"/>
    <cellStyle name="Normal 7 5 3 2 3 2" xfId="11341" xr:uid="{00000000-0005-0000-0000-0000C47A0000}"/>
    <cellStyle name="Normal 7 5 3 2 3 3" xfId="11342" xr:uid="{00000000-0005-0000-0000-0000C57A0000}"/>
    <cellStyle name="Normal 7 5 3 2 4" xfId="11343" xr:uid="{00000000-0005-0000-0000-0000C67A0000}"/>
    <cellStyle name="Normal 7 5 3 2 5" xfId="11344" xr:uid="{00000000-0005-0000-0000-0000C77A0000}"/>
    <cellStyle name="Normal 7 5 3 3" xfId="11345" xr:uid="{00000000-0005-0000-0000-0000C87A0000}"/>
    <cellStyle name="Normal 7 5 3 3 2" xfId="11346" xr:uid="{00000000-0005-0000-0000-0000C97A0000}"/>
    <cellStyle name="Normal 7 5 3 3 3" xfId="11347" xr:uid="{00000000-0005-0000-0000-0000CA7A0000}"/>
    <cellStyle name="Normal 7 5 3 4" xfId="11348" xr:uid="{00000000-0005-0000-0000-0000CB7A0000}"/>
    <cellStyle name="Normal 7 5 3 4 2" xfId="11349" xr:uid="{00000000-0005-0000-0000-0000CC7A0000}"/>
    <cellStyle name="Normal 7 5 3 4 3" xfId="11350" xr:uid="{00000000-0005-0000-0000-0000CD7A0000}"/>
    <cellStyle name="Normal 7 5 3 5" xfId="11351" xr:uid="{00000000-0005-0000-0000-0000CE7A0000}"/>
    <cellStyle name="Normal 7 5 3 6" xfId="11352" xr:uid="{00000000-0005-0000-0000-0000CF7A0000}"/>
    <cellStyle name="Normal 7 5 4" xfId="11353" xr:uid="{00000000-0005-0000-0000-0000D07A0000}"/>
    <cellStyle name="Normal 7 5 4 2" xfId="11354" xr:uid="{00000000-0005-0000-0000-0000D17A0000}"/>
    <cellStyle name="Normal 7 5 4 2 2" xfId="11355" xr:uid="{00000000-0005-0000-0000-0000D27A0000}"/>
    <cellStyle name="Normal 7 5 4 2 3" xfId="11356" xr:uid="{00000000-0005-0000-0000-0000D37A0000}"/>
    <cellStyle name="Normal 7 5 4 3" xfId="11357" xr:uid="{00000000-0005-0000-0000-0000D47A0000}"/>
    <cellStyle name="Normal 7 5 4 3 2" xfId="11358" xr:uid="{00000000-0005-0000-0000-0000D57A0000}"/>
    <cellStyle name="Normal 7 5 4 3 3" xfId="11359" xr:uid="{00000000-0005-0000-0000-0000D67A0000}"/>
    <cellStyle name="Normal 7 5 4 4" xfId="11360" xr:uid="{00000000-0005-0000-0000-0000D77A0000}"/>
    <cellStyle name="Normal 7 5 4 5" xfId="11361" xr:uid="{00000000-0005-0000-0000-0000D87A0000}"/>
    <cellStyle name="Normal 7 5 5" xfId="11362" xr:uid="{00000000-0005-0000-0000-0000D97A0000}"/>
    <cellStyle name="Normal 7 5 5 2" xfId="11363" xr:uid="{00000000-0005-0000-0000-0000DA7A0000}"/>
    <cellStyle name="Normal 7 5 5 3" xfId="11364" xr:uid="{00000000-0005-0000-0000-0000DB7A0000}"/>
    <cellStyle name="Normal 7 5 6" xfId="11365" xr:uid="{00000000-0005-0000-0000-0000DC7A0000}"/>
    <cellStyle name="Normal 7 5 6 2" xfId="11366" xr:uid="{00000000-0005-0000-0000-0000DD7A0000}"/>
    <cellStyle name="Normal 7 5 6 3" xfId="11367" xr:uid="{00000000-0005-0000-0000-0000DE7A0000}"/>
    <cellStyle name="Normal 7 5 7" xfId="11368" xr:uid="{00000000-0005-0000-0000-0000DF7A0000}"/>
    <cellStyle name="Normal 7 5 8" xfId="11369" xr:uid="{00000000-0005-0000-0000-0000E07A0000}"/>
    <cellStyle name="Normal 7 6" xfId="11370" xr:uid="{00000000-0005-0000-0000-0000E17A0000}"/>
    <cellStyle name="Normal 7 6 2" xfId="11371" xr:uid="{00000000-0005-0000-0000-0000E27A0000}"/>
    <cellStyle name="Normal 7 6 2 2" xfId="11372" xr:uid="{00000000-0005-0000-0000-0000E37A0000}"/>
    <cellStyle name="Normal 7 6 2 2 2" xfId="11373" xr:uid="{00000000-0005-0000-0000-0000E47A0000}"/>
    <cellStyle name="Normal 7 6 2 2 2 2" xfId="11374" xr:uid="{00000000-0005-0000-0000-0000E57A0000}"/>
    <cellStyle name="Normal 7 6 2 2 2 3" xfId="11375" xr:uid="{00000000-0005-0000-0000-0000E67A0000}"/>
    <cellStyle name="Normal 7 6 2 2 3" xfId="11376" xr:uid="{00000000-0005-0000-0000-0000E77A0000}"/>
    <cellStyle name="Normal 7 6 2 2 3 2" xfId="11377" xr:uid="{00000000-0005-0000-0000-0000E87A0000}"/>
    <cellStyle name="Normal 7 6 2 2 3 3" xfId="11378" xr:uid="{00000000-0005-0000-0000-0000E97A0000}"/>
    <cellStyle name="Normal 7 6 2 2 4" xfId="11379" xr:uid="{00000000-0005-0000-0000-0000EA7A0000}"/>
    <cellStyle name="Normal 7 6 2 2 5" xfId="11380" xr:uid="{00000000-0005-0000-0000-0000EB7A0000}"/>
    <cellStyle name="Normal 7 6 2 3" xfId="11381" xr:uid="{00000000-0005-0000-0000-0000EC7A0000}"/>
    <cellStyle name="Normal 7 6 2 3 2" xfId="11382" xr:uid="{00000000-0005-0000-0000-0000ED7A0000}"/>
    <cellStyle name="Normal 7 6 2 3 3" xfId="11383" xr:uid="{00000000-0005-0000-0000-0000EE7A0000}"/>
    <cellStyle name="Normal 7 6 2 4" xfId="11384" xr:uid="{00000000-0005-0000-0000-0000EF7A0000}"/>
    <cellStyle name="Normal 7 6 2 4 2" xfId="11385" xr:uid="{00000000-0005-0000-0000-0000F07A0000}"/>
    <cellStyle name="Normal 7 6 2 4 3" xfId="11386" xr:uid="{00000000-0005-0000-0000-0000F17A0000}"/>
    <cellStyle name="Normal 7 6 2 5" xfId="11387" xr:uid="{00000000-0005-0000-0000-0000F27A0000}"/>
    <cellStyle name="Normal 7 6 2 6" xfId="11388" xr:uid="{00000000-0005-0000-0000-0000F37A0000}"/>
    <cellStyle name="Normal 7 6 3" xfId="11389" xr:uid="{00000000-0005-0000-0000-0000F47A0000}"/>
    <cellStyle name="Normal 7 6 3 2" xfId="11390" xr:uid="{00000000-0005-0000-0000-0000F57A0000}"/>
    <cellStyle name="Normal 7 6 3 2 2" xfId="11391" xr:uid="{00000000-0005-0000-0000-0000F67A0000}"/>
    <cellStyle name="Normal 7 6 3 2 3" xfId="11392" xr:uid="{00000000-0005-0000-0000-0000F77A0000}"/>
    <cellStyle name="Normal 7 6 3 3" xfId="11393" xr:uid="{00000000-0005-0000-0000-0000F87A0000}"/>
    <cellStyle name="Normal 7 6 3 3 2" xfId="11394" xr:uid="{00000000-0005-0000-0000-0000F97A0000}"/>
    <cellStyle name="Normal 7 6 3 3 3" xfId="11395" xr:uid="{00000000-0005-0000-0000-0000FA7A0000}"/>
    <cellStyle name="Normal 7 6 3 4" xfId="11396" xr:uid="{00000000-0005-0000-0000-0000FB7A0000}"/>
    <cellStyle name="Normal 7 6 3 5" xfId="11397" xr:uid="{00000000-0005-0000-0000-0000FC7A0000}"/>
    <cellStyle name="Normal 7 6 4" xfId="11398" xr:uid="{00000000-0005-0000-0000-0000FD7A0000}"/>
    <cellStyle name="Normal 7 6 4 2" xfId="11399" xr:uid="{00000000-0005-0000-0000-0000FE7A0000}"/>
    <cellStyle name="Normal 7 6 4 3" xfId="11400" xr:uid="{00000000-0005-0000-0000-0000FF7A0000}"/>
    <cellStyle name="Normal 7 6 5" xfId="11401" xr:uid="{00000000-0005-0000-0000-0000007B0000}"/>
    <cellStyle name="Normal 7 6 5 2" xfId="11402" xr:uid="{00000000-0005-0000-0000-0000017B0000}"/>
    <cellStyle name="Normal 7 6 5 3" xfId="11403" xr:uid="{00000000-0005-0000-0000-0000027B0000}"/>
    <cellStyle name="Normal 7 6 6" xfId="11404" xr:uid="{00000000-0005-0000-0000-0000037B0000}"/>
    <cellStyle name="Normal 7 6 7" xfId="11405" xr:uid="{00000000-0005-0000-0000-0000047B0000}"/>
    <cellStyle name="Normal 7 7" xfId="11406" xr:uid="{00000000-0005-0000-0000-0000057B0000}"/>
    <cellStyle name="Normal 7 7 2" xfId="11407" xr:uid="{00000000-0005-0000-0000-0000067B0000}"/>
    <cellStyle name="Normal 7 7 2 2" xfId="11408" xr:uid="{00000000-0005-0000-0000-0000077B0000}"/>
    <cellStyle name="Normal 7 7 2 2 2" xfId="11409" xr:uid="{00000000-0005-0000-0000-0000087B0000}"/>
    <cellStyle name="Normal 7 7 2 2 3" xfId="11410" xr:uid="{00000000-0005-0000-0000-0000097B0000}"/>
    <cellStyle name="Normal 7 7 2 3" xfId="11411" xr:uid="{00000000-0005-0000-0000-00000A7B0000}"/>
    <cellStyle name="Normal 7 7 2 3 2" xfId="11412" xr:uid="{00000000-0005-0000-0000-00000B7B0000}"/>
    <cellStyle name="Normal 7 7 2 3 3" xfId="11413" xr:uid="{00000000-0005-0000-0000-00000C7B0000}"/>
    <cellStyle name="Normal 7 7 2 4" xfId="11414" xr:uid="{00000000-0005-0000-0000-00000D7B0000}"/>
    <cellStyle name="Normal 7 7 2 5" xfId="11415" xr:uid="{00000000-0005-0000-0000-00000E7B0000}"/>
    <cellStyle name="Normal 7 7 3" xfId="11416" xr:uid="{00000000-0005-0000-0000-00000F7B0000}"/>
    <cellStyle name="Normal 7 7 3 2" xfId="11417" xr:uid="{00000000-0005-0000-0000-0000107B0000}"/>
    <cellStyle name="Normal 7 7 3 3" xfId="11418" xr:uid="{00000000-0005-0000-0000-0000117B0000}"/>
    <cellStyle name="Normal 7 7 4" xfId="11419" xr:uid="{00000000-0005-0000-0000-0000127B0000}"/>
    <cellStyle name="Normal 7 7 4 2" xfId="11420" xr:uid="{00000000-0005-0000-0000-0000137B0000}"/>
    <cellStyle name="Normal 7 7 4 3" xfId="11421" xr:uid="{00000000-0005-0000-0000-0000147B0000}"/>
    <cellStyle name="Normal 7 7 5" xfId="11422" xr:uid="{00000000-0005-0000-0000-0000157B0000}"/>
    <cellStyle name="Normal 7 7 6" xfId="11423" xr:uid="{00000000-0005-0000-0000-0000167B0000}"/>
    <cellStyle name="Normal 7 8" xfId="11424" xr:uid="{00000000-0005-0000-0000-0000177B0000}"/>
    <cellStyle name="Normal 7 8 2" xfId="11425" xr:uid="{00000000-0005-0000-0000-0000187B0000}"/>
    <cellStyle name="Normal 7 8 2 2" xfId="11426" xr:uid="{00000000-0005-0000-0000-0000197B0000}"/>
    <cellStyle name="Normal 7 8 2 3" xfId="11427" xr:uid="{00000000-0005-0000-0000-00001A7B0000}"/>
    <cellStyle name="Normal 7 8 3" xfId="11428" xr:uid="{00000000-0005-0000-0000-00001B7B0000}"/>
    <cellStyle name="Normal 7 8 3 2" xfId="11429" xr:uid="{00000000-0005-0000-0000-00001C7B0000}"/>
    <cellStyle name="Normal 7 8 3 3" xfId="11430" xr:uid="{00000000-0005-0000-0000-00001D7B0000}"/>
    <cellStyle name="Normal 7 8 4" xfId="11431" xr:uid="{00000000-0005-0000-0000-00001E7B0000}"/>
    <cellStyle name="Normal 7 8 5" xfId="11432" xr:uid="{00000000-0005-0000-0000-00001F7B0000}"/>
    <cellStyle name="Normal 7 9" xfId="11433" xr:uid="{00000000-0005-0000-0000-0000207B0000}"/>
    <cellStyle name="Normal 7 9 2" xfId="11434" xr:uid="{00000000-0005-0000-0000-0000217B0000}"/>
    <cellStyle name="Normal 7 9 3" xfId="11435" xr:uid="{00000000-0005-0000-0000-0000227B0000}"/>
    <cellStyle name="Normal 7_2180" xfId="11436" xr:uid="{00000000-0005-0000-0000-0000237B0000}"/>
    <cellStyle name="Normal 70" xfId="226" xr:uid="{00000000-0005-0000-0000-0000247B0000}"/>
    <cellStyle name="Normal 70 2" xfId="11437" xr:uid="{00000000-0005-0000-0000-0000257B0000}"/>
    <cellStyle name="Normal 70 3" xfId="11438" xr:uid="{00000000-0005-0000-0000-0000267B0000}"/>
    <cellStyle name="Normal 71" xfId="227" xr:uid="{00000000-0005-0000-0000-0000277B0000}"/>
    <cellStyle name="Normal 72" xfId="228" xr:uid="{00000000-0005-0000-0000-0000287B0000}"/>
    <cellStyle name="Normal 72 2" xfId="11439" xr:uid="{00000000-0005-0000-0000-0000297B0000}"/>
    <cellStyle name="Normal 72 2 2" xfId="11440" xr:uid="{00000000-0005-0000-0000-00002A7B0000}"/>
    <cellStyle name="Normal 72 2 2 2" xfId="11441" xr:uid="{00000000-0005-0000-0000-00002B7B0000}"/>
    <cellStyle name="Normal 72 2 2 2 2" xfId="11442" xr:uid="{00000000-0005-0000-0000-00002C7B0000}"/>
    <cellStyle name="Normal 72 2 2 2 3" xfId="11443" xr:uid="{00000000-0005-0000-0000-00002D7B0000}"/>
    <cellStyle name="Normal 72 2 2 3" xfId="11444" xr:uid="{00000000-0005-0000-0000-00002E7B0000}"/>
    <cellStyle name="Normal 72 2 2 3 2" xfId="11445" xr:uid="{00000000-0005-0000-0000-00002F7B0000}"/>
    <cellStyle name="Normal 72 2 2 3 3" xfId="11446" xr:uid="{00000000-0005-0000-0000-0000307B0000}"/>
    <cellStyle name="Normal 72 2 2 4" xfId="11447" xr:uid="{00000000-0005-0000-0000-0000317B0000}"/>
    <cellStyle name="Normal 72 2 2 5" xfId="11448" xr:uid="{00000000-0005-0000-0000-0000327B0000}"/>
    <cellStyle name="Normal 72 2 3" xfId="11449" xr:uid="{00000000-0005-0000-0000-0000337B0000}"/>
    <cellStyle name="Normal 72 2 3 2" xfId="11450" xr:uid="{00000000-0005-0000-0000-0000347B0000}"/>
    <cellStyle name="Normal 72 2 3 3" xfId="11451" xr:uid="{00000000-0005-0000-0000-0000357B0000}"/>
    <cellStyle name="Normal 72 2 4" xfId="11452" xr:uid="{00000000-0005-0000-0000-0000367B0000}"/>
    <cellStyle name="Normal 72 2 4 2" xfId="11453" xr:uid="{00000000-0005-0000-0000-0000377B0000}"/>
    <cellStyle name="Normal 72 2 4 3" xfId="11454" xr:uid="{00000000-0005-0000-0000-0000387B0000}"/>
    <cellStyle name="Normal 72 2 5" xfId="11455" xr:uid="{00000000-0005-0000-0000-0000397B0000}"/>
    <cellStyle name="Normal 72 2 6" xfId="11456" xr:uid="{00000000-0005-0000-0000-00003A7B0000}"/>
    <cellStyle name="Normal 72 3" xfId="11457" xr:uid="{00000000-0005-0000-0000-00003B7B0000}"/>
    <cellStyle name="Normal 72 3 2" xfId="11458" xr:uid="{00000000-0005-0000-0000-00003C7B0000}"/>
    <cellStyle name="Normal 72 3 2 2" xfId="11459" xr:uid="{00000000-0005-0000-0000-00003D7B0000}"/>
    <cellStyle name="Normal 72 3 2 3" xfId="11460" xr:uid="{00000000-0005-0000-0000-00003E7B0000}"/>
    <cellStyle name="Normal 72 3 3" xfId="11461" xr:uid="{00000000-0005-0000-0000-00003F7B0000}"/>
    <cellStyle name="Normal 72 3 3 2" xfId="11462" xr:uid="{00000000-0005-0000-0000-0000407B0000}"/>
    <cellStyle name="Normal 72 3 3 3" xfId="11463" xr:uid="{00000000-0005-0000-0000-0000417B0000}"/>
    <cellStyle name="Normal 72 3 4" xfId="11464" xr:uid="{00000000-0005-0000-0000-0000427B0000}"/>
    <cellStyle name="Normal 72 3 5" xfId="11465" xr:uid="{00000000-0005-0000-0000-0000437B0000}"/>
    <cellStyle name="Normal 72 4" xfId="11466" xr:uid="{00000000-0005-0000-0000-0000447B0000}"/>
    <cellStyle name="Normal 72 4 2" xfId="11467" xr:uid="{00000000-0005-0000-0000-0000457B0000}"/>
    <cellStyle name="Normal 72 4 3" xfId="11468" xr:uid="{00000000-0005-0000-0000-0000467B0000}"/>
    <cellStyle name="Normal 72 5" xfId="11469" xr:uid="{00000000-0005-0000-0000-0000477B0000}"/>
    <cellStyle name="Normal 72 5 2" xfId="11470" xr:uid="{00000000-0005-0000-0000-0000487B0000}"/>
    <cellStyle name="Normal 72 5 3" xfId="11471" xr:uid="{00000000-0005-0000-0000-0000497B0000}"/>
    <cellStyle name="Normal 72 6" xfId="11472" xr:uid="{00000000-0005-0000-0000-00004A7B0000}"/>
    <cellStyle name="Normal 72 7" xfId="11473" xr:uid="{00000000-0005-0000-0000-00004B7B0000}"/>
    <cellStyle name="Normal 73" xfId="229" xr:uid="{00000000-0005-0000-0000-00004C7B0000}"/>
    <cellStyle name="Normal 73 2" xfId="11474" xr:uid="{00000000-0005-0000-0000-00004D7B0000}"/>
    <cellStyle name="Normal 74" xfId="230" xr:uid="{00000000-0005-0000-0000-00004E7B0000}"/>
    <cellStyle name="Normal 75" xfId="231" xr:uid="{00000000-0005-0000-0000-00004F7B0000}"/>
    <cellStyle name="Normal 76" xfId="232" xr:uid="{00000000-0005-0000-0000-0000507B0000}"/>
    <cellStyle name="Normal 77" xfId="233" xr:uid="{00000000-0005-0000-0000-0000517B0000}"/>
    <cellStyle name="Normal 78" xfId="234" xr:uid="{00000000-0005-0000-0000-0000527B0000}"/>
    <cellStyle name="Normal 79" xfId="235" xr:uid="{00000000-0005-0000-0000-0000537B0000}"/>
    <cellStyle name="Normal 8" xfId="236" xr:uid="{00000000-0005-0000-0000-0000547B0000}"/>
    <cellStyle name="Normal 8 10" xfId="11475" xr:uid="{00000000-0005-0000-0000-0000557B0000}"/>
    <cellStyle name="Normal 8 11" xfId="11476" xr:uid="{00000000-0005-0000-0000-0000567B0000}"/>
    <cellStyle name="Normal 8 2" xfId="11477" xr:uid="{00000000-0005-0000-0000-0000577B0000}"/>
    <cellStyle name="Normal 8 2 2" xfId="11478" xr:uid="{00000000-0005-0000-0000-0000587B0000}"/>
    <cellStyle name="Normal 8 2 2 2" xfId="11479" xr:uid="{00000000-0005-0000-0000-0000597B0000}"/>
    <cellStyle name="Normal 8 2 2 2 2" xfId="11480" xr:uid="{00000000-0005-0000-0000-00005A7B0000}"/>
    <cellStyle name="Normal 8 2 2 2 2 2" xfId="11481" xr:uid="{00000000-0005-0000-0000-00005B7B0000}"/>
    <cellStyle name="Normal 8 2 2 2 2 2 2" xfId="11482" xr:uid="{00000000-0005-0000-0000-00005C7B0000}"/>
    <cellStyle name="Normal 8 2 2 2 2 2 2 2" xfId="11483" xr:uid="{00000000-0005-0000-0000-00005D7B0000}"/>
    <cellStyle name="Normal 8 2 2 2 2 2 2 3" xfId="11484" xr:uid="{00000000-0005-0000-0000-00005E7B0000}"/>
    <cellStyle name="Normal 8 2 2 2 2 2 3" xfId="11485" xr:uid="{00000000-0005-0000-0000-00005F7B0000}"/>
    <cellStyle name="Normal 8 2 2 2 2 2 3 2" xfId="11486" xr:uid="{00000000-0005-0000-0000-0000607B0000}"/>
    <cellStyle name="Normal 8 2 2 2 2 2 3 3" xfId="11487" xr:uid="{00000000-0005-0000-0000-0000617B0000}"/>
    <cellStyle name="Normal 8 2 2 2 2 2 4" xfId="11488" xr:uid="{00000000-0005-0000-0000-0000627B0000}"/>
    <cellStyle name="Normal 8 2 2 2 2 2 5" xfId="11489" xr:uid="{00000000-0005-0000-0000-0000637B0000}"/>
    <cellStyle name="Normal 8 2 2 2 2 3" xfId="11490" xr:uid="{00000000-0005-0000-0000-0000647B0000}"/>
    <cellStyle name="Normal 8 2 2 2 2 3 2" xfId="11491" xr:uid="{00000000-0005-0000-0000-0000657B0000}"/>
    <cellStyle name="Normal 8 2 2 2 2 3 3" xfId="11492" xr:uid="{00000000-0005-0000-0000-0000667B0000}"/>
    <cellStyle name="Normal 8 2 2 2 2 4" xfId="11493" xr:uid="{00000000-0005-0000-0000-0000677B0000}"/>
    <cellStyle name="Normal 8 2 2 2 2 4 2" xfId="11494" xr:uid="{00000000-0005-0000-0000-0000687B0000}"/>
    <cellStyle name="Normal 8 2 2 2 2 4 3" xfId="11495" xr:uid="{00000000-0005-0000-0000-0000697B0000}"/>
    <cellStyle name="Normal 8 2 2 2 2 5" xfId="11496" xr:uid="{00000000-0005-0000-0000-00006A7B0000}"/>
    <cellStyle name="Normal 8 2 2 2 2 6" xfId="11497" xr:uid="{00000000-0005-0000-0000-00006B7B0000}"/>
    <cellStyle name="Normal 8 2 2 2 3" xfId="11498" xr:uid="{00000000-0005-0000-0000-00006C7B0000}"/>
    <cellStyle name="Normal 8 2 2 2 3 2" xfId="11499" xr:uid="{00000000-0005-0000-0000-00006D7B0000}"/>
    <cellStyle name="Normal 8 2 2 2 3 2 2" xfId="11500" xr:uid="{00000000-0005-0000-0000-00006E7B0000}"/>
    <cellStyle name="Normal 8 2 2 2 3 2 3" xfId="11501" xr:uid="{00000000-0005-0000-0000-00006F7B0000}"/>
    <cellStyle name="Normal 8 2 2 2 3 3" xfId="11502" xr:uid="{00000000-0005-0000-0000-0000707B0000}"/>
    <cellStyle name="Normal 8 2 2 2 3 3 2" xfId="11503" xr:uid="{00000000-0005-0000-0000-0000717B0000}"/>
    <cellStyle name="Normal 8 2 2 2 3 3 3" xfId="11504" xr:uid="{00000000-0005-0000-0000-0000727B0000}"/>
    <cellStyle name="Normal 8 2 2 2 3 4" xfId="11505" xr:uid="{00000000-0005-0000-0000-0000737B0000}"/>
    <cellStyle name="Normal 8 2 2 2 3 5" xfId="11506" xr:uid="{00000000-0005-0000-0000-0000747B0000}"/>
    <cellStyle name="Normal 8 2 2 2 3 6" xfId="34906" xr:uid="{00000000-0005-0000-0000-0000757B0000}"/>
    <cellStyle name="Normal 8 2 2 2 4" xfId="11507" xr:uid="{00000000-0005-0000-0000-0000767B0000}"/>
    <cellStyle name="Normal 8 2 2 2 4 2" xfId="11508" xr:uid="{00000000-0005-0000-0000-0000777B0000}"/>
    <cellStyle name="Normal 8 2 2 2 4 3" xfId="11509" xr:uid="{00000000-0005-0000-0000-0000787B0000}"/>
    <cellStyle name="Normal 8 2 2 2 5" xfId="11510" xr:uid="{00000000-0005-0000-0000-0000797B0000}"/>
    <cellStyle name="Normal 8 2 2 2 5 2" xfId="11511" xr:uid="{00000000-0005-0000-0000-00007A7B0000}"/>
    <cellStyle name="Normal 8 2 2 2 5 3" xfId="11512" xr:uid="{00000000-0005-0000-0000-00007B7B0000}"/>
    <cellStyle name="Normal 8 2 2 2 6" xfId="11513" xr:uid="{00000000-0005-0000-0000-00007C7B0000}"/>
    <cellStyle name="Normal 8 2 2 2 7" xfId="11514" xr:uid="{00000000-0005-0000-0000-00007D7B0000}"/>
    <cellStyle name="Normal 8 2 2 3" xfId="11515" xr:uid="{00000000-0005-0000-0000-00007E7B0000}"/>
    <cellStyle name="Normal 8 2 2 3 2" xfId="11516" xr:uid="{00000000-0005-0000-0000-00007F7B0000}"/>
    <cellStyle name="Normal 8 2 2 3 2 2" xfId="11517" xr:uid="{00000000-0005-0000-0000-0000807B0000}"/>
    <cellStyle name="Normal 8 2 2 3 2 2 2" xfId="11518" xr:uid="{00000000-0005-0000-0000-0000817B0000}"/>
    <cellStyle name="Normal 8 2 2 3 2 2 3" xfId="11519" xr:uid="{00000000-0005-0000-0000-0000827B0000}"/>
    <cellStyle name="Normal 8 2 2 3 2 3" xfId="11520" xr:uid="{00000000-0005-0000-0000-0000837B0000}"/>
    <cellStyle name="Normal 8 2 2 3 2 3 2" xfId="11521" xr:uid="{00000000-0005-0000-0000-0000847B0000}"/>
    <cellStyle name="Normal 8 2 2 3 2 3 3" xfId="11522" xr:uid="{00000000-0005-0000-0000-0000857B0000}"/>
    <cellStyle name="Normal 8 2 2 3 2 4" xfId="11523" xr:uid="{00000000-0005-0000-0000-0000867B0000}"/>
    <cellStyle name="Normal 8 2 2 3 2 5" xfId="11524" xr:uid="{00000000-0005-0000-0000-0000877B0000}"/>
    <cellStyle name="Normal 8 2 2 3 3" xfId="11525" xr:uid="{00000000-0005-0000-0000-0000887B0000}"/>
    <cellStyle name="Normal 8 2 2 3 3 2" xfId="11526" xr:uid="{00000000-0005-0000-0000-0000897B0000}"/>
    <cellStyle name="Normal 8 2 2 3 3 3" xfId="11527" xr:uid="{00000000-0005-0000-0000-00008A7B0000}"/>
    <cellStyle name="Normal 8 2 2 3 4" xfId="11528" xr:uid="{00000000-0005-0000-0000-00008B7B0000}"/>
    <cellStyle name="Normal 8 2 2 3 4 2" xfId="11529" xr:uid="{00000000-0005-0000-0000-00008C7B0000}"/>
    <cellStyle name="Normal 8 2 2 3 4 3" xfId="11530" xr:uid="{00000000-0005-0000-0000-00008D7B0000}"/>
    <cellStyle name="Normal 8 2 2 3 5" xfId="11531" xr:uid="{00000000-0005-0000-0000-00008E7B0000}"/>
    <cellStyle name="Normal 8 2 2 3 6" xfId="11532" xr:uid="{00000000-0005-0000-0000-00008F7B0000}"/>
    <cellStyle name="Normal 8 2 2 4" xfId="11533" xr:uid="{00000000-0005-0000-0000-0000907B0000}"/>
    <cellStyle name="Normal 8 2 2 4 2" xfId="11534" xr:uid="{00000000-0005-0000-0000-0000917B0000}"/>
    <cellStyle name="Normal 8 2 2 4 2 2" xfId="11535" xr:uid="{00000000-0005-0000-0000-0000927B0000}"/>
    <cellStyle name="Normal 8 2 2 4 2 3" xfId="11536" xr:uid="{00000000-0005-0000-0000-0000937B0000}"/>
    <cellStyle name="Normal 8 2 2 4 3" xfId="11537" xr:uid="{00000000-0005-0000-0000-0000947B0000}"/>
    <cellStyle name="Normal 8 2 2 4 3 2" xfId="11538" xr:uid="{00000000-0005-0000-0000-0000957B0000}"/>
    <cellStyle name="Normal 8 2 2 4 3 3" xfId="11539" xr:uid="{00000000-0005-0000-0000-0000967B0000}"/>
    <cellStyle name="Normal 8 2 2 4 4" xfId="11540" xr:uid="{00000000-0005-0000-0000-0000977B0000}"/>
    <cellStyle name="Normal 8 2 2 4 5" xfId="11541" xr:uid="{00000000-0005-0000-0000-0000987B0000}"/>
    <cellStyle name="Normal 8 2 2 5" xfId="11542" xr:uid="{00000000-0005-0000-0000-0000997B0000}"/>
    <cellStyle name="Normal 8 2 2 5 2" xfId="11543" xr:uid="{00000000-0005-0000-0000-00009A7B0000}"/>
    <cellStyle name="Normal 8 2 2 5 3" xfId="11544" xr:uid="{00000000-0005-0000-0000-00009B7B0000}"/>
    <cellStyle name="Normal 8 2 2 6" xfId="11545" xr:uid="{00000000-0005-0000-0000-00009C7B0000}"/>
    <cellStyle name="Normal 8 2 2 6 2" xfId="11546" xr:uid="{00000000-0005-0000-0000-00009D7B0000}"/>
    <cellStyle name="Normal 8 2 2 6 3" xfId="11547" xr:uid="{00000000-0005-0000-0000-00009E7B0000}"/>
    <cellStyle name="Normal 8 2 2 7" xfId="11548" xr:uid="{00000000-0005-0000-0000-00009F7B0000}"/>
    <cellStyle name="Normal 8 2 2 8" xfId="11549" xr:uid="{00000000-0005-0000-0000-0000A07B0000}"/>
    <cellStyle name="Normal 8 2 3" xfId="11550" xr:uid="{00000000-0005-0000-0000-0000A17B0000}"/>
    <cellStyle name="Normal 8 2 3 2" xfId="11551" xr:uid="{00000000-0005-0000-0000-0000A27B0000}"/>
    <cellStyle name="Normal 8 2 3 2 2" xfId="11552" xr:uid="{00000000-0005-0000-0000-0000A37B0000}"/>
    <cellStyle name="Normal 8 2 3 2 2 2" xfId="11553" xr:uid="{00000000-0005-0000-0000-0000A47B0000}"/>
    <cellStyle name="Normal 8 2 3 2 2 2 2" xfId="11554" xr:uid="{00000000-0005-0000-0000-0000A57B0000}"/>
    <cellStyle name="Normal 8 2 3 2 2 2 3" xfId="11555" xr:uid="{00000000-0005-0000-0000-0000A67B0000}"/>
    <cellStyle name="Normal 8 2 3 2 2 3" xfId="11556" xr:uid="{00000000-0005-0000-0000-0000A77B0000}"/>
    <cellStyle name="Normal 8 2 3 2 2 3 2" xfId="11557" xr:uid="{00000000-0005-0000-0000-0000A87B0000}"/>
    <cellStyle name="Normal 8 2 3 2 2 3 3" xfId="11558" xr:uid="{00000000-0005-0000-0000-0000A97B0000}"/>
    <cellStyle name="Normal 8 2 3 2 2 4" xfId="11559" xr:uid="{00000000-0005-0000-0000-0000AA7B0000}"/>
    <cellStyle name="Normal 8 2 3 2 2 5" xfId="11560" xr:uid="{00000000-0005-0000-0000-0000AB7B0000}"/>
    <cellStyle name="Normal 8 2 3 2 3" xfId="11561" xr:uid="{00000000-0005-0000-0000-0000AC7B0000}"/>
    <cellStyle name="Normal 8 2 3 2 3 2" xfId="11562" xr:uid="{00000000-0005-0000-0000-0000AD7B0000}"/>
    <cellStyle name="Normal 8 2 3 2 3 3" xfId="11563" xr:uid="{00000000-0005-0000-0000-0000AE7B0000}"/>
    <cellStyle name="Normal 8 2 3 2 4" xfId="11564" xr:uid="{00000000-0005-0000-0000-0000AF7B0000}"/>
    <cellStyle name="Normal 8 2 3 2 4 2" xfId="11565" xr:uid="{00000000-0005-0000-0000-0000B07B0000}"/>
    <cellStyle name="Normal 8 2 3 2 4 3" xfId="11566" xr:uid="{00000000-0005-0000-0000-0000B17B0000}"/>
    <cellStyle name="Normal 8 2 3 2 5" xfId="11567" xr:uid="{00000000-0005-0000-0000-0000B27B0000}"/>
    <cellStyle name="Normal 8 2 3 2 6" xfId="11568" xr:uid="{00000000-0005-0000-0000-0000B37B0000}"/>
    <cellStyle name="Normal 8 2 3 3" xfId="11569" xr:uid="{00000000-0005-0000-0000-0000B47B0000}"/>
    <cellStyle name="Normal 8 2 3 3 2" xfId="11570" xr:uid="{00000000-0005-0000-0000-0000B57B0000}"/>
    <cellStyle name="Normal 8 2 3 3 2 2" xfId="11571" xr:uid="{00000000-0005-0000-0000-0000B67B0000}"/>
    <cellStyle name="Normal 8 2 3 3 2 3" xfId="11572" xr:uid="{00000000-0005-0000-0000-0000B77B0000}"/>
    <cellStyle name="Normal 8 2 3 3 3" xfId="11573" xr:uid="{00000000-0005-0000-0000-0000B87B0000}"/>
    <cellStyle name="Normal 8 2 3 3 3 2" xfId="11574" xr:uid="{00000000-0005-0000-0000-0000B97B0000}"/>
    <cellStyle name="Normal 8 2 3 3 3 3" xfId="11575" xr:uid="{00000000-0005-0000-0000-0000BA7B0000}"/>
    <cellStyle name="Normal 8 2 3 3 4" xfId="11576" xr:uid="{00000000-0005-0000-0000-0000BB7B0000}"/>
    <cellStyle name="Normal 8 2 3 3 5" xfId="11577" xr:uid="{00000000-0005-0000-0000-0000BC7B0000}"/>
    <cellStyle name="Normal 8 2 3 4" xfId="11578" xr:uid="{00000000-0005-0000-0000-0000BD7B0000}"/>
    <cellStyle name="Normal 8 2 3 4 2" xfId="11579" xr:uid="{00000000-0005-0000-0000-0000BE7B0000}"/>
    <cellStyle name="Normal 8 2 3 4 3" xfId="11580" xr:uid="{00000000-0005-0000-0000-0000BF7B0000}"/>
    <cellStyle name="Normal 8 2 3 5" xfId="11581" xr:uid="{00000000-0005-0000-0000-0000C07B0000}"/>
    <cellStyle name="Normal 8 2 3 5 2" xfId="11582" xr:uid="{00000000-0005-0000-0000-0000C17B0000}"/>
    <cellStyle name="Normal 8 2 3 5 3" xfId="11583" xr:uid="{00000000-0005-0000-0000-0000C27B0000}"/>
    <cellStyle name="Normal 8 2 3 6" xfId="11584" xr:uid="{00000000-0005-0000-0000-0000C37B0000}"/>
    <cellStyle name="Normal 8 2 3 7" xfId="11585" xr:uid="{00000000-0005-0000-0000-0000C47B0000}"/>
    <cellStyle name="Normal 8 2 4" xfId="11586" xr:uid="{00000000-0005-0000-0000-0000C57B0000}"/>
    <cellStyle name="Normal 8 2 4 2" xfId="11587" xr:uid="{00000000-0005-0000-0000-0000C67B0000}"/>
    <cellStyle name="Normal 8 2 4 2 2" xfId="11588" xr:uid="{00000000-0005-0000-0000-0000C77B0000}"/>
    <cellStyle name="Normal 8 2 4 2 2 2" xfId="11589" xr:uid="{00000000-0005-0000-0000-0000C87B0000}"/>
    <cellStyle name="Normal 8 2 4 2 2 3" xfId="11590" xr:uid="{00000000-0005-0000-0000-0000C97B0000}"/>
    <cellStyle name="Normal 8 2 4 2 3" xfId="11591" xr:uid="{00000000-0005-0000-0000-0000CA7B0000}"/>
    <cellStyle name="Normal 8 2 4 2 3 2" xfId="11592" xr:uid="{00000000-0005-0000-0000-0000CB7B0000}"/>
    <cellStyle name="Normal 8 2 4 2 3 3" xfId="11593" xr:uid="{00000000-0005-0000-0000-0000CC7B0000}"/>
    <cellStyle name="Normal 8 2 4 2 4" xfId="11594" xr:uid="{00000000-0005-0000-0000-0000CD7B0000}"/>
    <cellStyle name="Normal 8 2 4 2 5" xfId="11595" xr:uid="{00000000-0005-0000-0000-0000CE7B0000}"/>
    <cellStyle name="Normal 8 2 4 3" xfId="11596" xr:uid="{00000000-0005-0000-0000-0000CF7B0000}"/>
    <cellStyle name="Normal 8 2 4 3 2" xfId="11597" xr:uid="{00000000-0005-0000-0000-0000D07B0000}"/>
    <cellStyle name="Normal 8 2 4 3 3" xfId="11598" xr:uid="{00000000-0005-0000-0000-0000D17B0000}"/>
    <cellStyle name="Normal 8 2 4 4" xfId="11599" xr:uid="{00000000-0005-0000-0000-0000D27B0000}"/>
    <cellStyle name="Normal 8 2 4 4 2" xfId="11600" xr:uid="{00000000-0005-0000-0000-0000D37B0000}"/>
    <cellStyle name="Normal 8 2 4 4 3" xfId="11601" xr:uid="{00000000-0005-0000-0000-0000D47B0000}"/>
    <cellStyle name="Normal 8 2 4 5" xfId="11602" xr:uid="{00000000-0005-0000-0000-0000D57B0000}"/>
    <cellStyle name="Normal 8 2 4 6" xfId="11603" xr:uid="{00000000-0005-0000-0000-0000D67B0000}"/>
    <cellStyle name="Normal 8 2 5" xfId="11604" xr:uid="{00000000-0005-0000-0000-0000D77B0000}"/>
    <cellStyle name="Normal 8 2 5 2" xfId="11605" xr:uid="{00000000-0005-0000-0000-0000D87B0000}"/>
    <cellStyle name="Normal 8 2 5 2 2" xfId="11606" xr:uid="{00000000-0005-0000-0000-0000D97B0000}"/>
    <cellStyle name="Normal 8 2 5 2 3" xfId="11607" xr:uid="{00000000-0005-0000-0000-0000DA7B0000}"/>
    <cellStyle name="Normal 8 2 5 3" xfId="11608" xr:uid="{00000000-0005-0000-0000-0000DB7B0000}"/>
    <cellStyle name="Normal 8 2 5 3 2" xfId="11609" xr:uid="{00000000-0005-0000-0000-0000DC7B0000}"/>
    <cellStyle name="Normal 8 2 5 3 3" xfId="11610" xr:uid="{00000000-0005-0000-0000-0000DD7B0000}"/>
    <cellStyle name="Normal 8 2 5 4" xfId="11611" xr:uid="{00000000-0005-0000-0000-0000DE7B0000}"/>
    <cellStyle name="Normal 8 2 5 5" xfId="11612" xr:uid="{00000000-0005-0000-0000-0000DF7B0000}"/>
    <cellStyle name="Normal 8 2 6" xfId="11613" xr:uid="{00000000-0005-0000-0000-0000E07B0000}"/>
    <cellStyle name="Normal 8 2 6 2" xfId="11614" xr:uid="{00000000-0005-0000-0000-0000E17B0000}"/>
    <cellStyle name="Normal 8 2 6 3" xfId="11615" xr:uid="{00000000-0005-0000-0000-0000E27B0000}"/>
    <cellStyle name="Normal 8 2 7" xfId="11616" xr:uid="{00000000-0005-0000-0000-0000E37B0000}"/>
    <cellStyle name="Normal 8 2 7 2" xfId="11617" xr:uid="{00000000-0005-0000-0000-0000E47B0000}"/>
    <cellStyle name="Normal 8 2 7 3" xfId="11618" xr:uid="{00000000-0005-0000-0000-0000E57B0000}"/>
    <cellStyle name="Normal 8 2 8" xfId="11619" xr:uid="{00000000-0005-0000-0000-0000E67B0000}"/>
    <cellStyle name="Normal 8 2 9" xfId="11620" xr:uid="{00000000-0005-0000-0000-0000E77B0000}"/>
    <cellStyle name="Normal 8 3" xfId="11621" xr:uid="{00000000-0005-0000-0000-0000E87B0000}"/>
    <cellStyle name="Normal 8 3 2" xfId="11622" xr:uid="{00000000-0005-0000-0000-0000E97B0000}"/>
    <cellStyle name="Normal 8 3 2 2" xfId="11623" xr:uid="{00000000-0005-0000-0000-0000EA7B0000}"/>
    <cellStyle name="Normal 8 3 2 2 2" xfId="11624" xr:uid="{00000000-0005-0000-0000-0000EB7B0000}"/>
    <cellStyle name="Normal 8 3 2 2 2 2" xfId="11625" xr:uid="{00000000-0005-0000-0000-0000EC7B0000}"/>
    <cellStyle name="Normal 8 3 2 2 2 2 2" xfId="11626" xr:uid="{00000000-0005-0000-0000-0000ED7B0000}"/>
    <cellStyle name="Normal 8 3 2 2 2 2 3" xfId="11627" xr:uid="{00000000-0005-0000-0000-0000EE7B0000}"/>
    <cellStyle name="Normal 8 3 2 2 2 3" xfId="11628" xr:uid="{00000000-0005-0000-0000-0000EF7B0000}"/>
    <cellStyle name="Normal 8 3 2 2 2 3 2" xfId="11629" xr:uid="{00000000-0005-0000-0000-0000F07B0000}"/>
    <cellStyle name="Normal 8 3 2 2 2 3 3" xfId="11630" xr:uid="{00000000-0005-0000-0000-0000F17B0000}"/>
    <cellStyle name="Normal 8 3 2 2 2 4" xfId="11631" xr:uid="{00000000-0005-0000-0000-0000F27B0000}"/>
    <cellStyle name="Normal 8 3 2 2 2 5" xfId="11632" xr:uid="{00000000-0005-0000-0000-0000F37B0000}"/>
    <cellStyle name="Normal 8 3 2 2 3" xfId="11633" xr:uid="{00000000-0005-0000-0000-0000F47B0000}"/>
    <cellStyle name="Normal 8 3 2 2 3 2" xfId="11634" xr:uid="{00000000-0005-0000-0000-0000F57B0000}"/>
    <cellStyle name="Normal 8 3 2 2 3 3" xfId="11635" xr:uid="{00000000-0005-0000-0000-0000F67B0000}"/>
    <cellStyle name="Normal 8 3 2 2 4" xfId="11636" xr:uid="{00000000-0005-0000-0000-0000F77B0000}"/>
    <cellStyle name="Normal 8 3 2 2 4 2" xfId="11637" xr:uid="{00000000-0005-0000-0000-0000F87B0000}"/>
    <cellStyle name="Normal 8 3 2 2 4 3" xfId="11638" xr:uid="{00000000-0005-0000-0000-0000F97B0000}"/>
    <cellStyle name="Normal 8 3 2 2 5" xfId="11639" xr:uid="{00000000-0005-0000-0000-0000FA7B0000}"/>
    <cellStyle name="Normal 8 3 2 2 6" xfId="11640" xr:uid="{00000000-0005-0000-0000-0000FB7B0000}"/>
    <cellStyle name="Normal 8 3 2 3" xfId="11641" xr:uid="{00000000-0005-0000-0000-0000FC7B0000}"/>
    <cellStyle name="Normal 8 3 2 3 2" xfId="11642" xr:uid="{00000000-0005-0000-0000-0000FD7B0000}"/>
    <cellStyle name="Normal 8 3 2 3 2 2" xfId="11643" xr:uid="{00000000-0005-0000-0000-0000FE7B0000}"/>
    <cellStyle name="Normal 8 3 2 3 2 3" xfId="11644" xr:uid="{00000000-0005-0000-0000-0000FF7B0000}"/>
    <cellStyle name="Normal 8 3 2 3 3" xfId="11645" xr:uid="{00000000-0005-0000-0000-0000007C0000}"/>
    <cellStyle name="Normal 8 3 2 3 3 2" xfId="11646" xr:uid="{00000000-0005-0000-0000-0000017C0000}"/>
    <cellStyle name="Normal 8 3 2 3 3 3" xfId="11647" xr:uid="{00000000-0005-0000-0000-0000027C0000}"/>
    <cellStyle name="Normal 8 3 2 3 4" xfId="11648" xr:uid="{00000000-0005-0000-0000-0000037C0000}"/>
    <cellStyle name="Normal 8 3 2 3 5" xfId="11649" xr:uid="{00000000-0005-0000-0000-0000047C0000}"/>
    <cellStyle name="Normal 8 3 2 4" xfId="11650" xr:uid="{00000000-0005-0000-0000-0000057C0000}"/>
    <cellStyle name="Normal 8 3 2 4 2" xfId="11651" xr:uid="{00000000-0005-0000-0000-0000067C0000}"/>
    <cellStyle name="Normal 8 3 2 4 3" xfId="11652" xr:uid="{00000000-0005-0000-0000-0000077C0000}"/>
    <cellStyle name="Normal 8 3 2 5" xfId="11653" xr:uid="{00000000-0005-0000-0000-0000087C0000}"/>
    <cellStyle name="Normal 8 3 2 5 2" xfId="11654" xr:uid="{00000000-0005-0000-0000-0000097C0000}"/>
    <cellStyle name="Normal 8 3 2 5 3" xfId="11655" xr:uid="{00000000-0005-0000-0000-00000A7C0000}"/>
    <cellStyle name="Normal 8 3 2 6" xfId="11656" xr:uid="{00000000-0005-0000-0000-00000B7C0000}"/>
    <cellStyle name="Normal 8 3 2 7" xfId="11657" xr:uid="{00000000-0005-0000-0000-00000C7C0000}"/>
    <cellStyle name="Normal 8 3 3" xfId="11658" xr:uid="{00000000-0005-0000-0000-00000D7C0000}"/>
    <cellStyle name="Normal 8 3 3 2" xfId="11659" xr:uid="{00000000-0005-0000-0000-00000E7C0000}"/>
    <cellStyle name="Normal 8 3 3 2 2" xfId="11660" xr:uid="{00000000-0005-0000-0000-00000F7C0000}"/>
    <cellStyle name="Normal 8 3 3 2 2 2" xfId="11661" xr:uid="{00000000-0005-0000-0000-0000107C0000}"/>
    <cellStyle name="Normal 8 3 3 2 2 3" xfId="11662" xr:uid="{00000000-0005-0000-0000-0000117C0000}"/>
    <cellStyle name="Normal 8 3 3 2 3" xfId="11663" xr:uid="{00000000-0005-0000-0000-0000127C0000}"/>
    <cellStyle name="Normal 8 3 3 2 3 2" xfId="11664" xr:uid="{00000000-0005-0000-0000-0000137C0000}"/>
    <cellStyle name="Normal 8 3 3 2 3 3" xfId="11665" xr:uid="{00000000-0005-0000-0000-0000147C0000}"/>
    <cellStyle name="Normal 8 3 3 2 4" xfId="11666" xr:uid="{00000000-0005-0000-0000-0000157C0000}"/>
    <cellStyle name="Normal 8 3 3 2 5" xfId="11667" xr:uid="{00000000-0005-0000-0000-0000167C0000}"/>
    <cellStyle name="Normal 8 3 3 3" xfId="11668" xr:uid="{00000000-0005-0000-0000-0000177C0000}"/>
    <cellStyle name="Normal 8 3 3 3 2" xfId="11669" xr:uid="{00000000-0005-0000-0000-0000187C0000}"/>
    <cellStyle name="Normal 8 3 3 3 3" xfId="11670" xr:uid="{00000000-0005-0000-0000-0000197C0000}"/>
    <cellStyle name="Normal 8 3 3 4" xfId="11671" xr:uid="{00000000-0005-0000-0000-00001A7C0000}"/>
    <cellStyle name="Normal 8 3 3 4 2" xfId="11672" xr:uid="{00000000-0005-0000-0000-00001B7C0000}"/>
    <cellStyle name="Normal 8 3 3 4 3" xfId="11673" xr:uid="{00000000-0005-0000-0000-00001C7C0000}"/>
    <cellStyle name="Normal 8 3 3 5" xfId="11674" xr:uid="{00000000-0005-0000-0000-00001D7C0000}"/>
    <cellStyle name="Normal 8 3 3 6" xfId="11675" xr:uid="{00000000-0005-0000-0000-00001E7C0000}"/>
    <cellStyle name="Normal 8 3 4" xfId="11676" xr:uid="{00000000-0005-0000-0000-00001F7C0000}"/>
    <cellStyle name="Normal 8 3 4 2" xfId="11677" xr:uid="{00000000-0005-0000-0000-0000207C0000}"/>
    <cellStyle name="Normal 8 3 4 2 2" xfId="11678" xr:uid="{00000000-0005-0000-0000-0000217C0000}"/>
    <cellStyle name="Normal 8 3 4 2 3" xfId="11679" xr:uid="{00000000-0005-0000-0000-0000227C0000}"/>
    <cellStyle name="Normal 8 3 4 3" xfId="11680" xr:uid="{00000000-0005-0000-0000-0000237C0000}"/>
    <cellStyle name="Normal 8 3 4 3 2" xfId="11681" xr:uid="{00000000-0005-0000-0000-0000247C0000}"/>
    <cellStyle name="Normal 8 3 4 3 3" xfId="11682" xr:uid="{00000000-0005-0000-0000-0000257C0000}"/>
    <cellStyle name="Normal 8 3 4 4" xfId="11683" xr:uid="{00000000-0005-0000-0000-0000267C0000}"/>
    <cellStyle name="Normal 8 3 4 5" xfId="11684" xr:uid="{00000000-0005-0000-0000-0000277C0000}"/>
    <cellStyle name="Normal 8 3 5" xfId="11685" xr:uid="{00000000-0005-0000-0000-0000287C0000}"/>
    <cellStyle name="Normal 8 3 5 2" xfId="11686" xr:uid="{00000000-0005-0000-0000-0000297C0000}"/>
    <cellStyle name="Normal 8 3 5 3" xfId="11687" xr:uid="{00000000-0005-0000-0000-00002A7C0000}"/>
    <cellStyle name="Normal 8 3 6" xfId="11688" xr:uid="{00000000-0005-0000-0000-00002B7C0000}"/>
    <cellStyle name="Normal 8 3 6 2" xfId="11689" xr:uid="{00000000-0005-0000-0000-00002C7C0000}"/>
    <cellStyle name="Normal 8 3 6 3" xfId="11690" xr:uid="{00000000-0005-0000-0000-00002D7C0000}"/>
    <cellStyle name="Normal 8 3 7" xfId="11691" xr:uid="{00000000-0005-0000-0000-00002E7C0000}"/>
    <cellStyle name="Normal 8 3 8" xfId="11692" xr:uid="{00000000-0005-0000-0000-00002F7C0000}"/>
    <cellStyle name="Normal 8 4" xfId="11693" xr:uid="{00000000-0005-0000-0000-0000307C0000}"/>
    <cellStyle name="Normal 8 4 2" xfId="11694" xr:uid="{00000000-0005-0000-0000-0000317C0000}"/>
    <cellStyle name="Normal 8 4 2 2" xfId="11695" xr:uid="{00000000-0005-0000-0000-0000327C0000}"/>
    <cellStyle name="Normal 8 4 2 2 2" xfId="11696" xr:uid="{00000000-0005-0000-0000-0000337C0000}"/>
    <cellStyle name="Normal 8 4 2 2 2 2" xfId="11697" xr:uid="{00000000-0005-0000-0000-0000347C0000}"/>
    <cellStyle name="Normal 8 4 2 2 2 2 2" xfId="11698" xr:uid="{00000000-0005-0000-0000-0000357C0000}"/>
    <cellStyle name="Normal 8 4 2 2 2 2 3" xfId="11699" xr:uid="{00000000-0005-0000-0000-0000367C0000}"/>
    <cellStyle name="Normal 8 4 2 2 2 3" xfId="11700" xr:uid="{00000000-0005-0000-0000-0000377C0000}"/>
    <cellStyle name="Normal 8 4 2 2 2 3 2" xfId="11701" xr:uid="{00000000-0005-0000-0000-0000387C0000}"/>
    <cellStyle name="Normal 8 4 2 2 2 3 3" xfId="11702" xr:uid="{00000000-0005-0000-0000-0000397C0000}"/>
    <cellStyle name="Normal 8 4 2 2 2 4" xfId="11703" xr:uid="{00000000-0005-0000-0000-00003A7C0000}"/>
    <cellStyle name="Normal 8 4 2 2 2 5" xfId="11704" xr:uid="{00000000-0005-0000-0000-00003B7C0000}"/>
    <cellStyle name="Normal 8 4 2 2 3" xfId="11705" xr:uid="{00000000-0005-0000-0000-00003C7C0000}"/>
    <cellStyle name="Normal 8 4 2 2 3 2" xfId="11706" xr:uid="{00000000-0005-0000-0000-00003D7C0000}"/>
    <cellStyle name="Normal 8 4 2 2 3 3" xfId="11707" xr:uid="{00000000-0005-0000-0000-00003E7C0000}"/>
    <cellStyle name="Normal 8 4 2 2 4" xfId="11708" xr:uid="{00000000-0005-0000-0000-00003F7C0000}"/>
    <cellStyle name="Normal 8 4 2 2 4 2" xfId="11709" xr:uid="{00000000-0005-0000-0000-0000407C0000}"/>
    <cellStyle name="Normal 8 4 2 2 4 3" xfId="11710" xr:uid="{00000000-0005-0000-0000-0000417C0000}"/>
    <cellStyle name="Normal 8 4 2 2 5" xfId="11711" xr:uid="{00000000-0005-0000-0000-0000427C0000}"/>
    <cellStyle name="Normal 8 4 2 2 6" xfId="11712" xr:uid="{00000000-0005-0000-0000-0000437C0000}"/>
    <cellStyle name="Normal 8 4 2 3" xfId="11713" xr:uid="{00000000-0005-0000-0000-0000447C0000}"/>
    <cellStyle name="Normal 8 4 2 3 2" xfId="11714" xr:uid="{00000000-0005-0000-0000-0000457C0000}"/>
    <cellStyle name="Normal 8 4 2 3 2 2" xfId="11715" xr:uid="{00000000-0005-0000-0000-0000467C0000}"/>
    <cellStyle name="Normal 8 4 2 3 2 3" xfId="11716" xr:uid="{00000000-0005-0000-0000-0000477C0000}"/>
    <cellStyle name="Normal 8 4 2 3 3" xfId="11717" xr:uid="{00000000-0005-0000-0000-0000487C0000}"/>
    <cellStyle name="Normal 8 4 2 3 3 2" xfId="11718" xr:uid="{00000000-0005-0000-0000-0000497C0000}"/>
    <cellStyle name="Normal 8 4 2 3 3 3" xfId="11719" xr:uid="{00000000-0005-0000-0000-00004A7C0000}"/>
    <cellStyle name="Normal 8 4 2 3 4" xfId="11720" xr:uid="{00000000-0005-0000-0000-00004B7C0000}"/>
    <cellStyle name="Normal 8 4 2 3 5" xfId="11721" xr:uid="{00000000-0005-0000-0000-00004C7C0000}"/>
    <cellStyle name="Normal 8 4 2 4" xfId="11722" xr:uid="{00000000-0005-0000-0000-00004D7C0000}"/>
    <cellStyle name="Normal 8 4 2 4 2" xfId="11723" xr:uid="{00000000-0005-0000-0000-00004E7C0000}"/>
    <cellStyle name="Normal 8 4 2 4 3" xfId="11724" xr:uid="{00000000-0005-0000-0000-00004F7C0000}"/>
    <cellStyle name="Normal 8 4 2 5" xfId="11725" xr:uid="{00000000-0005-0000-0000-0000507C0000}"/>
    <cellStyle name="Normal 8 4 2 5 2" xfId="11726" xr:uid="{00000000-0005-0000-0000-0000517C0000}"/>
    <cellStyle name="Normal 8 4 2 5 3" xfId="11727" xr:uid="{00000000-0005-0000-0000-0000527C0000}"/>
    <cellStyle name="Normal 8 4 2 6" xfId="11728" xr:uid="{00000000-0005-0000-0000-0000537C0000}"/>
    <cellStyle name="Normal 8 4 2 7" xfId="11729" xr:uid="{00000000-0005-0000-0000-0000547C0000}"/>
    <cellStyle name="Normal 8 4 3" xfId="11730" xr:uid="{00000000-0005-0000-0000-0000557C0000}"/>
    <cellStyle name="Normal 8 4 3 2" xfId="11731" xr:uid="{00000000-0005-0000-0000-0000567C0000}"/>
    <cellStyle name="Normal 8 4 3 2 2" xfId="11732" xr:uid="{00000000-0005-0000-0000-0000577C0000}"/>
    <cellStyle name="Normal 8 4 3 2 2 2" xfId="11733" xr:uid="{00000000-0005-0000-0000-0000587C0000}"/>
    <cellStyle name="Normal 8 4 3 2 2 3" xfId="11734" xr:uid="{00000000-0005-0000-0000-0000597C0000}"/>
    <cellStyle name="Normal 8 4 3 2 3" xfId="11735" xr:uid="{00000000-0005-0000-0000-00005A7C0000}"/>
    <cellStyle name="Normal 8 4 3 2 3 2" xfId="11736" xr:uid="{00000000-0005-0000-0000-00005B7C0000}"/>
    <cellStyle name="Normal 8 4 3 2 3 3" xfId="11737" xr:uid="{00000000-0005-0000-0000-00005C7C0000}"/>
    <cellStyle name="Normal 8 4 3 2 4" xfId="11738" xr:uid="{00000000-0005-0000-0000-00005D7C0000}"/>
    <cellStyle name="Normal 8 4 3 2 5" xfId="11739" xr:uid="{00000000-0005-0000-0000-00005E7C0000}"/>
    <cellStyle name="Normal 8 4 3 3" xfId="11740" xr:uid="{00000000-0005-0000-0000-00005F7C0000}"/>
    <cellStyle name="Normal 8 4 3 3 2" xfId="11741" xr:uid="{00000000-0005-0000-0000-0000607C0000}"/>
    <cellStyle name="Normal 8 4 3 3 3" xfId="11742" xr:uid="{00000000-0005-0000-0000-0000617C0000}"/>
    <cellStyle name="Normal 8 4 3 4" xfId="11743" xr:uid="{00000000-0005-0000-0000-0000627C0000}"/>
    <cellStyle name="Normal 8 4 3 4 2" xfId="11744" xr:uid="{00000000-0005-0000-0000-0000637C0000}"/>
    <cellStyle name="Normal 8 4 3 4 3" xfId="11745" xr:uid="{00000000-0005-0000-0000-0000647C0000}"/>
    <cellStyle name="Normal 8 4 3 5" xfId="11746" xr:uid="{00000000-0005-0000-0000-0000657C0000}"/>
    <cellStyle name="Normal 8 4 3 6" xfId="11747" xr:uid="{00000000-0005-0000-0000-0000667C0000}"/>
    <cellStyle name="Normal 8 4 4" xfId="11748" xr:uid="{00000000-0005-0000-0000-0000677C0000}"/>
    <cellStyle name="Normal 8 4 4 2" xfId="11749" xr:uid="{00000000-0005-0000-0000-0000687C0000}"/>
    <cellStyle name="Normal 8 4 4 2 2" xfId="11750" xr:uid="{00000000-0005-0000-0000-0000697C0000}"/>
    <cellStyle name="Normal 8 4 4 2 3" xfId="11751" xr:uid="{00000000-0005-0000-0000-00006A7C0000}"/>
    <cellStyle name="Normal 8 4 4 3" xfId="11752" xr:uid="{00000000-0005-0000-0000-00006B7C0000}"/>
    <cellStyle name="Normal 8 4 4 3 2" xfId="11753" xr:uid="{00000000-0005-0000-0000-00006C7C0000}"/>
    <cellStyle name="Normal 8 4 4 3 3" xfId="11754" xr:uid="{00000000-0005-0000-0000-00006D7C0000}"/>
    <cellStyle name="Normal 8 4 4 4" xfId="11755" xr:uid="{00000000-0005-0000-0000-00006E7C0000}"/>
    <cellStyle name="Normal 8 4 4 5" xfId="11756" xr:uid="{00000000-0005-0000-0000-00006F7C0000}"/>
    <cellStyle name="Normal 8 4 5" xfId="11757" xr:uid="{00000000-0005-0000-0000-0000707C0000}"/>
    <cellStyle name="Normal 8 4 5 2" xfId="11758" xr:uid="{00000000-0005-0000-0000-0000717C0000}"/>
    <cellStyle name="Normal 8 4 5 3" xfId="11759" xr:uid="{00000000-0005-0000-0000-0000727C0000}"/>
    <cellStyle name="Normal 8 4 6" xfId="11760" xr:uid="{00000000-0005-0000-0000-0000737C0000}"/>
    <cellStyle name="Normal 8 4 6 2" xfId="11761" xr:uid="{00000000-0005-0000-0000-0000747C0000}"/>
    <cellStyle name="Normal 8 4 6 3" xfId="11762" xr:uid="{00000000-0005-0000-0000-0000757C0000}"/>
    <cellStyle name="Normal 8 4 7" xfId="11763" xr:uid="{00000000-0005-0000-0000-0000767C0000}"/>
    <cellStyle name="Normal 8 4 8" xfId="11764" xr:uid="{00000000-0005-0000-0000-0000777C0000}"/>
    <cellStyle name="Normal 8 5" xfId="11765" xr:uid="{00000000-0005-0000-0000-0000787C0000}"/>
    <cellStyle name="Normal 8 5 2" xfId="11766" xr:uid="{00000000-0005-0000-0000-0000797C0000}"/>
    <cellStyle name="Normal 8 5 2 2" xfId="11767" xr:uid="{00000000-0005-0000-0000-00007A7C0000}"/>
    <cellStyle name="Normal 8 5 2 2 2" xfId="11768" xr:uid="{00000000-0005-0000-0000-00007B7C0000}"/>
    <cellStyle name="Normal 8 5 2 2 2 2" xfId="11769" xr:uid="{00000000-0005-0000-0000-00007C7C0000}"/>
    <cellStyle name="Normal 8 5 2 2 2 3" xfId="11770" xr:uid="{00000000-0005-0000-0000-00007D7C0000}"/>
    <cellStyle name="Normal 8 5 2 2 3" xfId="11771" xr:uid="{00000000-0005-0000-0000-00007E7C0000}"/>
    <cellStyle name="Normal 8 5 2 2 3 2" xfId="11772" xr:uid="{00000000-0005-0000-0000-00007F7C0000}"/>
    <cellStyle name="Normal 8 5 2 2 3 3" xfId="11773" xr:uid="{00000000-0005-0000-0000-0000807C0000}"/>
    <cellStyle name="Normal 8 5 2 2 4" xfId="11774" xr:uid="{00000000-0005-0000-0000-0000817C0000}"/>
    <cellStyle name="Normal 8 5 2 2 5" xfId="11775" xr:uid="{00000000-0005-0000-0000-0000827C0000}"/>
    <cellStyle name="Normal 8 5 2 3" xfId="11776" xr:uid="{00000000-0005-0000-0000-0000837C0000}"/>
    <cellStyle name="Normal 8 5 2 3 2" xfId="11777" xr:uid="{00000000-0005-0000-0000-0000847C0000}"/>
    <cellStyle name="Normal 8 5 2 3 3" xfId="11778" xr:uid="{00000000-0005-0000-0000-0000857C0000}"/>
    <cellStyle name="Normal 8 5 2 4" xfId="11779" xr:uid="{00000000-0005-0000-0000-0000867C0000}"/>
    <cellStyle name="Normal 8 5 2 4 2" xfId="11780" xr:uid="{00000000-0005-0000-0000-0000877C0000}"/>
    <cellStyle name="Normal 8 5 2 4 3" xfId="11781" xr:uid="{00000000-0005-0000-0000-0000887C0000}"/>
    <cellStyle name="Normal 8 5 2 5" xfId="11782" xr:uid="{00000000-0005-0000-0000-0000897C0000}"/>
    <cellStyle name="Normal 8 5 2 6" xfId="11783" xr:uid="{00000000-0005-0000-0000-00008A7C0000}"/>
    <cellStyle name="Normal 8 5 3" xfId="11784" xr:uid="{00000000-0005-0000-0000-00008B7C0000}"/>
    <cellStyle name="Normal 8 5 3 2" xfId="11785" xr:uid="{00000000-0005-0000-0000-00008C7C0000}"/>
    <cellStyle name="Normal 8 5 3 2 2" xfId="11786" xr:uid="{00000000-0005-0000-0000-00008D7C0000}"/>
    <cellStyle name="Normal 8 5 3 2 3" xfId="11787" xr:uid="{00000000-0005-0000-0000-00008E7C0000}"/>
    <cellStyle name="Normal 8 5 3 3" xfId="11788" xr:uid="{00000000-0005-0000-0000-00008F7C0000}"/>
    <cellStyle name="Normal 8 5 3 3 2" xfId="11789" xr:uid="{00000000-0005-0000-0000-0000907C0000}"/>
    <cellStyle name="Normal 8 5 3 3 3" xfId="11790" xr:uid="{00000000-0005-0000-0000-0000917C0000}"/>
    <cellStyle name="Normal 8 5 3 4" xfId="11791" xr:uid="{00000000-0005-0000-0000-0000927C0000}"/>
    <cellStyle name="Normal 8 5 3 5" xfId="11792" xr:uid="{00000000-0005-0000-0000-0000937C0000}"/>
    <cellStyle name="Normal 8 5 4" xfId="11793" xr:uid="{00000000-0005-0000-0000-0000947C0000}"/>
    <cellStyle name="Normal 8 5 4 2" xfId="11794" xr:uid="{00000000-0005-0000-0000-0000957C0000}"/>
    <cellStyle name="Normal 8 5 4 3" xfId="11795" xr:uid="{00000000-0005-0000-0000-0000967C0000}"/>
    <cellStyle name="Normal 8 5 5" xfId="11796" xr:uid="{00000000-0005-0000-0000-0000977C0000}"/>
    <cellStyle name="Normal 8 5 5 2" xfId="11797" xr:uid="{00000000-0005-0000-0000-0000987C0000}"/>
    <cellStyle name="Normal 8 5 5 3" xfId="11798" xr:uid="{00000000-0005-0000-0000-0000997C0000}"/>
    <cellStyle name="Normal 8 5 6" xfId="11799" xr:uid="{00000000-0005-0000-0000-00009A7C0000}"/>
    <cellStyle name="Normal 8 5 7" xfId="11800" xr:uid="{00000000-0005-0000-0000-00009B7C0000}"/>
    <cellStyle name="Normal 8 6" xfId="11801" xr:uid="{00000000-0005-0000-0000-00009C7C0000}"/>
    <cellStyle name="Normal 8 6 2" xfId="11802" xr:uid="{00000000-0005-0000-0000-00009D7C0000}"/>
    <cellStyle name="Normal 8 6 2 2" xfId="11803" xr:uid="{00000000-0005-0000-0000-00009E7C0000}"/>
    <cellStyle name="Normal 8 6 2 2 2" xfId="11804" xr:uid="{00000000-0005-0000-0000-00009F7C0000}"/>
    <cellStyle name="Normal 8 6 2 2 3" xfId="11805" xr:uid="{00000000-0005-0000-0000-0000A07C0000}"/>
    <cellStyle name="Normal 8 6 2 3" xfId="11806" xr:uid="{00000000-0005-0000-0000-0000A17C0000}"/>
    <cellStyle name="Normal 8 6 2 3 2" xfId="11807" xr:uid="{00000000-0005-0000-0000-0000A27C0000}"/>
    <cellStyle name="Normal 8 6 2 3 3" xfId="11808" xr:uid="{00000000-0005-0000-0000-0000A37C0000}"/>
    <cellStyle name="Normal 8 6 2 4" xfId="11809" xr:uid="{00000000-0005-0000-0000-0000A47C0000}"/>
    <cellStyle name="Normal 8 6 2 5" xfId="11810" xr:uid="{00000000-0005-0000-0000-0000A57C0000}"/>
    <cellStyle name="Normal 8 6 3" xfId="11811" xr:uid="{00000000-0005-0000-0000-0000A67C0000}"/>
    <cellStyle name="Normal 8 6 3 2" xfId="11812" xr:uid="{00000000-0005-0000-0000-0000A77C0000}"/>
    <cellStyle name="Normal 8 6 3 3" xfId="11813" xr:uid="{00000000-0005-0000-0000-0000A87C0000}"/>
    <cellStyle name="Normal 8 6 4" xfId="11814" xr:uid="{00000000-0005-0000-0000-0000A97C0000}"/>
    <cellStyle name="Normal 8 6 4 2" xfId="11815" xr:uid="{00000000-0005-0000-0000-0000AA7C0000}"/>
    <cellStyle name="Normal 8 6 4 3" xfId="11816" xr:uid="{00000000-0005-0000-0000-0000AB7C0000}"/>
    <cellStyle name="Normal 8 6 5" xfId="11817" xr:uid="{00000000-0005-0000-0000-0000AC7C0000}"/>
    <cellStyle name="Normal 8 6 6" xfId="11818" xr:uid="{00000000-0005-0000-0000-0000AD7C0000}"/>
    <cellStyle name="Normal 8 7" xfId="11819" xr:uid="{00000000-0005-0000-0000-0000AE7C0000}"/>
    <cellStyle name="Normal 8 7 2" xfId="11820" xr:uid="{00000000-0005-0000-0000-0000AF7C0000}"/>
    <cellStyle name="Normal 8 7 2 2" xfId="11821" xr:uid="{00000000-0005-0000-0000-0000B07C0000}"/>
    <cellStyle name="Normal 8 7 2 3" xfId="11822" xr:uid="{00000000-0005-0000-0000-0000B17C0000}"/>
    <cellStyle name="Normal 8 7 3" xfId="11823" xr:uid="{00000000-0005-0000-0000-0000B27C0000}"/>
    <cellStyle name="Normal 8 7 3 2" xfId="11824" xr:uid="{00000000-0005-0000-0000-0000B37C0000}"/>
    <cellStyle name="Normal 8 7 3 3" xfId="11825" xr:uid="{00000000-0005-0000-0000-0000B47C0000}"/>
    <cellStyle name="Normal 8 7 4" xfId="11826" xr:uid="{00000000-0005-0000-0000-0000B57C0000}"/>
    <cellStyle name="Normal 8 7 5" xfId="11827" xr:uid="{00000000-0005-0000-0000-0000B67C0000}"/>
    <cellStyle name="Normal 8 8" xfId="11828" xr:uid="{00000000-0005-0000-0000-0000B77C0000}"/>
    <cellStyle name="Normal 8 8 2" xfId="11829" xr:uid="{00000000-0005-0000-0000-0000B87C0000}"/>
    <cellStyle name="Normal 8 8 3" xfId="11830" xr:uid="{00000000-0005-0000-0000-0000B97C0000}"/>
    <cellStyle name="Normal 8 9" xfId="11831" xr:uid="{00000000-0005-0000-0000-0000BA7C0000}"/>
    <cellStyle name="Normal 8 9 2" xfId="11832" xr:uid="{00000000-0005-0000-0000-0000BB7C0000}"/>
    <cellStyle name="Normal 8 9 3" xfId="11833" xr:uid="{00000000-0005-0000-0000-0000BC7C0000}"/>
    <cellStyle name="Normal 8_2180" xfId="11834" xr:uid="{00000000-0005-0000-0000-0000BD7C0000}"/>
    <cellStyle name="Normal 80" xfId="237" xr:uid="{00000000-0005-0000-0000-0000BE7C0000}"/>
    <cellStyle name="Normal 81" xfId="238" xr:uid="{00000000-0005-0000-0000-0000BF7C0000}"/>
    <cellStyle name="Normal 81 2" xfId="11835" xr:uid="{00000000-0005-0000-0000-0000C07C0000}"/>
    <cellStyle name="Normal 81 2 2" xfId="11836" xr:uid="{00000000-0005-0000-0000-0000C17C0000}"/>
    <cellStyle name="Normal 81 2 2 2" xfId="11837" xr:uid="{00000000-0005-0000-0000-0000C27C0000}"/>
    <cellStyle name="Normal 81 2 2 3" xfId="11838" xr:uid="{00000000-0005-0000-0000-0000C37C0000}"/>
    <cellStyle name="Normal 81 2 3" xfId="11839" xr:uid="{00000000-0005-0000-0000-0000C47C0000}"/>
    <cellStyle name="Normal 81 2 3 2" xfId="11840" xr:uid="{00000000-0005-0000-0000-0000C57C0000}"/>
    <cellStyle name="Normal 81 2 3 3" xfId="11841" xr:uid="{00000000-0005-0000-0000-0000C67C0000}"/>
    <cellStyle name="Normal 81 2 4" xfId="11842" xr:uid="{00000000-0005-0000-0000-0000C77C0000}"/>
    <cellStyle name="Normal 81 2 5" xfId="11843" xr:uid="{00000000-0005-0000-0000-0000C87C0000}"/>
    <cellStyle name="Normal 81 3" xfId="11844" xr:uid="{00000000-0005-0000-0000-0000C97C0000}"/>
    <cellStyle name="Normal 81 3 2" xfId="11845" xr:uid="{00000000-0005-0000-0000-0000CA7C0000}"/>
    <cellStyle name="Normal 81 3 3" xfId="11846" xr:uid="{00000000-0005-0000-0000-0000CB7C0000}"/>
    <cellStyle name="Normal 81 4" xfId="11847" xr:uid="{00000000-0005-0000-0000-0000CC7C0000}"/>
    <cellStyle name="Normal 81 4 2" xfId="11848" xr:uid="{00000000-0005-0000-0000-0000CD7C0000}"/>
    <cellStyle name="Normal 81 4 3" xfId="11849" xr:uid="{00000000-0005-0000-0000-0000CE7C0000}"/>
    <cellStyle name="Normal 81 5" xfId="11850" xr:uid="{00000000-0005-0000-0000-0000CF7C0000}"/>
    <cellStyle name="Normal 81 6" xfId="11851" xr:uid="{00000000-0005-0000-0000-0000D07C0000}"/>
    <cellStyle name="Normal 82" xfId="239" xr:uid="{00000000-0005-0000-0000-0000D17C0000}"/>
    <cellStyle name="Normal 82 2" xfId="11852" xr:uid="{00000000-0005-0000-0000-0000D27C0000}"/>
    <cellStyle name="Normal 82 2 2" xfId="11853" xr:uid="{00000000-0005-0000-0000-0000D37C0000}"/>
    <cellStyle name="Normal 82 2 2 2" xfId="11854" xr:uid="{00000000-0005-0000-0000-0000D47C0000}"/>
    <cellStyle name="Normal 82 2 2 3" xfId="11855" xr:uid="{00000000-0005-0000-0000-0000D57C0000}"/>
    <cellStyle name="Normal 82 2 3" xfId="11856" xr:uid="{00000000-0005-0000-0000-0000D67C0000}"/>
    <cellStyle name="Normal 82 2 3 2" xfId="11857" xr:uid="{00000000-0005-0000-0000-0000D77C0000}"/>
    <cellStyle name="Normal 82 2 3 3" xfId="11858" xr:uid="{00000000-0005-0000-0000-0000D87C0000}"/>
    <cellStyle name="Normal 82 2 4" xfId="11859" xr:uid="{00000000-0005-0000-0000-0000D97C0000}"/>
    <cellStyle name="Normal 82 2 5" xfId="11860" xr:uid="{00000000-0005-0000-0000-0000DA7C0000}"/>
    <cellStyle name="Normal 82 3" xfId="11861" xr:uid="{00000000-0005-0000-0000-0000DB7C0000}"/>
    <cellStyle name="Normal 82 3 2" xfId="11862" xr:uid="{00000000-0005-0000-0000-0000DC7C0000}"/>
    <cellStyle name="Normal 82 3 3" xfId="11863" xr:uid="{00000000-0005-0000-0000-0000DD7C0000}"/>
    <cellStyle name="Normal 82 4" xfId="11864" xr:uid="{00000000-0005-0000-0000-0000DE7C0000}"/>
    <cellStyle name="Normal 82 4 2" xfId="11865" xr:uid="{00000000-0005-0000-0000-0000DF7C0000}"/>
    <cellStyle name="Normal 82 4 3" xfId="11866" xr:uid="{00000000-0005-0000-0000-0000E07C0000}"/>
    <cellStyle name="Normal 82 5" xfId="11867" xr:uid="{00000000-0005-0000-0000-0000E17C0000}"/>
    <cellStyle name="Normal 82 6" xfId="11868" xr:uid="{00000000-0005-0000-0000-0000E27C0000}"/>
    <cellStyle name="Normal 83" xfId="240" xr:uid="{00000000-0005-0000-0000-0000E37C0000}"/>
    <cellStyle name="Normal 84" xfId="38" xr:uid="{00000000-0005-0000-0000-0000E47C0000}"/>
    <cellStyle name="Normal 84 2" xfId="275" xr:uid="{00000000-0005-0000-0000-0000E57C0000}"/>
    <cellStyle name="Normal 84 2 2" xfId="11869" xr:uid="{00000000-0005-0000-0000-0000E67C0000}"/>
    <cellStyle name="Normal 84 2 2 2" xfId="11870" xr:uid="{00000000-0005-0000-0000-0000E77C0000}"/>
    <cellStyle name="Normal 84 2 2 3" xfId="11871" xr:uid="{00000000-0005-0000-0000-0000E87C0000}"/>
    <cellStyle name="Normal 84 2 3" xfId="11872" xr:uid="{00000000-0005-0000-0000-0000E97C0000}"/>
    <cellStyle name="Normal 84 2 3 2" xfId="11873" xr:uid="{00000000-0005-0000-0000-0000EA7C0000}"/>
    <cellStyle name="Normal 84 2 3 3" xfId="11874" xr:uid="{00000000-0005-0000-0000-0000EB7C0000}"/>
    <cellStyle name="Normal 84 2 4" xfId="11875" xr:uid="{00000000-0005-0000-0000-0000EC7C0000}"/>
    <cellStyle name="Normal 84 2 5" xfId="11876" xr:uid="{00000000-0005-0000-0000-0000ED7C0000}"/>
    <cellStyle name="Normal 84 3" xfId="347" xr:uid="{00000000-0005-0000-0000-0000EE7C0000}"/>
    <cellStyle name="Normal 84 3 2" xfId="11877" xr:uid="{00000000-0005-0000-0000-0000EF7C0000}"/>
    <cellStyle name="Normal 84 3 3" xfId="11878" xr:uid="{00000000-0005-0000-0000-0000F07C0000}"/>
    <cellStyle name="Normal 84 4" xfId="11879" xr:uid="{00000000-0005-0000-0000-0000F17C0000}"/>
    <cellStyle name="Normal 84 4 2" xfId="11880" xr:uid="{00000000-0005-0000-0000-0000F27C0000}"/>
    <cellStyle name="Normal 84 4 3" xfId="11881" xr:uid="{00000000-0005-0000-0000-0000F37C0000}"/>
    <cellStyle name="Normal 84 5" xfId="11882" xr:uid="{00000000-0005-0000-0000-0000F47C0000}"/>
    <cellStyle name="Normal 84 6" xfId="11883" xr:uid="{00000000-0005-0000-0000-0000F57C0000}"/>
    <cellStyle name="Normal 85" xfId="249" xr:uid="{00000000-0005-0000-0000-0000F67C0000}"/>
    <cellStyle name="Normal 85 2" xfId="368" xr:uid="{00000000-0005-0000-0000-0000F77C0000}"/>
    <cellStyle name="Normal 85 2 2" xfId="11884" xr:uid="{00000000-0005-0000-0000-0000F87C0000}"/>
    <cellStyle name="Normal 85 2 3" xfId="11885" xr:uid="{00000000-0005-0000-0000-0000F97C0000}"/>
    <cellStyle name="Normal 85 3" xfId="11886" xr:uid="{00000000-0005-0000-0000-0000FA7C0000}"/>
    <cellStyle name="Normal 85 3 2" xfId="11887" xr:uid="{00000000-0005-0000-0000-0000FB7C0000}"/>
    <cellStyle name="Normal 85 3 3" xfId="11888" xr:uid="{00000000-0005-0000-0000-0000FC7C0000}"/>
    <cellStyle name="Normal 85 4" xfId="11889" xr:uid="{00000000-0005-0000-0000-0000FD7C0000}"/>
    <cellStyle name="Normal 85 5" xfId="11890" xr:uid="{00000000-0005-0000-0000-0000FE7C0000}"/>
    <cellStyle name="Normal 86" xfId="267" xr:uid="{00000000-0005-0000-0000-0000FF7C0000}"/>
    <cellStyle name="Normal 86 2" xfId="11891" xr:uid="{00000000-0005-0000-0000-0000007D0000}"/>
    <cellStyle name="Normal 86 3" xfId="11892" xr:uid="{00000000-0005-0000-0000-0000017D0000}"/>
    <cellStyle name="Normal 87" xfId="268" xr:uid="{00000000-0005-0000-0000-0000027D0000}"/>
    <cellStyle name="Normal 87 2" xfId="11893" xr:uid="{00000000-0005-0000-0000-0000037D0000}"/>
    <cellStyle name="Normal 88" xfId="269" xr:uid="{00000000-0005-0000-0000-0000047D0000}"/>
    <cellStyle name="Normal 88 2" xfId="11894" xr:uid="{00000000-0005-0000-0000-0000057D0000}"/>
    <cellStyle name="Normal 89" xfId="270" xr:uid="{00000000-0005-0000-0000-0000067D0000}"/>
    <cellStyle name="Normal 9" xfId="241" xr:uid="{00000000-0005-0000-0000-0000077D0000}"/>
    <cellStyle name="Normal 9 10" xfId="11895" xr:uid="{00000000-0005-0000-0000-0000087D0000}"/>
    <cellStyle name="Normal 9 11" xfId="11896" xr:uid="{00000000-0005-0000-0000-0000097D0000}"/>
    <cellStyle name="Normal 9 12" xfId="11897" xr:uid="{00000000-0005-0000-0000-00000A7D0000}"/>
    <cellStyle name="Normal 9 13" xfId="11898" xr:uid="{00000000-0005-0000-0000-00000B7D0000}"/>
    <cellStyle name="Normal 9 14" xfId="11899" xr:uid="{00000000-0005-0000-0000-00000C7D0000}"/>
    <cellStyle name="Normal 9 2" xfId="11900" xr:uid="{00000000-0005-0000-0000-00000D7D0000}"/>
    <cellStyle name="Normal 9 2 10" xfId="11901" xr:uid="{00000000-0005-0000-0000-00000E7D0000}"/>
    <cellStyle name="Normal 9 2 11" xfId="11902" xr:uid="{00000000-0005-0000-0000-00000F7D0000}"/>
    <cellStyle name="Normal 9 2 12" xfId="11903" xr:uid="{00000000-0005-0000-0000-0000107D0000}"/>
    <cellStyle name="Normal 9 2 2" xfId="11904" xr:uid="{00000000-0005-0000-0000-0000117D0000}"/>
    <cellStyle name="Normal 9 2 2 2" xfId="11905" xr:uid="{00000000-0005-0000-0000-0000127D0000}"/>
    <cellStyle name="Normal 9 2 2 2 2" xfId="11906" xr:uid="{00000000-0005-0000-0000-0000137D0000}"/>
    <cellStyle name="Normal 9 2 2 2 2 2" xfId="11907" xr:uid="{00000000-0005-0000-0000-0000147D0000}"/>
    <cellStyle name="Normal 9 2 2 2 2 2 2" xfId="11908" xr:uid="{00000000-0005-0000-0000-0000157D0000}"/>
    <cellStyle name="Normal 9 2 2 2 2 2 2 2" xfId="11909" xr:uid="{00000000-0005-0000-0000-0000167D0000}"/>
    <cellStyle name="Normal 9 2 2 2 2 2 2 3" xfId="11910" xr:uid="{00000000-0005-0000-0000-0000177D0000}"/>
    <cellStyle name="Normal 9 2 2 2 2 2 3" xfId="11911" xr:uid="{00000000-0005-0000-0000-0000187D0000}"/>
    <cellStyle name="Normal 9 2 2 2 2 2 3 2" xfId="11912" xr:uid="{00000000-0005-0000-0000-0000197D0000}"/>
    <cellStyle name="Normal 9 2 2 2 2 2 3 3" xfId="11913" xr:uid="{00000000-0005-0000-0000-00001A7D0000}"/>
    <cellStyle name="Normal 9 2 2 2 2 2 4" xfId="11914" xr:uid="{00000000-0005-0000-0000-00001B7D0000}"/>
    <cellStyle name="Normal 9 2 2 2 2 2 5" xfId="11915" xr:uid="{00000000-0005-0000-0000-00001C7D0000}"/>
    <cellStyle name="Normal 9 2 2 2 2 3" xfId="11916" xr:uid="{00000000-0005-0000-0000-00001D7D0000}"/>
    <cellStyle name="Normal 9 2 2 2 2 3 2" xfId="11917" xr:uid="{00000000-0005-0000-0000-00001E7D0000}"/>
    <cellStyle name="Normal 9 2 2 2 2 3 3" xfId="11918" xr:uid="{00000000-0005-0000-0000-00001F7D0000}"/>
    <cellStyle name="Normal 9 2 2 2 2 4" xfId="11919" xr:uid="{00000000-0005-0000-0000-0000207D0000}"/>
    <cellStyle name="Normal 9 2 2 2 2 4 2" xfId="11920" xr:uid="{00000000-0005-0000-0000-0000217D0000}"/>
    <cellStyle name="Normal 9 2 2 2 2 4 3" xfId="11921" xr:uid="{00000000-0005-0000-0000-0000227D0000}"/>
    <cellStyle name="Normal 9 2 2 2 2 5" xfId="11922" xr:uid="{00000000-0005-0000-0000-0000237D0000}"/>
    <cellStyle name="Normal 9 2 2 2 2 6" xfId="11923" xr:uid="{00000000-0005-0000-0000-0000247D0000}"/>
    <cellStyle name="Normal 9 2 2 2 3" xfId="11924" xr:uid="{00000000-0005-0000-0000-0000257D0000}"/>
    <cellStyle name="Normal 9 2 2 2 3 2" xfId="11925" xr:uid="{00000000-0005-0000-0000-0000267D0000}"/>
    <cellStyle name="Normal 9 2 2 2 3 2 2" xfId="11926" xr:uid="{00000000-0005-0000-0000-0000277D0000}"/>
    <cellStyle name="Normal 9 2 2 2 3 2 3" xfId="11927" xr:uid="{00000000-0005-0000-0000-0000287D0000}"/>
    <cellStyle name="Normal 9 2 2 2 3 3" xfId="11928" xr:uid="{00000000-0005-0000-0000-0000297D0000}"/>
    <cellStyle name="Normal 9 2 2 2 3 3 2" xfId="11929" xr:uid="{00000000-0005-0000-0000-00002A7D0000}"/>
    <cellStyle name="Normal 9 2 2 2 3 3 3" xfId="11930" xr:uid="{00000000-0005-0000-0000-00002B7D0000}"/>
    <cellStyle name="Normal 9 2 2 2 3 4" xfId="11931" xr:uid="{00000000-0005-0000-0000-00002C7D0000}"/>
    <cellStyle name="Normal 9 2 2 2 3 5" xfId="11932" xr:uid="{00000000-0005-0000-0000-00002D7D0000}"/>
    <cellStyle name="Normal 9 2 2 2 3 6" xfId="34908" xr:uid="{00000000-0005-0000-0000-00002E7D0000}"/>
    <cellStyle name="Normal 9 2 2 2 4" xfId="11933" xr:uid="{00000000-0005-0000-0000-00002F7D0000}"/>
    <cellStyle name="Normal 9 2 2 2 4 2" xfId="11934" xr:uid="{00000000-0005-0000-0000-0000307D0000}"/>
    <cellStyle name="Normal 9 2 2 2 4 3" xfId="11935" xr:uid="{00000000-0005-0000-0000-0000317D0000}"/>
    <cellStyle name="Normal 9 2 2 2 5" xfId="11936" xr:uid="{00000000-0005-0000-0000-0000327D0000}"/>
    <cellStyle name="Normal 9 2 2 2 5 2" xfId="11937" xr:uid="{00000000-0005-0000-0000-0000337D0000}"/>
    <cellStyle name="Normal 9 2 2 2 5 3" xfId="11938" xr:uid="{00000000-0005-0000-0000-0000347D0000}"/>
    <cellStyle name="Normal 9 2 2 2 6" xfId="11939" xr:uid="{00000000-0005-0000-0000-0000357D0000}"/>
    <cellStyle name="Normal 9 2 2 2 7" xfId="11940" xr:uid="{00000000-0005-0000-0000-0000367D0000}"/>
    <cellStyle name="Normal 9 2 2 3" xfId="11941" xr:uid="{00000000-0005-0000-0000-0000377D0000}"/>
    <cellStyle name="Normal 9 2 2 3 2" xfId="11942" xr:uid="{00000000-0005-0000-0000-0000387D0000}"/>
    <cellStyle name="Normal 9 2 2 3 2 2" xfId="11943" xr:uid="{00000000-0005-0000-0000-0000397D0000}"/>
    <cellStyle name="Normal 9 2 2 3 2 2 2" xfId="11944" xr:uid="{00000000-0005-0000-0000-00003A7D0000}"/>
    <cellStyle name="Normal 9 2 2 3 2 2 3" xfId="11945" xr:uid="{00000000-0005-0000-0000-00003B7D0000}"/>
    <cellStyle name="Normal 9 2 2 3 2 3" xfId="11946" xr:uid="{00000000-0005-0000-0000-00003C7D0000}"/>
    <cellStyle name="Normal 9 2 2 3 2 3 2" xfId="11947" xr:uid="{00000000-0005-0000-0000-00003D7D0000}"/>
    <cellStyle name="Normal 9 2 2 3 2 3 3" xfId="11948" xr:uid="{00000000-0005-0000-0000-00003E7D0000}"/>
    <cellStyle name="Normal 9 2 2 3 2 4" xfId="11949" xr:uid="{00000000-0005-0000-0000-00003F7D0000}"/>
    <cellStyle name="Normal 9 2 2 3 2 5" xfId="11950" xr:uid="{00000000-0005-0000-0000-0000407D0000}"/>
    <cellStyle name="Normal 9 2 2 3 3" xfId="11951" xr:uid="{00000000-0005-0000-0000-0000417D0000}"/>
    <cellStyle name="Normal 9 2 2 3 3 2" xfId="11952" xr:uid="{00000000-0005-0000-0000-0000427D0000}"/>
    <cellStyle name="Normal 9 2 2 3 3 3" xfId="11953" xr:uid="{00000000-0005-0000-0000-0000437D0000}"/>
    <cellStyle name="Normal 9 2 2 3 4" xfId="11954" xr:uid="{00000000-0005-0000-0000-0000447D0000}"/>
    <cellStyle name="Normal 9 2 2 3 4 2" xfId="11955" xr:uid="{00000000-0005-0000-0000-0000457D0000}"/>
    <cellStyle name="Normal 9 2 2 3 4 3" xfId="11956" xr:uid="{00000000-0005-0000-0000-0000467D0000}"/>
    <cellStyle name="Normal 9 2 2 3 5" xfId="11957" xr:uid="{00000000-0005-0000-0000-0000477D0000}"/>
    <cellStyle name="Normal 9 2 2 3 6" xfId="11958" xr:uid="{00000000-0005-0000-0000-0000487D0000}"/>
    <cellStyle name="Normal 9 2 2 4" xfId="11959" xr:uid="{00000000-0005-0000-0000-0000497D0000}"/>
    <cellStyle name="Normal 9 2 2 4 2" xfId="11960" xr:uid="{00000000-0005-0000-0000-00004A7D0000}"/>
    <cellStyle name="Normal 9 2 2 4 2 2" xfId="11961" xr:uid="{00000000-0005-0000-0000-00004B7D0000}"/>
    <cellStyle name="Normal 9 2 2 4 2 3" xfId="11962" xr:uid="{00000000-0005-0000-0000-00004C7D0000}"/>
    <cellStyle name="Normal 9 2 2 4 3" xfId="11963" xr:uid="{00000000-0005-0000-0000-00004D7D0000}"/>
    <cellStyle name="Normal 9 2 2 4 3 2" xfId="11964" xr:uid="{00000000-0005-0000-0000-00004E7D0000}"/>
    <cellStyle name="Normal 9 2 2 4 3 3" xfId="11965" xr:uid="{00000000-0005-0000-0000-00004F7D0000}"/>
    <cellStyle name="Normal 9 2 2 4 4" xfId="11966" xr:uid="{00000000-0005-0000-0000-0000507D0000}"/>
    <cellStyle name="Normal 9 2 2 4 5" xfId="11967" xr:uid="{00000000-0005-0000-0000-0000517D0000}"/>
    <cellStyle name="Normal 9 2 2 5" xfId="11968" xr:uid="{00000000-0005-0000-0000-0000527D0000}"/>
    <cellStyle name="Normal 9 2 2 5 2" xfId="11969" xr:uid="{00000000-0005-0000-0000-0000537D0000}"/>
    <cellStyle name="Normal 9 2 2 5 3" xfId="11970" xr:uid="{00000000-0005-0000-0000-0000547D0000}"/>
    <cellStyle name="Normal 9 2 2 6" xfId="11971" xr:uid="{00000000-0005-0000-0000-0000557D0000}"/>
    <cellStyle name="Normal 9 2 2 6 2" xfId="11972" xr:uid="{00000000-0005-0000-0000-0000567D0000}"/>
    <cellStyle name="Normal 9 2 2 6 3" xfId="11973" xr:uid="{00000000-0005-0000-0000-0000577D0000}"/>
    <cellStyle name="Normal 9 2 2 7" xfId="11974" xr:uid="{00000000-0005-0000-0000-0000587D0000}"/>
    <cellStyle name="Normal 9 2 2 8" xfId="11975" xr:uid="{00000000-0005-0000-0000-0000597D0000}"/>
    <cellStyle name="Normal 9 2 3" xfId="11976" xr:uid="{00000000-0005-0000-0000-00005A7D0000}"/>
    <cellStyle name="Normal 9 2 3 2" xfId="11977" xr:uid="{00000000-0005-0000-0000-00005B7D0000}"/>
    <cellStyle name="Normal 9 2 3 2 2" xfId="11978" xr:uid="{00000000-0005-0000-0000-00005C7D0000}"/>
    <cellStyle name="Normal 9 2 3 2 2 2" xfId="11979" xr:uid="{00000000-0005-0000-0000-00005D7D0000}"/>
    <cellStyle name="Normal 9 2 3 2 2 2 2" xfId="11980" xr:uid="{00000000-0005-0000-0000-00005E7D0000}"/>
    <cellStyle name="Normal 9 2 3 2 2 2 3" xfId="11981" xr:uid="{00000000-0005-0000-0000-00005F7D0000}"/>
    <cellStyle name="Normal 9 2 3 2 2 3" xfId="11982" xr:uid="{00000000-0005-0000-0000-0000607D0000}"/>
    <cellStyle name="Normal 9 2 3 2 2 3 2" xfId="11983" xr:uid="{00000000-0005-0000-0000-0000617D0000}"/>
    <cellStyle name="Normal 9 2 3 2 2 3 3" xfId="11984" xr:uid="{00000000-0005-0000-0000-0000627D0000}"/>
    <cellStyle name="Normal 9 2 3 2 2 4" xfId="11985" xr:uid="{00000000-0005-0000-0000-0000637D0000}"/>
    <cellStyle name="Normal 9 2 3 2 2 5" xfId="11986" xr:uid="{00000000-0005-0000-0000-0000647D0000}"/>
    <cellStyle name="Normal 9 2 3 2 3" xfId="11987" xr:uid="{00000000-0005-0000-0000-0000657D0000}"/>
    <cellStyle name="Normal 9 2 3 2 3 2" xfId="11988" xr:uid="{00000000-0005-0000-0000-0000667D0000}"/>
    <cellStyle name="Normal 9 2 3 2 3 3" xfId="11989" xr:uid="{00000000-0005-0000-0000-0000677D0000}"/>
    <cellStyle name="Normal 9 2 3 2 4" xfId="11990" xr:uid="{00000000-0005-0000-0000-0000687D0000}"/>
    <cellStyle name="Normal 9 2 3 2 4 2" xfId="11991" xr:uid="{00000000-0005-0000-0000-0000697D0000}"/>
    <cellStyle name="Normal 9 2 3 2 4 3" xfId="11992" xr:uid="{00000000-0005-0000-0000-00006A7D0000}"/>
    <cellStyle name="Normal 9 2 3 2 5" xfId="11993" xr:uid="{00000000-0005-0000-0000-00006B7D0000}"/>
    <cellStyle name="Normal 9 2 3 2 6" xfId="11994" xr:uid="{00000000-0005-0000-0000-00006C7D0000}"/>
    <cellStyle name="Normal 9 2 3 3" xfId="11995" xr:uid="{00000000-0005-0000-0000-00006D7D0000}"/>
    <cellStyle name="Normal 9 2 3 3 2" xfId="11996" xr:uid="{00000000-0005-0000-0000-00006E7D0000}"/>
    <cellStyle name="Normal 9 2 3 3 2 2" xfId="11997" xr:uid="{00000000-0005-0000-0000-00006F7D0000}"/>
    <cellStyle name="Normal 9 2 3 3 2 3" xfId="11998" xr:uid="{00000000-0005-0000-0000-0000707D0000}"/>
    <cellStyle name="Normal 9 2 3 3 3" xfId="11999" xr:uid="{00000000-0005-0000-0000-0000717D0000}"/>
    <cellStyle name="Normal 9 2 3 3 3 2" xfId="12000" xr:uid="{00000000-0005-0000-0000-0000727D0000}"/>
    <cellStyle name="Normal 9 2 3 3 3 3" xfId="12001" xr:uid="{00000000-0005-0000-0000-0000737D0000}"/>
    <cellStyle name="Normal 9 2 3 3 4" xfId="12002" xr:uid="{00000000-0005-0000-0000-0000747D0000}"/>
    <cellStyle name="Normal 9 2 3 3 5" xfId="12003" xr:uid="{00000000-0005-0000-0000-0000757D0000}"/>
    <cellStyle name="Normal 9 2 3 4" xfId="12004" xr:uid="{00000000-0005-0000-0000-0000767D0000}"/>
    <cellStyle name="Normal 9 2 3 4 2" xfId="12005" xr:uid="{00000000-0005-0000-0000-0000777D0000}"/>
    <cellStyle name="Normal 9 2 3 4 3" xfId="12006" xr:uid="{00000000-0005-0000-0000-0000787D0000}"/>
    <cellStyle name="Normal 9 2 3 5" xfId="12007" xr:uid="{00000000-0005-0000-0000-0000797D0000}"/>
    <cellStyle name="Normal 9 2 3 5 2" xfId="12008" xr:uid="{00000000-0005-0000-0000-00007A7D0000}"/>
    <cellStyle name="Normal 9 2 3 5 3" xfId="12009" xr:uid="{00000000-0005-0000-0000-00007B7D0000}"/>
    <cellStyle name="Normal 9 2 3 6" xfId="12010" xr:uid="{00000000-0005-0000-0000-00007C7D0000}"/>
    <cellStyle name="Normal 9 2 3 7" xfId="12011" xr:uid="{00000000-0005-0000-0000-00007D7D0000}"/>
    <cellStyle name="Normal 9 2 4" xfId="12012" xr:uid="{00000000-0005-0000-0000-00007E7D0000}"/>
    <cellStyle name="Normal 9 2 4 2" xfId="12013" xr:uid="{00000000-0005-0000-0000-00007F7D0000}"/>
    <cellStyle name="Normal 9 2 4 2 2" xfId="12014" xr:uid="{00000000-0005-0000-0000-0000807D0000}"/>
    <cellStyle name="Normal 9 2 4 2 2 2" xfId="12015" xr:uid="{00000000-0005-0000-0000-0000817D0000}"/>
    <cellStyle name="Normal 9 2 4 2 2 3" xfId="12016" xr:uid="{00000000-0005-0000-0000-0000827D0000}"/>
    <cellStyle name="Normal 9 2 4 2 3" xfId="12017" xr:uid="{00000000-0005-0000-0000-0000837D0000}"/>
    <cellStyle name="Normal 9 2 4 2 3 2" xfId="12018" xr:uid="{00000000-0005-0000-0000-0000847D0000}"/>
    <cellStyle name="Normal 9 2 4 2 3 3" xfId="12019" xr:uid="{00000000-0005-0000-0000-0000857D0000}"/>
    <cellStyle name="Normal 9 2 4 2 4" xfId="12020" xr:uid="{00000000-0005-0000-0000-0000867D0000}"/>
    <cellStyle name="Normal 9 2 4 2 5" xfId="12021" xr:uid="{00000000-0005-0000-0000-0000877D0000}"/>
    <cellStyle name="Normal 9 2 4 3" xfId="12022" xr:uid="{00000000-0005-0000-0000-0000887D0000}"/>
    <cellStyle name="Normal 9 2 4 3 2" xfId="12023" xr:uid="{00000000-0005-0000-0000-0000897D0000}"/>
    <cellStyle name="Normal 9 2 4 3 3" xfId="12024" xr:uid="{00000000-0005-0000-0000-00008A7D0000}"/>
    <cellStyle name="Normal 9 2 4 4" xfId="12025" xr:uid="{00000000-0005-0000-0000-00008B7D0000}"/>
    <cellStyle name="Normal 9 2 4 4 2" xfId="12026" xr:uid="{00000000-0005-0000-0000-00008C7D0000}"/>
    <cellStyle name="Normal 9 2 4 4 3" xfId="12027" xr:uid="{00000000-0005-0000-0000-00008D7D0000}"/>
    <cellStyle name="Normal 9 2 4 5" xfId="12028" xr:uid="{00000000-0005-0000-0000-00008E7D0000}"/>
    <cellStyle name="Normal 9 2 4 6" xfId="12029" xr:uid="{00000000-0005-0000-0000-00008F7D0000}"/>
    <cellStyle name="Normal 9 2 5" xfId="12030" xr:uid="{00000000-0005-0000-0000-0000907D0000}"/>
    <cellStyle name="Normal 9 2 5 2" xfId="12031" xr:uid="{00000000-0005-0000-0000-0000917D0000}"/>
    <cellStyle name="Normal 9 2 5 2 2" xfId="12032" xr:uid="{00000000-0005-0000-0000-0000927D0000}"/>
    <cellStyle name="Normal 9 2 5 2 2 2" xfId="12033" xr:uid="{00000000-0005-0000-0000-0000937D0000}"/>
    <cellStyle name="Normal 9 2 5 2 2 3" xfId="12034" xr:uid="{00000000-0005-0000-0000-0000947D0000}"/>
    <cellStyle name="Normal 9 2 5 2 2 4" xfId="12035" xr:uid="{00000000-0005-0000-0000-0000957D0000}"/>
    <cellStyle name="Normal 9 2 5 2 2 5" xfId="12036" xr:uid="{00000000-0005-0000-0000-0000967D0000}"/>
    <cellStyle name="Normal 9 2 5 2 3" xfId="12037" xr:uid="{00000000-0005-0000-0000-0000977D0000}"/>
    <cellStyle name="Normal 9 2 5 2 3 2" xfId="12038" xr:uid="{00000000-0005-0000-0000-0000987D0000}"/>
    <cellStyle name="Normal 9 2 5 2 3 3" xfId="12039" xr:uid="{00000000-0005-0000-0000-0000997D0000}"/>
    <cellStyle name="Normal 9 2 5 2 4" xfId="12040" xr:uid="{00000000-0005-0000-0000-00009A7D0000}"/>
    <cellStyle name="Normal 9 2 5 2 4 2" xfId="12041" xr:uid="{00000000-0005-0000-0000-00009B7D0000}"/>
    <cellStyle name="Normal 9 2 5 2 4 3" xfId="12042" xr:uid="{00000000-0005-0000-0000-00009C7D0000}"/>
    <cellStyle name="Normal 9 2 5 2 5" xfId="12043" xr:uid="{00000000-0005-0000-0000-00009D7D0000}"/>
    <cellStyle name="Normal 9 2 5 2 6" xfId="12044" xr:uid="{00000000-0005-0000-0000-00009E7D0000}"/>
    <cellStyle name="Normal 9 2 5 3" xfId="12045" xr:uid="{00000000-0005-0000-0000-00009F7D0000}"/>
    <cellStyle name="Normal 9 2 5 3 2" xfId="12046" xr:uid="{00000000-0005-0000-0000-0000A07D0000}"/>
    <cellStyle name="Normal 9 2 5 3 2 2" xfId="12047" xr:uid="{00000000-0005-0000-0000-0000A17D0000}"/>
    <cellStyle name="Normal 9 2 5 3 2 2 2" xfId="12048" xr:uid="{00000000-0005-0000-0000-0000A27D0000}"/>
    <cellStyle name="Normal 9 2 5 3 2 2 3" xfId="12049" xr:uid="{00000000-0005-0000-0000-0000A37D0000}"/>
    <cellStyle name="Normal 9 2 5 3 2 3" xfId="12050" xr:uid="{00000000-0005-0000-0000-0000A47D0000}"/>
    <cellStyle name="Normal 9 2 5 3 2 3 2" xfId="12051" xr:uid="{00000000-0005-0000-0000-0000A57D0000}"/>
    <cellStyle name="Normal 9 2 5 3 2 3 3" xfId="12052" xr:uid="{00000000-0005-0000-0000-0000A67D0000}"/>
    <cellStyle name="Normal 9 2 5 3 2 4" xfId="12053" xr:uid="{00000000-0005-0000-0000-0000A77D0000}"/>
    <cellStyle name="Normal 9 2 5 3 2 5" xfId="12054" xr:uid="{00000000-0005-0000-0000-0000A87D0000}"/>
    <cellStyle name="Normal 9 2 5 3 3" xfId="12055" xr:uid="{00000000-0005-0000-0000-0000A97D0000}"/>
    <cellStyle name="Normal 9 2 5 3 3 2" xfId="12056" xr:uid="{00000000-0005-0000-0000-0000AA7D0000}"/>
    <cellStyle name="Normal 9 2 5 3 3 3" xfId="12057" xr:uid="{00000000-0005-0000-0000-0000AB7D0000}"/>
    <cellStyle name="Normal 9 2 5 3 3 4" xfId="12058" xr:uid="{00000000-0005-0000-0000-0000AC7D0000}"/>
    <cellStyle name="Normal 9 2 5 3 3 5" xfId="12059" xr:uid="{00000000-0005-0000-0000-0000AD7D0000}"/>
    <cellStyle name="Normal 9 2 5 3 4" xfId="12060" xr:uid="{00000000-0005-0000-0000-0000AE7D0000}"/>
    <cellStyle name="Normal 9 2 5 3 4 2" xfId="12061" xr:uid="{00000000-0005-0000-0000-0000AF7D0000}"/>
    <cellStyle name="Normal 9 2 5 3 4 3" xfId="12062" xr:uid="{00000000-0005-0000-0000-0000B07D0000}"/>
    <cellStyle name="Normal 9 2 5 3 5" xfId="12063" xr:uid="{00000000-0005-0000-0000-0000B17D0000}"/>
    <cellStyle name="Normal 9 2 5 3 5 2" xfId="12064" xr:uid="{00000000-0005-0000-0000-0000B27D0000}"/>
    <cellStyle name="Normal 9 2 5 3 5 3" xfId="12065" xr:uid="{00000000-0005-0000-0000-0000B37D0000}"/>
    <cellStyle name="Normal 9 2 5 3 6" xfId="12066" xr:uid="{00000000-0005-0000-0000-0000B47D0000}"/>
    <cellStyle name="Normal 9 2 5 3 7" xfId="12067" xr:uid="{00000000-0005-0000-0000-0000B57D0000}"/>
    <cellStyle name="Normal 9 2 5 4" xfId="12068" xr:uid="{00000000-0005-0000-0000-0000B67D0000}"/>
    <cellStyle name="Normal 9 2 5 4 2" xfId="12069" xr:uid="{00000000-0005-0000-0000-0000B77D0000}"/>
    <cellStyle name="Normal 9 2 5 4 2 2" xfId="12070" xr:uid="{00000000-0005-0000-0000-0000B87D0000}"/>
    <cellStyle name="Normal 9 2 5 4 2 3" xfId="12071" xr:uid="{00000000-0005-0000-0000-0000B97D0000}"/>
    <cellStyle name="Normal 9 2 5 4 3" xfId="12072" xr:uid="{00000000-0005-0000-0000-0000BA7D0000}"/>
    <cellStyle name="Normal 9 2 5 4 3 2" xfId="12073" xr:uid="{00000000-0005-0000-0000-0000BB7D0000}"/>
    <cellStyle name="Normal 9 2 5 4 3 3" xfId="12074" xr:uid="{00000000-0005-0000-0000-0000BC7D0000}"/>
    <cellStyle name="Normal 9 2 5 4 4" xfId="12075" xr:uid="{00000000-0005-0000-0000-0000BD7D0000}"/>
    <cellStyle name="Normal 9 2 5 4 5" xfId="12076" xr:uid="{00000000-0005-0000-0000-0000BE7D0000}"/>
    <cellStyle name="Normal 9 2 5 5" xfId="12077" xr:uid="{00000000-0005-0000-0000-0000BF7D0000}"/>
    <cellStyle name="Normal 9 2 5 5 2" xfId="12078" xr:uid="{00000000-0005-0000-0000-0000C07D0000}"/>
    <cellStyle name="Normal 9 2 5 5 3" xfId="12079" xr:uid="{00000000-0005-0000-0000-0000C17D0000}"/>
    <cellStyle name="Normal 9 2 5 5 4" xfId="12080" xr:uid="{00000000-0005-0000-0000-0000C27D0000}"/>
    <cellStyle name="Normal 9 2 5 5 5" xfId="12081" xr:uid="{00000000-0005-0000-0000-0000C37D0000}"/>
    <cellStyle name="Normal 9 2 5 6" xfId="12082" xr:uid="{00000000-0005-0000-0000-0000C47D0000}"/>
    <cellStyle name="Normal 9 2 5 6 2" xfId="12083" xr:uid="{00000000-0005-0000-0000-0000C57D0000}"/>
    <cellStyle name="Normal 9 2 5 6 3" xfId="12084" xr:uid="{00000000-0005-0000-0000-0000C67D0000}"/>
    <cellStyle name="Normal 9 2 5 7" xfId="12085" xr:uid="{00000000-0005-0000-0000-0000C77D0000}"/>
    <cellStyle name="Normal 9 2 5 7 2" xfId="12086" xr:uid="{00000000-0005-0000-0000-0000C87D0000}"/>
    <cellStyle name="Normal 9 2 5 7 3" xfId="12087" xr:uid="{00000000-0005-0000-0000-0000C97D0000}"/>
    <cellStyle name="Normal 9 2 5 8" xfId="12088" xr:uid="{00000000-0005-0000-0000-0000CA7D0000}"/>
    <cellStyle name="Normal 9 2 5 9" xfId="12089" xr:uid="{00000000-0005-0000-0000-0000CB7D0000}"/>
    <cellStyle name="Normal 9 2 5_10070" xfId="12090" xr:uid="{00000000-0005-0000-0000-0000CC7D0000}"/>
    <cellStyle name="Normal 9 2 6" xfId="12091" xr:uid="{00000000-0005-0000-0000-0000CD7D0000}"/>
    <cellStyle name="Normal 9 2 6 2" xfId="12092" xr:uid="{00000000-0005-0000-0000-0000CE7D0000}"/>
    <cellStyle name="Normal 9 2 6 3" xfId="12093" xr:uid="{00000000-0005-0000-0000-0000CF7D0000}"/>
    <cellStyle name="Normal 9 2 6 4" xfId="12094" xr:uid="{00000000-0005-0000-0000-0000D07D0000}"/>
    <cellStyle name="Normal 9 2 6 5" xfId="12095" xr:uid="{00000000-0005-0000-0000-0000D17D0000}"/>
    <cellStyle name="Normal 9 2 7" xfId="12096" xr:uid="{00000000-0005-0000-0000-0000D27D0000}"/>
    <cellStyle name="Normal 9 2 7 2" xfId="12097" xr:uid="{00000000-0005-0000-0000-0000D37D0000}"/>
    <cellStyle name="Normal 9 2 7 3" xfId="12098" xr:uid="{00000000-0005-0000-0000-0000D47D0000}"/>
    <cellStyle name="Normal 9 2 8" xfId="12099" xr:uid="{00000000-0005-0000-0000-0000D57D0000}"/>
    <cellStyle name="Normal 9 2 8 2" xfId="12100" xr:uid="{00000000-0005-0000-0000-0000D67D0000}"/>
    <cellStyle name="Normal 9 2 8 3" xfId="12101" xr:uid="{00000000-0005-0000-0000-0000D77D0000}"/>
    <cellStyle name="Normal 9 2 9" xfId="12102" xr:uid="{00000000-0005-0000-0000-0000D87D0000}"/>
    <cellStyle name="Normal 9 3" xfId="12103" xr:uid="{00000000-0005-0000-0000-0000D97D0000}"/>
    <cellStyle name="Normal 9 3 2" xfId="12104" xr:uid="{00000000-0005-0000-0000-0000DA7D0000}"/>
    <cellStyle name="Normal 9 3 2 2" xfId="12105" xr:uid="{00000000-0005-0000-0000-0000DB7D0000}"/>
    <cellStyle name="Normal 9 3 2 2 2" xfId="12106" xr:uid="{00000000-0005-0000-0000-0000DC7D0000}"/>
    <cellStyle name="Normal 9 3 2 2 2 2" xfId="12107" xr:uid="{00000000-0005-0000-0000-0000DD7D0000}"/>
    <cellStyle name="Normal 9 3 2 2 2 2 2" xfId="12108" xr:uid="{00000000-0005-0000-0000-0000DE7D0000}"/>
    <cellStyle name="Normal 9 3 2 2 2 2 3" xfId="12109" xr:uid="{00000000-0005-0000-0000-0000DF7D0000}"/>
    <cellStyle name="Normal 9 3 2 2 2 3" xfId="12110" xr:uid="{00000000-0005-0000-0000-0000E07D0000}"/>
    <cellStyle name="Normal 9 3 2 2 2 3 2" xfId="12111" xr:uid="{00000000-0005-0000-0000-0000E17D0000}"/>
    <cellStyle name="Normal 9 3 2 2 2 3 3" xfId="12112" xr:uid="{00000000-0005-0000-0000-0000E27D0000}"/>
    <cellStyle name="Normal 9 3 2 2 2 4" xfId="12113" xr:uid="{00000000-0005-0000-0000-0000E37D0000}"/>
    <cellStyle name="Normal 9 3 2 2 2 5" xfId="12114" xr:uid="{00000000-0005-0000-0000-0000E47D0000}"/>
    <cellStyle name="Normal 9 3 2 2 3" xfId="12115" xr:uid="{00000000-0005-0000-0000-0000E57D0000}"/>
    <cellStyle name="Normal 9 3 2 2 3 2" xfId="12116" xr:uid="{00000000-0005-0000-0000-0000E67D0000}"/>
    <cellStyle name="Normal 9 3 2 2 3 3" xfId="12117" xr:uid="{00000000-0005-0000-0000-0000E77D0000}"/>
    <cellStyle name="Normal 9 3 2 2 4" xfId="12118" xr:uid="{00000000-0005-0000-0000-0000E87D0000}"/>
    <cellStyle name="Normal 9 3 2 2 4 2" xfId="12119" xr:uid="{00000000-0005-0000-0000-0000E97D0000}"/>
    <cellStyle name="Normal 9 3 2 2 4 3" xfId="12120" xr:uid="{00000000-0005-0000-0000-0000EA7D0000}"/>
    <cellStyle name="Normal 9 3 2 2 5" xfId="12121" xr:uid="{00000000-0005-0000-0000-0000EB7D0000}"/>
    <cellStyle name="Normal 9 3 2 2 6" xfId="12122" xr:uid="{00000000-0005-0000-0000-0000EC7D0000}"/>
    <cellStyle name="Normal 9 3 2 3" xfId="12123" xr:uid="{00000000-0005-0000-0000-0000ED7D0000}"/>
    <cellStyle name="Normal 9 3 2 3 2" xfId="12124" xr:uid="{00000000-0005-0000-0000-0000EE7D0000}"/>
    <cellStyle name="Normal 9 3 2 3 2 2" xfId="12125" xr:uid="{00000000-0005-0000-0000-0000EF7D0000}"/>
    <cellStyle name="Normal 9 3 2 3 2 3" xfId="12126" xr:uid="{00000000-0005-0000-0000-0000F07D0000}"/>
    <cellStyle name="Normal 9 3 2 3 3" xfId="12127" xr:uid="{00000000-0005-0000-0000-0000F17D0000}"/>
    <cellStyle name="Normal 9 3 2 3 3 2" xfId="12128" xr:uid="{00000000-0005-0000-0000-0000F27D0000}"/>
    <cellStyle name="Normal 9 3 2 3 3 3" xfId="12129" xr:uid="{00000000-0005-0000-0000-0000F37D0000}"/>
    <cellStyle name="Normal 9 3 2 3 4" xfId="12130" xr:uid="{00000000-0005-0000-0000-0000F47D0000}"/>
    <cellStyle name="Normal 9 3 2 3 5" xfId="12131" xr:uid="{00000000-0005-0000-0000-0000F57D0000}"/>
    <cellStyle name="Normal 9 3 2 4" xfId="12132" xr:uid="{00000000-0005-0000-0000-0000F67D0000}"/>
    <cellStyle name="Normal 9 3 2 4 2" xfId="12133" xr:uid="{00000000-0005-0000-0000-0000F77D0000}"/>
    <cellStyle name="Normal 9 3 2 4 3" xfId="12134" xr:uid="{00000000-0005-0000-0000-0000F87D0000}"/>
    <cellStyle name="Normal 9 3 2 5" xfId="12135" xr:uid="{00000000-0005-0000-0000-0000F97D0000}"/>
    <cellStyle name="Normal 9 3 2 5 2" xfId="12136" xr:uid="{00000000-0005-0000-0000-0000FA7D0000}"/>
    <cellStyle name="Normal 9 3 2 5 3" xfId="12137" xr:uid="{00000000-0005-0000-0000-0000FB7D0000}"/>
    <cellStyle name="Normal 9 3 2 6" xfId="12138" xr:uid="{00000000-0005-0000-0000-0000FC7D0000}"/>
    <cellStyle name="Normal 9 3 2 7" xfId="12139" xr:uid="{00000000-0005-0000-0000-0000FD7D0000}"/>
    <cellStyle name="Normal 9 3 3" xfId="12140" xr:uid="{00000000-0005-0000-0000-0000FE7D0000}"/>
    <cellStyle name="Normal 9 3 3 2" xfId="12141" xr:uid="{00000000-0005-0000-0000-0000FF7D0000}"/>
    <cellStyle name="Normal 9 3 3 2 2" xfId="12142" xr:uid="{00000000-0005-0000-0000-0000007E0000}"/>
    <cellStyle name="Normal 9 3 3 2 2 2" xfId="12143" xr:uid="{00000000-0005-0000-0000-0000017E0000}"/>
    <cellStyle name="Normal 9 3 3 2 2 3" xfId="12144" xr:uid="{00000000-0005-0000-0000-0000027E0000}"/>
    <cellStyle name="Normal 9 3 3 2 3" xfId="12145" xr:uid="{00000000-0005-0000-0000-0000037E0000}"/>
    <cellStyle name="Normal 9 3 3 2 3 2" xfId="12146" xr:uid="{00000000-0005-0000-0000-0000047E0000}"/>
    <cellStyle name="Normal 9 3 3 2 3 3" xfId="12147" xr:uid="{00000000-0005-0000-0000-0000057E0000}"/>
    <cellStyle name="Normal 9 3 3 2 4" xfId="12148" xr:uid="{00000000-0005-0000-0000-0000067E0000}"/>
    <cellStyle name="Normal 9 3 3 2 5" xfId="12149" xr:uid="{00000000-0005-0000-0000-0000077E0000}"/>
    <cellStyle name="Normal 9 3 3 3" xfId="12150" xr:uid="{00000000-0005-0000-0000-0000087E0000}"/>
    <cellStyle name="Normal 9 3 3 3 2" xfId="12151" xr:uid="{00000000-0005-0000-0000-0000097E0000}"/>
    <cellStyle name="Normal 9 3 3 3 3" xfId="12152" xr:uid="{00000000-0005-0000-0000-00000A7E0000}"/>
    <cellStyle name="Normal 9 3 3 4" xfId="12153" xr:uid="{00000000-0005-0000-0000-00000B7E0000}"/>
    <cellStyle name="Normal 9 3 3 4 2" xfId="12154" xr:uid="{00000000-0005-0000-0000-00000C7E0000}"/>
    <cellStyle name="Normal 9 3 3 4 3" xfId="12155" xr:uid="{00000000-0005-0000-0000-00000D7E0000}"/>
    <cellStyle name="Normal 9 3 3 5" xfId="12156" xr:uid="{00000000-0005-0000-0000-00000E7E0000}"/>
    <cellStyle name="Normal 9 3 3 6" xfId="12157" xr:uid="{00000000-0005-0000-0000-00000F7E0000}"/>
    <cellStyle name="Normal 9 3 4" xfId="12158" xr:uid="{00000000-0005-0000-0000-0000107E0000}"/>
    <cellStyle name="Normal 9 3 4 2" xfId="12159" xr:uid="{00000000-0005-0000-0000-0000117E0000}"/>
    <cellStyle name="Normal 9 3 4 2 2" xfId="12160" xr:uid="{00000000-0005-0000-0000-0000127E0000}"/>
    <cellStyle name="Normal 9 3 4 2 3" xfId="12161" xr:uid="{00000000-0005-0000-0000-0000137E0000}"/>
    <cellStyle name="Normal 9 3 4 3" xfId="12162" xr:uid="{00000000-0005-0000-0000-0000147E0000}"/>
    <cellStyle name="Normal 9 3 4 3 2" xfId="12163" xr:uid="{00000000-0005-0000-0000-0000157E0000}"/>
    <cellStyle name="Normal 9 3 4 3 3" xfId="12164" xr:uid="{00000000-0005-0000-0000-0000167E0000}"/>
    <cellStyle name="Normal 9 3 4 4" xfId="12165" xr:uid="{00000000-0005-0000-0000-0000177E0000}"/>
    <cellStyle name="Normal 9 3 4 5" xfId="12166" xr:uid="{00000000-0005-0000-0000-0000187E0000}"/>
    <cellStyle name="Normal 9 3 5" xfId="12167" xr:uid="{00000000-0005-0000-0000-0000197E0000}"/>
    <cellStyle name="Normal 9 3 5 2" xfId="12168" xr:uid="{00000000-0005-0000-0000-00001A7E0000}"/>
    <cellStyle name="Normal 9 3 5 3" xfId="12169" xr:uid="{00000000-0005-0000-0000-00001B7E0000}"/>
    <cellStyle name="Normal 9 3 6" xfId="12170" xr:uid="{00000000-0005-0000-0000-00001C7E0000}"/>
    <cellStyle name="Normal 9 3 6 2" xfId="12171" xr:uid="{00000000-0005-0000-0000-00001D7E0000}"/>
    <cellStyle name="Normal 9 3 6 3" xfId="12172" xr:uid="{00000000-0005-0000-0000-00001E7E0000}"/>
    <cellStyle name="Normal 9 3 7" xfId="12173" xr:uid="{00000000-0005-0000-0000-00001F7E0000}"/>
    <cellStyle name="Normal 9 3 8" xfId="12174" xr:uid="{00000000-0005-0000-0000-0000207E0000}"/>
    <cellStyle name="Normal 9 4" xfId="12175" xr:uid="{00000000-0005-0000-0000-0000217E0000}"/>
    <cellStyle name="Normal 9 4 2" xfId="12176" xr:uid="{00000000-0005-0000-0000-0000227E0000}"/>
    <cellStyle name="Normal 9 4 2 2" xfId="12177" xr:uid="{00000000-0005-0000-0000-0000237E0000}"/>
    <cellStyle name="Normal 9 4 2 2 2" xfId="12178" xr:uid="{00000000-0005-0000-0000-0000247E0000}"/>
    <cellStyle name="Normal 9 4 2 2 2 2" xfId="12179" xr:uid="{00000000-0005-0000-0000-0000257E0000}"/>
    <cellStyle name="Normal 9 4 2 2 2 2 2" xfId="12180" xr:uid="{00000000-0005-0000-0000-0000267E0000}"/>
    <cellStyle name="Normal 9 4 2 2 2 2 3" xfId="12181" xr:uid="{00000000-0005-0000-0000-0000277E0000}"/>
    <cellStyle name="Normal 9 4 2 2 2 3" xfId="12182" xr:uid="{00000000-0005-0000-0000-0000287E0000}"/>
    <cellStyle name="Normal 9 4 2 2 2 3 2" xfId="12183" xr:uid="{00000000-0005-0000-0000-0000297E0000}"/>
    <cellStyle name="Normal 9 4 2 2 2 3 3" xfId="12184" xr:uid="{00000000-0005-0000-0000-00002A7E0000}"/>
    <cellStyle name="Normal 9 4 2 2 2 4" xfId="12185" xr:uid="{00000000-0005-0000-0000-00002B7E0000}"/>
    <cellStyle name="Normal 9 4 2 2 2 5" xfId="12186" xr:uid="{00000000-0005-0000-0000-00002C7E0000}"/>
    <cellStyle name="Normal 9 4 2 2 3" xfId="12187" xr:uid="{00000000-0005-0000-0000-00002D7E0000}"/>
    <cellStyle name="Normal 9 4 2 2 3 2" xfId="12188" xr:uid="{00000000-0005-0000-0000-00002E7E0000}"/>
    <cellStyle name="Normal 9 4 2 2 3 3" xfId="12189" xr:uid="{00000000-0005-0000-0000-00002F7E0000}"/>
    <cellStyle name="Normal 9 4 2 2 4" xfId="12190" xr:uid="{00000000-0005-0000-0000-0000307E0000}"/>
    <cellStyle name="Normal 9 4 2 2 4 2" xfId="12191" xr:uid="{00000000-0005-0000-0000-0000317E0000}"/>
    <cellStyle name="Normal 9 4 2 2 4 3" xfId="12192" xr:uid="{00000000-0005-0000-0000-0000327E0000}"/>
    <cellStyle name="Normal 9 4 2 2 5" xfId="12193" xr:uid="{00000000-0005-0000-0000-0000337E0000}"/>
    <cellStyle name="Normal 9 4 2 2 6" xfId="12194" xr:uid="{00000000-0005-0000-0000-0000347E0000}"/>
    <cellStyle name="Normal 9 4 2 3" xfId="12195" xr:uid="{00000000-0005-0000-0000-0000357E0000}"/>
    <cellStyle name="Normal 9 4 2 3 2" xfId="12196" xr:uid="{00000000-0005-0000-0000-0000367E0000}"/>
    <cellStyle name="Normal 9 4 2 3 2 2" xfId="12197" xr:uid="{00000000-0005-0000-0000-0000377E0000}"/>
    <cellStyle name="Normal 9 4 2 3 2 3" xfId="12198" xr:uid="{00000000-0005-0000-0000-0000387E0000}"/>
    <cellStyle name="Normal 9 4 2 3 3" xfId="12199" xr:uid="{00000000-0005-0000-0000-0000397E0000}"/>
    <cellStyle name="Normal 9 4 2 3 3 2" xfId="12200" xr:uid="{00000000-0005-0000-0000-00003A7E0000}"/>
    <cellStyle name="Normal 9 4 2 3 3 3" xfId="12201" xr:uid="{00000000-0005-0000-0000-00003B7E0000}"/>
    <cellStyle name="Normal 9 4 2 3 4" xfId="12202" xr:uid="{00000000-0005-0000-0000-00003C7E0000}"/>
    <cellStyle name="Normal 9 4 2 3 5" xfId="12203" xr:uid="{00000000-0005-0000-0000-00003D7E0000}"/>
    <cellStyle name="Normal 9 4 2 4" xfId="12204" xr:uid="{00000000-0005-0000-0000-00003E7E0000}"/>
    <cellStyle name="Normal 9 4 2 4 2" xfId="12205" xr:uid="{00000000-0005-0000-0000-00003F7E0000}"/>
    <cellStyle name="Normal 9 4 2 4 3" xfId="12206" xr:uid="{00000000-0005-0000-0000-0000407E0000}"/>
    <cellStyle name="Normal 9 4 2 5" xfId="12207" xr:uid="{00000000-0005-0000-0000-0000417E0000}"/>
    <cellStyle name="Normal 9 4 2 5 2" xfId="12208" xr:uid="{00000000-0005-0000-0000-0000427E0000}"/>
    <cellStyle name="Normal 9 4 2 5 3" xfId="12209" xr:uid="{00000000-0005-0000-0000-0000437E0000}"/>
    <cellStyle name="Normal 9 4 2 6" xfId="12210" xr:uid="{00000000-0005-0000-0000-0000447E0000}"/>
    <cellStyle name="Normal 9 4 2 7" xfId="12211" xr:uid="{00000000-0005-0000-0000-0000457E0000}"/>
    <cellStyle name="Normal 9 4 3" xfId="12212" xr:uid="{00000000-0005-0000-0000-0000467E0000}"/>
    <cellStyle name="Normal 9 4 3 2" xfId="12213" xr:uid="{00000000-0005-0000-0000-0000477E0000}"/>
    <cellStyle name="Normal 9 4 3 2 2" xfId="12214" xr:uid="{00000000-0005-0000-0000-0000487E0000}"/>
    <cellStyle name="Normal 9 4 3 2 2 2" xfId="12215" xr:uid="{00000000-0005-0000-0000-0000497E0000}"/>
    <cellStyle name="Normal 9 4 3 2 2 3" xfId="12216" xr:uid="{00000000-0005-0000-0000-00004A7E0000}"/>
    <cellStyle name="Normal 9 4 3 2 3" xfId="12217" xr:uid="{00000000-0005-0000-0000-00004B7E0000}"/>
    <cellStyle name="Normal 9 4 3 2 3 2" xfId="12218" xr:uid="{00000000-0005-0000-0000-00004C7E0000}"/>
    <cellStyle name="Normal 9 4 3 2 3 3" xfId="12219" xr:uid="{00000000-0005-0000-0000-00004D7E0000}"/>
    <cellStyle name="Normal 9 4 3 2 4" xfId="12220" xr:uid="{00000000-0005-0000-0000-00004E7E0000}"/>
    <cellStyle name="Normal 9 4 3 2 5" xfId="12221" xr:uid="{00000000-0005-0000-0000-00004F7E0000}"/>
    <cellStyle name="Normal 9 4 3 3" xfId="12222" xr:uid="{00000000-0005-0000-0000-0000507E0000}"/>
    <cellStyle name="Normal 9 4 3 3 2" xfId="12223" xr:uid="{00000000-0005-0000-0000-0000517E0000}"/>
    <cellStyle name="Normal 9 4 3 3 3" xfId="12224" xr:uid="{00000000-0005-0000-0000-0000527E0000}"/>
    <cellStyle name="Normal 9 4 3 4" xfId="12225" xr:uid="{00000000-0005-0000-0000-0000537E0000}"/>
    <cellStyle name="Normal 9 4 3 4 2" xfId="12226" xr:uid="{00000000-0005-0000-0000-0000547E0000}"/>
    <cellStyle name="Normal 9 4 3 4 3" xfId="12227" xr:uid="{00000000-0005-0000-0000-0000557E0000}"/>
    <cellStyle name="Normal 9 4 3 5" xfId="12228" xr:uid="{00000000-0005-0000-0000-0000567E0000}"/>
    <cellStyle name="Normal 9 4 3 6" xfId="12229" xr:uid="{00000000-0005-0000-0000-0000577E0000}"/>
    <cellStyle name="Normal 9 4 4" xfId="12230" xr:uid="{00000000-0005-0000-0000-0000587E0000}"/>
    <cellStyle name="Normal 9 4 4 2" xfId="12231" xr:uid="{00000000-0005-0000-0000-0000597E0000}"/>
    <cellStyle name="Normal 9 4 4 2 2" xfId="12232" xr:uid="{00000000-0005-0000-0000-00005A7E0000}"/>
    <cellStyle name="Normal 9 4 4 2 3" xfId="12233" xr:uid="{00000000-0005-0000-0000-00005B7E0000}"/>
    <cellStyle name="Normal 9 4 4 3" xfId="12234" xr:uid="{00000000-0005-0000-0000-00005C7E0000}"/>
    <cellStyle name="Normal 9 4 4 3 2" xfId="12235" xr:uid="{00000000-0005-0000-0000-00005D7E0000}"/>
    <cellStyle name="Normal 9 4 4 3 3" xfId="12236" xr:uid="{00000000-0005-0000-0000-00005E7E0000}"/>
    <cellStyle name="Normal 9 4 4 4" xfId="12237" xr:uid="{00000000-0005-0000-0000-00005F7E0000}"/>
    <cellStyle name="Normal 9 4 4 5" xfId="12238" xr:uid="{00000000-0005-0000-0000-0000607E0000}"/>
    <cellStyle name="Normal 9 4 5" xfId="12239" xr:uid="{00000000-0005-0000-0000-0000617E0000}"/>
    <cellStyle name="Normal 9 4 5 2" xfId="12240" xr:uid="{00000000-0005-0000-0000-0000627E0000}"/>
    <cellStyle name="Normal 9 4 5 3" xfId="12241" xr:uid="{00000000-0005-0000-0000-0000637E0000}"/>
    <cellStyle name="Normal 9 4 6" xfId="12242" xr:uid="{00000000-0005-0000-0000-0000647E0000}"/>
    <cellStyle name="Normal 9 4 6 2" xfId="12243" xr:uid="{00000000-0005-0000-0000-0000657E0000}"/>
    <cellStyle name="Normal 9 4 6 3" xfId="12244" xr:uid="{00000000-0005-0000-0000-0000667E0000}"/>
    <cellStyle name="Normal 9 4 7" xfId="12245" xr:uid="{00000000-0005-0000-0000-0000677E0000}"/>
    <cellStyle name="Normal 9 4 8" xfId="12246" xr:uid="{00000000-0005-0000-0000-0000687E0000}"/>
    <cellStyle name="Normal 9 5" xfId="12247" xr:uid="{00000000-0005-0000-0000-0000697E0000}"/>
    <cellStyle name="Normal 9 5 2" xfId="12248" xr:uid="{00000000-0005-0000-0000-00006A7E0000}"/>
    <cellStyle name="Normal 9 5 2 2" xfId="12249" xr:uid="{00000000-0005-0000-0000-00006B7E0000}"/>
    <cellStyle name="Normal 9 5 2 2 2" xfId="12250" xr:uid="{00000000-0005-0000-0000-00006C7E0000}"/>
    <cellStyle name="Normal 9 5 2 2 2 2" xfId="12251" xr:uid="{00000000-0005-0000-0000-00006D7E0000}"/>
    <cellStyle name="Normal 9 5 2 2 2 3" xfId="12252" xr:uid="{00000000-0005-0000-0000-00006E7E0000}"/>
    <cellStyle name="Normal 9 5 2 2 3" xfId="12253" xr:uid="{00000000-0005-0000-0000-00006F7E0000}"/>
    <cellStyle name="Normal 9 5 2 2 3 2" xfId="12254" xr:uid="{00000000-0005-0000-0000-0000707E0000}"/>
    <cellStyle name="Normal 9 5 2 2 3 3" xfId="12255" xr:uid="{00000000-0005-0000-0000-0000717E0000}"/>
    <cellStyle name="Normal 9 5 2 2 4" xfId="12256" xr:uid="{00000000-0005-0000-0000-0000727E0000}"/>
    <cellStyle name="Normal 9 5 2 2 5" xfId="12257" xr:uid="{00000000-0005-0000-0000-0000737E0000}"/>
    <cellStyle name="Normal 9 5 2 3" xfId="12258" xr:uid="{00000000-0005-0000-0000-0000747E0000}"/>
    <cellStyle name="Normal 9 5 2 3 2" xfId="12259" xr:uid="{00000000-0005-0000-0000-0000757E0000}"/>
    <cellStyle name="Normal 9 5 2 3 3" xfId="12260" xr:uid="{00000000-0005-0000-0000-0000767E0000}"/>
    <cellStyle name="Normal 9 5 2 4" xfId="12261" xr:uid="{00000000-0005-0000-0000-0000777E0000}"/>
    <cellStyle name="Normal 9 5 2 4 2" xfId="12262" xr:uid="{00000000-0005-0000-0000-0000787E0000}"/>
    <cellStyle name="Normal 9 5 2 4 3" xfId="12263" xr:uid="{00000000-0005-0000-0000-0000797E0000}"/>
    <cellStyle name="Normal 9 5 2 5" xfId="12264" xr:uid="{00000000-0005-0000-0000-00007A7E0000}"/>
    <cellStyle name="Normal 9 5 2 6" xfId="12265" xr:uid="{00000000-0005-0000-0000-00007B7E0000}"/>
    <cellStyle name="Normal 9 5 3" xfId="12266" xr:uid="{00000000-0005-0000-0000-00007C7E0000}"/>
    <cellStyle name="Normal 9 5 3 2" xfId="12267" xr:uid="{00000000-0005-0000-0000-00007D7E0000}"/>
    <cellStyle name="Normal 9 5 3 2 2" xfId="12268" xr:uid="{00000000-0005-0000-0000-00007E7E0000}"/>
    <cellStyle name="Normal 9 5 3 2 2 2" xfId="12269" xr:uid="{00000000-0005-0000-0000-00007F7E0000}"/>
    <cellStyle name="Normal 9 5 3 2 2 3" xfId="12270" xr:uid="{00000000-0005-0000-0000-0000807E0000}"/>
    <cellStyle name="Normal 9 5 3 2 3" xfId="12271" xr:uid="{00000000-0005-0000-0000-0000817E0000}"/>
    <cellStyle name="Normal 9 5 3 2 3 2" xfId="12272" xr:uid="{00000000-0005-0000-0000-0000827E0000}"/>
    <cellStyle name="Normal 9 5 3 2 3 3" xfId="12273" xr:uid="{00000000-0005-0000-0000-0000837E0000}"/>
    <cellStyle name="Normal 9 5 3 2 4" xfId="12274" xr:uid="{00000000-0005-0000-0000-0000847E0000}"/>
    <cellStyle name="Normal 9 5 3 2 5" xfId="12275" xr:uid="{00000000-0005-0000-0000-0000857E0000}"/>
    <cellStyle name="Normal 9 5 3 3" xfId="12276" xr:uid="{00000000-0005-0000-0000-0000867E0000}"/>
    <cellStyle name="Normal 9 5 3 3 2" xfId="12277" xr:uid="{00000000-0005-0000-0000-0000877E0000}"/>
    <cellStyle name="Normal 9 5 3 3 3" xfId="12278" xr:uid="{00000000-0005-0000-0000-0000887E0000}"/>
    <cellStyle name="Normal 9 5 3 3 4" xfId="12279" xr:uid="{00000000-0005-0000-0000-0000897E0000}"/>
    <cellStyle name="Normal 9 5 3 3 5" xfId="12280" xr:uid="{00000000-0005-0000-0000-00008A7E0000}"/>
    <cellStyle name="Normal 9 5 3 4" xfId="12281" xr:uid="{00000000-0005-0000-0000-00008B7E0000}"/>
    <cellStyle name="Normal 9 5 3 4 2" xfId="12282" xr:uid="{00000000-0005-0000-0000-00008C7E0000}"/>
    <cellStyle name="Normal 9 5 3 4 3" xfId="12283" xr:uid="{00000000-0005-0000-0000-00008D7E0000}"/>
    <cellStyle name="Normal 9 5 3 5" xfId="12284" xr:uid="{00000000-0005-0000-0000-00008E7E0000}"/>
    <cellStyle name="Normal 9 5 3 5 2" xfId="12285" xr:uid="{00000000-0005-0000-0000-00008F7E0000}"/>
    <cellStyle name="Normal 9 5 3 5 3" xfId="12286" xr:uid="{00000000-0005-0000-0000-0000907E0000}"/>
    <cellStyle name="Normal 9 5 3 6" xfId="12287" xr:uid="{00000000-0005-0000-0000-0000917E0000}"/>
    <cellStyle name="Normal 9 5 3 7" xfId="12288" xr:uid="{00000000-0005-0000-0000-0000927E0000}"/>
    <cellStyle name="Normal 9 5 4" xfId="12289" xr:uid="{00000000-0005-0000-0000-0000937E0000}"/>
    <cellStyle name="Normal 9 5 4 2" xfId="12290" xr:uid="{00000000-0005-0000-0000-0000947E0000}"/>
    <cellStyle name="Normal 9 5 4 2 2" xfId="12291" xr:uid="{00000000-0005-0000-0000-0000957E0000}"/>
    <cellStyle name="Normal 9 5 4 2 3" xfId="12292" xr:uid="{00000000-0005-0000-0000-0000967E0000}"/>
    <cellStyle name="Normal 9 5 4 3" xfId="12293" xr:uid="{00000000-0005-0000-0000-0000977E0000}"/>
    <cellStyle name="Normal 9 5 4 3 2" xfId="12294" xr:uid="{00000000-0005-0000-0000-0000987E0000}"/>
    <cellStyle name="Normal 9 5 4 3 3" xfId="12295" xr:uid="{00000000-0005-0000-0000-0000997E0000}"/>
    <cellStyle name="Normal 9 5 4 4" xfId="12296" xr:uid="{00000000-0005-0000-0000-00009A7E0000}"/>
    <cellStyle name="Normal 9 5 4 5" xfId="12297" xr:uid="{00000000-0005-0000-0000-00009B7E0000}"/>
    <cellStyle name="Normal 9 5 5" xfId="12298" xr:uid="{00000000-0005-0000-0000-00009C7E0000}"/>
    <cellStyle name="Normal 9 5 5 2" xfId="12299" xr:uid="{00000000-0005-0000-0000-00009D7E0000}"/>
    <cellStyle name="Normal 9 5 5 3" xfId="12300" xr:uid="{00000000-0005-0000-0000-00009E7E0000}"/>
    <cellStyle name="Normal 9 5 5 4" xfId="12301" xr:uid="{00000000-0005-0000-0000-00009F7E0000}"/>
    <cellStyle name="Normal 9 5 5 5" xfId="12302" xr:uid="{00000000-0005-0000-0000-0000A07E0000}"/>
    <cellStyle name="Normal 9 5 6" xfId="12303" xr:uid="{00000000-0005-0000-0000-0000A17E0000}"/>
    <cellStyle name="Normal 9 5 6 2" xfId="12304" xr:uid="{00000000-0005-0000-0000-0000A27E0000}"/>
    <cellStyle name="Normal 9 5 6 3" xfId="12305" xr:uid="{00000000-0005-0000-0000-0000A37E0000}"/>
    <cellStyle name="Normal 9 5 7" xfId="12306" xr:uid="{00000000-0005-0000-0000-0000A47E0000}"/>
    <cellStyle name="Normal 9 5 7 2" xfId="12307" xr:uid="{00000000-0005-0000-0000-0000A57E0000}"/>
    <cellStyle name="Normal 9 5 7 3" xfId="12308" xr:uid="{00000000-0005-0000-0000-0000A67E0000}"/>
    <cellStyle name="Normal 9 5 8" xfId="12309" xr:uid="{00000000-0005-0000-0000-0000A77E0000}"/>
    <cellStyle name="Normal 9 5 9" xfId="12310" xr:uid="{00000000-0005-0000-0000-0000A87E0000}"/>
    <cellStyle name="Normal 9 5_10070" xfId="12311" xr:uid="{00000000-0005-0000-0000-0000A97E0000}"/>
    <cellStyle name="Normal 9 6" xfId="12312" xr:uid="{00000000-0005-0000-0000-0000AA7E0000}"/>
    <cellStyle name="Normal 9 6 2" xfId="12313" xr:uid="{00000000-0005-0000-0000-0000AB7E0000}"/>
    <cellStyle name="Normal 9 6 2 2" xfId="12314" xr:uid="{00000000-0005-0000-0000-0000AC7E0000}"/>
    <cellStyle name="Normal 9 6 2 2 2" xfId="12315" xr:uid="{00000000-0005-0000-0000-0000AD7E0000}"/>
    <cellStyle name="Normal 9 6 2 2 3" xfId="12316" xr:uid="{00000000-0005-0000-0000-0000AE7E0000}"/>
    <cellStyle name="Normal 9 6 2 3" xfId="12317" xr:uid="{00000000-0005-0000-0000-0000AF7E0000}"/>
    <cellStyle name="Normal 9 6 2 3 2" xfId="12318" xr:uid="{00000000-0005-0000-0000-0000B07E0000}"/>
    <cellStyle name="Normal 9 6 2 3 3" xfId="12319" xr:uid="{00000000-0005-0000-0000-0000B17E0000}"/>
    <cellStyle name="Normal 9 6 2 4" xfId="12320" xr:uid="{00000000-0005-0000-0000-0000B27E0000}"/>
    <cellStyle name="Normal 9 6 2 5" xfId="12321" xr:uid="{00000000-0005-0000-0000-0000B37E0000}"/>
    <cellStyle name="Normal 9 6 3" xfId="12322" xr:uid="{00000000-0005-0000-0000-0000B47E0000}"/>
    <cellStyle name="Normal 9 6 3 2" xfId="12323" xr:uid="{00000000-0005-0000-0000-0000B57E0000}"/>
    <cellStyle name="Normal 9 6 3 3" xfId="12324" xr:uid="{00000000-0005-0000-0000-0000B67E0000}"/>
    <cellStyle name="Normal 9 6 4" xfId="12325" xr:uid="{00000000-0005-0000-0000-0000B77E0000}"/>
    <cellStyle name="Normal 9 6 4 2" xfId="12326" xr:uid="{00000000-0005-0000-0000-0000B87E0000}"/>
    <cellStyle name="Normal 9 6 4 3" xfId="12327" xr:uid="{00000000-0005-0000-0000-0000B97E0000}"/>
    <cellStyle name="Normal 9 6 5" xfId="12328" xr:uid="{00000000-0005-0000-0000-0000BA7E0000}"/>
    <cellStyle name="Normal 9 6 6" xfId="12329" xr:uid="{00000000-0005-0000-0000-0000BB7E0000}"/>
    <cellStyle name="Normal 9 7" xfId="12330" xr:uid="{00000000-0005-0000-0000-0000BC7E0000}"/>
    <cellStyle name="Normal 9 7 2" xfId="12331" xr:uid="{00000000-0005-0000-0000-0000BD7E0000}"/>
    <cellStyle name="Normal 9 7 2 2" xfId="12332" xr:uid="{00000000-0005-0000-0000-0000BE7E0000}"/>
    <cellStyle name="Normal 9 7 2 3" xfId="12333" xr:uid="{00000000-0005-0000-0000-0000BF7E0000}"/>
    <cellStyle name="Normal 9 7 3" xfId="12334" xr:uid="{00000000-0005-0000-0000-0000C07E0000}"/>
    <cellStyle name="Normal 9 7 3 2" xfId="12335" xr:uid="{00000000-0005-0000-0000-0000C17E0000}"/>
    <cellStyle name="Normal 9 7 3 3" xfId="12336" xr:uid="{00000000-0005-0000-0000-0000C27E0000}"/>
    <cellStyle name="Normal 9 7 4" xfId="12337" xr:uid="{00000000-0005-0000-0000-0000C37E0000}"/>
    <cellStyle name="Normal 9 7 5" xfId="12338" xr:uid="{00000000-0005-0000-0000-0000C47E0000}"/>
    <cellStyle name="Normal 9 8" xfId="12339" xr:uid="{00000000-0005-0000-0000-0000C57E0000}"/>
    <cellStyle name="Normal 9 8 2" xfId="12340" xr:uid="{00000000-0005-0000-0000-0000C67E0000}"/>
    <cellStyle name="Normal 9 8 3" xfId="12341" xr:uid="{00000000-0005-0000-0000-0000C77E0000}"/>
    <cellStyle name="Normal 9 9" xfId="12342" xr:uid="{00000000-0005-0000-0000-0000C87E0000}"/>
    <cellStyle name="Normal 9 9 2" xfId="12343" xr:uid="{00000000-0005-0000-0000-0000C97E0000}"/>
    <cellStyle name="Normal 9 9 3" xfId="12344" xr:uid="{00000000-0005-0000-0000-0000CA7E0000}"/>
    <cellStyle name="Normal 9_2180" xfId="12345" xr:uid="{00000000-0005-0000-0000-0000CB7E0000}"/>
    <cellStyle name="Normal 90" xfId="271" xr:uid="{00000000-0005-0000-0000-0000CC7E0000}"/>
    <cellStyle name="Normal 90 2" xfId="12346" xr:uid="{00000000-0005-0000-0000-0000CD7E0000}"/>
    <cellStyle name="Normal 90 2 2" xfId="12347" xr:uid="{00000000-0005-0000-0000-0000CE7E0000}"/>
    <cellStyle name="Normal 91" xfId="276" xr:uid="{00000000-0005-0000-0000-0000CF7E0000}"/>
    <cellStyle name="Normal 92" xfId="12348" xr:uid="{00000000-0005-0000-0000-0000D07E0000}"/>
    <cellStyle name="Normal 92 2" xfId="12349" xr:uid="{00000000-0005-0000-0000-0000D17E0000}"/>
    <cellStyle name="Normal 92 2 2" xfId="12350" xr:uid="{00000000-0005-0000-0000-0000D27E0000}"/>
    <cellStyle name="Normal 93" xfId="12351" xr:uid="{00000000-0005-0000-0000-0000D37E0000}"/>
    <cellStyle name="Normal 93 2" xfId="12352" xr:uid="{00000000-0005-0000-0000-0000D47E0000}"/>
    <cellStyle name="Normal 93 3" xfId="12353" xr:uid="{00000000-0005-0000-0000-0000D57E0000}"/>
    <cellStyle name="Normal 94" xfId="12354" xr:uid="{00000000-0005-0000-0000-0000D67E0000}"/>
    <cellStyle name="Normal 94 2" xfId="12355" xr:uid="{00000000-0005-0000-0000-0000D77E0000}"/>
    <cellStyle name="Normal 94 3" xfId="12356" xr:uid="{00000000-0005-0000-0000-0000D87E0000}"/>
    <cellStyle name="Normal 95" xfId="12357" xr:uid="{00000000-0005-0000-0000-0000D97E0000}"/>
    <cellStyle name="Normal 95 2" xfId="12358" xr:uid="{00000000-0005-0000-0000-0000DA7E0000}"/>
    <cellStyle name="Normal 95 3" xfId="12359" xr:uid="{00000000-0005-0000-0000-0000DB7E0000}"/>
    <cellStyle name="Normal 96" xfId="12360" xr:uid="{00000000-0005-0000-0000-0000DC7E0000}"/>
    <cellStyle name="Normal 96 2" xfId="12361" xr:uid="{00000000-0005-0000-0000-0000DD7E0000}"/>
    <cellStyle name="Normal 96 3" xfId="12362" xr:uid="{00000000-0005-0000-0000-0000DE7E0000}"/>
    <cellStyle name="Normal 97" xfId="12363" xr:uid="{00000000-0005-0000-0000-0000DF7E0000}"/>
    <cellStyle name="Normal 97 2" xfId="12364" xr:uid="{00000000-0005-0000-0000-0000E07E0000}"/>
    <cellStyle name="Normal 97 3" xfId="12365" xr:uid="{00000000-0005-0000-0000-0000E17E0000}"/>
    <cellStyle name="Normal 98" xfId="12366" xr:uid="{00000000-0005-0000-0000-0000E27E0000}"/>
    <cellStyle name="Normal 98 2" xfId="12367" xr:uid="{00000000-0005-0000-0000-0000E37E0000}"/>
    <cellStyle name="Normal 98 2 2" xfId="12368" xr:uid="{00000000-0005-0000-0000-0000E47E0000}"/>
    <cellStyle name="Normal 99" xfId="12369" xr:uid="{00000000-0005-0000-0000-0000E57E0000}"/>
    <cellStyle name="Normal 99 2" xfId="12370" xr:uid="{00000000-0005-0000-0000-0000E67E0000}"/>
    <cellStyle name="Normal 99 3" xfId="12371" xr:uid="{00000000-0005-0000-0000-0000E77E0000}"/>
    <cellStyle name="Normal 99 4" xfId="12372" xr:uid="{00000000-0005-0000-0000-0000E87E0000}"/>
    <cellStyle name="Normal_2183 Regulated Price Out Final 6-7-2012" xfId="37407" xr:uid="{FD1EAEBC-FF09-433A-A7F7-23241FBB45D2}"/>
    <cellStyle name="Normal_Book3" xfId="37405" xr:uid="{6C11024C-2A2F-4632-BDBD-E18B72AC11B9}"/>
    <cellStyle name="Normal_Murrey's Jan-Dec 2012" xfId="296" xr:uid="{00000000-0005-0000-0000-0000E97E0000}"/>
    <cellStyle name="Normal_Price out" xfId="4" xr:uid="{00000000-0005-0000-0000-0000EA7E0000}"/>
    <cellStyle name="Normal_Regulated Price Out 9-6-2011 Final HL" xfId="37406" xr:uid="{DBDDDAC8-F588-47B3-8712-A201B88C33C2}"/>
    <cellStyle name="Normal_Sheet1" xfId="366" xr:uid="{00000000-0005-0000-0000-0000EB7E0000}"/>
    <cellStyle name="Note" xfId="13366" builtinId="10" customBuiltin="1"/>
    <cellStyle name="Note 2" xfId="243" xr:uid="{00000000-0005-0000-0000-0000ED7E0000}"/>
    <cellStyle name="Note 2 2" xfId="348" xr:uid="{00000000-0005-0000-0000-0000EE7E0000}"/>
    <cellStyle name="Note 2 2 2" xfId="12373" xr:uid="{00000000-0005-0000-0000-0000EF7E0000}"/>
    <cellStyle name="Note 2 2 2 10" xfId="14164" xr:uid="{00000000-0005-0000-0000-0000F07E0000}"/>
    <cellStyle name="Note 2 2 2 11" xfId="13422" xr:uid="{00000000-0005-0000-0000-0000F17E0000}"/>
    <cellStyle name="Note 2 2 2 12" xfId="14179" xr:uid="{00000000-0005-0000-0000-0000F27E0000}"/>
    <cellStyle name="Note 2 2 2 13" xfId="15799" xr:uid="{00000000-0005-0000-0000-0000F37E0000}"/>
    <cellStyle name="Note 2 2 2 14" xfId="15569" xr:uid="{00000000-0005-0000-0000-0000F47E0000}"/>
    <cellStyle name="Note 2 2 2 15" xfId="26273" xr:uid="{00000000-0005-0000-0000-0000F57E0000}"/>
    <cellStyle name="Note 2 2 2 16" xfId="27751" xr:uid="{00000000-0005-0000-0000-0000F67E0000}"/>
    <cellStyle name="Note 2 2 2 17" xfId="26811" xr:uid="{00000000-0005-0000-0000-0000F77E0000}"/>
    <cellStyle name="Note 2 2 2 18" xfId="26024" xr:uid="{00000000-0005-0000-0000-0000F87E0000}"/>
    <cellStyle name="Note 2 2 2 19" xfId="27387" xr:uid="{00000000-0005-0000-0000-0000F97E0000}"/>
    <cellStyle name="Note 2 2 2 2" xfId="12374" xr:uid="{00000000-0005-0000-0000-0000FA7E0000}"/>
    <cellStyle name="Note 2 2 2 2 10" xfId="14614" xr:uid="{00000000-0005-0000-0000-0000FB7E0000}"/>
    <cellStyle name="Note 2 2 2 2 11" xfId="26333" xr:uid="{00000000-0005-0000-0000-0000FC7E0000}"/>
    <cellStyle name="Note 2 2 2 2 12" xfId="27727" xr:uid="{00000000-0005-0000-0000-0000FD7E0000}"/>
    <cellStyle name="Note 2 2 2 2 13" xfId="26257" xr:uid="{00000000-0005-0000-0000-0000FE7E0000}"/>
    <cellStyle name="Note 2 2 2 2 14" xfId="26247" xr:uid="{00000000-0005-0000-0000-0000FF7E0000}"/>
    <cellStyle name="Note 2 2 2 2 15" xfId="27485" xr:uid="{00000000-0005-0000-0000-0000007F0000}"/>
    <cellStyle name="Note 2 2 2 2 16" xfId="27308" xr:uid="{00000000-0005-0000-0000-0000017F0000}"/>
    <cellStyle name="Note 2 2 2 2 17" xfId="26841" xr:uid="{00000000-0005-0000-0000-0000027F0000}"/>
    <cellStyle name="Note 2 2 2 2 18" xfId="35028" xr:uid="{00000000-0005-0000-0000-0000037F0000}"/>
    <cellStyle name="Note 2 2 2 2 19" xfId="35452" xr:uid="{00000000-0005-0000-0000-0000047F0000}"/>
    <cellStyle name="Note 2 2 2 2 2" xfId="14915" xr:uid="{00000000-0005-0000-0000-0000057F0000}"/>
    <cellStyle name="Note 2 2 2 2 3" xfId="13743" xr:uid="{00000000-0005-0000-0000-0000067F0000}"/>
    <cellStyle name="Note 2 2 2 2 4" xfId="15288" xr:uid="{00000000-0005-0000-0000-0000077F0000}"/>
    <cellStyle name="Note 2 2 2 2 5" xfId="15597" xr:uid="{00000000-0005-0000-0000-0000087F0000}"/>
    <cellStyle name="Note 2 2 2 2 6" xfId="14650" xr:uid="{00000000-0005-0000-0000-0000097F0000}"/>
    <cellStyle name="Note 2 2 2 2 7" xfId="17854" xr:uid="{00000000-0005-0000-0000-00000A7F0000}"/>
    <cellStyle name="Note 2 2 2 2 8" xfId="18420" xr:uid="{00000000-0005-0000-0000-00000B7F0000}"/>
    <cellStyle name="Note 2 2 2 2 9" xfId="14514" xr:uid="{00000000-0005-0000-0000-00000C7F0000}"/>
    <cellStyle name="Note 2 2 2 20" xfId="26897" xr:uid="{00000000-0005-0000-0000-00000D7F0000}"/>
    <cellStyle name="Note 2 2 2 21" xfId="26953" xr:uid="{00000000-0005-0000-0000-00000E7F0000}"/>
    <cellStyle name="Note 2 2 2 22" xfId="34976" xr:uid="{00000000-0005-0000-0000-00000F7F0000}"/>
    <cellStyle name="Note 2 2 2 23" xfId="35357" xr:uid="{00000000-0005-0000-0000-0000107F0000}"/>
    <cellStyle name="Note 2 2 2 3" xfId="12375" xr:uid="{00000000-0005-0000-0000-0000117F0000}"/>
    <cellStyle name="Note 2 2 2 3 10" xfId="15186" xr:uid="{00000000-0005-0000-0000-0000127F0000}"/>
    <cellStyle name="Note 2 2 2 3 11" xfId="26470" xr:uid="{00000000-0005-0000-0000-0000137F0000}"/>
    <cellStyle name="Note 2 2 2 3 12" xfId="27077" xr:uid="{00000000-0005-0000-0000-0000147F0000}"/>
    <cellStyle name="Note 2 2 2 3 13" xfId="27359" xr:uid="{00000000-0005-0000-0000-0000157F0000}"/>
    <cellStyle name="Note 2 2 2 3 14" xfId="27017" xr:uid="{00000000-0005-0000-0000-0000167F0000}"/>
    <cellStyle name="Note 2 2 2 3 15" xfId="26028" xr:uid="{00000000-0005-0000-0000-0000177F0000}"/>
    <cellStyle name="Note 2 2 2 3 16" xfId="26862" xr:uid="{00000000-0005-0000-0000-0000187F0000}"/>
    <cellStyle name="Note 2 2 2 3 17" xfId="27382" xr:uid="{00000000-0005-0000-0000-0000197F0000}"/>
    <cellStyle name="Note 2 2 2 3 18" xfId="35153" xr:uid="{00000000-0005-0000-0000-00001A7F0000}"/>
    <cellStyle name="Note 2 2 2 3 19" xfId="34854" xr:uid="{00000000-0005-0000-0000-00001B7F0000}"/>
    <cellStyle name="Note 2 2 2 3 2" xfId="14844" xr:uid="{00000000-0005-0000-0000-00001C7F0000}"/>
    <cellStyle name="Note 2 2 2 3 3" xfId="14072" xr:uid="{00000000-0005-0000-0000-00001D7F0000}"/>
    <cellStyle name="Note 2 2 2 3 4" xfId="15649" xr:uid="{00000000-0005-0000-0000-00001E7F0000}"/>
    <cellStyle name="Note 2 2 2 3 5" xfId="13824" xr:uid="{00000000-0005-0000-0000-00001F7F0000}"/>
    <cellStyle name="Note 2 2 2 3 6" xfId="15239" xr:uid="{00000000-0005-0000-0000-0000207F0000}"/>
    <cellStyle name="Note 2 2 2 3 7" xfId="15234" xr:uid="{00000000-0005-0000-0000-0000217F0000}"/>
    <cellStyle name="Note 2 2 2 3 8" xfId="14249" xr:uid="{00000000-0005-0000-0000-0000227F0000}"/>
    <cellStyle name="Note 2 2 2 3 9" xfId="13677" xr:uid="{00000000-0005-0000-0000-0000237F0000}"/>
    <cellStyle name="Note 2 2 2 4" xfId="12376" xr:uid="{00000000-0005-0000-0000-0000247F0000}"/>
    <cellStyle name="Note 2 2 2 4 10" xfId="20908" xr:uid="{00000000-0005-0000-0000-0000257F0000}"/>
    <cellStyle name="Note 2 2 2 4 11" xfId="26353" xr:uid="{00000000-0005-0000-0000-0000267F0000}"/>
    <cellStyle name="Note 2 2 2 4 12" xfId="27151" xr:uid="{00000000-0005-0000-0000-0000277F0000}"/>
    <cellStyle name="Note 2 2 2 4 13" xfId="26140" xr:uid="{00000000-0005-0000-0000-0000287F0000}"/>
    <cellStyle name="Note 2 2 2 4 14" xfId="27028" xr:uid="{00000000-0005-0000-0000-0000297F0000}"/>
    <cellStyle name="Note 2 2 2 4 15" xfId="25934" xr:uid="{00000000-0005-0000-0000-00002A7F0000}"/>
    <cellStyle name="Note 2 2 2 4 16" xfId="26586" xr:uid="{00000000-0005-0000-0000-00002B7F0000}"/>
    <cellStyle name="Note 2 2 2 4 17" xfId="29777" xr:uid="{00000000-0005-0000-0000-00002C7F0000}"/>
    <cellStyle name="Note 2 2 2 4 18" xfId="35047" xr:uid="{00000000-0005-0000-0000-00002D7F0000}"/>
    <cellStyle name="Note 2 2 2 4 19" xfId="35306" xr:uid="{00000000-0005-0000-0000-00002E7F0000}"/>
    <cellStyle name="Note 2 2 2 4 2" xfId="14905" xr:uid="{00000000-0005-0000-0000-00002F7F0000}"/>
    <cellStyle name="Note 2 2 2 4 3" xfId="15076" xr:uid="{00000000-0005-0000-0000-0000307F0000}"/>
    <cellStyle name="Note 2 2 2 4 4" xfId="15735" xr:uid="{00000000-0005-0000-0000-0000317F0000}"/>
    <cellStyle name="Note 2 2 2 4 5" xfId="13486" xr:uid="{00000000-0005-0000-0000-0000327F0000}"/>
    <cellStyle name="Note 2 2 2 4 6" xfId="14696" xr:uid="{00000000-0005-0000-0000-0000337F0000}"/>
    <cellStyle name="Note 2 2 2 4 7" xfId="14323" xr:uid="{00000000-0005-0000-0000-0000347F0000}"/>
    <cellStyle name="Note 2 2 2 4 8" xfId="13603" xr:uid="{00000000-0005-0000-0000-0000357F0000}"/>
    <cellStyle name="Note 2 2 2 4 9" xfId="15307" xr:uid="{00000000-0005-0000-0000-0000367F0000}"/>
    <cellStyle name="Note 2 2 2 5" xfId="12377" xr:uid="{00000000-0005-0000-0000-0000377F0000}"/>
    <cellStyle name="Note 2 2 2 5 10" xfId="15593" xr:uid="{00000000-0005-0000-0000-0000387F0000}"/>
    <cellStyle name="Note 2 2 2 5 11" xfId="26486" xr:uid="{00000000-0005-0000-0000-0000397F0000}"/>
    <cellStyle name="Note 2 2 2 5 12" xfId="27066" xr:uid="{00000000-0005-0000-0000-00003A7F0000}"/>
    <cellStyle name="Note 2 2 2 5 13" xfId="26185" xr:uid="{00000000-0005-0000-0000-00003B7F0000}"/>
    <cellStyle name="Note 2 2 2 5 14" xfId="27015" xr:uid="{00000000-0005-0000-0000-00003C7F0000}"/>
    <cellStyle name="Note 2 2 2 5 15" xfId="26835" xr:uid="{00000000-0005-0000-0000-00003D7F0000}"/>
    <cellStyle name="Note 2 2 2 5 16" xfId="26111" xr:uid="{00000000-0005-0000-0000-00003E7F0000}"/>
    <cellStyle name="Note 2 2 2 5 17" xfId="26624" xr:uid="{00000000-0005-0000-0000-00003F7F0000}"/>
    <cellStyle name="Note 2 2 2 5 18" xfId="35169" xr:uid="{00000000-0005-0000-0000-0000407F0000}"/>
    <cellStyle name="Note 2 2 2 5 19" xfId="35221" xr:uid="{00000000-0005-0000-0000-0000417F0000}"/>
    <cellStyle name="Note 2 2 2 5 2" xfId="14835" xr:uid="{00000000-0005-0000-0000-0000427F0000}"/>
    <cellStyle name="Note 2 2 2 5 3" xfId="15218" xr:uid="{00000000-0005-0000-0000-0000437F0000}"/>
    <cellStyle name="Note 2 2 2 5 4" xfId="13920" xr:uid="{00000000-0005-0000-0000-0000447F0000}"/>
    <cellStyle name="Note 2 2 2 5 5" xfId="15446" xr:uid="{00000000-0005-0000-0000-0000457F0000}"/>
    <cellStyle name="Note 2 2 2 5 6" xfId="13846" xr:uid="{00000000-0005-0000-0000-0000467F0000}"/>
    <cellStyle name="Note 2 2 2 5 7" xfId="14020" xr:uid="{00000000-0005-0000-0000-0000477F0000}"/>
    <cellStyle name="Note 2 2 2 5 8" xfId="14026" xr:uid="{00000000-0005-0000-0000-0000487F0000}"/>
    <cellStyle name="Note 2 2 2 5 9" xfId="14086" xr:uid="{00000000-0005-0000-0000-0000497F0000}"/>
    <cellStyle name="Note 2 2 2 6" xfId="14948" xr:uid="{00000000-0005-0000-0000-00004A7F0000}"/>
    <cellStyle name="Note 2 2 2 7" xfId="15191" xr:uid="{00000000-0005-0000-0000-00004B7F0000}"/>
    <cellStyle name="Note 2 2 2 8" xfId="13683" xr:uid="{00000000-0005-0000-0000-00004C7F0000}"/>
    <cellStyle name="Note 2 2 2 9" xfId="14465" xr:uid="{00000000-0005-0000-0000-00004D7F0000}"/>
    <cellStyle name="Note 2 2 3" xfId="12378" xr:uid="{00000000-0005-0000-0000-00004E7F0000}"/>
    <cellStyle name="Note 2 2 3 10" xfId="14625" xr:uid="{00000000-0005-0000-0000-00004F7F0000}"/>
    <cellStyle name="Note 2 2 3 11" xfId="15474" xr:uid="{00000000-0005-0000-0000-0000507F0000}"/>
    <cellStyle name="Note 2 2 3 12" xfId="21856" xr:uid="{00000000-0005-0000-0000-0000517F0000}"/>
    <cellStyle name="Note 2 2 3 13" xfId="14199" xr:uid="{00000000-0005-0000-0000-0000527F0000}"/>
    <cellStyle name="Note 2 2 3 14" xfId="13500" xr:uid="{00000000-0005-0000-0000-0000537F0000}"/>
    <cellStyle name="Note 2 2 3 15" xfId="26083" xr:uid="{00000000-0005-0000-0000-0000547F0000}"/>
    <cellStyle name="Note 2 2 3 16" xfId="27268" xr:uid="{00000000-0005-0000-0000-0000557F0000}"/>
    <cellStyle name="Note 2 2 3 17" xfId="28754" xr:uid="{00000000-0005-0000-0000-0000567F0000}"/>
    <cellStyle name="Note 2 2 3 18" xfId="27510" xr:uid="{00000000-0005-0000-0000-0000577F0000}"/>
    <cellStyle name="Note 2 2 3 19" xfId="25900" xr:uid="{00000000-0005-0000-0000-0000587F0000}"/>
    <cellStyle name="Note 2 2 3 2" xfId="12379" xr:uid="{00000000-0005-0000-0000-0000597F0000}"/>
    <cellStyle name="Note 2 2 3 2 10" xfId="15506" xr:uid="{00000000-0005-0000-0000-00005A7F0000}"/>
    <cellStyle name="Note 2 2 3 2 11" xfId="26305" xr:uid="{00000000-0005-0000-0000-00005B7F0000}"/>
    <cellStyle name="Note 2 2 3 2 12" xfId="27184" xr:uid="{00000000-0005-0000-0000-00005C7F0000}"/>
    <cellStyle name="Note 2 2 3 2 13" xfId="26818" xr:uid="{00000000-0005-0000-0000-00005D7F0000}"/>
    <cellStyle name="Note 2 2 3 2 14" xfId="26656" xr:uid="{00000000-0005-0000-0000-00005E7F0000}"/>
    <cellStyle name="Note 2 2 3 2 15" xfId="27482" xr:uid="{00000000-0005-0000-0000-00005F7F0000}"/>
    <cellStyle name="Note 2 2 3 2 16" xfId="27624" xr:uid="{00000000-0005-0000-0000-0000607F0000}"/>
    <cellStyle name="Note 2 2 3 2 17" xfId="27554" xr:uid="{00000000-0005-0000-0000-0000617F0000}"/>
    <cellStyle name="Note 2 2 3 2 18" xfId="35001" xr:uid="{00000000-0005-0000-0000-0000627F0000}"/>
    <cellStyle name="Note 2 2 3 2 19" xfId="35463" xr:uid="{00000000-0005-0000-0000-0000637F0000}"/>
    <cellStyle name="Note 2 2 3 2 2" xfId="15709" xr:uid="{00000000-0005-0000-0000-0000647F0000}"/>
    <cellStyle name="Note 2 2 3 2 3" xfId="13723" xr:uid="{00000000-0005-0000-0000-0000657F0000}"/>
    <cellStyle name="Note 2 2 3 2 4" xfId="15545" xr:uid="{00000000-0005-0000-0000-0000667F0000}"/>
    <cellStyle name="Note 2 2 3 2 5" xfId="14549" xr:uid="{00000000-0005-0000-0000-0000677F0000}"/>
    <cellStyle name="Note 2 2 3 2 6" xfId="14109" xr:uid="{00000000-0005-0000-0000-0000687F0000}"/>
    <cellStyle name="Note 2 2 3 2 7" xfId="15082" xr:uid="{00000000-0005-0000-0000-0000697F0000}"/>
    <cellStyle name="Note 2 2 3 2 8" xfId="18910" xr:uid="{00000000-0005-0000-0000-00006A7F0000}"/>
    <cellStyle name="Note 2 2 3 2 9" xfId="14688" xr:uid="{00000000-0005-0000-0000-00006B7F0000}"/>
    <cellStyle name="Note 2 2 3 20" xfId="25956" xr:uid="{00000000-0005-0000-0000-00006C7F0000}"/>
    <cellStyle name="Note 2 2 3 21" xfId="29779" xr:uid="{00000000-0005-0000-0000-00006D7F0000}"/>
    <cellStyle name="Note 2 2 3 22" xfId="34944" xr:uid="{00000000-0005-0000-0000-00006E7F0000}"/>
    <cellStyle name="Note 2 2 3 23" xfId="34928" xr:uid="{00000000-0005-0000-0000-00006F7F0000}"/>
    <cellStyle name="Note 2 2 3 3" xfId="12380" xr:uid="{00000000-0005-0000-0000-0000707F0000}"/>
    <cellStyle name="Note 2 2 3 3 10" xfId="15604" xr:uid="{00000000-0005-0000-0000-0000717F0000}"/>
    <cellStyle name="Note 2 2 3 3 11" xfId="26385" xr:uid="{00000000-0005-0000-0000-0000727F0000}"/>
    <cellStyle name="Note 2 2 3 3 12" xfId="27132" xr:uid="{00000000-0005-0000-0000-0000737F0000}"/>
    <cellStyle name="Note 2 2 3 3 13" xfId="27531" xr:uid="{00000000-0005-0000-0000-0000747F0000}"/>
    <cellStyle name="Note 2 2 3 3 14" xfId="27655" xr:uid="{00000000-0005-0000-0000-0000757F0000}"/>
    <cellStyle name="Note 2 2 3 3 15" xfId="27371" xr:uid="{00000000-0005-0000-0000-0000767F0000}"/>
    <cellStyle name="Note 2 2 3 3 16" xfId="28792" xr:uid="{00000000-0005-0000-0000-0000777F0000}"/>
    <cellStyle name="Note 2 2 3 3 17" xfId="27619" xr:uid="{00000000-0005-0000-0000-0000787F0000}"/>
    <cellStyle name="Note 2 2 3 3 18" xfId="35076" xr:uid="{00000000-0005-0000-0000-0000797F0000}"/>
    <cellStyle name="Note 2 2 3 3 19" xfId="35434" xr:uid="{00000000-0005-0000-0000-00007A7F0000}"/>
    <cellStyle name="Note 2 2 3 3 2" xfId="14885" xr:uid="{00000000-0005-0000-0000-00007B7F0000}"/>
    <cellStyle name="Note 2 2 3 3 3" xfId="13770" xr:uid="{00000000-0005-0000-0000-00007C7F0000}"/>
    <cellStyle name="Note 2 2 3 3 4" xfId="15537" xr:uid="{00000000-0005-0000-0000-00007D7F0000}"/>
    <cellStyle name="Note 2 2 3 3 5" xfId="14557" xr:uid="{00000000-0005-0000-0000-00007E7F0000}"/>
    <cellStyle name="Note 2 2 3 3 6" xfId="15299" xr:uid="{00000000-0005-0000-0000-00007F7F0000}"/>
    <cellStyle name="Note 2 2 3 3 7" xfId="15821" xr:uid="{00000000-0005-0000-0000-0000807F0000}"/>
    <cellStyle name="Note 2 2 3 3 8" xfId="14596" xr:uid="{00000000-0005-0000-0000-0000817F0000}"/>
    <cellStyle name="Note 2 2 3 3 9" xfId="18887" xr:uid="{00000000-0005-0000-0000-0000827F0000}"/>
    <cellStyle name="Note 2 2 3 4" xfId="12381" xr:uid="{00000000-0005-0000-0000-0000837F0000}"/>
    <cellStyle name="Note 2 2 3 4 10" xfId="13450" xr:uid="{00000000-0005-0000-0000-0000847F0000}"/>
    <cellStyle name="Note 2 2 3 4 11" xfId="26363" xr:uid="{00000000-0005-0000-0000-0000857F0000}"/>
    <cellStyle name="Note 2 2 3 4 12" xfId="26039" xr:uid="{00000000-0005-0000-0000-0000867F0000}"/>
    <cellStyle name="Note 2 2 3 4 13" xfId="27527" xr:uid="{00000000-0005-0000-0000-0000877F0000}"/>
    <cellStyle name="Note 2 2 3 4 14" xfId="25912" xr:uid="{00000000-0005-0000-0000-0000887F0000}"/>
    <cellStyle name="Note 2 2 3 4 15" xfId="26728" xr:uid="{00000000-0005-0000-0000-0000897F0000}"/>
    <cellStyle name="Note 2 2 3 4 16" xfId="27216" xr:uid="{00000000-0005-0000-0000-00008A7F0000}"/>
    <cellStyle name="Note 2 2 3 4 17" xfId="27287" xr:uid="{00000000-0005-0000-0000-00008B7F0000}"/>
    <cellStyle name="Note 2 2 3 4 18" xfId="35055" xr:uid="{00000000-0005-0000-0000-00008C7F0000}"/>
    <cellStyle name="Note 2 2 3 4 19" xfId="35296" xr:uid="{00000000-0005-0000-0000-00008D7F0000}"/>
    <cellStyle name="Note 2 2 3 4 2" xfId="13614" xr:uid="{00000000-0005-0000-0000-00008E7F0000}"/>
    <cellStyle name="Note 2 2 3 4 3" xfId="14047" xr:uid="{00000000-0005-0000-0000-00008F7F0000}"/>
    <cellStyle name="Note 2 2 3 4 4" xfId="15650" xr:uid="{00000000-0005-0000-0000-0000907F0000}"/>
    <cellStyle name="Note 2 2 3 4 5" xfId="14471" xr:uid="{00000000-0005-0000-0000-0000917F0000}"/>
    <cellStyle name="Note 2 2 3 4 6" xfId="14669" xr:uid="{00000000-0005-0000-0000-0000927F0000}"/>
    <cellStyle name="Note 2 2 3 4 7" xfId="15521" xr:uid="{00000000-0005-0000-0000-0000937F0000}"/>
    <cellStyle name="Note 2 2 3 4 8" xfId="14685" xr:uid="{00000000-0005-0000-0000-0000947F0000}"/>
    <cellStyle name="Note 2 2 3 4 9" xfId="14645" xr:uid="{00000000-0005-0000-0000-0000957F0000}"/>
    <cellStyle name="Note 2 2 3 5" xfId="12382" xr:uid="{00000000-0005-0000-0000-0000967F0000}"/>
    <cellStyle name="Note 2 2 3 5 10" xfId="14687" xr:uid="{00000000-0005-0000-0000-0000977F0000}"/>
    <cellStyle name="Note 2 2 3 5 11" xfId="26448" xr:uid="{00000000-0005-0000-0000-0000987F0000}"/>
    <cellStyle name="Note 2 2 3 5 12" xfId="27092" xr:uid="{00000000-0005-0000-0000-0000997F0000}"/>
    <cellStyle name="Note 2 2 3 5 13" xfId="26166" xr:uid="{00000000-0005-0000-0000-00009A7F0000}"/>
    <cellStyle name="Note 2 2 3 5 14" xfId="27650" xr:uid="{00000000-0005-0000-0000-00009B7F0000}"/>
    <cellStyle name="Note 2 2 3 5 15" xfId="27498" xr:uid="{00000000-0005-0000-0000-00009C7F0000}"/>
    <cellStyle name="Note 2 2 3 5 16" xfId="26941" xr:uid="{00000000-0005-0000-0000-00009D7F0000}"/>
    <cellStyle name="Note 2 2 3 5 17" xfId="26226" xr:uid="{00000000-0005-0000-0000-00009E7F0000}"/>
    <cellStyle name="Note 2 2 3 5 18" xfId="35131" xr:uid="{00000000-0005-0000-0000-00009F7F0000}"/>
    <cellStyle name="Note 2 2 3 5 19" xfId="35411" xr:uid="{00000000-0005-0000-0000-0000A07F0000}"/>
    <cellStyle name="Note 2 2 3 5 2" xfId="15668" xr:uid="{00000000-0005-0000-0000-0000A17F0000}"/>
    <cellStyle name="Note 2 2 3 5 3" xfId="13559" xr:uid="{00000000-0005-0000-0000-0000A27F0000}"/>
    <cellStyle name="Note 2 2 3 5 4" xfId="15025" xr:uid="{00000000-0005-0000-0000-0000A37F0000}"/>
    <cellStyle name="Note 2 2 3 5 5" xfId="14976" xr:uid="{00000000-0005-0000-0000-0000A47F0000}"/>
    <cellStyle name="Note 2 2 3 5 6" xfId="14666" xr:uid="{00000000-0005-0000-0000-0000A57F0000}"/>
    <cellStyle name="Note 2 2 3 5 7" xfId="15316" xr:uid="{00000000-0005-0000-0000-0000A67F0000}"/>
    <cellStyle name="Note 2 2 3 5 8" xfId="17823" xr:uid="{00000000-0005-0000-0000-0000A77F0000}"/>
    <cellStyle name="Note 2 2 3 5 9" xfId="15156" xr:uid="{00000000-0005-0000-0000-0000A87F0000}"/>
    <cellStyle name="Note 2 2 3 6" xfId="13856" xr:uid="{00000000-0005-0000-0000-0000A97F0000}"/>
    <cellStyle name="Note 2 2 3 7" xfId="14356" xr:uid="{00000000-0005-0000-0000-0000AA7F0000}"/>
    <cellStyle name="Note 2 2 3 8" xfId="15087" xr:uid="{00000000-0005-0000-0000-0000AB7F0000}"/>
    <cellStyle name="Note 2 2 3 9" xfId="15131" xr:uid="{00000000-0005-0000-0000-0000AC7F0000}"/>
    <cellStyle name="Note 2 2 4" xfId="12383" xr:uid="{00000000-0005-0000-0000-0000AD7F0000}"/>
    <cellStyle name="Note 2 2 4 10" xfId="24876" xr:uid="{00000000-0005-0000-0000-0000AE7F0000}"/>
    <cellStyle name="Note 2 2 4 11" xfId="25875" xr:uid="{00000000-0005-0000-0000-0000AF7F0000}"/>
    <cellStyle name="Note 2 2 4 12" xfId="28781" xr:uid="{00000000-0005-0000-0000-0000B07F0000}"/>
    <cellStyle name="Note 2 2 4 13" xfId="29798" xr:uid="{00000000-0005-0000-0000-0000B17F0000}"/>
    <cellStyle name="Note 2 2 4 14" xfId="30831" xr:uid="{00000000-0005-0000-0000-0000B27F0000}"/>
    <cellStyle name="Note 2 2 4 15" xfId="31826" xr:uid="{00000000-0005-0000-0000-0000B37F0000}"/>
    <cellStyle name="Note 2 2 4 16" xfId="32830" xr:uid="{00000000-0005-0000-0000-0000B47F0000}"/>
    <cellStyle name="Note 2 2 4 17" xfId="33833" xr:uid="{00000000-0005-0000-0000-0000B57F0000}"/>
    <cellStyle name="Note 2 2 4 18" xfId="34832" xr:uid="{00000000-0005-0000-0000-0000B67F0000}"/>
    <cellStyle name="Note 2 2 4 19" xfId="36393" xr:uid="{00000000-0005-0000-0000-0000B77F0000}"/>
    <cellStyle name="Note 2 2 4 2" xfId="16865" xr:uid="{00000000-0005-0000-0000-0000B87F0000}"/>
    <cellStyle name="Note 2 2 4 20" xfId="37392" xr:uid="{00000000-0005-0000-0000-0000B97F0000}"/>
    <cellStyle name="Note 2 2 4 3" xfId="17845" xr:uid="{00000000-0005-0000-0000-0000BA7F0000}"/>
    <cellStyle name="Note 2 2 4 4" xfId="18870" xr:uid="{00000000-0005-0000-0000-0000BB7F0000}"/>
    <cellStyle name="Note 2 2 4 5" xfId="19904" xr:uid="{00000000-0005-0000-0000-0000BC7F0000}"/>
    <cellStyle name="Note 2 2 4 6" xfId="20929" xr:uid="{00000000-0005-0000-0000-0000BD7F0000}"/>
    <cellStyle name="Note 2 2 4 7" xfId="21889" xr:uid="{00000000-0005-0000-0000-0000BE7F0000}"/>
    <cellStyle name="Note 2 2 4 8" xfId="22901" xr:uid="{00000000-0005-0000-0000-0000BF7F0000}"/>
    <cellStyle name="Note 2 2 4 9" xfId="23904" xr:uid="{00000000-0005-0000-0000-0000C07F0000}"/>
    <cellStyle name="Note 2 2 5" xfId="12384" xr:uid="{00000000-0005-0000-0000-0000C17F0000}"/>
    <cellStyle name="Note 2 2 5 10" xfId="24875" xr:uid="{00000000-0005-0000-0000-0000C27F0000}"/>
    <cellStyle name="Note 2 2 5 11" xfId="25874" xr:uid="{00000000-0005-0000-0000-0000C37F0000}"/>
    <cellStyle name="Note 2 2 5 12" xfId="28780" xr:uid="{00000000-0005-0000-0000-0000C47F0000}"/>
    <cellStyle name="Note 2 2 5 13" xfId="29797" xr:uid="{00000000-0005-0000-0000-0000C57F0000}"/>
    <cellStyle name="Note 2 2 5 14" xfId="30830" xr:uid="{00000000-0005-0000-0000-0000C67F0000}"/>
    <cellStyle name="Note 2 2 5 15" xfId="31825" xr:uid="{00000000-0005-0000-0000-0000C77F0000}"/>
    <cellStyle name="Note 2 2 5 16" xfId="32829" xr:uid="{00000000-0005-0000-0000-0000C87F0000}"/>
    <cellStyle name="Note 2 2 5 17" xfId="33832" xr:uid="{00000000-0005-0000-0000-0000C97F0000}"/>
    <cellStyle name="Note 2 2 5 18" xfId="34831" xr:uid="{00000000-0005-0000-0000-0000CA7F0000}"/>
    <cellStyle name="Note 2 2 5 19" xfId="36392" xr:uid="{00000000-0005-0000-0000-0000CB7F0000}"/>
    <cellStyle name="Note 2 2 5 2" xfId="16864" xr:uid="{00000000-0005-0000-0000-0000CC7F0000}"/>
    <cellStyle name="Note 2 2 5 20" xfId="37391" xr:uid="{00000000-0005-0000-0000-0000CD7F0000}"/>
    <cellStyle name="Note 2 2 5 3" xfId="17844" xr:uid="{00000000-0005-0000-0000-0000CE7F0000}"/>
    <cellStyle name="Note 2 2 5 4" xfId="18869" xr:uid="{00000000-0005-0000-0000-0000CF7F0000}"/>
    <cellStyle name="Note 2 2 5 5" xfId="19903" xr:uid="{00000000-0005-0000-0000-0000D07F0000}"/>
    <cellStyle name="Note 2 2 5 6" xfId="20928" xr:uid="{00000000-0005-0000-0000-0000D17F0000}"/>
    <cellStyle name="Note 2 2 5 7" xfId="21888" xr:uid="{00000000-0005-0000-0000-0000D27F0000}"/>
    <cellStyle name="Note 2 2 5 8" xfId="22900" xr:uid="{00000000-0005-0000-0000-0000D37F0000}"/>
    <cellStyle name="Note 2 2 5 9" xfId="23903" xr:uid="{00000000-0005-0000-0000-0000D47F0000}"/>
    <cellStyle name="Note 2 3" xfId="12385" xr:uid="{00000000-0005-0000-0000-0000D57F0000}"/>
    <cellStyle name="Note 2 3 10" xfId="27794" xr:uid="{00000000-0005-0000-0000-0000D67F0000}"/>
    <cellStyle name="Note 2 3 11" xfId="26248" xr:uid="{00000000-0005-0000-0000-0000D77F0000}"/>
    <cellStyle name="Note 2 3 12" xfId="27329" xr:uid="{00000000-0005-0000-0000-0000D87F0000}"/>
    <cellStyle name="Note 2 3 13" xfId="29781" xr:uid="{00000000-0005-0000-0000-0000D97F0000}"/>
    <cellStyle name="Note 2 3 14" xfId="26863" xr:uid="{00000000-0005-0000-0000-0000DA7F0000}"/>
    <cellStyle name="Note 2 3 15" xfId="34911" xr:uid="{00000000-0005-0000-0000-0000DB7F0000}"/>
    <cellStyle name="Note 2 3 16" xfId="34975" xr:uid="{00000000-0005-0000-0000-0000DC7F0000}"/>
    <cellStyle name="Note 2 3 2" xfId="12386" xr:uid="{00000000-0005-0000-0000-0000DD7F0000}"/>
    <cellStyle name="Note 2 3 2 10" xfId="17863" xr:uid="{00000000-0005-0000-0000-0000DE7F0000}"/>
    <cellStyle name="Note 2 3 2 11" xfId="14683" xr:uid="{00000000-0005-0000-0000-0000DF7F0000}"/>
    <cellStyle name="Note 2 3 2 12" xfId="15265" xr:uid="{00000000-0005-0000-0000-0000E07F0000}"/>
    <cellStyle name="Note 2 3 2 13" xfId="15516" xr:uid="{00000000-0005-0000-0000-0000E17F0000}"/>
    <cellStyle name="Note 2 3 2 14" xfId="18889" xr:uid="{00000000-0005-0000-0000-0000E27F0000}"/>
    <cellStyle name="Note 2 3 2 15" xfId="26102" xr:uid="{00000000-0005-0000-0000-0000E37F0000}"/>
    <cellStyle name="Note 2 3 2 16" xfId="27779" xr:uid="{00000000-0005-0000-0000-0000E47F0000}"/>
    <cellStyle name="Note 2 3 2 17" xfId="28760" xr:uid="{00000000-0005-0000-0000-0000E57F0000}"/>
    <cellStyle name="Note 2 3 2 18" xfId="26136" xr:uid="{00000000-0005-0000-0000-0000E67F0000}"/>
    <cellStyle name="Note 2 3 2 19" xfId="26964" xr:uid="{00000000-0005-0000-0000-0000E77F0000}"/>
    <cellStyle name="Note 2 3 2 2" xfId="12387" xr:uid="{00000000-0005-0000-0000-0000E87F0000}"/>
    <cellStyle name="Note 2 3 2 2 10" xfId="13456" xr:uid="{00000000-0005-0000-0000-0000E97F0000}"/>
    <cellStyle name="Note 2 3 2 2 11" xfId="26322" xr:uid="{00000000-0005-0000-0000-0000EA7F0000}"/>
    <cellStyle name="Note 2 3 2 2 12" xfId="27173" xr:uid="{00000000-0005-0000-0000-0000EB7F0000}"/>
    <cellStyle name="Note 2 3 2 2 13" xfId="27523" xr:uid="{00000000-0005-0000-0000-0000EC7F0000}"/>
    <cellStyle name="Note 2 3 2 2 14" xfId="26654" xr:uid="{00000000-0005-0000-0000-0000ED7F0000}"/>
    <cellStyle name="Note 2 3 2 2 15" xfId="26761" xr:uid="{00000000-0005-0000-0000-0000EE7F0000}"/>
    <cellStyle name="Note 2 3 2 2 16" xfId="26893" xr:uid="{00000000-0005-0000-0000-0000EF7F0000}"/>
    <cellStyle name="Note 2 3 2 2 17" xfId="26621" xr:uid="{00000000-0005-0000-0000-0000F07F0000}"/>
    <cellStyle name="Note 2 3 2 2 18" xfId="35018" xr:uid="{00000000-0005-0000-0000-0000F17F0000}"/>
    <cellStyle name="Note 2 3 2 2 19" xfId="35457" xr:uid="{00000000-0005-0000-0000-0000F27F0000}"/>
    <cellStyle name="Note 2 3 2 2 2" xfId="15706" xr:uid="{00000000-0005-0000-0000-0000F37F0000}"/>
    <cellStyle name="Note 2 3 2 2 3" xfId="13733" xr:uid="{00000000-0005-0000-0000-0000F47F0000}"/>
    <cellStyle name="Note 2 3 2 2 4" xfId="14198" xr:uid="{00000000-0005-0000-0000-0000F57F0000}"/>
    <cellStyle name="Note 2 3 2 2 5" xfId="15596" xr:uid="{00000000-0005-0000-0000-0000F67F0000}"/>
    <cellStyle name="Note 2 3 2 2 6" xfId="15329" xr:uid="{00000000-0005-0000-0000-0000F77F0000}"/>
    <cellStyle name="Note 2 3 2 2 7" xfId="15150" xr:uid="{00000000-0005-0000-0000-0000F87F0000}"/>
    <cellStyle name="Note 2 3 2 2 8" xfId="15633" xr:uid="{00000000-0005-0000-0000-0000F97F0000}"/>
    <cellStyle name="Note 2 3 2 2 9" xfId="15221" xr:uid="{00000000-0005-0000-0000-0000FA7F0000}"/>
    <cellStyle name="Note 2 3 2 20" xfId="27607" xr:uid="{00000000-0005-0000-0000-0000FB7F0000}"/>
    <cellStyle name="Note 2 3 2 21" xfId="27225" xr:uid="{00000000-0005-0000-0000-0000FC7F0000}"/>
    <cellStyle name="Note 2 3 2 22" xfId="34961" xr:uid="{00000000-0005-0000-0000-0000FD7F0000}"/>
    <cellStyle name="Note 2 3 2 23" xfId="35476" xr:uid="{00000000-0005-0000-0000-0000FE7F0000}"/>
    <cellStyle name="Note 2 3 2 3" xfId="12388" xr:uid="{00000000-0005-0000-0000-0000FF7F0000}"/>
    <cellStyle name="Note 2 3 2 3 10" xfId="15094" xr:uid="{00000000-0005-0000-0000-000000800000}"/>
    <cellStyle name="Note 2 3 2 3 11" xfId="26402" xr:uid="{00000000-0005-0000-0000-000001800000}"/>
    <cellStyle name="Note 2 3 2 3 12" xfId="27705" xr:uid="{00000000-0005-0000-0000-000002800000}"/>
    <cellStyle name="Note 2 3 2 3 13" xfId="26149" xr:uid="{00000000-0005-0000-0000-000003800000}"/>
    <cellStyle name="Note 2 3 2 3 14" xfId="27457" xr:uid="{00000000-0005-0000-0000-000004800000}"/>
    <cellStyle name="Note 2 3 2 3 15" xfId="26553" xr:uid="{00000000-0005-0000-0000-000005800000}"/>
    <cellStyle name="Note 2 3 2 3 16" xfId="26703" xr:uid="{00000000-0005-0000-0000-000006800000}"/>
    <cellStyle name="Note 2 3 2 3 17" xfId="26845" xr:uid="{00000000-0005-0000-0000-000007800000}"/>
    <cellStyle name="Note 2 3 2 3 18" xfId="35093" xr:uid="{00000000-0005-0000-0000-000008800000}"/>
    <cellStyle name="Note 2 3 2 3 19" xfId="35428" xr:uid="{00000000-0005-0000-0000-000009800000}"/>
    <cellStyle name="Note 2 3 2 3 2" xfId="15682" xr:uid="{00000000-0005-0000-0000-00000A800000}"/>
    <cellStyle name="Note 2 3 2 3 3" xfId="15416" xr:uid="{00000000-0005-0000-0000-00000B800000}"/>
    <cellStyle name="Note 2 3 2 3 4" xfId="14188" xr:uid="{00000000-0005-0000-0000-00000C800000}"/>
    <cellStyle name="Note 2 3 2 3 5" xfId="15822" xr:uid="{00000000-0005-0000-0000-00000D800000}"/>
    <cellStyle name="Note 2 3 2 3 6" xfId="14764" xr:uid="{00000000-0005-0000-0000-00000E800000}"/>
    <cellStyle name="Note 2 3 2 3 7" xfId="13622" xr:uid="{00000000-0005-0000-0000-00000F800000}"/>
    <cellStyle name="Note 2 3 2 3 8" xfId="14611" xr:uid="{00000000-0005-0000-0000-000010800000}"/>
    <cellStyle name="Note 2 3 2 3 9" xfId="18919" xr:uid="{00000000-0005-0000-0000-000011800000}"/>
    <cellStyle name="Note 2 3 2 4" xfId="12389" xr:uid="{00000000-0005-0000-0000-000012800000}"/>
    <cellStyle name="Note 2 3 2 4 10" xfId="14133" xr:uid="{00000000-0005-0000-0000-000013800000}"/>
    <cellStyle name="Note 2 3 2 4 11" xfId="26418" xr:uid="{00000000-0005-0000-0000-000014800000}"/>
    <cellStyle name="Note 2 3 2 4 12" xfId="27109" xr:uid="{00000000-0005-0000-0000-000015800000}"/>
    <cellStyle name="Note 2 3 2 4 13" xfId="26156" xr:uid="{00000000-0005-0000-0000-000016800000}"/>
    <cellStyle name="Note 2 3 2 4 14" xfId="25955" xr:uid="{00000000-0005-0000-0000-000017800000}"/>
    <cellStyle name="Note 2 3 2 4 15" xfId="26782" xr:uid="{00000000-0005-0000-0000-000018800000}"/>
    <cellStyle name="Note 2 3 2 4 16" xfId="26886" xr:uid="{00000000-0005-0000-0000-000019800000}"/>
    <cellStyle name="Note 2 3 2 4 17" xfId="26880" xr:uid="{00000000-0005-0000-0000-00001A800000}"/>
    <cellStyle name="Note 2 3 2 4 18" xfId="35108" xr:uid="{00000000-0005-0000-0000-00001B800000}"/>
    <cellStyle name="Note 2 3 2 4 19" xfId="35264" xr:uid="{00000000-0005-0000-0000-00001C800000}"/>
    <cellStyle name="Note 2 3 2 4 2" xfId="14867" xr:uid="{00000000-0005-0000-0000-00001D800000}"/>
    <cellStyle name="Note 2 3 2 4 3" xfId="13783" xr:uid="{00000000-0005-0000-0000-00001E800000}"/>
    <cellStyle name="Note 2 3 2 4 4" xfId="15534" xr:uid="{00000000-0005-0000-0000-00001F800000}"/>
    <cellStyle name="Note 2 3 2 4 5" xfId="14143" xr:uid="{00000000-0005-0000-0000-000020800000}"/>
    <cellStyle name="Note 2 3 2 4 6" xfId="13926" xr:uid="{00000000-0005-0000-0000-000021800000}"/>
    <cellStyle name="Note 2 3 2 4 7" xfId="13585" xr:uid="{00000000-0005-0000-0000-000022800000}"/>
    <cellStyle name="Note 2 3 2 4 8" xfId="14003" xr:uid="{00000000-0005-0000-0000-000023800000}"/>
    <cellStyle name="Note 2 3 2 4 9" xfId="14156" xr:uid="{00000000-0005-0000-0000-000024800000}"/>
    <cellStyle name="Note 2 3 2 5" xfId="12390" xr:uid="{00000000-0005-0000-0000-000025800000}"/>
    <cellStyle name="Note 2 3 2 5 10" xfId="15742" xr:uid="{00000000-0005-0000-0000-000026800000}"/>
    <cellStyle name="Note 2 3 2 5 11" xfId="26441" xr:uid="{00000000-0005-0000-0000-000027800000}"/>
    <cellStyle name="Note 2 3 2 5 12" xfId="27097" xr:uid="{00000000-0005-0000-0000-000028800000}"/>
    <cellStyle name="Note 2 3 2 5 13" xfId="26162" xr:uid="{00000000-0005-0000-0000-000029800000}"/>
    <cellStyle name="Note 2 3 2 5 14" xfId="27020" xr:uid="{00000000-0005-0000-0000-00002A800000}"/>
    <cellStyle name="Note 2 3 2 5 15" xfId="27354" xr:uid="{00000000-0005-0000-0000-00002B800000}"/>
    <cellStyle name="Note 2 3 2 5 16" xfId="27317" xr:uid="{00000000-0005-0000-0000-00002C800000}"/>
    <cellStyle name="Note 2 3 2 5 17" xfId="27541" xr:uid="{00000000-0005-0000-0000-00002D800000}"/>
    <cellStyle name="Note 2 3 2 5 18" xfId="35125" xr:uid="{00000000-0005-0000-0000-00002E800000}"/>
    <cellStyle name="Note 2 3 2 5 19" xfId="35414" xr:uid="{00000000-0005-0000-0000-00002F800000}"/>
    <cellStyle name="Note 2 3 2 5 2" xfId="15670" xr:uid="{00000000-0005-0000-0000-000030800000}"/>
    <cellStyle name="Note 2 3 2 5 3" xfId="13555" xr:uid="{00000000-0005-0000-0000-000031800000}"/>
    <cellStyle name="Note 2 3 2 5 4" xfId="15281" xr:uid="{00000000-0005-0000-0000-000032800000}"/>
    <cellStyle name="Note 2 3 2 5 5" xfId="14744" xr:uid="{00000000-0005-0000-0000-000033800000}"/>
    <cellStyle name="Note 2 3 2 5 6" xfId="15773" xr:uid="{00000000-0005-0000-0000-000034800000}"/>
    <cellStyle name="Note 2 3 2 5 7" xfId="15228" xr:uid="{00000000-0005-0000-0000-000035800000}"/>
    <cellStyle name="Note 2 3 2 5 8" xfId="13692" xr:uid="{00000000-0005-0000-0000-000036800000}"/>
    <cellStyle name="Note 2 3 2 5 9" xfId="13454" xr:uid="{00000000-0005-0000-0000-000037800000}"/>
    <cellStyle name="Note 2 3 2 6" xfId="13844" xr:uid="{00000000-0005-0000-0000-000038800000}"/>
    <cellStyle name="Note 2 3 2 7" xfId="15854" xr:uid="{00000000-0005-0000-0000-000039800000}"/>
    <cellStyle name="Note 2 3 2 8" xfId="14322" xr:uid="{00000000-0005-0000-0000-00003A800000}"/>
    <cellStyle name="Note 2 3 2 9" xfId="17859" xr:uid="{00000000-0005-0000-0000-00003B800000}"/>
    <cellStyle name="Note 2 3 3" xfId="12391" xr:uid="{00000000-0005-0000-0000-00003C800000}"/>
    <cellStyle name="Note 2 3 3 10" xfId="19888" xr:uid="{00000000-0005-0000-0000-00003D800000}"/>
    <cellStyle name="Note 2 3 3 11" xfId="14510" xr:uid="{00000000-0005-0000-0000-00003E800000}"/>
    <cellStyle name="Note 2 3 3 12" xfId="26527" xr:uid="{00000000-0005-0000-0000-00003F800000}"/>
    <cellStyle name="Note 2 3 3 13" xfId="27666" xr:uid="{00000000-0005-0000-0000-000040800000}"/>
    <cellStyle name="Note 2 3 3 14" xfId="26206" xr:uid="{00000000-0005-0000-0000-000041800000}"/>
    <cellStyle name="Note 2 3 3 15" xfId="27230" xr:uid="{00000000-0005-0000-0000-000042800000}"/>
    <cellStyle name="Note 2 3 3 16" xfId="26009" xr:uid="{00000000-0005-0000-0000-000043800000}"/>
    <cellStyle name="Note 2 3 3 17" xfId="27422" xr:uid="{00000000-0005-0000-0000-000044800000}"/>
    <cellStyle name="Note 2 3 3 18" xfId="26007" xr:uid="{00000000-0005-0000-0000-000045800000}"/>
    <cellStyle name="Note 2 3 3 19" xfId="35192" xr:uid="{00000000-0005-0000-0000-000046800000}"/>
    <cellStyle name="Note 2 3 3 2" xfId="13973" xr:uid="{00000000-0005-0000-0000-000047800000}"/>
    <cellStyle name="Note 2 3 3 20" xfId="35208" xr:uid="{00000000-0005-0000-0000-000048800000}"/>
    <cellStyle name="Note 2 3 3 3" xfId="14811" xr:uid="{00000000-0005-0000-0000-000049800000}"/>
    <cellStyle name="Note 2 3 3 4" xfId="15222" xr:uid="{00000000-0005-0000-0000-00004A800000}"/>
    <cellStyle name="Note 2 3 3 5" xfId="13605" xr:uid="{00000000-0005-0000-0000-00004B800000}"/>
    <cellStyle name="Note 2 3 3 6" xfId="15158" xr:uid="{00000000-0005-0000-0000-00004C800000}"/>
    <cellStyle name="Note 2 3 3 7" xfId="15295" xr:uid="{00000000-0005-0000-0000-00004D800000}"/>
    <cellStyle name="Note 2 3 3 8" xfId="14132" xr:uid="{00000000-0005-0000-0000-00004E800000}"/>
    <cellStyle name="Note 2 3 3 9" xfId="16845" xr:uid="{00000000-0005-0000-0000-00004F800000}"/>
    <cellStyle name="Note 2 3 4" xfId="14315" xr:uid="{00000000-0005-0000-0000-000050800000}"/>
    <cellStyle name="Note 2 3 5" xfId="15363" xr:uid="{00000000-0005-0000-0000-000051800000}"/>
    <cellStyle name="Note 2 3 6" xfId="13511" xr:uid="{00000000-0005-0000-0000-000052800000}"/>
    <cellStyle name="Note 2 3 7" xfId="13574" xr:uid="{00000000-0005-0000-0000-000053800000}"/>
    <cellStyle name="Note 2 3 8" xfId="15189" xr:uid="{00000000-0005-0000-0000-000054800000}"/>
    <cellStyle name="Note 2 3 9" xfId="26060" xr:uid="{00000000-0005-0000-0000-000055800000}"/>
    <cellStyle name="Note 2 4" xfId="12392" xr:uid="{00000000-0005-0000-0000-000056800000}"/>
    <cellStyle name="Note 2 4 10" xfId="27278" xr:uid="{00000000-0005-0000-0000-000057800000}"/>
    <cellStyle name="Note 2 4 11" xfId="25922" xr:uid="{00000000-0005-0000-0000-000058800000}"/>
    <cellStyle name="Note 2 4 12" xfId="26722" xr:uid="{00000000-0005-0000-0000-000059800000}"/>
    <cellStyle name="Note 2 4 13" xfId="26960" xr:uid="{00000000-0005-0000-0000-00005A800000}"/>
    <cellStyle name="Note 2 4 14" xfId="26866" xr:uid="{00000000-0005-0000-0000-00005B800000}"/>
    <cellStyle name="Note 2 4 15" xfId="34912" xr:uid="{00000000-0005-0000-0000-00005C800000}"/>
    <cellStyle name="Note 2 4 16" xfId="34932" xr:uid="{00000000-0005-0000-0000-00005D800000}"/>
    <cellStyle name="Note 2 4 2" xfId="12393" xr:uid="{00000000-0005-0000-0000-00005E800000}"/>
    <cellStyle name="Note 2 4 2 10" xfId="13789" xr:uid="{00000000-0005-0000-0000-00005F800000}"/>
    <cellStyle name="Note 2 4 2 11" xfId="13648" xr:uid="{00000000-0005-0000-0000-000060800000}"/>
    <cellStyle name="Note 2 4 2 12" xfId="13528" xr:uid="{00000000-0005-0000-0000-000061800000}"/>
    <cellStyle name="Note 2 4 2 13" xfId="14180" xr:uid="{00000000-0005-0000-0000-000062800000}"/>
    <cellStyle name="Note 2 4 2 14" xfId="21895" xr:uid="{00000000-0005-0000-0000-000063800000}"/>
    <cellStyle name="Note 2 4 2 15" xfId="26103" xr:uid="{00000000-0005-0000-0000-000064800000}"/>
    <cellStyle name="Note 2 4 2 16" xfId="27260" xr:uid="{00000000-0005-0000-0000-000065800000}"/>
    <cellStyle name="Note 2 4 2 17" xfId="27760" xr:uid="{00000000-0005-0000-0000-000066800000}"/>
    <cellStyle name="Note 2 4 2 18" xfId="27252" xr:uid="{00000000-0005-0000-0000-000067800000}"/>
    <cellStyle name="Note 2 4 2 19" xfId="26931" xr:uid="{00000000-0005-0000-0000-000068800000}"/>
    <cellStyle name="Note 2 4 2 2" xfId="12394" xr:uid="{00000000-0005-0000-0000-000069800000}"/>
    <cellStyle name="Note 2 4 2 2 10" xfId="14583" xr:uid="{00000000-0005-0000-0000-00006A800000}"/>
    <cellStyle name="Note 2 4 2 2 11" xfId="26323" xr:uid="{00000000-0005-0000-0000-00006B800000}"/>
    <cellStyle name="Note 2 4 2 2 12" xfId="27732" xr:uid="{00000000-0005-0000-0000-00006C800000}"/>
    <cellStyle name="Note 2 4 2 2 13" xfId="26121" xr:uid="{00000000-0005-0000-0000-00006D800000}"/>
    <cellStyle name="Note 2 4 2 2 14" xfId="26718" xr:uid="{00000000-0005-0000-0000-00006E800000}"/>
    <cellStyle name="Note 2 4 2 2 15" xfId="26762" xr:uid="{00000000-0005-0000-0000-00006F800000}"/>
    <cellStyle name="Note 2 4 2 2 16" xfId="27762" xr:uid="{00000000-0005-0000-0000-000070800000}"/>
    <cellStyle name="Note 2 4 2 2 17" xfId="26218" xr:uid="{00000000-0005-0000-0000-000071800000}"/>
    <cellStyle name="Note 2 4 2 2 18" xfId="35019" xr:uid="{00000000-0005-0000-0000-000072800000}"/>
    <cellStyle name="Note 2 4 2 2 19" xfId="35327" xr:uid="{00000000-0005-0000-0000-000073800000}"/>
    <cellStyle name="Note 2 4 2 2 2" xfId="14923" xr:uid="{00000000-0005-0000-0000-000074800000}"/>
    <cellStyle name="Note 2 4 2 2 3" xfId="13734" xr:uid="{00000000-0005-0000-0000-000075800000}"/>
    <cellStyle name="Note 2 4 2 2 4" xfId="14636" xr:uid="{00000000-0005-0000-0000-000076800000}"/>
    <cellStyle name="Note 2 4 2 2 5" xfId="13637" xr:uid="{00000000-0005-0000-0000-000077800000}"/>
    <cellStyle name="Note 2 4 2 2 6" xfId="14784" xr:uid="{00000000-0005-0000-0000-000078800000}"/>
    <cellStyle name="Note 2 4 2 2 7" xfId="15500" xr:uid="{00000000-0005-0000-0000-000079800000}"/>
    <cellStyle name="Note 2 4 2 2 8" xfId="14615" xr:uid="{00000000-0005-0000-0000-00007A800000}"/>
    <cellStyle name="Note 2 4 2 2 9" xfId="18890" xr:uid="{00000000-0005-0000-0000-00007B800000}"/>
    <cellStyle name="Note 2 4 2 20" xfId="27462" xr:uid="{00000000-0005-0000-0000-00007C800000}"/>
    <cellStyle name="Note 2 4 2 21" xfId="26691" xr:uid="{00000000-0005-0000-0000-00007D800000}"/>
    <cellStyle name="Note 2 4 2 22" xfId="34962" xr:uid="{00000000-0005-0000-0000-00007E800000}"/>
    <cellStyle name="Note 2 4 2 23" xfId="35366" xr:uid="{00000000-0005-0000-0000-00007F800000}"/>
    <cellStyle name="Note 2 4 2 3" xfId="12395" xr:uid="{00000000-0005-0000-0000-000080800000}"/>
    <cellStyle name="Note 2 4 2 3 10" xfId="15270" xr:uid="{00000000-0005-0000-0000-000081800000}"/>
    <cellStyle name="Note 2 4 2 3 11" xfId="26403" xr:uid="{00000000-0005-0000-0000-000082800000}"/>
    <cellStyle name="Note 2 4 2 3 12" xfId="27121" xr:uid="{00000000-0005-0000-0000-000083800000}"/>
    <cellStyle name="Note 2 4 2 3 13" xfId="26150" xr:uid="{00000000-0005-0000-0000-000084800000}"/>
    <cellStyle name="Note 2 4 2 3 14" xfId="27584" xr:uid="{00000000-0005-0000-0000-000085800000}"/>
    <cellStyle name="Note 2 4 2 3 15" xfId="26582" xr:uid="{00000000-0005-0000-0000-000086800000}"/>
    <cellStyle name="Note 2 4 2 3 16" xfId="26601" xr:uid="{00000000-0005-0000-0000-000087800000}"/>
    <cellStyle name="Note 2 4 2 3 17" xfId="27327" xr:uid="{00000000-0005-0000-0000-000088800000}"/>
    <cellStyle name="Note 2 4 2 3 18" xfId="35094" xr:uid="{00000000-0005-0000-0000-000089800000}"/>
    <cellStyle name="Note 2 4 2 3 19" xfId="35276" xr:uid="{00000000-0005-0000-0000-00008A800000}"/>
    <cellStyle name="Note 2 4 2 3 2" xfId="14876" xr:uid="{00000000-0005-0000-0000-00008B800000}"/>
    <cellStyle name="Note 2 4 2 3 3" xfId="15208" xr:uid="{00000000-0005-0000-0000-00008C800000}"/>
    <cellStyle name="Note 2 4 2 3 4" xfId="14301" xr:uid="{00000000-0005-0000-0000-00008D800000}"/>
    <cellStyle name="Note 2 4 2 3 5" xfId="14092" xr:uid="{00000000-0005-0000-0000-00008E800000}"/>
    <cellStyle name="Note 2 4 2 3 6" xfId="15456" xr:uid="{00000000-0005-0000-0000-00008F800000}"/>
    <cellStyle name="Note 2 4 2 3 7" xfId="15059" xr:uid="{00000000-0005-0000-0000-000090800000}"/>
    <cellStyle name="Note 2 4 2 3 8" xfId="17861" xr:uid="{00000000-0005-0000-0000-000091800000}"/>
    <cellStyle name="Note 2 4 2 3 9" xfId="14204" xr:uid="{00000000-0005-0000-0000-000092800000}"/>
    <cellStyle name="Note 2 4 2 4" xfId="12396" xr:uid="{00000000-0005-0000-0000-000093800000}"/>
    <cellStyle name="Note 2 4 2 4 10" xfId="13621" xr:uid="{00000000-0005-0000-0000-000094800000}"/>
    <cellStyle name="Note 2 4 2 4 11" xfId="26419" xr:uid="{00000000-0005-0000-0000-000095800000}"/>
    <cellStyle name="Note 2 4 2 4 12" xfId="27108" xr:uid="{00000000-0005-0000-0000-000096800000}"/>
    <cellStyle name="Note 2 4 2 4 13" xfId="25945" xr:uid="{00000000-0005-0000-0000-000097800000}"/>
    <cellStyle name="Note 2 4 2 4 14" xfId="26712" xr:uid="{00000000-0005-0000-0000-000098800000}"/>
    <cellStyle name="Note 2 4 2 4 15" xfId="27496" xr:uid="{00000000-0005-0000-0000-000099800000}"/>
    <cellStyle name="Note 2 4 2 4 16" xfId="29812" xr:uid="{00000000-0005-0000-0000-00009A800000}"/>
    <cellStyle name="Note 2 4 2 4 17" xfId="27219" xr:uid="{00000000-0005-0000-0000-00009B800000}"/>
    <cellStyle name="Note 2 4 2 4 18" xfId="35109" xr:uid="{00000000-0005-0000-0000-00009C800000}"/>
    <cellStyle name="Note 2 4 2 4 19" xfId="35263" xr:uid="{00000000-0005-0000-0000-00009D800000}"/>
    <cellStyle name="Note 2 4 2 4 2" xfId="14866" xr:uid="{00000000-0005-0000-0000-00009E800000}"/>
    <cellStyle name="Note 2 4 2 4 3" xfId="14430" xr:uid="{00000000-0005-0000-0000-00009F800000}"/>
    <cellStyle name="Note 2 4 2 4 4" xfId="15282" xr:uid="{00000000-0005-0000-0000-0000A0800000}"/>
    <cellStyle name="Note 2 4 2 4 5" xfId="14741" xr:uid="{00000000-0005-0000-0000-0000A1800000}"/>
    <cellStyle name="Note 2 4 2 4 6" xfId="13902" xr:uid="{00000000-0005-0000-0000-0000A2800000}"/>
    <cellStyle name="Note 2 4 2 4 7" xfId="15466" xr:uid="{00000000-0005-0000-0000-0000A3800000}"/>
    <cellStyle name="Note 2 4 2 4 8" xfId="14851" xr:uid="{00000000-0005-0000-0000-0000A4800000}"/>
    <cellStyle name="Note 2 4 2 4 9" xfId="14102" xr:uid="{00000000-0005-0000-0000-0000A5800000}"/>
    <cellStyle name="Note 2 4 2 5" xfId="12397" xr:uid="{00000000-0005-0000-0000-0000A6800000}"/>
    <cellStyle name="Note 2 4 2 5 10" xfId="15743" xr:uid="{00000000-0005-0000-0000-0000A7800000}"/>
    <cellStyle name="Note 2 4 2 5 11" xfId="26440" xr:uid="{00000000-0005-0000-0000-0000A8800000}"/>
    <cellStyle name="Note 2 4 2 5 12" xfId="27098" xr:uid="{00000000-0005-0000-0000-0000A9800000}"/>
    <cellStyle name="Note 2 4 2 5 13" xfId="27535" xr:uid="{00000000-0005-0000-0000-0000AA800000}"/>
    <cellStyle name="Note 2 4 2 5 14" xfId="27238" xr:uid="{00000000-0005-0000-0000-0000AB800000}"/>
    <cellStyle name="Note 2 4 2 5 15" xfId="27841" xr:uid="{00000000-0005-0000-0000-0000AC800000}"/>
    <cellStyle name="Note 2 4 2 5 16" xfId="26666" xr:uid="{00000000-0005-0000-0000-0000AD800000}"/>
    <cellStyle name="Note 2 4 2 5 17" xfId="26846" xr:uid="{00000000-0005-0000-0000-0000AE800000}"/>
    <cellStyle name="Note 2 4 2 5 18" xfId="35124" xr:uid="{00000000-0005-0000-0000-0000AF800000}"/>
    <cellStyle name="Note 2 4 2 5 19" xfId="35253" xr:uid="{00000000-0005-0000-0000-0000B0800000}"/>
    <cellStyle name="Note 2 4 2 5 2" xfId="14855" xr:uid="{00000000-0005-0000-0000-0000B1800000}"/>
    <cellStyle name="Note 2 4 2 5 3" xfId="13947" xr:uid="{00000000-0005-0000-0000-0000B2800000}"/>
    <cellStyle name="Note 2 4 2 5 4" xfId="14621" xr:uid="{00000000-0005-0000-0000-0000B3800000}"/>
    <cellStyle name="Note 2 4 2 5 5" xfId="15499" xr:uid="{00000000-0005-0000-0000-0000B4800000}"/>
    <cellStyle name="Note 2 4 2 5 6" xfId="15298" xr:uid="{00000000-0005-0000-0000-0000B5800000}"/>
    <cellStyle name="Note 2 4 2 5 7" xfId="13868" xr:uid="{00000000-0005-0000-0000-0000B6800000}"/>
    <cellStyle name="Note 2 4 2 5 8" xfId="14330" xr:uid="{00000000-0005-0000-0000-0000B7800000}"/>
    <cellStyle name="Note 2 4 2 5 9" xfId="14586" xr:uid="{00000000-0005-0000-0000-0000B8800000}"/>
    <cellStyle name="Note 2 4 2 6" xfId="15792" xr:uid="{00000000-0005-0000-0000-0000B9800000}"/>
    <cellStyle name="Note 2 4 2 7" xfId="14974" xr:uid="{00000000-0005-0000-0000-0000BA800000}"/>
    <cellStyle name="Note 2 4 2 8" xfId="13688" xr:uid="{00000000-0005-0000-0000-0000BB800000}"/>
    <cellStyle name="Note 2 4 2 9" xfId="15293" xr:uid="{00000000-0005-0000-0000-0000BC800000}"/>
    <cellStyle name="Note 2 4 3" xfId="12398" xr:uid="{00000000-0005-0000-0000-0000BD800000}"/>
    <cellStyle name="Note 2 4 3 10" xfId="15846" xr:uid="{00000000-0005-0000-0000-0000BE800000}"/>
    <cellStyle name="Note 2 4 3 11" xfId="14714" xr:uid="{00000000-0005-0000-0000-0000BF800000}"/>
    <cellStyle name="Note 2 4 3 12" xfId="26528" xr:uid="{00000000-0005-0000-0000-0000C0800000}"/>
    <cellStyle name="Note 2 4 3 13" xfId="27044" xr:uid="{00000000-0005-0000-0000-0000C1800000}"/>
    <cellStyle name="Note 2 4 3 14" xfId="26207" xr:uid="{00000000-0005-0000-0000-0000C2800000}"/>
    <cellStyle name="Note 2 4 3 15" xfId="27763" xr:uid="{00000000-0005-0000-0000-0000C3800000}"/>
    <cellStyle name="Note 2 4 3 16" xfId="26016" xr:uid="{00000000-0005-0000-0000-0000C4800000}"/>
    <cellStyle name="Note 2 4 3 17" xfId="27313" xr:uid="{00000000-0005-0000-0000-0000C5800000}"/>
    <cellStyle name="Note 2 4 3 18" xfId="26753" xr:uid="{00000000-0005-0000-0000-0000C6800000}"/>
    <cellStyle name="Note 2 4 3 19" xfId="35193" xr:uid="{00000000-0005-0000-0000-0000C7800000}"/>
    <cellStyle name="Note 2 4 3 2" xfId="13974" xr:uid="{00000000-0005-0000-0000-0000C8800000}"/>
    <cellStyle name="Note 2 4 3 20" xfId="35207" xr:uid="{00000000-0005-0000-0000-0000C9800000}"/>
    <cellStyle name="Note 2 4 3 3" xfId="14810" xr:uid="{00000000-0005-0000-0000-0000CA800000}"/>
    <cellStyle name="Note 2 4 3 4" xfId="15433" xr:uid="{00000000-0005-0000-0000-0000CB800000}"/>
    <cellStyle name="Note 2 4 3 5" xfId="15753" xr:uid="{00000000-0005-0000-0000-0000CC800000}"/>
    <cellStyle name="Note 2 4 3 6" xfId="14403" xr:uid="{00000000-0005-0000-0000-0000CD800000}"/>
    <cellStyle name="Note 2 4 3 7" xfId="15638" xr:uid="{00000000-0005-0000-0000-0000CE800000}"/>
    <cellStyle name="Note 2 4 3 8" xfId="14079" xr:uid="{00000000-0005-0000-0000-0000CF800000}"/>
    <cellStyle name="Note 2 4 3 9" xfId="14994" xr:uid="{00000000-0005-0000-0000-0000D0800000}"/>
    <cellStyle name="Note 2 4 4" xfId="14380" xr:uid="{00000000-0005-0000-0000-0000D1800000}"/>
    <cellStyle name="Note 2 4 5" xfId="15785" xr:uid="{00000000-0005-0000-0000-0000D2800000}"/>
    <cellStyle name="Note 2 4 6" xfId="14127" xr:uid="{00000000-0005-0000-0000-0000D3800000}"/>
    <cellStyle name="Note 2 4 7" xfId="15794" xr:uid="{00000000-0005-0000-0000-0000D4800000}"/>
    <cellStyle name="Note 2 4 8" xfId="19883" xr:uid="{00000000-0005-0000-0000-0000D5800000}"/>
    <cellStyle name="Note 2 4 9" xfId="26061" xr:uid="{00000000-0005-0000-0000-0000D6800000}"/>
    <cellStyle name="Note 2 5" xfId="12399" xr:uid="{00000000-0005-0000-0000-0000D7800000}"/>
    <cellStyle name="Note 2 5 10" xfId="13594" xr:uid="{00000000-0005-0000-0000-0000D8800000}"/>
    <cellStyle name="Note 2 5 11" xfId="15477" xr:uid="{00000000-0005-0000-0000-0000D9800000}"/>
    <cellStyle name="Note 2 5 12" xfId="21855" xr:uid="{00000000-0005-0000-0000-0000DA800000}"/>
    <cellStyle name="Note 2 5 13" xfId="13807" xr:uid="{00000000-0005-0000-0000-0000DB800000}"/>
    <cellStyle name="Note 2 5 14" xfId="15779" xr:uid="{00000000-0005-0000-0000-0000DC800000}"/>
    <cellStyle name="Note 2 5 15" xfId="26082" xr:uid="{00000000-0005-0000-0000-0000DD800000}"/>
    <cellStyle name="Note 2 5 16" xfId="27787" xr:uid="{00000000-0005-0000-0000-0000DE800000}"/>
    <cellStyle name="Note 2 5 17" xfId="26436" xr:uid="{00000000-0005-0000-0000-0000DF800000}"/>
    <cellStyle name="Note 2 5 18" xfId="26572" xr:uid="{00000000-0005-0000-0000-0000E0800000}"/>
    <cellStyle name="Note 2 5 19" xfId="27471" xr:uid="{00000000-0005-0000-0000-0000E1800000}"/>
    <cellStyle name="Note 2 5 2" xfId="12400" xr:uid="{00000000-0005-0000-0000-0000E2800000}"/>
    <cellStyle name="Note 2 5 2 10" xfId="14135" xr:uid="{00000000-0005-0000-0000-0000E3800000}"/>
    <cellStyle name="Note 2 5 2 11" xfId="26304" xr:uid="{00000000-0005-0000-0000-0000E4800000}"/>
    <cellStyle name="Note 2 5 2 12" xfId="27185" xr:uid="{00000000-0005-0000-0000-0000E5800000}"/>
    <cellStyle name="Note 2 5 2 13" xfId="26817" xr:uid="{00000000-0005-0000-0000-0000E6800000}"/>
    <cellStyle name="Note 2 5 2 14" xfId="27659" xr:uid="{00000000-0005-0000-0000-0000E7800000}"/>
    <cellStyle name="Note 2 5 2 15" xfId="26758" xr:uid="{00000000-0005-0000-0000-0000E8800000}"/>
    <cellStyle name="Note 2 5 2 16" xfId="27571" xr:uid="{00000000-0005-0000-0000-0000E9800000}"/>
    <cellStyle name="Note 2 5 2 17" xfId="27542" xr:uid="{00000000-0005-0000-0000-0000EA800000}"/>
    <cellStyle name="Note 2 5 2 18" xfId="35000" xr:uid="{00000000-0005-0000-0000-0000EB800000}"/>
    <cellStyle name="Note 2 5 2 19" xfId="35339" xr:uid="{00000000-0005-0000-0000-0000EC800000}"/>
    <cellStyle name="Note 2 5 2 2" xfId="14931" xr:uid="{00000000-0005-0000-0000-0000ED800000}"/>
    <cellStyle name="Note 2 5 2 3" xfId="13722" xr:uid="{00000000-0005-0000-0000-0000EE800000}"/>
    <cellStyle name="Note 2 5 2 4" xfId="14638" xr:uid="{00000000-0005-0000-0000-0000EF800000}"/>
    <cellStyle name="Note 2 5 2 5" xfId="14548" xr:uid="{00000000-0005-0000-0000-0000F0800000}"/>
    <cellStyle name="Note 2 5 2 6" xfId="14348" xr:uid="{00000000-0005-0000-0000-0000F1800000}"/>
    <cellStyle name="Note 2 5 2 7" xfId="14717" xr:uid="{00000000-0005-0000-0000-0000F2800000}"/>
    <cellStyle name="Note 2 5 2 8" xfId="14584" xr:uid="{00000000-0005-0000-0000-0000F3800000}"/>
    <cellStyle name="Note 2 5 2 9" xfId="13601" xr:uid="{00000000-0005-0000-0000-0000F4800000}"/>
    <cellStyle name="Note 2 5 20" xfId="27416" xr:uid="{00000000-0005-0000-0000-0000F5800000}"/>
    <cellStyle name="Note 2 5 21" xfId="30839" xr:uid="{00000000-0005-0000-0000-0000F6800000}"/>
    <cellStyle name="Note 2 5 22" xfId="34943" xr:uid="{00000000-0005-0000-0000-0000F7800000}"/>
    <cellStyle name="Note 2 5 23" xfId="34929" xr:uid="{00000000-0005-0000-0000-0000F8800000}"/>
    <cellStyle name="Note 2 5 3" xfId="12401" xr:uid="{00000000-0005-0000-0000-0000F9800000}"/>
    <cellStyle name="Note 2 5 3 10" xfId="14609" xr:uid="{00000000-0005-0000-0000-0000FA800000}"/>
    <cellStyle name="Note 2 5 3 11" xfId="26384" xr:uid="{00000000-0005-0000-0000-0000FB800000}"/>
    <cellStyle name="Note 2 5 3 12" xfId="27711" xr:uid="{00000000-0005-0000-0000-0000FC800000}"/>
    <cellStyle name="Note 2 5 3 13" xfId="26830" xr:uid="{00000000-0005-0000-0000-0000FD800000}"/>
    <cellStyle name="Note 2 5 3 14" xfId="25991" xr:uid="{00000000-0005-0000-0000-0000FE800000}"/>
    <cellStyle name="Note 2 5 3 15" xfId="25881" xr:uid="{00000000-0005-0000-0000-0000FF800000}"/>
    <cellStyle name="Note 2 5 3 16" xfId="27623" xr:uid="{00000000-0005-0000-0000-000000810000}"/>
    <cellStyle name="Note 2 5 3 17" xfId="27218" xr:uid="{00000000-0005-0000-0000-000001810000}"/>
    <cellStyle name="Note 2 5 3 18" xfId="35075" xr:uid="{00000000-0005-0000-0000-000002810000}"/>
    <cellStyle name="Note 2 5 3 19" xfId="35288" xr:uid="{00000000-0005-0000-0000-000003810000}"/>
    <cellStyle name="Note 2 5 3 2" xfId="15685" xr:uid="{00000000-0005-0000-0000-000004810000}"/>
    <cellStyle name="Note 2 5 3 3" xfId="14053" xr:uid="{00000000-0005-0000-0000-000005810000}"/>
    <cellStyle name="Note 2 5 3 4" xfId="14788" xr:uid="{00000000-0005-0000-0000-000006810000}"/>
    <cellStyle name="Note 2 5 3 5" xfId="13818" xr:uid="{00000000-0005-0000-0000-000007810000}"/>
    <cellStyle name="Note 2 5 3 6" xfId="14503" xr:uid="{00000000-0005-0000-0000-000008810000}"/>
    <cellStyle name="Note 2 5 3 7" xfId="13532" xr:uid="{00000000-0005-0000-0000-000009810000}"/>
    <cellStyle name="Note 2 5 3 8" xfId="14982" xr:uid="{00000000-0005-0000-0000-00000A810000}"/>
    <cellStyle name="Note 2 5 3 9" xfId="15505" xr:uid="{00000000-0005-0000-0000-00000B810000}"/>
    <cellStyle name="Note 2 5 4" xfId="12402" xr:uid="{00000000-0005-0000-0000-00000C810000}"/>
    <cellStyle name="Note 2 5 4 10" xfId="14571" xr:uid="{00000000-0005-0000-0000-00000D810000}"/>
    <cellStyle name="Note 2 5 4 11" xfId="26362" xr:uid="{00000000-0005-0000-0000-00000E810000}"/>
    <cellStyle name="Note 2 5 4 12" xfId="25908" xr:uid="{00000000-0005-0000-0000-00000F810000}"/>
    <cellStyle name="Note 2 5 4 13" xfId="25975" xr:uid="{00000000-0005-0000-0000-000010810000}"/>
    <cellStyle name="Note 2 5 4 14" xfId="27418" xr:uid="{00000000-0005-0000-0000-000011810000}"/>
    <cellStyle name="Note 2 5 4 15" xfId="26000" xr:uid="{00000000-0005-0000-0000-000012810000}"/>
    <cellStyle name="Note 2 5 4 16" xfId="26675" xr:uid="{00000000-0005-0000-0000-000013810000}"/>
    <cellStyle name="Note 2 5 4 17" xfId="26706" xr:uid="{00000000-0005-0000-0000-000014810000}"/>
    <cellStyle name="Note 2 5 4 18" xfId="35054" xr:uid="{00000000-0005-0000-0000-000015810000}"/>
    <cellStyle name="Note 2 5 4 19" xfId="35297" xr:uid="{00000000-0005-0000-0000-000016810000}"/>
    <cellStyle name="Note 2 5 4 2" xfId="13615" xr:uid="{00000000-0005-0000-0000-000017810000}"/>
    <cellStyle name="Note 2 5 4 3" xfId="13759" xr:uid="{00000000-0005-0000-0000-000018810000}"/>
    <cellStyle name="Note 2 5 4 4" xfId="15539" xr:uid="{00000000-0005-0000-0000-000019810000}"/>
    <cellStyle name="Note 2 5 4 5" xfId="14554" xr:uid="{00000000-0005-0000-0000-00001A810000}"/>
    <cellStyle name="Note 2 5 4 6" xfId="15567" xr:uid="{00000000-0005-0000-0000-00001B810000}"/>
    <cellStyle name="Note 2 5 4 7" xfId="15519" xr:uid="{00000000-0005-0000-0000-00001C810000}"/>
    <cellStyle name="Note 2 5 4 8" xfId="14002" xr:uid="{00000000-0005-0000-0000-00001D810000}"/>
    <cellStyle name="Note 2 5 4 9" xfId="15486" xr:uid="{00000000-0005-0000-0000-00001E810000}"/>
    <cellStyle name="Note 2 5 5" xfId="12403" xr:uid="{00000000-0005-0000-0000-00001F810000}"/>
    <cellStyle name="Note 2 5 5 10" xfId="14240" xr:uid="{00000000-0005-0000-0000-000020810000}"/>
    <cellStyle name="Note 2 5 5 11" xfId="26370" xr:uid="{00000000-0005-0000-0000-000021810000}"/>
    <cellStyle name="Note 2 5 5 12" xfId="25905" xr:uid="{00000000-0005-0000-0000-000022810000}"/>
    <cellStyle name="Note 2 5 5 13" xfId="26828" xr:uid="{00000000-0005-0000-0000-000023810000}"/>
    <cellStyle name="Note 2 5 5 14" xfId="26648" xr:uid="{00000000-0005-0000-0000-000024810000}"/>
    <cellStyle name="Note 2 5 5 15" xfId="26193" xr:uid="{00000000-0005-0000-0000-000025810000}"/>
    <cellStyle name="Note 2 5 5 16" xfId="27004" xr:uid="{00000000-0005-0000-0000-000026810000}"/>
    <cellStyle name="Note 2 5 5 17" xfId="26614" xr:uid="{00000000-0005-0000-0000-000027810000}"/>
    <cellStyle name="Note 2 5 5 18" xfId="35062" xr:uid="{00000000-0005-0000-0000-000028810000}"/>
    <cellStyle name="Note 2 5 5 19" xfId="34846" xr:uid="{00000000-0005-0000-0000-000029810000}"/>
    <cellStyle name="Note 2 5 5 2" xfId="14893" xr:uid="{00000000-0005-0000-0000-00002A810000}"/>
    <cellStyle name="Note 2 5 5 3" xfId="14049" xr:uid="{00000000-0005-0000-0000-00002B810000}"/>
    <cellStyle name="Note 2 5 5 4" xfId="15630" xr:uid="{00000000-0005-0000-0000-00002C810000}"/>
    <cellStyle name="Note 2 5 5 5" xfId="15440" xr:uid="{00000000-0005-0000-0000-00002D810000}"/>
    <cellStyle name="Note 2 5 5 6" xfId="15781" xr:uid="{00000000-0005-0000-0000-00002E810000}"/>
    <cellStyle name="Note 2 5 5 7" xfId="13506" xr:uid="{00000000-0005-0000-0000-00002F810000}"/>
    <cellStyle name="Note 2 5 5 8" xfId="15605" xr:uid="{00000000-0005-0000-0000-000030810000}"/>
    <cellStyle name="Note 2 5 5 9" xfId="14275" xr:uid="{00000000-0005-0000-0000-000031810000}"/>
    <cellStyle name="Note 2 5 6" xfId="13857" xr:uid="{00000000-0005-0000-0000-000032810000}"/>
    <cellStyle name="Note 2 5 7" xfId="13991" xr:uid="{00000000-0005-0000-0000-000033810000}"/>
    <cellStyle name="Note 2 5 8" xfId="15048" xr:uid="{00000000-0005-0000-0000-000034810000}"/>
    <cellStyle name="Note 2 5 9" xfId="13538" xr:uid="{00000000-0005-0000-0000-000035810000}"/>
    <cellStyle name="Note 2 6" xfId="12404" xr:uid="{00000000-0005-0000-0000-000036810000}"/>
    <cellStyle name="Note 2 6 10" xfId="18898" xr:uid="{00000000-0005-0000-0000-000037810000}"/>
    <cellStyle name="Note 2 6 11" xfId="14654" xr:uid="{00000000-0005-0000-0000-000038810000}"/>
    <cellStyle name="Note 2 6 12" xfId="26529" xr:uid="{00000000-0005-0000-0000-000039810000}"/>
    <cellStyle name="Note 2 6 13" xfId="27043" xr:uid="{00000000-0005-0000-0000-00003A810000}"/>
    <cellStyle name="Note 2 6 14" xfId="26208" xr:uid="{00000000-0005-0000-0000-00003B810000}"/>
    <cellStyle name="Note 2 6 15" xfId="27229" xr:uid="{00000000-0005-0000-0000-00003C810000}"/>
    <cellStyle name="Note 2 6 16" xfId="25983" xr:uid="{00000000-0005-0000-0000-00003D810000}"/>
    <cellStyle name="Note 2 6 17" xfId="27244" xr:uid="{00000000-0005-0000-0000-00003E810000}"/>
    <cellStyle name="Note 2 6 18" xfId="25957" xr:uid="{00000000-0005-0000-0000-00003F810000}"/>
    <cellStyle name="Note 2 6 19" xfId="35194" xr:uid="{00000000-0005-0000-0000-000040810000}"/>
    <cellStyle name="Note 2 6 2" xfId="13975" xr:uid="{00000000-0005-0000-0000-000041810000}"/>
    <cellStyle name="Note 2 6 20" xfId="35206" xr:uid="{00000000-0005-0000-0000-000042810000}"/>
    <cellStyle name="Note 2 6 3" xfId="15642" xr:uid="{00000000-0005-0000-0000-000043810000}"/>
    <cellStyle name="Note 2 6 4" xfId="14083" xr:uid="{00000000-0005-0000-0000-000044810000}"/>
    <cellStyle name="Note 2 6 5" xfId="17348" xr:uid="{00000000-0005-0000-0000-000045810000}"/>
    <cellStyle name="Note 2 6 6" xfId="15848" xr:uid="{00000000-0005-0000-0000-000046810000}"/>
    <cellStyle name="Note 2 6 7" xfId="14657" xr:uid="{00000000-0005-0000-0000-000047810000}"/>
    <cellStyle name="Note 2 6 8" xfId="14721" xr:uid="{00000000-0005-0000-0000-000048810000}"/>
    <cellStyle name="Note 2 6 9" xfId="13909" xr:uid="{00000000-0005-0000-0000-000049810000}"/>
    <cellStyle name="Note 2 7" xfId="12405" xr:uid="{00000000-0005-0000-0000-00004A810000}"/>
    <cellStyle name="Note 2 8" xfId="12406" xr:uid="{00000000-0005-0000-0000-00004B810000}"/>
    <cellStyle name="Note 2 8 10" xfId="24867" xr:uid="{00000000-0005-0000-0000-00004C810000}"/>
    <cellStyle name="Note 2 8 11" xfId="25866" xr:uid="{00000000-0005-0000-0000-00004D810000}"/>
    <cellStyle name="Note 2 8 12" xfId="28772" xr:uid="{00000000-0005-0000-0000-00004E810000}"/>
    <cellStyle name="Note 2 8 13" xfId="29789" xr:uid="{00000000-0005-0000-0000-00004F810000}"/>
    <cellStyle name="Note 2 8 14" xfId="30822" xr:uid="{00000000-0005-0000-0000-000050810000}"/>
    <cellStyle name="Note 2 8 15" xfId="31817" xr:uid="{00000000-0005-0000-0000-000051810000}"/>
    <cellStyle name="Note 2 8 16" xfId="32821" xr:uid="{00000000-0005-0000-0000-000052810000}"/>
    <cellStyle name="Note 2 8 17" xfId="33824" xr:uid="{00000000-0005-0000-0000-000053810000}"/>
    <cellStyle name="Note 2 8 18" xfId="34823" xr:uid="{00000000-0005-0000-0000-000054810000}"/>
    <cellStyle name="Note 2 8 19" xfId="36384" xr:uid="{00000000-0005-0000-0000-000055810000}"/>
    <cellStyle name="Note 2 8 2" xfId="16856" xr:uid="{00000000-0005-0000-0000-000056810000}"/>
    <cellStyle name="Note 2 8 20" xfId="37383" xr:uid="{00000000-0005-0000-0000-000057810000}"/>
    <cellStyle name="Note 2 8 3" xfId="17836" xr:uid="{00000000-0005-0000-0000-000058810000}"/>
    <cellStyle name="Note 2 8 4" xfId="18861" xr:uid="{00000000-0005-0000-0000-000059810000}"/>
    <cellStyle name="Note 2 8 5" xfId="19895" xr:uid="{00000000-0005-0000-0000-00005A810000}"/>
    <cellStyle name="Note 2 8 6" xfId="20920" xr:uid="{00000000-0005-0000-0000-00005B810000}"/>
    <cellStyle name="Note 2 8 7" xfId="21880" xr:uid="{00000000-0005-0000-0000-00005C810000}"/>
    <cellStyle name="Note 2 8 8" xfId="22892" xr:uid="{00000000-0005-0000-0000-00005D810000}"/>
    <cellStyle name="Note 2 8 9" xfId="23895" xr:uid="{00000000-0005-0000-0000-00005E810000}"/>
    <cellStyle name="Note 2 9" xfId="37403" xr:uid="{00000000-0005-0000-0000-00005F810000}"/>
    <cellStyle name="Note 3" xfId="242" xr:uid="{00000000-0005-0000-0000-000060810000}"/>
    <cellStyle name="Note 3 2" xfId="349" xr:uid="{00000000-0005-0000-0000-000061810000}"/>
    <cellStyle name="Note 3 2 2" xfId="12407" xr:uid="{00000000-0005-0000-0000-000062810000}"/>
    <cellStyle name="Note 3 2 2 10" xfId="14816" xr:uid="{00000000-0005-0000-0000-000063810000}"/>
    <cellStyle name="Note 3 2 2 11" xfId="14674" xr:uid="{00000000-0005-0000-0000-000064810000}"/>
    <cellStyle name="Note 3 2 2 12" xfId="15726" xr:uid="{00000000-0005-0000-0000-000065810000}"/>
    <cellStyle name="Note 3 2 2 13" xfId="14753" xr:uid="{00000000-0005-0000-0000-000066810000}"/>
    <cellStyle name="Note 3 2 2 14" xfId="14251" xr:uid="{00000000-0005-0000-0000-000067810000}"/>
    <cellStyle name="Note 3 2 2 15" xfId="26274" xr:uid="{00000000-0005-0000-0000-000068810000}"/>
    <cellStyle name="Note 3 2 2 16" xfId="27202" xr:uid="{00000000-0005-0000-0000-000069810000}"/>
    <cellStyle name="Note 3 2 2 17" xfId="26812" xr:uid="{00000000-0005-0000-0000-00006A810000}"/>
    <cellStyle name="Note 3 2 2 18" xfId="26719" xr:uid="{00000000-0005-0000-0000-00006B810000}"/>
    <cellStyle name="Note 3 2 2 19" xfId="27635" xr:uid="{00000000-0005-0000-0000-00006C810000}"/>
    <cellStyle name="Note 3 2 2 2" xfId="12408" xr:uid="{00000000-0005-0000-0000-00006D810000}"/>
    <cellStyle name="Note 3 2 2 2 10" xfId="18928" xr:uid="{00000000-0005-0000-0000-00006E810000}"/>
    <cellStyle name="Note 3 2 2 2 11" xfId="26334" xr:uid="{00000000-0005-0000-0000-00006F810000}"/>
    <cellStyle name="Note 3 2 2 2 12" xfId="27164" xr:uid="{00000000-0005-0000-0000-000070810000}"/>
    <cellStyle name="Note 3 2 2 2 13" xfId="25888" xr:uid="{00000000-0005-0000-0000-000071810000}"/>
    <cellStyle name="Note 3 2 2 2 14" xfId="27029" xr:uid="{00000000-0005-0000-0000-000072810000}"/>
    <cellStyle name="Note 3 2 2 2 15" xfId="26544" xr:uid="{00000000-0005-0000-0000-000073810000}"/>
    <cellStyle name="Note 3 2 2 2 16" xfId="27394" xr:uid="{00000000-0005-0000-0000-000074810000}"/>
    <cellStyle name="Note 3 2 2 2 17" xfId="27449" xr:uid="{00000000-0005-0000-0000-000075810000}"/>
    <cellStyle name="Note 3 2 2 2 18" xfId="35029" xr:uid="{00000000-0005-0000-0000-000076810000}"/>
    <cellStyle name="Note 3 2 2 2 19" xfId="35318" xr:uid="{00000000-0005-0000-0000-000077810000}"/>
    <cellStyle name="Note 3 2 2 2 2" xfId="15701" xr:uid="{00000000-0005-0000-0000-000078810000}"/>
    <cellStyle name="Note 3 2 2 2 3" xfId="13744" xr:uid="{00000000-0005-0000-0000-000079810000}"/>
    <cellStyle name="Note 3 2 2 2 4" xfId="13446" xr:uid="{00000000-0005-0000-0000-00007A810000}"/>
    <cellStyle name="Note 3 2 2 2 5" xfId="13858" xr:uid="{00000000-0005-0000-0000-00007B810000}"/>
    <cellStyle name="Note 3 2 2 2 6" xfId="14707" xr:uid="{00000000-0005-0000-0000-00007C810000}"/>
    <cellStyle name="Note 3 2 2 2 7" xfId="14516" xr:uid="{00000000-0005-0000-0000-00007D810000}"/>
    <cellStyle name="Note 3 2 2 2 8" xfId="15246" xr:uid="{00000000-0005-0000-0000-00007E810000}"/>
    <cellStyle name="Note 3 2 2 2 9" xfId="15635" xr:uid="{00000000-0005-0000-0000-00007F810000}"/>
    <cellStyle name="Note 3 2 2 20" xfId="26857" xr:uid="{00000000-0005-0000-0000-000080810000}"/>
    <cellStyle name="Note 3 2 2 21" xfId="27448" xr:uid="{00000000-0005-0000-0000-000081810000}"/>
    <cellStyle name="Note 3 2 2 22" xfId="34977" xr:uid="{00000000-0005-0000-0000-000082810000}"/>
    <cellStyle name="Note 3 2 2 23" xfId="35472" xr:uid="{00000000-0005-0000-0000-000083810000}"/>
    <cellStyle name="Note 3 2 2 3" xfId="12409" xr:uid="{00000000-0005-0000-0000-000084810000}"/>
    <cellStyle name="Note 3 2 2 3 10" xfId="13522" xr:uid="{00000000-0005-0000-0000-000085810000}"/>
    <cellStyle name="Note 3 2 2 3 11" xfId="26471" xr:uid="{00000000-0005-0000-0000-000086810000}"/>
    <cellStyle name="Note 3 2 2 3 12" xfId="27679" xr:uid="{00000000-0005-0000-0000-000087810000}"/>
    <cellStyle name="Note 3 2 2 3 13" xfId="25892" xr:uid="{00000000-0005-0000-0000-000088810000}"/>
    <cellStyle name="Note 3 2 2 3 14" xfId="26642" xr:uid="{00000000-0005-0000-0000-000089810000}"/>
    <cellStyle name="Note 3 2 2 3 15" xfId="26561" xr:uid="{00000000-0005-0000-0000-00008A810000}"/>
    <cellStyle name="Note 3 2 2 3 16" xfId="27611" xr:uid="{00000000-0005-0000-0000-00008B810000}"/>
    <cellStyle name="Note 3 2 2 3 17" xfId="27845" xr:uid="{00000000-0005-0000-0000-00008C810000}"/>
    <cellStyle name="Note 3 2 2 3 18" xfId="35154" xr:uid="{00000000-0005-0000-0000-00008D810000}"/>
    <cellStyle name="Note 3 2 2 3 19" xfId="35403" xr:uid="{00000000-0005-0000-0000-00008E810000}"/>
    <cellStyle name="Note 3 2 2 3 2" xfId="15662" xr:uid="{00000000-0005-0000-0000-00008F810000}"/>
    <cellStyle name="Note 3 2 2 3 3" xfId="15421" xr:uid="{00000000-0005-0000-0000-000090810000}"/>
    <cellStyle name="Note 3 2 2 3 4" xfId="15018" xr:uid="{00000000-0005-0000-0000-000091810000}"/>
    <cellStyle name="Note 3 2 2 3 5" xfId="15395" xr:uid="{00000000-0005-0000-0000-000092810000}"/>
    <cellStyle name="Note 3 2 2 3 6" xfId="15092" xr:uid="{00000000-0005-0000-0000-000093810000}"/>
    <cellStyle name="Note 3 2 2 3 7" xfId="15254" xr:uid="{00000000-0005-0000-0000-000094810000}"/>
    <cellStyle name="Note 3 2 2 3 8" xfId="21438" xr:uid="{00000000-0005-0000-0000-000095810000}"/>
    <cellStyle name="Note 3 2 2 3 9" xfId="21440" xr:uid="{00000000-0005-0000-0000-000096810000}"/>
    <cellStyle name="Note 3 2 2 4" xfId="12410" xr:uid="{00000000-0005-0000-0000-000097810000}"/>
    <cellStyle name="Note 3 2 2 4 10" xfId="13832" xr:uid="{00000000-0005-0000-0000-000098810000}"/>
    <cellStyle name="Note 3 2 2 4 11" xfId="26369" xr:uid="{00000000-0005-0000-0000-000099810000}"/>
    <cellStyle name="Note 3 2 2 4 12" xfId="26034" xr:uid="{00000000-0005-0000-0000-00009A810000}"/>
    <cellStyle name="Note 3 2 2 4 13" xfId="25977" xr:uid="{00000000-0005-0000-0000-00009B810000}"/>
    <cellStyle name="Note 3 2 2 4 14" xfId="26020" xr:uid="{00000000-0005-0000-0000-00009C810000}"/>
    <cellStyle name="Note 3 2 2 4 15" xfId="26769" xr:uid="{00000000-0005-0000-0000-00009D810000}"/>
    <cellStyle name="Note 3 2 2 4 16" xfId="27549" xr:uid="{00000000-0005-0000-0000-00009E810000}"/>
    <cellStyle name="Note 3 2 2 4 17" xfId="26634" xr:uid="{00000000-0005-0000-0000-00009F810000}"/>
    <cellStyle name="Note 3 2 2 4 18" xfId="35061" xr:uid="{00000000-0005-0000-0000-0000A0810000}"/>
    <cellStyle name="Note 3 2 2 4 19" xfId="34899" xr:uid="{00000000-0005-0000-0000-0000A1810000}"/>
    <cellStyle name="Note 3 2 2 4 2" xfId="14894" xr:uid="{00000000-0005-0000-0000-0000A2810000}"/>
    <cellStyle name="Note 3 2 2 4 3" xfId="13764" xr:uid="{00000000-0005-0000-0000-0000A3810000}"/>
    <cellStyle name="Note 3 2 2 4 4" xfId="14630" xr:uid="{00000000-0005-0000-0000-0000A4810000}"/>
    <cellStyle name="Note 3 2 2 4 5" xfId="15494" xr:uid="{00000000-0005-0000-0000-0000A5810000}"/>
    <cellStyle name="Note 3 2 2 4 6" xfId="14523" xr:uid="{00000000-0005-0000-0000-0000A6810000}"/>
    <cellStyle name="Note 3 2 2 4 7" xfId="15333" xr:uid="{00000000-0005-0000-0000-0000A7810000}"/>
    <cellStyle name="Note 3 2 2 4 8" xfId="15832" xr:uid="{00000000-0005-0000-0000-0000A8810000}"/>
    <cellStyle name="Note 3 2 2 4 9" xfId="13800" xr:uid="{00000000-0005-0000-0000-0000A9810000}"/>
    <cellStyle name="Note 3 2 2 5" xfId="12411" xr:uid="{00000000-0005-0000-0000-0000AA810000}"/>
    <cellStyle name="Note 3 2 2 5 10" xfId="14113" xr:uid="{00000000-0005-0000-0000-0000AB810000}"/>
    <cellStyle name="Note 3 2 2 5 11" xfId="26487" xr:uid="{00000000-0005-0000-0000-0000AC810000}"/>
    <cellStyle name="Note 3 2 2 5 12" xfId="27673" xr:uid="{00000000-0005-0000-0000-0000AD810000}"/>
    <cellStyle name="Note 3 2 2 5 13" xfId="25895" xr:uid="{00000000-0005-0000-0000-0000AE810000}"/>
    <cellStyle name="Note 3 2 2 5 14" xfId="27412" xr:uid="{00000000-0005-0000-0000-0000AF810000}"/>
    <cellStyle name="Note 3 2 2 5 15" xfId="26795" xr:uid="{00000000-0005-0000-0000-0000B0810000}"/>
    <cellStyle name="Note 3 2 2 5 16" xfId="26823" xr:uid="{00000000-0005-0000-0000-0000B1810000}"/>
    <cellStyle name="Note 3 2 2 5 17" xfId="27303" xr:uid="{00000000-0005-0000-0000-0000B2810000}"/>
    <cellStyle name="Note 3 2 2 5 18" xfId="35170" xr:uid="{00000000-0005-0000-0000-0000B3810000}"/>
    <cellStyle name="Note 3 2 2 5 19" xfId="35397" xr:uid="{00000000-0005-0000-0000-0000B4810000}"/>
    <cellStyle name="Note 3 2 2 5 2" xfId="13610" xr:uid="{00000000-0005-0000-0000-0000B5810000}"/>
    <cellStyle name="Note 3 2 2 5 3" xfId="14442" xr:uid="{00000000-0005-0000-0000-0000B6810000}"/>
    <cellStyle name="Note 3 2 2 5 4" xfId="15014" xr:uid="{00000000-0005-0000-0000-0000B7810000}"/>
    <cellStyle name="Note 3 2 2 5 5" xfId="15396" xr:uid="{00000000-0005-0000-0000-0000B8810000}"/>
    <cellStyle name="Note 3 2 2 5 6" xfId="14324" xr:uid="{00000000-0005-0000-0000-0000B9810000}"/>
    <cellStyle name="Note 3 2 2 5 7" xfId="14798" xr:uid="{00000000-0005-0000-0000-0000BA810000}"/>
    <cellStyle name="Note 3 2 2 5 8" xfId="14166" xr:uid="{00000000-0005-0000-0000-0000BB810000}"/>
    <cellStyle name="Note 3 2 2 5 9" xfId="14954" xr:uid="{00000000-0005-0000-0000-0000BC810000}"/>
    <cellStyle name="Note 3 2 2 6" xfId="15722" xr:uid="{00000000-0005-0000-0000-0000BD810000}"/>
    <cellStyle name="Note 3 2 2 7" xfId="13698" xr:uid="{00000000-0005-0000-0000-0000BE810000}"/>
    <cellStyle name="Note 3 2 2 8" xfId="14643" xr:uid="{00000000-0005-0000-0000-0000BF810000}"/>
    <cellStyle name="Note 3 2 2 9" xfId="14136" xr:uid="{00000000-0005-0000-0000-0000C0810000}"/>
    <cellStyle name="Note 3 2 3" xfId="12412" xr:uid="{00000000-0005-0000-0000-0000C1810000}"/>
    <cellStyle name="Note 3 2 3 10" xfId="13420" xr:uid="{00000000-0005-0000-0000-0000C2810000}"/>
    <cellStyle name="Note 3 2 3 11" xfId="14525" xr:uid="{00000000-0005-0000-0000-0000C3810000}"/>
    <cellStyle name="Note 3 2 3 12" xfId="21857" xr:uid="{00000000-0005-0000-0000-0000C4810000}"/>
    <cellStyle name="Note 3 2 3 13" xfId="20955" xr:uid="{00000000-0005-0000-0000-0000C5810000}"/>
    <cellStyle name="Note 3 2 3 14" xfId="17852" xr:uid="{00000000-0005-0000-0000-0000C6810000}"/>
    <cellStyle name="Note 3 2 3 15" xfId="26085" xr:uid="{00000000-0005-0000-0000-0000C7810000}"/>
    <cellStyle name="Note 3 2 3 16" xfId="27786" xr:uid="{00000000-0005-0000-0000-0000C8810000}"/>
    <cellStyle name="Note 3 2 3 17" xfId="28755" xr:uid="{00000000-0005-0000-0000-0000C9810000}"/>
    <cellStyle name="Note 3 2 3 18" xfId="26054" xr:uid="{00000000-0005-0000-0000-0000CA810000}"/>
    <cellStyle name="Note 3 2 3 19" xfId="27442" xr:uid="{00000000-0005-0000-0000-0000CB810000}"/>
    <cellStyle name="Note 3 2 3 2" xfId="12413" xr:uid="{00000000-0005-0000-0000-0000CC810000}"/>
    <cellStyle name="Note 3 2 3 2 10" xfId="14761" xr:uid="{00000000-0005-0000-0000-0000CD810000}"/>
    <cellStyle name="Note 3 2 3 2 11" xfId="26307" xr:uid="{00000000-0005-0000-0000-0000CE810000}"/>
    <cellStyle name="Note 3 2 3 2 12" xfId="27183" xr:uid="{00000000-0005-0000-0000-0000CF810000}"/>
    <cellStyle name="Note 3 2 3 2 13" xfId="27519" xr:uid="{00000000-0005-0000-0000-0000D0810000}"/>
    <cellStyle name="Note 3 2 3 2 14" xfId="26925" xr:uid="{00000000-0005-0000-0000-0000D1810000}"/>
    <cellStyle name="Note 3 2 3 2 15" xfId="26088" xr:uid="{00000000-0005-0000-0000-0000D2810000}"/>
    <cellStyle name="Note 3 2 3 2 16" xfId="25989" xr:uid="{00000000-0005-0000-0000-0000D3810000}"/>
    <cellStyle name="Note 3 2 3 2 17" xfId="26999" xr:uid="{00000000-0005-0000-0000-0000D4810000}"/>
    <cellStyle name="Note 3 2 3 2 18" xfId="35003" xr:uid="{00000000-0005-0000-0000-0000D5810000}"/>
    <cellStyle name="Note 3 2 3 2 19" xfId="35337" xr:uid="{00000000-0005-0000-0000-0000D6810000}"/>
    <cellStyle name="Note 3 2 3 2 2" xfId="14929" xr:uid="{00000000-0005-0000-0000-0000D7810000}"/>
    <cellStyle name="Note 3 2 3 2 3" xfId="14035" xr:uid="{00000000-0005-0000-0000-0000D8810000}"/>
    <cellStyle name="Note 3 2 3 2 4" xfId="14793" xr:uid="{00000000-0005-0000-0000-0000D9810000}"/>
    <cellStyle name="Note 3 2 3 2 5" xfId="13525" xr:uid="{00000000-0005-0000-0000-0000DA810000}"/>
    <cellStyle name="Note 3 2 3 2 6" xfId="13473" xr:uid="{00000000-0005-0000-0000-0000DB810000}"/>
    <cellStyle name="Note 3 2 3 2 7" xfId="15272" xr:uid="{00000000-0005-0000-0000-0000DC810000}"/>
    <cellStyle name="Note 3 2 3 2 8" xfId="15824" xr:uid="{00000000-0005-0000-0000-0000DD810000}"/>
    <cellStyle name="Note 3 2 3 2 9" xfId="14602" xr:uid="{00000000-0005-0000-0000-0000DE810000}"/>
    <cellStyle name="Note 3 2 3 20" xfId="26916" xr:uid="{00000000-0005-0000-0000-0000DF810000}"/>
    <cellStyle name="Note 3 2 3 21" xfId="26980" xr:uid="{00000000-0005-0000-0000-0000E0810000}"/>
    <cellStyle name="Note 3 2 3 22" xfId="34946" xr:uid="{00000000-0005-0000-0000-0000E1810000}"/>
    <cellStyle name="Note 3 2 3 23" xfId="35482" xr:uid="{00000000-0005-0000-0000-0000E2810000}"/>
    <cellStyle name="Note 3 2 3 3" xfId="12414" xr:uid="{00000000-0005-0000-0000-0000E3810000}"/>
    <cellStyle name="Note 3 2 3 3 10" xfId="14150" xr:uid="{00000000-0005-0000-0000-0000E4810000}"/>
    <cellStyle name="Note 3 2 3 3 11" xfId="26387" xr:uid="{00000000-0005-0000-0000-0000E5810000}"/>
    <cellStyle name="Note 3 2 3 3 12" xfId="27131" xr:uid="{00000000-0005-0000-0000-0000E6810000}"/>
    <cellStyle name="Note 3 2 3 3 13" xfId="25929" xr:uid="{00000000-0005-0000-0000-0000E7810000}"/>
    <cellStyle name="Note 3 2 3 3 14" xfId="26714" xr:uid="{00000000-0005-0000-0000-0000E8810000}"/>
    <cellStyle name="Note 3 2 3 3 15" xfId="26774" xr:uid="{00000000-0005-0000-0000-0000E9810000}"/>
    <cellStyle name="Note 3 2 3 3 16" xfId="26570" xr:uid="{00000000-0005-0000-0000-0000EA810000}"/>
    <cellStyle name="Note 3 2 3 3 17" xfId="26701" xr:uid="{00000000-0005-0000-0000-0000EB810000}"/>
    <cellStyle name="Note 3 2 3 3 18" xfId="35078" xr:uid="{00000000-0005-0000-0000-0000EC810000}"/>
    <cellStyle name="Note 3 2 3 3 19" xfId="35286" xr:uid="{00000000-0005-0000-0000-0000ED810000}"/>
    <cellStyle name="Note 3 2 3 3 2" xfId="14884" xr:uid="{00000000-0005-0000-0000-0000EE810000}"/>
    <cellStyle name="Note 3 2 3 3 3" xfId="13771" xr:uid="{00000000-0005-0000-0000-0000EF810000}"/>
    <cellStyle name="Note 3 2 3 3 4" xfId="15284" xr:uid="{00000000-0005-0000-0000-0000F0810000}"/>
    <cellStyle name="Note 3 2 3 3 5" xfId="15599" xr:uid="{00000000-0005-0000-0000-0000F1810000}"/>
    <cellStyle name="Note 3 2 3 3 6" xfId="13592" xr:uid="{00000000-0005-0000-0000-0000F2810000}"/>
    <cellStyle name="Note 3 2 3 3 7" xfId="14000" xr:uid="{00000000-0005-0000-0000-0000F3810000}"/>
    <cellStyle name="Note 3 2 3 3 8" xfId="14572" xr:uid="{00000000-0005-0000-0000-0000F4810000}"/>
    <cellStyle name="Note 3 2 3 3 9" xfId="15401" xr:uid="{00000000-0005-0000-0000-0000F5810000}"/>
    <cellStyle name="Note 3 2 3 4" xfId="12415" xr:uid="{00000000-0005-0000-0000-0000F6810000}"/>
    <cellStyle name="Note 3 2 3 4 10" xfId="15038" xr:uid="{00000000-0005-0000-0000-0000F7810000}"/>
    <cellStyle name="Note 3 2 3 4 11" xfId="26364" xr:uid="{00000000-0005-0000-0000-0000F8810000}"/>
    <cellStyle name="Note 3 2 3 4 12" xfId="26038" xr:uid="{00000000-0005-0000-0000-0000F9810000}"/>
    <cellStyle name="Note 3 2 3 4 13" xfId="26143" xr:uid="{00000000-0005-0000-0000-0000FA810000}"/>
    <cellStyle name="Note 3 2 3 4 14" xfId="27242" xr:uid="{00000000-0005-0000-0000-0000FB810000}"/>
    <cellStyle name="Note 3 2 3 4 15" xfId="27370" xr:uid="{00000000-0005-0000-0000-0000FC810000}"/>
    <cellStyle name="Note 3 2 3 4 16" xfId="27569" xr:uid="{00000000-0005-0000-0000-0000FD810000}"/>
    <cellStyle name="Note 3 2 3 4 17" xfId="26566" xr:uid="{00000000-0005-0000-0000-0000FE810000}"/>
    <cellStyle name="Note 3 2 3 4 18" xfId="35056" xr:uid="{00000000-0005-0000-0000-0000FF810000}"/>
    <cellStyle name="Note 3 2 3 4 19" xfId="34897" xr:uid="{00000000-0005-0000-0000-000000820000}"/>
    <cellStyle name="Note 3 2 3 4 2" xfId="15691" xr:uid="{00000000-0005-0000-0000-000001820000}"/>
    <cellStyle name="Note 3 2 3 4 3" xfId="13760" xr:uid="{00000000-0005-0000-0000-000002820000}"/>
    <cellStyle name="Note 3 2 3 4 4" xfId="14193" xr:uid="{00000000-0005-0000-0000-000003820000}"/>
    <cellStyle name="Note 3 2 3 4 5" xfId="14267" xr:uid="{00000000-0005-0000-0000-000004820000}"/>
    <cellStyle name="Note 3 2 3 4 6" xfId="15511" xr:uid="{00000000-0005-0000-0000-000005820000}"/>
    <cellStyle name="Note 3 2 3 4 7" xfId="14757" xr:uid="{00000000-0005-0000-0000-000006820000}"/>
    <cellStyle name="Note 3 2 3 4 8" xfId="14672" xr:uid="{00000000-0005-0000-0000-000007820000}"/>
    <cellStyle name="Note 3 2 3 4 9" xfId="15555" xr:uid="{00000000-0005-0000-0000-000008820000}"/>
    <cellStyle name="Note 3 2 3 5" xfId="12416" xr:uid="{00000000-0005-0000-0000-000009820000}"/>
    <cellStyle name="Note 3 2 3 5 10" xfId="15045" xr:uid="{00000000-0005-0000-0000-00000A820000}"/>
    <cellStyle name="Note 3 2 3 5 11" xfId="26472" xr:uid="{00000000-0005-0000-0000-00000B820000}"/>
    <cellStyle name="Note 3 2 3 5 12" xfId="27075" xr:uid="{00000000-0005-0000-0000-00000C820000}"/>
    <cellStyle name="Note 3 2 3 5 13" xfId="25893" xr:uid="{00000000-0005-0000-0000-00000D820000}"/>
    <cellStyle name="Note 3 2 3 5 14" xfId="26710" xr:uid="{00000000-0005-0000-0000-00000E820000}"/>
    <cellStyle name="Note 3 2 3 5 15" xfId="27377" xr:uid="{00000000-0005-0000-0000-00000F820000}"/>
    <cellStyle name="Note 3 2 3 5 16" xfId="27646" xr:uid="{00000000-0005-0000-0000-000010820000}"/>
    <cellStyle name="Note 3 2 3 5 17" xfId="27272" xr:uid="{00000000-0005-0000-0000-000011820000}"/>
    <cellStyle name="Note 3 2 3 5 18" xfId="35155" xr:uid="{00000000-0005-0000-0000-000012820000}"/>
    <cellStyle name="Note 3 2 3 5 19" xfId="35402" xr:uid="{00000000-0005-0000-0000-000013820000}"/>
    <cellStyle name="Note 3 2 3 5 2" xfId="15661" xr:uid="{00000000-0005-0000-0000-000014820000}"/>
    <cellStyle name="Note 3 2 3 5 3" xfId="15422" xr:uid="{00000000-0005-0000-0000-000015820000}"/>
    <cellStyle name="Note 3 2 3 5 4" xfId="15765" xr:uid="{00000000-0005-0000-0000-000016820000}"/>
    <cellStyle name="Note 3 2 3 5 5" xfId="15804" xr:uid="{00000000-0005-0000-0000-000017820000}"/>
    <cellStyle name="Note 3 2 3 5 6" xfId="15760" xr:uid="{00000000-0005-0000-0000-000018820000}"/>
    <cellStyle name="Note 3 2 3 5 7" xfId="14023" xr:uid="{00000000-0005-0000-0000-000019820000}"/>
    <cellStyle name="Note 3 2 3 5 8" xfId="18906" xr:uid="{00000000-0005-0000-0000-00001A820000}"/>
    <cellStyle name="Note 3 2 3 5 9" xfId="14953" xr:uid="{00000000-0005-0000-0000-00001B820000}"/>
    <cellStyle name="Note 3 2 3 6" xfId="13854" xr:uid="{00000000-0005-0000-0000-00001C820000}"/>
    <cellStyle name="Note 3 2 3 7" xfId="15377" xr:uid="{00000000-0005-0000-0000-00001D820000}"/>
    <cellStyle name="Note 3 2 3 8" xfId="15058" xr:uid="{00000000-0005-0000-0000-00001E820000}"/>
    <cellStyle name="Note 3 2 3 9" xfId="14946" xr:uid="{00000000-0005-0000-0000-00001F820000}"/>
    <cellStyle name="Note 3 2 4" xfId="12417" xr:uid="{00000000-0005-0000-0000-000020820000}"/>
    <cellStyle name="Note 3 2 4 10" xfId="24877" xr:uid="{00000000-0005-0000-0000-000021820000}"/>
    <cellStyle name="Note 3 2 4 11" xfId="25876" xr:uid="{00000000-0005-0000-0000-000022820000}"/>
    <cellStyle name="Note 3 2 4 12" xfId="28782" xr:uid="{00000000-0005-0000-0000-000023820000}"/>
    <cellStyle name="Note 3 2 4 13" xfId="29799" xr:uid="{00000000-0005-0000-0000-000024820000}"/>
    <cellStyle name="Note 3 2 4 14" xfId="30832" xr:uid="{00000000-0005-0000-0000-000025820000}"/>
    <cellStyle name="Note 3 2 4 15" xfId="31827" xr:uid="{00000000-0005-0000-0000-000026820000}"/>
    <cellStyle name="Note 3 2 4 16" xfId="32831" xr:uid="{00000000-0005-0000-0000-000027820000}"/>
    <cellStyle name="Note 3 2 4 17" xfId="33834" xr:uid="{00000000-0005-0000-0000-000028820000}"/>
    <cellStyle name="Note 3 2 4 18" xfId="34833" xr:uid="{00000000-0005-0000-0000-000029820000}"/>
    <cellStyle name="Note 3 2 4 19" xfId="36394" xr:uid="{00000000-0005-0000-0000-00002A820000}"/>
    <cellStyle name="Note 3 2 4 2" xfId="16866" xr:uid="{00000000-0005-0000-0000-00002B820000}"/>
    <cellStyle name="Note 3 2 4 20" xfId="37393" xr:uid="{00000000-0005-0000-0000-00002C820000}"/>
    <cellStyle name="Note 3 2 4 3" xfId="17846" xr:uid="{00000000-0005-0000-0000-00002D820000}"/>
    <cellStyle name="Note 3 2 4 4" xfId="18871" xr:uid="{00000000-0005-0000-0000-00002E820000}"/>
    <cellStyle name="Note 3 2 4 5" xfId="19905" xr:uid="{00000000-0005-0000-0000-00002F820000}"/>
    <cellStyle name="Note 3 2 4 6" xfId="20930" xr:uid="{00000000-0005-0000-0000-000030820000}"/>
    <cellStyle name="Note 3 2 4 7" xfId="21890" xr:uid="{00000000-0005-0000-0000-000031820000}"/>
    <cellStyle name="Note 3 2 4 8" xfId="22902" xr:uid="{00000000-0005-0000-0000-000032820000}"/>
    <cellStyle name="Note 3 2 4 9" xfId="23905" xr:uid="{00000000-0005-0000-0000-000033820000}"/>
    <cellStyle name="Note 3 2 5" xfId="12418" xr:uid="{00000000-0005-0000-0000-000034820000}"/>
    <cellStyle name="Note 3 2 5 10" xfId="24861" xr:uid="{00000000-0005-0000-0000-000035820000}"/>
    <cellStyle name="Note 3 2 5 11" xfId="25860" xr:uid="{00000000-0005-0000-0000-000036820000}"/>
    <cellStyle name="Note 3 2 5 12" xfId="28766" xr:uid="{00000000-0005-0000-0000-000037820000}"/>
    <cellStyle name="Note 3 2 5 13" xfId="29783" xr:uid="{00000000-0005-0000-0000-000038820000}"/>
    <cellStyle name="Note 3 2 5 14" xfId="30816" xr:uid="{00000000-0005-0000-0000-000039820000}"/>
    <cellStyle name="Note 3 2 5 15" xfId="31811" xr:uid="{00000000-0005-0000-0000-00003A820000}"/>
    <cellStyle name="Note 3 2 5 16" xfId="32815" xr:uid="{00000000-0005-0000-0000-00003B820000}"/>
    <cellStyle name="Note 3 2 5 17" xfId="33818" xr:uid="{00000000-0005-0000-0000-00003C820000}"/>
    <cellStyle name="Note 3 2 5 18" xfId="34817" xr:uid="{00000000-0005-0000-0000-00003D820000}"/>
    <cellStyle name="Note 3 2 5 19" xfId="36378" xr:uid="{00000000-0005-0000-0000-00003E820000}"/>
    <cellStyle name="Note 3 2 5 2" xfId="16850" xr:uid="{00000000-0005-0000-0000-00003F820000}"/>
    <cellStyle name="Note 3 2 5 20" xfId="37377" xr:uid="{00000000-0005-0000-0000-000040820000}"/>
    <cellStyle name="Note 3 2 5 3" xfId="17830" xr:uid="{00000000-0005-0000-0000-000041820000}"/>
    <cellStyle name="Note 3 2 5 4" xfId="18855" xr:uid="{00000000-0005-0000-0000-000042820000}"/>
    <cellStyle name="Note 3 2 5 5" xfId="19889" xr:uid="{00000000-0005-0000-0000-000043820000}"/>
    <cellStyle name="Note 3 2 5 6" xfId="20914" xr:uid="{00000000-0005-0000-0000-000044820000}"/>
    <cellStyle name="Note 3 2 5 7" xfId="21874" xr:uid="{00000000-0005-0000-0000-000045820000}"/>
    <cellStyle name="Note 3 2 5 8" xfId="22886" xr:uid="{00000000-0005-0000-0000-000046820000}"/>
    <cellStyle name="Note 3 2 5 9" xfId="23889" xr:uid="{00000000-0005-0000-0000-000047820000}"/>
    <cellStyle name="Note 3 3" xfId="12419" xr:uid="{00000000-0005-0000-0000-000048820000}"/>
    <cellStyle name="Note 3 3 10" xfId="26246" xr:uid="{00000000-0005-0000-0000-000049820000}"/>
    <cellStyle name="Note 3 3 11" xfId="28749" xr:uid="{00000000-0005-0000-0000-00004A820000}"/>
    <cellStyle name="Note 3 3 12" xfId="27468" xr:uid="{00000000-0005-0000-0000-00004B820000}"/>
    <cellStyle name="Note 3 3 13" xfId="27829" xr:uid="{00000000-0005-0000-0000-00004C820000}"/>
    <cellStyle name="Note 3 3 14" xfId="31810" xr:uid="{00000000-0005-0000-0000-00004D820000}"/>
    <cellStyle name="Note 3 3 15" xfId="34913" xr:uid="{00000000-0005-0000-0000-00004E820000}"/>
    <cellStyle name="Note 3 3 16" xfId="34931" xr:uid="{00000000-0005-0000-0000-00004F820000}"/>
    <cellStyle name="Note 3 3 2" xfId="12420" xr:uid="{00000000-0005-0000-0000-000050820000}"/>
    <cellStyle name="Note 3 3 2 10" xfId="18924" xr:uid="{00000000-0005-0000-0000-000051820000}"/>
    <cellStyle name="Note 3 3 2 11" xfId="14797" xr:uid="{00000000-0005-0000-0000-000052820000}"/>
    <cellStyle name="Note 3 3 2 12" xfId="15129" xr:uid="{00000000-0005-0000-0000-000053820000}"/>
    <cellStyle name="Note 3 3 2 13" xfId="15257" xr:uid="{00000000-0005-0000-0000-000054820000}"/>
    <cellStyle name="Note 3 3 2 14" xfId="15468" xr:uid="{00000000-0005-0000-0000-000055820000}"/>
    <cellStyle name="Note 3 3 2 15" xfId="26104" xr:uid="{00000000-0005-0000-0000-000056820000}"/>
    <cellStyle name="Note 3 3 2 16" xfId="27259" xr:uid="{00000000-0005-0000-0000-000057820000}"/>
    <cellStyle name="Note 3 3 2 17" xfId="25963" xr:uid="{00000000-0005-0000-0000-000058820000}"/>
    <cellStyle name="Note 3 3 2 18" xfId="25914" xr:uid="{00000000-0005-0000-0000-000059820000}"/>
    <cellStyle name="Note 3 3 2 19" xfId="26731" xr:uid="{00000000-0005-0000-0000-00005A820000}"/>
    <cellStyle name="Note 3 3 2 2" xfId="12421" xr:uid="{00000000-0005-0000-0000-00005B820000}"/>
    <cellStyle name="Note 3 3 2 2 10" xfId="13531" xr:uid="{00000000-0005-0000-0000-00005C820000}"/>
    <cellStyle name="Note 3 3 2 2 11" xfId="26324" xr:uid="{00000000-0005-0000-0000-00005D820000}"/>
    <cellStyle name="Note 3 3 2 2 12" xfId="27172" xr:uid="{00000000-0005-0000-0000-00005E820000}"/>
    <cellStyle name="Note 3 3 2 2 13" xfId="26139" xr:uid="{00000000-0005-0000-0000-00005F820000}"/>
    <cellStyle name="Note 3 3 2 2 14" xfId="27768" xr:uid="{00000000-0005-0000-0000-000060820000}"/>
    <cellStyle name="Note 3 3 2 2 15" xfId="29833" xr:uid="{00000000-0005-0000-0000-000061820000}"/>
    <cellStyle name="Note 3 3 2 2 16" xfId="27392" xr:uid="{00000000-0005-0000-0000-000062820000}"/>
    <cellStyle name="Note 3 3 2 2 17" xfId="27009" xr:uid="{00000000-0005-0000-0000-000063820000}"/>
    <cellStyle name="Note 3 3 2 2 18" xfId="35020" xr:uid="{00000000-0005-0000-0000-000064820000}"/>
    <cellStyle name="Note 3 3 2 2 19" xfId="35326" xr:uid="{00000000-0005-0000-0000-000065820000}"/>
    <cellStyle name="Note 3 3 2 2 2" xfId="14922" xr:uid="{00000000-0005-0000-0000-000066820000}"/>
    <cellStyle name="Note 3 3 2 2 3" xfId="14039" xr:uid="{00000000-0005-0000-0000-000067820000}"/>
    <cellStyle name="Note 3 3 2 2 4" xfId="15338" xr:uid="{00000000-0005-0000-0000-000068820000}"/>
    <cellStyle name="Note 3 3 2 2 5" xfId="14091" xr:uid="{00000000-0005-0000-0000-000069820000}"/>
    <cellStyle name="Note 3 3 2 2 6" xfId="15579" xr:uid="{00000000-0005-0000-0000-00006A820000}"/>
    <cellStyle name="Note 3 3 2 2 7" xfId="13643" xr:uid="{00000000-0005-0000-0000-00006B820000}"/>
    <cellStyle name="Note 3 3 2 2 8" xfId="13670" xr:uid="{00000000-0005-0000-0000-00006C820000}"/>
    <cellStyle name="Note 3 3 2 2 9" xfId="15744" xr:uid="{00000000-0005-0000-0000-00006D820000}"/>
    <cellStyle name="Note 3 3 2 20" xfId="30854" xr:uid="{00000000-0005-0000-0000-00006E820000}"/>
    <cellStyle name="Note 3 3 2 21" xfId="27550" xr:uid="{00000000-0005-0000-0000-00006F820000}"/>
    <cellStyle name="Note 3 3 2 22" xfId="34963" xr:uid="{00000000-0005-0000-0000-000070820000}"/>
    <cellStyle name="Note 3 3 2 23" xfId="35365" xr:uid="{00000000-0005-0000-0000-000071820000}"/>
    <cellStyle name="Note 3 3 2 3" xfId="12422" xr:uid="{00000000-0005-0000-0000-000072820000}"/>
    <cellStyle name="Note 3 3 2 3 10" xfId="14610" xr:uid="{00000000-0005-0000-0000-000073820000}"/>
    <cellStyle name="Note 3 3 2 3 11" xfId="26404" xr:uid="{00000000-0005-0000-0000-000074820000}"/>
    <cellStyle name="Note 3 3 2 3 12" xfId="27704" xr:uid="{00000000-0005-0000-0000-000075820000}"/>
    <cellStyle name="Note 3 3 2 3 13" xfId="27667" xr:uid="{00000000-0005-0000-0000-000076820000}"/>
    <cellStyle name="Note 3 3 2 3 14" xfId="27023" xr:uid="{00000000-0005-0000-0000-000077820000}"/>
    <cellStyle name="Note 3 3 2 3 15" xfId="26778" xr:uid="{00000000-0005-0000-0000-000078820000}"/>
    <cellStyle name="Note 3 3 2 3 16" xfId="27815" xr:uid="{00000000-0005-0000-0000-000079820000}"/>
    <cellStyle name="Note 3 3 2 3 17" xfId="26834" xr:uid="{00000000-0005-0000-0000-00007A820000}"/>
    <cellStyle name="Note 3 3 2 3 18" xfId="35095" xr:uid="{00000000-0005-0000-0000-00007B820000}"/>
    <cellStyle name="Note 3 3 2 3 19" xfId="35275" xr:uid="{00000000-0005-0000-0000-00007C820000}"/>
    <cellStyle name="Note 3 3 2 3 2" xfId="15681" xr:uid="{00000000-0005-0000-0000-00007D820000}"/>
    <cellStyle name="Note 3 3 2 3 3" xfId="13777" xr:uid="{00000000-0005-0000-0000-00007E820000}"/>
    <cellStyle name="Note 3 3 2 3 4" xfId="14626" xr:uid="{00000000-0005-0000-0000-00007F820000}"/>
    <cellStyle name="Note 3 3 2 3 5" xfId="14560" xr:uid="{00000000-0005-0000-0000-000080820000}"/>
    <cellStyle name="Note 3 3 2 3 6" xfId="15754" xr:uid="{00000000-0005-0000-0000-000081820000}"/>
    <cellStyle name="Note 3 3 2 3 7" xfId="14804" xr:uid="{00000000-0005-0000-0000-000082820000}"/>
    <cellStyle name="Note 3 3 2 3 8" xfId="13799" xr:uid="{00000000-0005-0000-0000-000083820000}"/>
    <cellStyle name="Note 3 3 2 3 9" xfId="14099" xr:uid="{00000000-0005-0000-0000-000084820000}"/>
    <cellStyle name="Note 3 3 2 4" xfId="12423" xr:uid="{00000000-0005-0000-0000-000085820000}"/>
    <cellStyle name="Note 3 3 2 4 10" xfId="15612" xr:uid="{00000000-0005-0000-0000-000086820000}"/>
    <cellStyle name="Note 3 3 2 4 11" xfId="26420" xr:uid="{00000000-0005-0000-0000-000087820000}"/>
    <cellStyle name="Note 3 3 2 4 12" xfId="27697" xr:uid="{00000000-0005-0000-0000-000088820000}"/>
    <cellStyle name="Note 3 3 2 4 13" xfId="26157" xr:uid="{00000000-0005-0000-0000-000089820000}"/>
    <cellStyle name="Note 3 3 2 4 14" xfId="26917" xr:uid="{00000000-0005-0000-0000-00008A820000}"/>
    <cellStyle name="Note 3 3 2 4 15" xfId="26433" xr:uid="{00000000-0005-0000-0000-00008B820000}"/>
    <cellStyle name="Note 3 3 2 4 16" xfId="26849" xr:uid="{00000000-0005-0000-0000-00008C820000}"/>
    <cellStyle name="Note 3 3 2 4 17" xfId="26600" xr:uid="{00000000-0005-0000-0000-00008D820000}"/>
    <cellStyle name="Note 3 3 2 4 18" xfId="35110" xr:uid="{00000000-0005-0000-0000-00008E820000}"/>
    <cellStyle name="Note 3 3 2 4 19" xfId="35421" xr:uid="{00000000-0005-0000-0000-00008F820000}"/>
    <cellStyle name="Note 3 3 2 4 2" xfId="15677" xr:uid="{00000000-0005-0000-0000-000090820000}"/>
    <cellStyle name="Note 3 3 2 4 3" xfId="15210" xr:uid="{00000000-0005-0000-0000-000091820000}"/>
    <cellStyle name="Note 3 3 2 4 4" xfId="15113" xr:uid="{00000000-0005-0000-0000-000092820000}"/>
    <cellStyle name="Note 3 3 2 4 5" xfId="14476" xr:uid="{00000000-0005-0000-0000-000093820000}"/>
    <cellStyle name="Note 3 3 2 4 6" xfId="13498" xr:uid="{00000000-0005-0000-0000-000094820000}"/>
    <cellStyle name="Note 3 3 2 4 7" xfId="14522" xr:uid="{00000000-0005-0000-0000-000095820000}"/>
    <cellStyle name="Note 3 3 2 4 8" xfId="15122" xr:uid="{00000000-0005-0000-0000-000096820000}"/>
    <cellStyle name="Note 3 3 2 4 9" xfId="13678" xr:uid="{00000000-0005-0000-0000-000097820000}"/>
    <cellStyle name="Note 3 3 2 5" xfId="12424" xr:uid="{00000000-0005-0000-0000-000098820000}"/>
    <cellStyle name="Note 3 3 2 5 10" xfId="14168" xr:uid="{00000000-0005-0000-0000-000099820000}"/>
    <cellStyle name="Note 3 3 2 5 11" xfId="26461" xr:uid="{00000000-0005-0000-0000-00009A820000}"/>
    <cellStyle name="Note 3 3 2 5 12" xfId="27083" xr:uid="{00000000-0005-0000-0000-00009B820000}"/>
    <cellStyle name="Note 3 3 2 5 13" xfId="26173" xr:uid="{00000000-0005-0000-0000-00009C820000}"/>
    <cellStyle name="Note 3 3 2 5 14" xfId="26232" xr:uid="{00000000-0005-0000-0000-00009D820000}"/>
    <cellStyle name="Note 3 3 2 5 15" xfId="26559" xr:uid="{00000000-0005-0000-0000-00009E820000}"/>
    <cellStyle name="Note 3 3 2 5 16" xfId="27600" xr:uid="{00000000-0005-0000-0000-00009F820000}"/>
    <cellStyle name="Note 3 3 2 5 17" xfId="27403" xr:uid="{00000000-0005-0000-0000-0000A0820000}"/>
    <cellStyle name="Note 3 3 2 5 18" xfId="35144" xr:uid="{00000000-0005-0000-0000-0000A1820000}"/>
    <cellStyle name="Note 3 3 2 5 19" xfId="35238" xr:uid="{00000000-0005-0000-0000-0000A2820000}"/>
    <cellStyle name="Note 3 3 2 5 2" xfId="14848" xr:uid="{00000000-0005-0000-0000-0000A3820000}"/>
    <cellStyle name="Note 3 3 2 5 3" xfId="13564" xr:uid="{00000000-0005-0000-0000-0000A4820000}"/>
    <cellStyle name="Note 3 3 2 5 4" xfId="15022" xr:uid="{00000000-0005-0000-0000-0000A5820000}"/>
    <cellStyle name="Note 3 3 2 5 5" xfId="14012" xr:uid="{00000000-0005-0000-0000-0000A6820000}"/>
    <cellStyle name="Note 3 3 2 5 6" xfId="15297" xr:uid="{00000000-0005-0000-0000-0000A7820000}"/>
    <cellStyle name="Note 3 3 2 5 7" xfId="14131" xr:uid="{00000000-0005-0000-0000-0000A8820000}"/>
    <cellStyle name="Note 3 3 2 5 8" xfId="14699" xr:uid="{00000000-0005-0000-0000-0000A9820000}"/>
    <cellStyle name="Note 3 3 2 5 9" xfId="13948" xr:uid="{00000000-0005-0000-0000-0000AA820000}"/>
    <cellStyle name="Note 3 3 2 6" xfId="15057" xr:uid="{00000000-0005-0000-0000-0000AB820000}"/>
    <cellStyle name="Note 3 3 2 7" xfId="15173" xr:uid="{00000000-0005-0000-0000-0000AC820000}"/>
    <cellStyle name="Note 3 3 2 8" xfId="13656" xr:uid="{00000000-0005-0000-0000-0000AD820000}"/>
    <cellStyle name="Note 3 3 2 9" xfId="13474" xr:uid="{00000000-0005-0000-0000-0000AE820000}"/>
    <cellStyle name="Note 3 3 3" xfId="12425" xr:uid="{00000000-0005-0000-0000-0000AF820000}"/>
    <cellStyle name="Note 3 3 3 10" xfId="13803" xr:uid="{00000000-0005-0000-0000-0000B0820000}"/>
    <cellStyle name="Note 3 3 3 11" xfId="15410" xr:uid="{00000000-0005-0000-0000-0000B1820000}"/>
    <cellStyle name="Note 3 3 3 12" xfId="26530" xr:uid="{00000000-0005-0000-0000-0000B2820000}"/>
    <cellStyle name="Note 3 3 3 13" xfId="27665" xr:uid="{00000000-0005-0000-0000-0000B3820000}"/>
    <cellStyle name="Note 3 3 3 14" xfId="27383" xr:uid="{00000000-0005-0000-0000-0000B4820000}"/>
    <cellStyle name="Note 3 3 3 15" xfId="26707" xr:uid="{00000000-0005-0000-0000-0000B5820000}"/>
    <cellStyle name="Note 3 3 3 16" xfId="26993" xr:uid="{00000000-0005-0000-0000-0000B6820000}"/>
    <cellStyle name="Note 3 3 3 17" xfId="25913" xr:uid="{00000000-0005-0000-0000-0000B7820000}"/>
    <cellStyle name="Note 3 3 3 18" xfId="27399" xr:uid="{00000000-0005-0000-0000-0000B8820000}"/>
    <cellStyle name="Note 3 3 3 19" xfId="35195" xr:uid="{00000000-0005-0000-0000-0000B9820000}"/>
    <cellStyle name="Note 3 3 3 2" xfId="13976" xr:uid="{00000000-0005-0000-0000-0000BA820000}"/>
    <cellStyle name="Note 3 3 3 20" xfId="35388" xr:uid="{00000000-0005-0000-0000-0000BB820000}"/>
    <cellStyle name="Note 3 3 3 3" xfId="14809" xr:uid="{00000000-0005-0000-0000-0000BC820000}"/>
    <cellStyle name="Note 3 3 3 4" xfId="14457" xr:uid="{00000000-0005-0000-0000-0000BD820000}"/>
    <cellStyle name="Note 3 3 3 5" xfId="14999" xr:uid="{00000000-0005-0000-0000-0000BE820000}"/>
    <cellStyle name="Note 3 3 3 6" xfId="13482" xr:uid="{00000000-0005-0000-0000-0000BF820000}"/>
    <cellStyle name="Note 3 3 3 7" xfId="15136" xr:uid="{00000000-0005-0000-0000-0000C0820000}"/>
    <cellStyle name="Note 3 3 3 8" xfId="19920" xr:uid="{00000000-0005-0000-0000-0000C1820000}"/>
    <cellStyle name="Note 3 3 3 9" xfId="20910" xr:uid="{00000000-0005-0000-0000-0000C2820000}"/>
    <cellStyle name="Note 3 3 4" xfId="15350" xr:uid="{00000000-0005-0000-0000-0000C3820000}"/>
    <cellStyle name="Note 3 3 5" xfId="17862" xr:uid="{00000000-0005-0000-0000-0000C4820000}"/>
    <cellStyle name="Note 3 3 6" xfId="14526" xr:uid="{00000000-0005-0000-0000-0000C5820000}"/>
    <cellStyle name="Note 3 3 7" xfId="13407" xr:uid="{00000000-0005-0000-0000-0000C6820000}"/>
    <cellStyle name="Note 3 3 8" xfId="14126" xr:uid="{00000000-0005-0000-0000-0000C7820000}"/>
    <cellStyle name="Note 3 3 9" xfId="26062" xr:uid="{00000000-0005-0000-0000-0000C8820000}"/>
    <cellStyle name="Note 3 4" xfId="12426" xr:uid="{00000000-0005-0000-0000-0000C9820000}"/>
    <cellStyle name="Note 3 4 10" xfId="27793" xr:uid="{00000000-0005-0000-0000-0000CA820000}"/>
    <cellStyle name="Note 3 4 11" xfId="25958" xr:uid="{00000000-0005-0000-0000-0000CB820000}"/>
    <cellStyle name="Note 3 4 12" xfId="28789" xr:uid="{00000000-0005-0000-0000-0000CC820000}"/>
    <cellStyle name="Note 3 4 13" xfId="29815" xr:uid="{00000000-0005-0000-0000-0000CD820000}"/>
    <cellStyle name="Note 3 4 14" xfId="26861" xr:uid="{00000000-0005-0000-0000-0000CE820000}"/>
    <cellStyle name="Note 3 4 15" xfId="34914" xr:uid="{00000000-0005-0000-0000-0000CF820000}"/>
    <cellStyle name="Note 3 4 16" xfId="35486" xr:uid="{00000000-0005-0000-0000-0000D0820000}"/>
    <cellStyle name="Note 3 4 2" xfId="12427" xr:uid="{00000000-0005-0000-0000-0000D1820000}"/>
    <cellStyle name="Note 3 4 2 10" xfId="14853" xr:uid="{00000000-0005-0000-0000-0000D2820000}"/>
    <cellStyle name="Note 3 4 2 11" xfId="15586" xr:uid="{00000000-0005-0000-0000-0000D3820000}"/>
    <cellStyle name="Note 3 4 2 12" xfId="21865" xr:uid="{00000000-0005-0000-0000-0000D4820000}"/>
    <cellStyle name="Note 3 4 2 13" xfId="13565" xr:uid="{00000000-0005-0000-0000-0000D5820000}"/>
    <cellStyle name="Note 3 4 2 14" xfId="13423" xr:uid="{00000000-0005-0000-0000-0000D6820000}"/>
    <cellStyle name="Note 3 4 2 15" xfId="26105" xr:uid="{00000000-0005-0000-0000-0000D7820000}"/>
    <cellStyle name="Note 3 4 2 16" xfId="27778" xr:uid="{00000000-0005-0000-0000-0000D8820000}"/>
    <cellStyle name="Note 3 4 2 17" xfId="28761" xr:uid="{00000000-0005-0000-0000-0000D9820000}"/>
    <cellStyle name="Note 3 4 2 18" xfId="26236" xr:uid="{00000000-0005-0000-0000-0000DA820000}"/>
    <cellStyle name="Note 3 4 2 19" xfId="26013" xr:uid="{00000000-0005-0000-0000-0000DB820000}"/>
    <cellStyle name="Note 3 4 2 2" xfId="12428" xr:uid="{00000000-0005-0000-0000-0000DC820000}"/>
    <cellStyle name="Note 3 4 2 2 10" xfId="15485" xr:uid="{00000000-0005-0000-0000-0000DD820000}"/>
    <cellStyle name="Note 3 4 2 2 11" xfId="26325" xr:uid="{00000000-0005-0000-0000-0000DE820000}"/>
    <cellStyle name="Note 3 4 2 2 12" xfId="27731" xr:uid="{00000000-0005-0000-0000-0000DF820000}"/>
    <cellStyle name="Note 3 4 2 2 13" xfId="26822" xr:uid="{00000000-0005-0000-0000-0000E0820000}"/>
    <cellStyle name="Note 3 4 2 2 14" xfId="26923" xr:uid="{00000000-0005-0000-0000-0000E1820000}"/>
    <cellStyle name="Note 3 4 2 2 15" xfId="27367" xr:uid="{00000000-0005-0000-0000-0000E2820000}"/>
    <cellStyle name="Note 3 4 2 2 16" xfId="27318" xr:uid="{00000000-0005-0000-0000-0000E3820000}"/>
    <cellStyle name="Note 3 4 2 2 17" xfId="27388" xr:uid="{00000000-0005-0000-0000-0000E4820000}"/>
    <cellStyle name="Note 3 4 2 2 18" xfId="35021" xr:uid="{00000000-0005-0000-0000-0000E5820000}"/>
    <cellStyle name="Note 3 4 2 2 19" xfId="35456" xr:uid="{00000000-0005-0000-0000-0000E6820000}"/>
    <cellStyle name="Note 3 4 2 2 2" xfId="15705" xr:uid="{00000000-0005-0000-0000-0000E7820000}"/>
    <cellStyle name="Note 3 4 2 2 3" xfId="13735" xr:uid="{00000000-0005-0000-0000-0000E8820000}"/>
    <cellStyle name="Note 3 4 2 2 4" xfId="14197" xr:uid="{00000000-0005-0000-0000-0000E9820000}"/>
    <cellStyle name="Note 3 4 2 2 5" xfId="13520" xr:uid="{00000000-0005-0000-0000-0000EA820000}"/>
    <cellStyle name="Note 3 4 2 2 6" xfId="13510" xr:uid="{00000000-0005-0000-0000-0000EB820000}"/>
    <cellStyle name="Note 3 4 2 2 7" xfId="14604" xr:uid="{00000000-0005-0000-0000-0000EC820000}"/>
    <cellStyle name="Note 3 4 2 2 8" xfId="14231" xr:uid="{00000000-0005-0000-0000-0000ED820000}"/>
    <cellStyle name="Note 3 4 2 2 9" xfId="13985" xr:uid="{00000000-0005-0000-0000-0000EE820000}"/>
    <cellStyle name="Note 3 4 2 20" xfId="25915" xr:uid="{00000000-0005-0000-0000-0000EF820000}"/>
    <cellStyle name="Note 3 4 2 21" xfId="27592" xr:uid="{00000000-0005-0000-0000-0000F0820000}"/>
    <cellStyle name="Note 3 4 2 22" xfId="34964" xr:uid="{00000000-0005-0000-0000-0000F1820000}"/>
    <cellStyle name="Note 3 4 2 23" xfId="35475" xr:uid="{00000000-0005-0000-0000-0000F2820000}"/>
    <cellStyle name="Note 3 4 2 3" xfId="12429" xr:uid="{00000000-0005-0000-0000-0000F3820000}"/>
    <cellStyle name="Note 3 4 2 3 10" xfId="15278" xr:uid="{00000000-0005-0000-0000-0000F4820000}"/>
    <cellStyle name="Note 3 4 2 3 11" xfId="26405" xr:uid="{00000000-0005-0000-0000-0000F5820000}"/>
    <cellStyle name="Note 3 4 2 3 12" xfId="27120" xr:uid="{00000000-0005-0000-0000-0000F6820000}"/>
    <cellStyle name="Note 3 4 2 3 13" xfId="26262" xr:uid="{00000000-0005-0000-0000-0000F7820000}"/>
    <cellStyle name="Note 3 4 2 3 14" xfId="26647" xr:uid="{00000000-0005-0000-0000-0000F8820000}"/>
    <cellStyle name="Note 3 4 2 3 15" xfId="26779" xr:uid="{00000000-0005-0000-0000-0000F9820000}"/>
    <cellStyle name="Note 3 4 2 3 16" xfId="27292" xr:uid="{00000000-0005-0000-0000-0000FA820000}"/>
    <cellStyle name="Note 3 4 2 3 17" xfId="27206" xr:uid="{00000000-0005-0000-0000-0000FB820000}"/>
    <cellStyle name="Note 3 4 2 3 18" xfId="35096" xr:uid="{00000000-0005-0000-0000-0000FC820000}"/>
    <cellStyle name="Note 3 4 2 3 19" xfId="35274" xr:uid="{00000000-0005-0000-0000-0000FD820000}"/>
    <cellStyle name="Note 3 4 2 3 2" xfId="14875" xr:uid="{00000000-0005-0000-0000-0000FE820000}"/>
    <cellStyle name="Note 3 4 2 3 3" xfId="14429" xr:uid="{00000000-0005-0000-0000-0000FF820000}"/>
    <cellStyle name="Note 3 4 2 3 4" xfId="13957" xr:uid="{00000000-0005-0000-0000-000000830000}"/>
    <cellStyle name="Note 3 4 2 3 5" xfId="15100" xr:uid="{00000000-0005-0000-0000-000001830000}"/>
    <cellStyle name="Note 3 4 2 3 6" xfId="15292" xr:uid="{00000000-0005-0000-0000-000002830000}"/>
    <cellStyle name="Note 3 4 2 3 7" xfId="15436" xr:uid="{00000000-0005-0000-0000-000003830000}"/>
    <cellStyle name="Note 3 4 2 3 8" xfId="15231" xr:uid="{00000000-0005-0000-0000-000004830000}"/>
    <cellStyle name="Note 3 4 2 3 9" xfId="13504" xr:uid="{00000000-0005-0000-0000-000005830000}"/>
    <cellStyle name="Note 3 4 2 4" xfId="12430" xr:uid="{00000000-0005-0000-0000-000006830000}"/>
    <cellStyle name="Note 3 4 2 4 10" xfId="20904" xr:uid="{00000000-0005-0000-0000-000007830000}"/>
    <cellStyle name="Note 3 4 2 4 11" xfId="26421" xr:uid="{00000000-0005-0000-0000-000008830000}"/>
    <cellStyle name="Note 3 4 2 4 12" xfId="27107" xr:uid="{00000000-0005-0000-0000-000009830000}"/>
    <cellStyle name="Note 3 4 2 4 13" xfId="26158" xr:uid="{00000000-0005-0000-0000-00000A830000}"/>
    <cellStyle name="Note 3 4 2 4 14" xfId="25925" xr:uid="{00000000-0005-0000-0000-00000B830000}"/>
    <cellStyle name="Note 3 4 2 4 15" xfId="27374" xr:uid="{00000000-0005-0000-0000-00000C830000}"/>
    <cellStyle name="Note 3 4 2 4 16" xfId="26943" xr:uid="{00000000-0005-0000-0000-00000D830000}"/>
    <cellStyle name="Note 3 4 2 4 17" xfId="26905" xr:uid="{00000000-0005-0000-0000-00000E830000}"/>
    <cellStyle name="Note 3 4 2 4 18" xfId="35111" xr:uid="{00000000-0005-0000-0000-00000F830000}"/>
    <cellStyle name="Note 3 4 2 4 19" xfId="35262" xr:uid="{00000000-0005-0000-0000-000010830000}"/>
    <cellStyle name="Note 3 4 2 4 2" xfId="14865" xr:uid="{00000000-0005-0000-0000-000011830000}"/>
    <cellStyle name="Note 3 4 2 4 3" xfId="15418" xr:uid="{00000000-0005-0000-0000-000012830000}"/>
    <cellStyle name="Note 3 4 2 4 4" xfId="15771" xr:uid="{00000000-0005-0000-0000-000013830000}"/>
    <cellStyle name="Note 3 4 2 4 5" xfId="14387" xr:uid="{00000000-0005-0000-0000-000014830000}"/>
    <cellStyle name="Note 3 4 2 4 6" xfId="14222" xr:uid="{00000000-0005-0000-0000-000015830000}"/>
    <cellStyle name="Note 3 4 2 4 7" xfId="14494" xr:uid="{00000000-0005-0000-0000-000016830000}"/>
    <cellStyle name="Note 3 4 2 4 8" xfId="15190" xr:uid="{00000000-0005-0000-0000-000017830000}"/>
    <cellStyle name="Note 3 4 2 4 9" xfId="15805" xr:uid="{00000000-0005-0000-0000-000018830000}"/>
    <cellStyle name="Note 3 4 2 5" xfId="12431" xr:uid="{00000000-0005-0000-0000-000019830000}"/>
    <cellStyle name="Note 3 4 2 5 10" xfId="14464" xr:uid="{00000000-0005-0000-0000-00001A830000}"/>
    <cellStyle name="Note 3 4 2 5 11" xfId="26373" xr:uid="{00000000-0005-0000-0000-00001B830000}"/>
    <cellStyle name="Note 3 4 2 5 12" xfId="27716" xr:uid="{00000000-0005-0000-0000-00001C830000}"/>
    <cellStyle name="Note 3 4 2 5 13" xfId="26261" xr:uid="{00000000-0005-0000-0000-00001D830000}"/>
    <cellStyle name="Note 3 4 2 5 14" xfId="25935" xr:uid="{00000000-0005-0000-0000-00001E830000}"/>
    <cellStyle name="Note 3 4 2 5 15" xfId="26770" xr:uid="{00000000-0005-0000-0000-00001F830000}"/>
    <cellStyle name="Note 3 4 2 5 16" xfId="27035" xr:uid="{00000000-0005-0000-0000-000020830000}"/>
    <cellStyle name="Note 3 4 2 5 17" xfId="26879" xr:uid="{00000000-0005-0000-0000-000021830000}"/>
    <cellStyle name="Note 3 4 2 5 18" xfId="35065" xr:uid="{00000000-0005-0000-0000-000022830000}"/>
    <cellStyle name="Note 3 4 2 5 19" xfId="34848" xr:uid="{00000000-0005-0000-0000-000023830000}"/>
    <cellStyle name="Note 3 4 2 5 2" xfId="15688" xr:uid="{00000000-0005-0000-0000-000024830000}"/>
    <cellStyle name="Note 3 4 2 5 3" xfId="13766" xr:uid="{00000000-0005-0000-0000-000025830000}"/>
    <cellStyle name="Note 3 4 2 5 4" xfId="14192" xr:uid="{00000000-0005-0000-0000-000026830000}"/>
    <cellStyle name="Note 3 4 2 5 5" xfId="15319" xr:uid="{00000000-0005-0000-0000-000027830000}"/>
    <cellStyle name="Note 3 4 2 5 6" xfId="14311" xr:uid="{00000000-0005-0000-0000-000028830000}"/>
    <cellStyle name="Note 3 4 2 5 7" xfId="14134" xr:uid="{00000000-0005-0000-0000-000029830000}"/>
    <cellStyle name="Note 3 4 2 5 8" xfId="13887" xr:uid="{00000000-0005-0000-0000-00002A830000}"/>
    <cellStyle name="Note 3 4 2 5 9" xfId="14763" xr:uid="{00000000-0005-0000-0000-00002B830000}"/>
    <cellStyle name="Note 3 4 2 6" xfId="15791" xr:uid="{00000000-0005-0000-0000-00002C830000}"/>
    <cellStyle name="Note 3 4 2 7" xfId="15381" xr:uid="{00000000-0005-0000-0000-00002D830000}"/>
    <cellStyle name="Note 3 4 2 8" xfId="15153" xr:uid="{00000000-0005-0000-0000-00002E830000}"/>
    <cellStyle name="Note 3 4 2 9" xfId="15138" xr:uid="{00000000-0005-0000-0000-00002F830000}"/>
    <cellStyle name="Note 3 4 3" xfId="12432" xr:uid="{00000000-0005-0000-0000-000030830000}"/>
    <cellStyle name="Note 3 4 3 10" xfId="18899" xr:uid="{00000000-0005-0000-0000-000031830000}"/>
    <cellStyle name="Note 3 4 3 11" xfId="20948" xr:uid="{00000000-0005-0000-0000-000032830000}"/>
    <cellStyle name="Note 3 4 3 12" xfId="26531" xr:uid="{00000000-0005-0000-0000-000033830000}"/>
    <cellStyle name="Note 3 4 3 13" xfId="27042" xr:uid="{00000000-0005-0000-0000-000034830000}"/>
    <cellStyle name="Note 3 4 3 14" xfId="26209" xr:uid="{00000000-0005-0000-0000-000035830000}"/>
    <cellStyle name="Note 3 4 3 15" xfId="27228" xr:uid="{00000000-0005-0000-0000-000036830000}"/>
    <cellStyle name="Note 3 4 3 16" xfId="27285" xr:uid="{00000000-0005-0000-0000-000037830000}"/>
    <cellStyle name="Note 3 4 3 17" xfId="27341" xr:uid="{00000000-0005-0000-0000-000038830000}"/>
    <cellStyle name="Note 3 4 3 18" xfId="31835" xr:uid="{00000000-0005-0000-0000-000039830000}"/>
    <cellStyle name="Note 3 4 3 19" xfId="35196" xr:uid="{00000000-0005-0000-0000-00003A830000}"/>
    <cellStyle name="Note 3 4 3 2" xfId="13977" xr:uid="{00000000-0005-0000-0000-00003B830000}"/>
    <cellStyle name="Note 3 4 3 20" xfId="35205" xr:uid="{00000000-0005-0000-0000-00003C830000}"/>
    <cellStyle name="Note 3 4 3 3" xfId="15641" xr:uid="{00000000-0005-0000-0000-00003D830000}"/>
    <cellStyle name="Note 3 4 3 4" xfId="15434" xr:uid="{00000000-0005-0000-0000-00003E830000}"/>
    <cellStyle name="Note 3 4 3 5" xfId="14998" xr:uid="{00000000-0005-0000-0000-00003F830000}"/>
    <cellStyle name="Note 3 4 3 6" xfId="14404" xr:uid="{00000000-0005-0000-0000-000040830000}"/>
    <cellStyle name="Note 3 4 3 7" xfId="14803" xr:uid="{00000000-0005-0000-0000-000041830000}"/>
    <cellStyle name="Note 3 4 3 8" xfId="14537" xr:uid="{00000000-0005-0000-0000-000042830000}"/>
    <cellStyle name="Note 3 4 3 9" xfId="13929" xr:uid="{00000000-0005-0000-0000-000043830000}"/>
    <cellStyle name="Note 3 4 4" xfId="15176" xr:uid="{00000000-0005-0000-0000-000044830000}"/>
    <cellStyle name="Note 3 4 5" xfId="15568" xr:uid="{00000000-0005-0000-0000-000045830000}"/>
    <cellStyle name="Note 3 4 6" xfId="14334" xr:uid="{00000000-0005-0000-0000-000046830000}"/>
    <cellStyle name="Note 3 4 7" xfId="20913" xr:uid="{00000000-0005-0000-0000-000047830000}"/>
    <cellStyle name="Note 3 4 8" xfId="13679" xr:uid="{00000000-0005-0000-0000-000048830000}"/>
    <cellStyle name="Note 3 4 9" xfId="26063" xr:uid="{00000000-0005-0000-0000-000049830000}"/>
    <cellStyle name="Note 3 5" xfId="12433" xr:uid="{00000000-0005-0000-0000-00004A830000}"/>
    <cellStyle name="Note 3 5 10" xfId="15149" xr:uid="{00000000-0005-0000-0000-00004B830000}"/>
    <cellStyle name="Note 3 5 11" xfId="15587" xr:uid="{00000000-0005-0000-0000-00004C830000}"/>
    <cellStyle name="Note 3 5 12" xfId="14684" xr:uid="{00000000-0005-0000-0000-00004D830000}"/>
    <cellStyle name="Note 3 5 13" xfId="18892" xr:uid="{00000000-0005-0000-0000-00004E830000}"/>
    <cellStyle name="Note 3 5 14" xfId="13901" xr:uid="{00000000-0005-0000-0000-00004F830000}"/>
    <cellStyle name="Note 3 5 15" xfId="26084" xr:uid="{00000000-0005-0000-0000-000050830000}"/>
    <cellStyle name="Note 3 5 16" xfId="26056" xr:uid="{00000000-0005-0000-0000-000051830000}"/>
    <cellStyle name="Note 3 5 17" xfId="25961" xr:uid="{00000000-0005-0000-0000-000052830000}"/>
    <cellStyle name="Note 3 5 18" xfId="26437" xr:uid="{00000000-0005-0000-0000-000053830000}"/>
    <cellStyle name="Note 3 5 19" xfId="25949" xr:uid="{00000000-0005-0000-0000-000054830000}"/>
    <cellStyle name="Note 3 5 2" xfId="12434" xr:uid="{00000000-0005-0000-0000-000055830000}"/>
    <cellStyle name="Note 3 5 2 10" xfId="13582" xr:uid="{00000000-0005-0000-0000-000056830000}"/>
    <cellStyle name="Note 3 5 2 11" xfId="26306" xr:uid="{00000000-0005-0000-0000-000057830000}"/>
    <cellStyle name="Note 3 5 2 12" xfId="27738" xr:uid="{00000000-0005-0000-0000-000058830000}"/>
    <cellStyle name="Note 3 5 2 13" xfId="25972" xr:uid="{00000000-0005-0000-0000-000059830000}"/>
    <cellStyle name="Note 3 5 2 14" xfId="25896" xr:uid="{00000000-0005-0000-0000-00005A830000}"/>
    <cellStyle name="Note 3 5 2 15" xfId="26670" xr:uid="{00000000-0005-0000-0000-00005B830000}"/>
    <cellStyle name="Note 3 5 2 16" xfId="27305" xr:uid="{00000000-0005-0000-0000-00005C830000}"/>
    <cellStyle name="Note 3 5 2 17" xfId="27452" xr:uid="{00000000-0005-0000-0000-00005D830000}"/>
    <cellStyle name="Note 3 5 2 18" xfId="35002" xr:uid="{00000000-0005-0000-0000-00005E830000}"/>
    <cellStyle name="Note 3 5 2 19" xfId="35338" xr:uid="{00000000-0005-0000-0000-00005F830000}"/>
    <cellStyle name="Note 3 5 2 2" xfId="14930" xr:uid="{00000000-0005-0000-0000-000060830000}"/>
    <cellStyle name="Note 3 5 2 3" xfId="13879" xr:uid="{00000000-0005-0000-0000-000061830000}"/>
    <cellStyle name="Note 3 5 2 4" xfId="15737" xr:uid="{00000000-0005-0000-0000-000062830000}"/>
    <cellStyle name="Note 3 5 2 5" xfId="13484" xr:uid="{00000000-0005-0000-0000-000063830000}"/>
    <cellStyle name="Note 3 5 2 6" xfId="14183" xr:uid="{00000000-0005-0000-0000-000064830000}"/>
    <cellStyle name="Note 3 5 2 7" xfId="13626" xr:uid="{00000000-0005-0000-0000-000065830000}"/>
    <cellStyle name="Note 3 5 2 8" xfId="15454" xr:uid="{00000000-0005-0000-0000-000066830000}"/>
    <cellStyle name="Note 3 5 2 9" xfId="15271" xr:uid="{00000000-0005-0000-0000-000067830000}"/>
    <cellStyle name="Note 3 5 20" xfId="27381" xr:uid="{00000000-0005-0000-0000-000068830000}"/>
    <cellStyle name="Note 3 5 21" xfId="27326" xr:uid="{00000000-0005-0000-0000-000069830000}"/>
    <cellStyle name="Note 3 5 22" xfId="34945" xr:uid="{00000000-0005-0000-0000-00006A830000}"/>
    <cellStyle name="Note 3 5 23" xfId="34886" xr:uid="{00000000-0005-0000-0000-00006B830000}"/>
    <cellStyle name="Note 3 5 3" xfId="12435" xr:uid="{00000000-0005-0000-0000-00006C830000}"/>
    <cellStyle name="Note 3 5 3 10" xfId="14209" xr:uid="{00000000-0005-0000-0000-00006D830000}"/>
    <cellStyle name="Note 3 5 3 11" xfId="26386" xr:uid="{00000000-0005-0000-0000-00006E830000}"/>
    <cellStyle name="Note 3 5 3 12" xfId="27710" xr:uid="{00000000-0005-0000-0000-00006F830000}"/>
    <cellStyle name="Note 3 5 3 13" xfId="26147" xr:uid="{00000000-0005-0000-0000-000070830000}"/>
    <cellStyle name="Note 3 5 3 14" xfId="25987" xr:uid="{00000000-0005-0000-0000-000071830000}"/>
    <cellStyle name="Note 3 5 3 15" xfId="25953" xr:uid="{00000000-0005-0000-0000-000072830000}"/>
    <cellStyle name="Note 3 5 3 16" xfId="26667" xr:uid="{00000000-0005-0000-0000-000073830000}"/>
    <cellStyle name="Note 3 5 3 17" xfId="27505" xr:uid="{00000000-0005-0000-0000-000074830000}"/>
    <cellStyle name="Note 3 5 3 18" xfId="35077" xr:uid="{00000000-0005-0000-0000-000075830000}"/>
    <cellStyle name="Note 3 5 3 19" xfId="35287" xr:uid="{00000000-0005-0000-0000-000076830000}"/>
    <cellStyle name="Note 3 5 3 2" xfId="15684" xr:uid="{00000000-0005-0000-0000-000077830000}"/>
    <cellStyle name="Note 3 5 3 3" xfId="15206" xr:uid="{00000000-0005-0000-0000-000078830000}"/>
    <cellStyle name="Note 3 5 3 4" xfId="14302" xr:uid="{00000000-0005-0000-0000-000079830000}"/>
    <cellStyle name="Note 3 5 3 5" xfId="15441" xr:uid="{00000000-0005-0000-0000-00007A830000}"/>
    <cellStyle name="Note 3 5 3 6" xfId="15561" xr:uid="{00000000-0005-0000-0000-00007B830000}"/>
    <cellStyle name="Note 3 5 3 7" xfId="13998" xr:uid="{00000000-0005-0000-0000-00007C830000}"/>
    <cellStyle name="Note 3 5 3 8" xfId="14511" xr:uid="{00000000-0005-0000-0000-00007D830000}"/>
    <cellStyle name="Note 3 5 3 9" xfId="13795" xr:uid="{00000000-0005-0000-0000-00007E830000}"/>
    <cellStyle name="Note 3 5 4" xfId="12436" xr:uid="{00000000-0005-0000-0000-00007F830000}"/>
    <cellStyle name="Note 3 5 4 10" xfId="14545" xr:uid="{00000000-0005-0000-0000-000080830000}"/>
    <cellStyle name="Note 3 5 4 11" xfId="26348" xr:uid="{00000000-0005-0000-0000-000081830000}"/>
    <cellStyle name="Note 3 5 4 12" xfId="27154" xr:uid="{00000000-0005-0000-0000-000082830000}"/>
    <cellStyle name="Note 3 5 4 13" xfId="27357" xr:uid="{00000000-0005-0000-0000-000083830000}"/>
    <cellStyle name="Note 3 5 4 14" xfId="26133" xr:uid="{00000000-0005-0000-0000-000084830000}"/>
    <cellStyle name="Note 3 5 4 15" xfId="29828" xr:uid="{00000000-0005-0000-0000-000085830000}"/>
    <cellStyle name="Note 3 5 4 16" xfId="27395" xr:uid="{00000000-0005-0000-0000-000086830000}"/>
    <cellStyle name="Note 3 5 4 17" xfId="27621" xr:uid="{00000000-0005-0000-0000-000087830000}"/>
    <cellStyle name="Note 3 5 4 18" xfId="35042" xr:uid="{00000000-0005-0000-0000-000088830000}"/>
    <cellStyle name="Note 3 5 4 19" xfId="35309" xr:uid="{00000000-0005-0000-0000-000089830000}"/>
    <cellStyle name="Note 3 5 4 2" xfId="14907" xr:uid="{00000000-0005-0000-0000-00008A830000}"/>
    <cellStyle name="Note 3 5 4 3" xfId="15165" xr:uid="{00000000-0005-0000-0000-00008B830000}"/>
    <cellStyle name="Note 3 5 4 4" xfId="15141" xr:uid="{00000000-0005-0000-0000-00008C830000}"/>
    <cellStyle name="Note 3 5 4 5" xfId="17860" xr:uid="{00000000-0005-0000-0000-00008D830000}"/>
    <cellStyle name="Note 3 5 4 6" xfId="16871" xr:uid="{00000000-0005-0000-0000-00008E830000}"/>
    <cellStyle name="Note 3 5 4 7" xfId="14703" xr:uid="{00000000-0005-0000-0000-00008F830000}"/>
    <cellStyle name="Note 3 5 4 8" xfId="14413" xr:uid="{00000000-0005-0000-0000-000090830000}"/>
    <cellStyle name="Note 3 5 4 9" xfId="14264" xr:uid="{00000000-0005-0000-0000-000091830000}"/>
    <cellStyle name="Note 3 5 5" xfId="12437" xr:uid="{00000000-0005-0000-0000-000092830000}"/>
    <cellStyle name="Note 3 5 5 10" xfId="15490" xr:uid="{00000000-0005-0000-0000-000093830000}"/>
    <cellStyle name="Note 3 5 5 11" xfId="26469" xr:uid="{00000000-0005-0000-0000-000094830000}"/>
    <cellStyle name="Note 3 5 5 12" xfId="27078" xr:uid="{00000000-0005-0000-0000-000095830000}"/>
    <cellStyle name="Note 3 5 5 13" xfId="26263" xr:uid="{00000000-0005-0000-0000-000096830000}"/>
    <cellStyle name="Note 3 5 5 14" xfId="26913" xr:uid="{00000000-0005-0000-0000-000097830000}"/>
    <cellStyle name="Note 3 5 5 15" xfId="27501" xr:uid="{00000000-0005-0000-0000-000098830000}"/>
    <cellStyle name="Note 3 5 5 16" xfId="27034" xr:uid="{00000000-0005-0000-0000-000099830000}"/>
    <cellStyle name="Note 3 5 5 17" xfId="26973" xr:uid="{00000000-0005-0000-0000-00009A830000}"/>
    <cellStyle name="Note 3 5 5 18" xfId="35152" xr:uid="{00000000-0005-0000-0000-00009B830000}"/>
    <cellStyle name="Note 3 5 5 19" xfId="35232" xr:uid="{00000000-0005-0000-0000-00009C830000}"/>
    <cellStyle name="Note 3 5 5 2" xfId="14845" xr:uid="{00000000-0005-0000-0000-00009D830000}"/>
    <cellStyle name="Note 3 5 5 3" xfId="14436" xr:uid="{00000000-0005-0000-0000-00009E830000}"/>
    <cellStyle name="Note 3 5 5 4" xfId="15766" xr:uid="{00000000-0005-0000-0000-00009F830000}"/>
    <cellStyle name="Note 3 5 5 5" xfId="14395" xr:uid="{00000000-0005-0000-0000-0000A0830000}"/>
    <cellStyle name="Note 3 5 5 6" xfId="14205" xr:uid="{00000000-0005-0000-0000-0000A1830000}"/>
    <cellStyle name="Note 3 5 5 7" xfId="14543" xr:uid="{00000000-0005-0000-0000-0000A2830000}"/>
    <cellStyle name="Note 3 5 5 8" xfId="14509" xr:uid="{00000000-0005-0000-0000-0000A3830000}"/>
    <cellStyle name="Note 3 5 5 9" xfId="18876" xr:uid="{00000000-0005-0000-0000-0000A4830000}"/>
    <cellStyle name="Note 3 5 6" xfId="13855" xr:uid="{00000000-0005-0000-0000-0000A5830000}"/>
    <cellStyle name="Note 3 5 7" xfId="15171" xr:uid="{00000000-0005-0000-0000-0000A6830000}"/>
    <cellStyle name="Note 3 5 8" xfId="13919" xr:uid="{00000000-0005-0000-0000-0000A7830000}"/>
    <cellStyle name="Note 3 5 9" xfId="15365" xr:uid="{00000000-0005-0000-0000-0000A8830000}"/>
    <cellStyle name="Note 3 6" xfId="12438" xr:uid="{00000000-0005-0000-0000-0000A9830000}"/>
    <cellStyle name="Note 3 6 10" xfId="15151" xr:uid="{00000000-0005-0000-0000-0000AA830000}"/>
    <cellStyle name="Note 3 6 11" xfId="20952" xr:uid="{00000000-0005-0000-0000-0000AB830000}"/>
    <cellStyle name="Note 3 6 12" xfId="26532" xr:uid="{00000000-0005-0000-0000-0000AC830000}"/>
    <cellStyle name="Note 3 6 13" xfId="27041" xr:uid="{00000000-0005-0000-0000-0000AD830000}"/>
    <cellStyle name="Note 3 6 14" xfId="26589" xr:uid="{00000000-0005-0000-0000-0000AE830000}"/>
    <cellStyle name="Note 3 6 15" xfId="27011" xr:uid="{00000000-0005-0000-0000-0000AF830000}"/>
    <cellStyle name="Note 3 6 16" xfId="26222" xr:uid="{00000000-0005-0000-0000-0000B0830000}"/>
    <cellStyle name="Note 3 6 17" xfId="27823" xr:uid="{00000000-0005-0000-0000-0000B1830000}"/>
    <cellStyle name="Note 3 6 18" xfId="26008" xr:uid="{00000000-0005-0000-0000-0000B2830000}"/>
    <cellStyle name="Note 3 6 19" xfId="35197" xr:uid="{00000000-0005-0000-0000-0000B3830000}"/>
    <cellStyle name="Note 3 6 2" xfId="13978" xr:uid="{00000000-0005-0000-0000-0000B4830000}"/>
    <cellStyle name="Note 3 6 20" xfId="35387" xr:uid="{00000000-0005-0000-0000-0000B5830000}"/>
    <cellStyle name="Note 3 6 3" xfId="14808" xr:uid="{00000000-0005-0000-0000-0000B6830000}"/>
    <cellStyle name="Note 3 6 4" xfId="14084" xr:uid="{00000000-0005-0000-0000-0000B7830000}"/>
    <cellStyle name="Note 3 6 5" xfId="13905" xr:uid="{00000000-0005-0000-0000-0000B8830000}"/>
    <cellStyle name="Note 3 6 6" xfId="13471" xr:uid="{00000000-0005-0000-0000-0000B9830000}"/>
    <cellStyle name="Note 3 6 7" xfId="13639" xr:uid="{00000000-0005-0000-0000-0000BA830000}"/>
    <cellStyle name="Note 3 6 8" xfId="20429" xr:uid="{00000000-0005-0000-0000-0000BB830000}"/>
    <cellStyle name="Note 3 6 9" xfId="15182" xr:uid="{00000000-0005-0000-0000-0000BC830000}"/>
    <cellStyle name="Note 3 7" xfId="12439" xr:uid="{00000000-0005-0000-0000-0000BD830000}"/>
    <cellStyle name="Note 3 7 10" xfId="24873" xr:uid="{00000000-0005-0000-0000-0000BE830000}"/>
    <cellStyle name="Note 3 7 11" xfId="25872" xr:uid="{00000000-0005-0000-0000-0000BF830000}"/>
    <cellStyle name="Note 3 7 12" xfId="28778" xr:uid="{00000000-0005-0000-0000-0000C0830000}"/>
    <cellStyle name="Note 3 7 13" xfId="29795" xr:uid="{00000000-0005-0000-0000-0000C1830000}"/>
    <cellStyle name="Note 3 7 14" xfId="30828" xr:uid="{00000000-0005-0000-0000-0000C2830000}"/>
    <cellStyle name="Note 3 7 15" xfId="31823" xr:uid="{00000000-0005-0000-0000-0000C3830000}"/>
    <cellStyle name="Note 3 7 16" xfId="32827" xr:uid="{00000000-0005-0000-0000-0000C4830000}"/>
    <cellStyle name="Note 3 7 17" xfId="33830" xr:uid="{00000000-0005-0000-0000-0000C5830000}"/>
    <cellStyle name="Note 3 7 18" xfId="34829" xr:uid="{00000000-0005-0000-0000-0000C6830000}"/>
    <cellStyle name="Note 3 7 19" xfId="36390" xr:uid="{00000000-0005-0000-0000-0000C7830000}"/>
    <cellStyle name="Note 3 7 2" xfId="16862" xr:uid="{00000000-0005-0000-0000-0000C8830000}"/>
    <cellStyle name="Note 3 7 20" xfId="37389" xr:uid="{00000000-0005-0000-0000-0000C9830000}"/>
    <cellStyle name="Note 3 7 3" xfId="17842" xr:uid="{00000000-0005-0000-0000-0000CA830000}"/>
    <cellStyle name="Note 3 7 4" xfId="18867" xr:uid="{00000000-0005-0000-0000-0000CB830000}"/>
    <cellStyle name="Note 3 7 5" xfId="19901" xr:uid="{00000000-0005-0000-0000-0000CC830000}"/>
    <cellStyle name="Note 3 7 6" xfId="20926" xr:uid="{00000000-0005-0000-0000-0000CD830000}"/>
    <cellStyle name="Note 3 7 7" xfId="21886" xr:uid="{00000000-0005-0000-0000-0000CE830000}"/>
    <cellStyle name="Note 3 7 8" xfId="22898" xr:uid="{00000000-0005-0000-0000-0000CF830000}"/>
    <cellStyle name="Note 3 7 9" xfId="23901" xr:uid="{00000000-0005-0000-0000-0000D0830000}"/>
    <cellStyle name="Note 3 8" xfId="37402" xr:uid="{00000000-0005-0000-0000-0000D1830000}"/>
    <cellStyle name="Note 4" xfId="12440" xr:uid="{00000000-0005-0000-0000-0000D2830000}"/>
    <cellStyle name="Note 4 10" xfId="20947" xr:uid="{00000000-0005-0000-0000-0000D3830000}"/>
    <cellStyle name="Note 4 11" xfId="26064" xr:uid="{00000000-0005-0000-0000-0000D4830000}"/>
    <cellStyle name="Note 4 12" xfId="27277" xr:uid="{00000000-0005-0000-0000-0000D5830000}"/>
    <cellStyle name="Note 4 13" xfId="28750" xr:uid="{00000000-0005-0000-0000-0000D6830000}"/>
    <cellStyle name="Note 4 14" xfId="26723" xr:uid="{00000000-0005-0000-0000-0000D7830000}"/>
    <cellStyle name="Note 4 15" xfId="26025" xr:uid="{00000000-0005-0000-0000-0000D8830000}"/>
    <cellStyle name="Note 4 16" xfId="27279" xr:uid="{00000000-0005-0000-0000-0000D9830000}"/>
    <cellStyle name="Note 4 17" xfId="34915" xr:uid="{00000000-0005-0000-0000-0000DA830000}"/>
    <cellStyle name="Note 4 18" xfId="35379" xr:uid="{00000000-0005-0000-0000-0000DB830000}"/>
    <cellStyle name="Note 4 2" xfId="12441" xr:uid="{00000000-0005-0000-0000-0000DC830000}"/>
    <cellStyle name="Note 4 3" xfId="12442" xr:uid="{00000000-0005-0000-0000-0000DD830000}"/>
    <cellStyle name="Note 4 3 10" xfId="18925" xr:uid="{00000000-0005-0000-0000-0000DE830000}"/>
    <cellStyle name="Note 4 3 11" xfId="13573" xr:uid="{00000000-0005-0000-0000-0000DF830000}"/>
    <cellStyle name="Note 4 3 12" xfId="15777" xr:uid="{00000000-0005-0000-0000-0000E0830000}"/>
    <cellStyle name="Note 4 3 13" xfId="15008" xr:uid="{00000000-0005-0000-0000-0000E1830000}"/>
    <cellStyle name="Note 4 3 14" xfId="20911" xr:uid="{00000000-0005-0000-0000-0000E2830000}"/>
    <cellStyle name="Note 4 3 15" xfId="26106" xr:uid="{00000000-0005-0000-0000-0000E3830000}"/>
    <cellStyle name="Note 4 3 16" xfId="27258" xr:uid="{00000000-0005-0000-0000-0000E4830000}"/>
    <cellStyle name="Note 4 3 17" xfId="25964" xr:uid="{00000000-0005-0000-0000-0000E5830000}"/>
    <cellStyle name="Note 4 3 18" xfId="27298" xr:uid="{00000000-0005-0000-0000-0000E6830000}"/>
    <cellStyle name="Note 4 3 19" xfId="26661" xr:uid="{00000000-0005-0000-0000-0000E7830000}"/>
    <cellStyle name="Note 4 3 2" xfId="12443" xr:uid="{00000000-0005-0000-0000-0000E8830000}"/>
    <cellStyle name="Note 4 3 2 10" xfId="15089" xr:uid="{00000000-0005-0000-0000-0000E9830000}"/>
    <cellStyle name="Note 4 3 2 11" xfId="26326" xr:uid="{00000000-0005-0000-0000-0000EA830000}"/>
    <cellStyle name="Note 4 3 2 12" xfId="27171" xr:uid="{00000000-0005-0000-0000-0000EB830000}"/>
    <cellStyle name="Note 4 3 2 13" xfId="27847" xr:uid="{00000000-0005-0000-0000-0000EC830000}"/>
    <cellStyle name="Note 4 3 2 14" xfId="27657" xr:uid="{00000000-0005-0000-0000-0000ED830000}"/>
    <cellStyle name="Note 4 3 2 15" xfId="30341" xr:uid="{00000000-0005-0000-0000-0000EE830000}"/>
    <cellStyle name="Note 4 3 2 16" xfId="26859" xr:uid="{00000000-0005-0000-0000-0000EF830000}"/>
    <cellStyle name="Note 4 3 2 17" xfId="26220" xr:uid="{00000000-0005-0000-0000-0000F0830000}"/>
    <cellStyle name="Note 4 3 2 18" xfId="35022" xr:uid="{00000000-0005-0000-0000-0000F1830000}"/>
    <cellStyle name="Note 4 3 2 19" xfId="35325" xr:uid="{00000000-0005-0000-0000-0000F2830000}"/>
    <cellStyle name="Note 4 3 2 2" xfId="14921" xr:uid="{00000000-0005-0000-0000-0000F3830000}"/>
    <cellStyle name="Note 4 3 2 3" xfId="15198" xr:uid="{00000000-0005-0000-0000-0000F4830000}"/>
    <cellStyle name="Note 4 3 2 4" xfId="15631" xr:uid="{00000000-0005-0000-0000-0000F5830000}"/>
    <cellStyle name="Note 4 3 2 5" xfId="14469" xr:uid="{00000000-0005-0000-0000-0000F6830000}"/>
    <cellStyle name="Note 4 3 2 6" xfId="14988" xr:uid="{00000000-0005-0000-0000-0000F7830000}"/>
    <cellStyle name="Note 4 3 2 7" xfId="14594" xr:uid="{00000000-0005-0000-0000-0000F8830000}"/>
    <cellStyle name="Note 4 3 2 8" xfId="15294" xr:uid="{00000000-0005-0000-0000-0000F9830000}"/>
    <cellStyle name="Note 4 3 2 9" xfId="17825" xr:uid="{00000000-0005-0000-0000-0000FA830000}"/>
    <cellStyle name="Note 4 3 20" xfId="30855" xr:uid="{00000000-0005-0000-0000-0000FB830000}"/>
    <cellStyle name="Note 4 3 21" xfId="26690" xr:uid="{00000000-0005-0000-0000-0000FC830000}"/>
    <cellStyle name="Note 4 3 22" xfId="34965" xr:uid="{00000000-0005-0000-0000-0000FD830000}"/>
    <cellStyle name="Note 4 3 23" xfId="35364" xr:uid="{00000000-0005-0000-0000-0000FE830000}"/>
    <cellStyle name="Note 4 3 3" xfId="12444" xr:uid="{00000000-0005-0000-0000-0000FF830000}"/>
    <cellStyle name="Note 4 3 3 10" xfId="15529" xr:uid="{00000000-0005-0000-0000-000000840000}"/>
    <cellStyle name="Note 4 3 3 11" xfId="26406" xr:uid="{00000000-0005-0000-0000-000001840000}"/>
    <cellStyle name="Note 4 3 3 12" xfId="27119" xr:uid="{00000000-0005-0000-0000-000002840000}"/>
    <cellStyle name="Note 4 3 3 13" xfId="27358" xr:uid="{00000000-0005-0000-0000-000003840000}"/>
    <cellStyle name="Note 4 3 3 14" xfId="27766" xr:uid="{00000000-0005-0000-0000-000004840000}"/>
    <cellStyle name="Note 4 3 3 15" xfId="26742" xr:uid="{00000000-0005-0000-0000-000005840000}"/>
    <cellStyle name="Note 4 3 3 16" xfId="27551" xr:uid="{00000000-0005-0000-0000-000006840000}"/>
    <cellStyle name="Note 4 3 3 17" xfId="27634" xr:uid="{00000000-0005-0000-0000-000007840000}"/>
    <cellStyle name="Note 4 3 3 18" xfId="35097" xr:uid="{00000000-0005-0000-0000-000008840000}"/>
    <cellStyle name="Note 4 3 3 19" xfId="34850" xr:uid="{00000000-0005-0000-0000-000009840000}"/>
    <cellStyle name="Note 4 3 3 2" xfId="14874" xr:uid="{00000000-0005-0000-0000-00000A840000}"/>
    <cellStyle name="Note 4 3 3 3" xfId="14058" xr:uid="{00000000-0005-0000-0000-00000B840000}"/>
    <cellStyle name="Note 4 3 3 4" xfId="13602" xr:uid="{00000000-0005-0000-0000-00000C840000}"/>
    <cellStyle name="Note 4 3 3 5" xfId="15442" xr:uid="{00000000-0005-0000-0000-00000D840000}"/>
    <cellStyle name="Note 4 3 3 6" xfId="16842" xr:uid="{00000000-0005-0000-0000-00000E840000}"/>
    <cellStyle name="Note 4 3 3 7" xfId="13600" xr:uid="{00000000-0005-0000-0000-00000F840000}"/>
    <cellStyle name="Note 4 3 3 8" xfId="14754" xr:uid="{00000000-0005-0000-0000-000010840000}"/>
    <cellStyle name="Note 4 3 3 9" xfId="14313" xr:uid="{00000000-0005-0000-0000-000011840000}"/>
    <cellStyle name="Note 4 3 4" xfId="12445" xr:uid="{00000000-0005-0000-0000-000012840000}"/>
    <cellStyle name="Note 4 3 4 10" xfId="13620" xr:uid="{00000000-0005-0000-0000-000013840000}"/>
    <cellStyle name="Note 4 3 4 11" xfId="26422" xr:uid="{00000000-0005-0000-0000-000014840000}"/>
    <cellStyle name="Note 4 3 4 12" xfId="27106" xr:uid="{00000000-0005-0000-0000-000015840000}"/>
    <cellStyle name="Note 4 3 4 13" xfId="26159" xr:uid="{00000000-0005-0000-0000-000016840000}"/>
    <cellStyle name="Note 4 3 4 14" xfId="27652" xr:uid="{00000000-0005-0000-0000-000017840000}"/>
    <cellStyle name="Note 4 3 4 15" xfId="25897" xr:uid="{00000000-0005-0000-0000-000018840000}"/>
    <cellStyle name="Note 4 3 4 16" xfId="26885" xr:uid="{00000000-0005-0000-0000-000019840000}"/>
    <cellStyle name="Note 4 3 4 17" xfId="26623" xr:uid="{00000000-0005-0000-0000-00001A840000}"/>
    <cellStyle name="Note 4 3 4 18" xfId="35112" xr:uid="{00000000-0005-0000-0000-00001B840000}"/>
    <cellStyle name="Note 4 3 4 19" xfId="35420" xr:uid="{00000000-0005-0000-0000-00001C840000}"/>
    <cellStyle name="Note 4 3 4 2" xfId="14864" xr:uid="{00000000-0005-0000-0000-00001D840000}"/>
    <cellStyle name="Note 4 3 4 3" xfId="14061" xr:uid="{00000000-0005-0000-0000-00001E840000}"/>
    <cellStyle name="Note 4 3 4 4" xfId="15830" xr:uid="{00000000-0005-0000-0000-00001F840000}"/>
    <cellStyle name="Note 4 3 4 5" xfId="13405" xr:uid="{00000000-0005-0000-0000-000020840000}"/>
    <cellStyle name="Note 4 3 4 6" xfId="15147" xr:uid="{00000000-0005-0000-0000-000021840000}"/>
    <cellStyle name="Note 4 3 4 7" xfId="14607" xr:uid="{00000000-0005-0000-0000-000022840000}"/>
    <cellStyle name="Note 4 3 4 8" xfId="15573" xr:uid="{00000000-0005-0000-0000-000023840000}"/>
    <cellStyle name="Note 4 3 4 9" xfId="15340" xr:uid="{00000000-0005-0000-0000-000024840000}"/>
    <cellStyle name="Note 4 3 5" xfId="12446" xr:uid="{00000000-0005-0000-0000-000025840000}"/>
    <cellStyle name="Note 4 3 5 10" xfId="14210" xr:uid="{00000000-0005-0000-0000-000026840000}"/>
    <cellStyle name="Note 4 3 5 11" xfId="26464" xr:uid="{00000000-0005-0000-0000-000027840000}"/>
    <cellStyle name="Note 4 3 5 12" xfId="27080" xr:uid="{00000000-0005-0000-0000-000028840000}"/>
    <cellStyle name="Note 4 3 5 13" xfId="25891" xr:uid="{00000000-0005-0000-0000-000029840000}"/>
    <cellStyle name="Note 4 3 5 14" xfId="26643" xr:uid="{00000000-0005-0000-0000-00002A840000}"/>
    <cellStyle name="Note 4 3 5 15" xfId="26560" xr:uid="{00000000-0005-0000-0000-00002B840000}"/>
    <cellStyle name="Note 4 3 5 16" xfId="27765" xr:uid="{00000000-0005-0000-0000-00002C840000}"/>
    <cellStyle name="Note 4 3 5 17" xfId="27799" xr:uid="{00000000-0005-0000-0000-00002D840000}"/>
    <cellStyle name="Note 4 3 5 18" xfId="35147" xr:uid="{00000000-0005-0000-0000-00002E840000}"/>
    <cellStyle name="Note 4 3 5 19" xfId="35236" xr:uid="{00000000-0005-0000-0000-00002F840000}"/>
    <cellStyle name="Note 4 3 5 2" xfId="15664" xr:uid="{00000000-0005-0000-0000-000030840000}"/>
    <cellStyle name="Note 4 3 5 3" xfId="14434" xr:uid="{00000000-0005-0000-0000-000031840000}"/>
    <cellStyle name="Note 4 3 5 4" xfId="15020" xr:uid="{00000000-0005-0000-0000-000032840000}"/>
    <cellStyle name="Note 4 3 5 5" xfId="15394" xr:uid="{00000000-0005-0000-0000-000033840000}"/>
    <cellStyle name="Note 4 3 5 6" xfId="15005" xr:uid="{00000000-0005-0000-0000-000034840000}"/>
    <cellStyle name="Note 4 3 5 7" xfId="14748" xr:uid="{00000000-0005-0000-0000-000035840000}"/>
    <cellStyle name="Note 4 3 5 8" xfId="20960" xr:uid="{00000000-0005-0000-0000-000036840000}"/>
    <cellStyle name="Note 4 3 5 9" xfId="13839" xr:uid="{00000000-0005-0000-0000-000037840000}"/>
    <cellStyle name="Note 4 3 6" xfId="15056" xr:uid="{00000000-0005-0000-0000-000038840000}"/>
    <cellStyle name="Note 4 3 7" xfId="14975" xr:uid="{00000000-0005-0000-0000-000039840000}"/>
    <cellStyle name="Note 4 3 8" xfId="13940" xr:uid="{00000000-0005-0000-0000-00003A840000}"/>
    <cellStyle name="Note 4 3 9" xfId="15117" xr:uid="{00000000-0005-0000-0000-00003B840000}"/>
    <cellStyle name="Note 4 4" xfId="12447" xr:uid="{00000000-0005-0000-0000-00003C840000}"/>
    <cellStyle name="Note 4 4 10" xfId="15133" xr:uid="{00000000-0005-0000-0000-00003D840000}"/>
    <cellStyle name="Note 4 4 11" xfId="15527" xr:uid="{00000000-0005-0000-0000-00003E840000}"/>
    <cellStyle name="Note 4 4 12" xfId="26533" xr:uid="{00000000-0005-0000-0000-00003F840000}"/>
    <cellStyle name="Note 4 4 13" xfId="27664" xr:uid="{00000000-0005-0000-0000-000040840000}"/>
    <cellStyle name="Note 4 4 14" xfId="26832" xr:uid="{00000000-0005-0000-0000-000041840000}"/>
    <cellStyle name="Note 4 4 15" xfId="27227" xr:uid="{00000000-0005-0000-0000-000042840000}"/>
    <cellStyle name="Note 4 4 16" xfId="26698" xr:uid="{00000000-0005-0000-0000-000043840000}"/>
    <cellStyle name="Note 4 4 17" xfId="27596" xr:uid="{00000000-0005-0000-0000-000044840000}"/>
    <cellStyle name="Note 4 4 18" xfId="27557" xr:uid="{00000000-0005-0000-0000-000045840000}"/>
    <cellStyle name="Note 4 4 19" xfId="35198" xr:uid="{00000000-0005-0000-0000-000046840000}"/>
    <cellStyle name="Note 4 4 2" xfId="13979" xr:uid="{00000000-0005-0000-0000-000047840000}"/>
    <cellStyle name="Note 4 4 20" xfId="35204" xr:uid="{00000000-0005-0000-0000-000048840000}"/>
    <cellStyle name="Note 4 4 3" xfId="14807" xr:uid="{00000000-0005-0000-0000-000049840000}"/>
    <cellStyle name="Note 4 4 4" xfId="13566" xr:uid="{00000000-0005-0000-0000-00004A840000}"/>
    <cellStyle name="Note 4 4 5" xfId="14997" xr:uid="{00000000-0005-0000-0000-00004B840000}"/>
    <cellStyle name="Note 4 4 6" xfId="15399" xr:uid="{00000000-0005-0000-0000-00004C840000}"/>
    <cellStyle name="Note 4 4 7" xfId="14213" xr:uid="{00000000-0005-0000-0000-00004D840000}"/>
    <cellStyle name="Note 4 4 8" xfId="13916" xr:uid="{00000000-0005-0000-0000-00004E840000}"/>
    <cellStyle name="Note 4 4 9" xfId="15580" xr:uid="{00000000-0005-0000-0000-00004F840000}"/>
    <cellStyle name="Note 4 5" xfId="12448" xr:uid="{00000000-0005-0000-0000-000050840000}"/>
    <cellStyle name="Note 4 6" xfId="15360" xr:uid="{00000000-0005-0000-0000-000051840000}"/>
    <cellStyle name="Note 4 7" xfId="13398" xr:uid="{00000000-0005-0000-0000-000052840000}"/>
    <cellStyle name="Note 4 8" xfId="18912" xr:uid="{00000000-0005-0000-0000-000053840000}"/>
    <cellStyle name="Note 4 9" xfId="15800" xr:uid="{00000000-0005-0000-0000-000054840000}"/>
    <cellStyle name="Note 5" xfId="12449" xr:uid="{00000000-0005-0000-0000-000055840000}"/>
    <cellStyle name="Note 5 2" xfId="12450" xr:uid="{00000000-0005-0000-0000-000056840000}"/>
    <cellStyle name="Note 5 2 10" xfId="13480" xr:uid="{00000000-0005-0000-0000-000057840000}"/>
    <cellStyle name="Note 5 2 11" xfId="13972" xr:uid="{00000000-0005-0000-0000-000058840000}"/>
    <cellStyle name="Note 5 2 12" xfId="14022" xr:uid="{00000000-0005-0000-0000-000059840000}"/>
    <cellStyle name="Note 5 2 13" xfId="14992" xr:uid="{00000000-0005-0000-0000-00005A840000}"/>
    <cellStyle name="Note 5 2 14" xfId="15746" xr:uid="{00000000-0005-0000-0000-00005B840000}"/>
    <cellStyle name="Note 5 2 15" xfId="27750" xr:uid="{00000000-0005-0000-0000-00005C840000}"/>
    <cellStyle name="Note 5 2 16" xfId="27593" xr:uid="{00000000-0005-0000-0000-00005D840000}"/>
    <cellStyle name="Note 5 2 17" xfId="26221" xr:uid="{00000000-0005-0000-0000-00005E840000}"/>
    <cellStyle name="Note 5 2 18" xfId="25898" xr:uid="{00000000-0005-0000-0000-00005F840000}"/>
    <cellStyle name="Note 5 2 19" xfId="26223" xr:uid="{00000000-0005-0000-0000-000060840000}"/>
    <cellStyle name="Note 5 2 2" xfId="12451" xr:uid="{00000000-0005-0000-0000-000061840000}"/>
    <cellStyle name="Note 5 2 2 10" xfId="14693" xr:uid="{00000000-0005-0000-0000-000062840000}"/>
    <cellStyle name="Note 5 2 2 11" xfId="27163" xr:uid="{00000000-0005-0000-0000-000063840000}"/>
    <cellStyle name="Note 5 2 2 12" xfId="26429" xr:uid="{00000000-0005-0000-0000-000064840000}"/>
    <cellStyle name="Note 5 2 2 13" xfId="26134" xr:uid="{00000000-0005-0000-0000-000065840000}"/>
    <cellStyle name="Note 5 2 2 14" xfId="27427" xr:uid="{00000000-0005-0000-0000-000066840000}"/>
    <cellStyle name="Note 5 2 2 15" xfId="26813" xr:uid="{00000000-0005-0000-0000-000067840000}"/>
    <cellStyle name="Note 5 2 2 16" xfId="35451" xr:uid="{00000000-0005-0000-0000-000068840000}"/>
    <cellStyle name="Note 5 2 2 2" xfId="14914" xr:uid="{00000000-0005-0000-0000-000069840000}"/>
    <cellStyle name="Note 5 2 2 3" xfId="13745" xr:uid="{00000000-0005-0000-0000-00006A840000}"/>
    <cellStyle name="Note 5 2 2 4" xfId="15812" xr:uid="{00000000-0005-0000-0000-00006B840000}"/>
    <cellStyle name="Note 5 2 2 5" xfId="15066" xr:uid="{00000000-0005-0000-0000-00006C840000}"/>
    <cellStyle name="Note 5 2 2 6" xfId="14891" xr:uid="{00000000-0005-0000-0000-00006D840000}"/>
    <cellStyle name="Note 5 2 2 7" xfId="15322" xr:uid="{00000000-0005-0000-0000-00006E840000}"/>
    <cellStyle name="Note 5 2 2 8" xfId="14409" xr:uid="{00000000-0005-0000-0000-00006F840000}"/>
    <cellStyle name="Note 5 2 2 9" xfId="15220" xr:uid="{00000000-0005-0000-0000-000070840000}"/>
    <cellStyle name="Note 5 2 20" xfId="35356" xr:uid="{00000000-0005-0000-0000-000071840000}"/>
    <cellStyle name="Note 5 2 3" xfId="12452" xr:uid="{00000000-0005-0000-0000-000072840000}"/>
    <cellStyle name="Note 5 2 3 10" xfId="14486" xr:uid="{00000000-0005-0000-0000-000073840000}"/>
    <cellStyle name="Note 5 2 3 11" xfId="27076" xr:uid="{00000000-0005-0000-0000-000074840000}"/>
    <cellStyle name="Note 5 2 3 12" xfId="27580" xr:uid="{00000000-0005-0000-0000-000075840000}"/>
    <cellStyle name="Note 5 2 3 13" xfId="26792" xr:uid="{00000000-0005-0000-0000-000076840000}"/>
    <cellStyle name="Note 5 2 3 14" xfId="26664" xr:uid="{00000000-0005-0000-0000-000077840000}"/>
    <cellStyle name="Note 5 2 3 15" xfId="27637" xr:uid="{00000000-0005-0000-0000-000078840000}"/>
    <cellStyle name="Note 5 2 3 16" xfId="35231" xr:uid="{00000000-0005-0000-0000-000079840000}"/>
    <cellStyle name="Note 5 2 3 2" xfId="14843" xr:uid="{00000000-0005-0000-0000-00007A840000}"/>
    <cellStyle name="Note 5 2 3 3" xfId="14437" xr:uid="{00000000-0005-0000-0000-00007B840000}"/>
    <cellStyle name="Note 5 2 3 4" xfId="15017" xr:uid="{00000000-0005-0000-0000-00007C840000}"/>
    <cellStyle name="Note 5 2 3 5" xfId="14396" xr:uid="{00000000-0005-0000-0000-00007D840000}"/>
    <cellStyle name="Note 5 2 3 6" xfId="14973" xr:uid="{00000000-0005-0000-0000-00007E840000}"/>
    <cellStyle name="Note 5 2 3 7" xfId="14261" xr:uid="{00000000-0005-0000-0000-00007F840000}"/>
    <cellStyle name="Note 5 2 3 8" xfId="14651" xr:uid="{00000000-0005-0000-0000-000080840000}"/>
    <cellStyle name="Note 5 2 3 9" xfId="15373" xr:uid="{00000000-0005-0000-0000-000081840000}"/>
    <cellStyle name="Note 5 2 4" xfId="12453" xr:uid="{00000000-0005-0000-0000-000082840000}"/>
    <cellStyle name="Note 5 2 4 10" xfId="15273" xr:uid="{00000000-0005-0000-0000-000083840000}"/>
    <cellStyle name="Note 5 2 4 11" xfId="27103" xr:uid="{00000000-0005-0000-0000-000084840000}"/>
    <cellStyle name="Note 5 2 4 12" xfId="27331" xr:uid="{00000000-0005-0000-0000-000085840000}"/>
    <cellStyle name="Note 5 2 4 13" xfId="26252" xr:uid="{00000000-0005-0000-0000-000086840000}"/>
    <cellStyle name="Note 5 2 4 14" xfId="27002" xr:uid="{00000000-0005-0000-0000-000087840000}"/>
    <cellStyle name="Note 5 2 4 15" xfId="26881" xr:uid="{00000000-0005-0000-0000-000088840000}"/>
    <cellStyle name="Note 5 2 4 16" xfId="35417" xr:uid="{00000000-0005-0000-0000-000089840000}"/>
    <cellStyle name="Note 5 2 4 2" xfId="14861" xr:uid="{00000000-0005-0000-0000-00008A840000}"/>
    <cellStyle name="Note 5 2 4 3" xfId="13547" xr:uid="{00000000-0005-0000-0000-00008B840000}"/>
    <cellStyle name="Note 5 2 4 4" xfId="14186" xr:uid="{00000000-0005-0000-0000-00008C840000}"/>
    <cellStyle name="Note 5 2 4 5" xfId="14742" xr:uid="{00000000-0005-0000-0000-00008D840000}"/>
    <cellStyle name="Note 5 2 4 6" xfId="13401" xr:uid="{00000000-0005-0000-0000-00008E840000}"/>
    <cellStyle name="Note 5 2 4 7" xfId="15589" xr:uid="{00000000-0005-0000-0000-00008F840000}"/>
    <cellStyle name="Note 5 2 4 8" xfId="15012" xr:uid="{00000000-0005-0000-0000-000090840000}"/>
    <cellStyle name="Note 5 2 4 9" xfId="14488" xr:uid="{00000000-0005-0000-0000-000091840000}"/>
    <cellStyle name="Note 5 2 5" xfId="12454" xr:uid="{00000000-0005-0000-0000-000092840000}"/>
    <cellStyle name="Note 5 2 5 10" xfId="14768" xr:uid="{00000000-0005-0000-0000-000093840000}"/>
    <cellStyle name="Note 5 2 5 11" xfId="27065" xr:uid="{00000000-0005-0000-0000-000094840000}"/>
    <cellStyle name="Note 5 2 5 12" xfId="26910" xr:uid="{00000000-0005-0000-0000-000095840000}"/>
    <cellStyle name="Note 5 2 5 13" xfId="27378" xr:uid="{00000000-0005-0000-0000-000096840000}"/>
    <cellStyle name="Note 5 2 5 14" xfId="26936" xr:uid="{00000000-0005-0000-0000-000097840000}"/>
    <cellStyle name="Note 5 2 5 15" xfId="26227" xr:uid="{00000000-0005-0000-0000-000098840000}"/>
    <cellStyle name="Note 5 2 5 16" xfId="35220" xr:uid="{00000000-0005-0000-0000-000099840000}"/>
    <cellStyle name="Note 5 2 5 2" xfId="13609" xr:uid="{00000000-0005-0000-0000-00009A840000}"/>
    <cellStyle name="Note 5 2 5 3" xfId="15425" xr:uid="{00000000-0005-0000-0000-00009B840000}"/>
    <cellStyle name="Note 5 2 5 4" xfId="13834" xr:uid="{00000000-0005-0000-0000-00009C840000}"/>
    <cellStyle name="Note 5 2 5 5" xfId="14015" xr:uid="{00000000-0005-0000-0000-00009D840000}"/>
    <cellStyle name="Note 5 2 5 6" xfId="15557" xr:uid="{00000000-0005-0000-0000-00009E840000}"/>
    <cellStyle name="Note 5 2 5 7" xfId="15523" xr:uid="{00000000-0005-0000-0000-00009F840000}"/>
    <cellStyle name="Note 5 2 5 8" xfId="14370" xr:uid="{00000000-0005-0000-0000-0000A0840000}"/>
    <cellStyle name="Note 5 2 5 9" xfId="14128" xr:uid="{00000000-0005-0000-0000-0000A1840000}"/>
    <cellStyle name="Note 5 2 6" xfId="14947" xr:uid="{00000000-0005-0000-0000-0000A2840000}"/>
    <cellStyle name="Note 5 2 7" xfId="13489" xr:uid="{00000000-0005-0000-0000-0000A3840000}"/>
    <cellStyle name="Note 5 2 8" xfId="15116" xr:uid="{00000000-0005-0000-0000-0000A4840000}"/>
    <cellStyle name="Note 5 2 9" xfId="15437" xr:uid="{00000000-0005-0000-0000-0000A5840000}"/>
    <cellStyle name="Note 6" xfId="12455" xr:uid="{00000000-0005-0000-0000-0000A6840000}"/>
    <cellStyle name="Notes" xfId="244" xr:uid="{00000000-0005-0000-0000-0000A7840000}"/>
    <cellStyle name="Notes 2" xfId="12456" xr:uid="{00000000-0005-0000-0000-0000A8840000}"/>
    <cellStyle name="Output" xfId="13361" builtinId="21" customBuiltin="1"/>
    <cellStyle name="Output 2" xfId="246" xr:uid="{00000000-0005-0000-0000-0000AA840000}"/>
    <cellStyle name="Output 2 2" xfId="12457" xr:uid="{00000000-0005-0000-0000-0000AB840000}"/>
    <cellStyle name="Output 2 2 10" xfId="19912" xr:uid="{00000000-0005-0000-0000-0000AC840000}"/>
    <cellStyle name="Output 2 2 11" xfId="26066" xr:uid="{00000000-0005-0000-0000-0000AD840000}"/>
    <cellStyle name="Output 2 2 12" xfId="27276" xr:uid="{00000000-0005-0000-0000-0000AE840000}"/>
    <cellStyle name="Output 2 2 13" xfId="26101" xr:uid="{00000000-0005-0000-0000-0000AF840000}"/>
    <cellStyle name="Output 2 2 14" xfId="25899" xr:uid="{00000000-0005-0000-0000-0000B0840000}"/>
    <cellStyle name="Output 2 2 15" xfId="27608" xr:uid="{00000000-0005-0000-0000-0000B1840000}"/>
    <cellStyle name="Output 2 2 16" xfId="27306" xr:uid="{00000000-0005-0000-0000-0000B2840000}"/>
    <cellStyle name="Output 2 2 17" xfId="34916" xr:uid="{00000000-0005-0000-0000-0000B3840000}"/>
    <cellStyle name="Output 2 2 18" xfId="34974" xr:uid="{00000000-0005-0000-0000-0000B4840000}"/>
    <cellStyle name="Output 2 2 2" xfId="12458" xr:uid="{00000000-0005-0000-0000-0000B5840000}"/>
    <cellStyle name="Output 2 2 2 10" xfId="27792" xr:uid="{00000000-0005-0000-0000-0000B6840000}"/>
    <cellStyle name="Output 2 2 2 11" xfId="26575" xr:uid="{00000000-0005-0000-0000-0000B7840000}"/>
    <cellStyle name="Output 2 2 2 12" xfId="28788" xr:uid="{00000000-0005-0000-0000-0000B8840000}"/>
    <cellStyle name="Output 2 2 2 13" xfId="27400" xr:uid="{00000000-0005-0000-0000-0000B9840000}"/>
    <cellStyle name="Output 2 2 2 14" xfId="26113" xr:uid="{00000000-0005-0000-0000-0000BA840000}"/>
    <cellStyle name="Output 2 2 2 15" xfId="34917" xr:uid="{00000000-0005-0000-0000-0000BB840000}"/>
    <cellStyle name="Output 2 2 2 16" xfId="34933" xr:uid="{00000000-0005-0000-0000-0000BC840000}"/>
    <cellStyle name="Output 2 2 2 17" xfId="35485" xr:uid="{00000000-0005-0000-0000-0000BD840000}"/>
    <cellStyle name="Output 2 2 2 2" xfId="12459" xr:uid="{00000000-0005-0000-0000-0000BE840000}"/>
    <cellStyle name="Output 2 2 2 2 10" xfId="13967" xr:uid="{00000000-0005-0000-0000-0000BF840000}"/>
    <cellStyle name="Output 2 2 2 2 11" xfId="19885" xr:uid="{00000000-0005-0000-0000-0000C0840000}"/>
    <cellStyle name="Output 2 2 2 2 12" xfId="21867" xr:uid="{00000000-0005-0000-0000-0000C1840000}"/>
    <cellStyle name="Output 2 2 2 2 13" xfId="15750" xr:uid="{00000000-0005-0000-0000-0000C2840000}"/>
    <cellStyle name="Output 2 2 2 2 14" xfId="26108" xr:uid="{00000000-0005-0000-0000-0000C3840000}"/>
    <cellStyle name="Output 2 2 2 2 15" xfId="27256" xr:uid="{00000000-0005-0000-0000-0000C4840000}"/>
    <cellStyle name="Output 2 2 2 2 16" xfId="27319" xr:uid="{00000000-0005-0000-0000-0000C5840000}"/>
    <cellStyle name="Output 2 2 2 2 17" xfId="25903" xr:uid="{00000000-0005-0000-0000-0000C6840000}"/>
    <cellStyle name="Output 2 2 2 2 18" xfId="26235" xr:uid="{00000000-0005-0000-0000-0000C7840000}"/>
    <cellStyle name="Output 2 2 2 2 19" xfId="30840" xr:uid="{00000000-0005-0000-0000-0000C8840000}"/>
    <cellStyle name="Output 2 2 2 2 2" xfId="12460" xr:uid="{00000000-0005-0000-0000-0000C9840000}"/>
    <cellStyle name="Output 2 2 2 2 2 10" xfId="26328" xr:uid="{00000000-0005-0000-0000-0000CA840000}"/>
    <cellStyle name="Output 2 2 2 2 2 11" xfId="27730" xr:uid="{00000000-0005-0000-0000-0000CB840000}"/>
    <cellStyle name="Output 2 2 2 2 2 12" xfId="27243" xr:uid="{00000000-0005-0000-0000-0000CC840000}"/>
    <cellStyle name="Output 2 2 2 2 2 13" xfId="26695" xr:uid="{00000000-0005-0000-0000-0000CD840000}"/>
    <cellStyle name="Output 2 2 2 2 2 14" xfId="27223" xr:uid="{00000000-0005-0000-0000-0000CE840000}"/>
    <cellStyle name="Output 2 2 2 2 2 15" xfId="27283" xr:uid="{00000000-0005-0000-0000-0000CF840000}"/>
    <cellStyle name="Output 2 2 2 2 2 16" xfId="35024" xr:uid="{00000000-0005-0000-0000-0000D0840000}"/>
    <cellStyle name="Output 2 2 2 2 2 17" xfId="35455" xr:uid="{00000000-0005-0000-0000-0000D1840000}"/>
    <cellStyle name="Output 2 2 2 2 2 2" xfId="14919" xr:uid="{00000000-0005-0000-0000-0000D2840000}"/>
    <cellStyle name="Output 2 2 2 2 2 3" xfId="13737" xr:uid="{00000000-0005-0000-0000-0000D3840000}"/>
    <cellStyle name="Output 2 2 2 2 2 4" xfId="15543" xr:uid="{00000000-0005-0000-0000-0000D4840000}"/>
    <cellStyle name="Output 2 2 2 2 2 5" xfId="15248" xr:uid="{00000000-0005-0000-0000-0000D5840000}"/>
    <cellStyle name="Output 2 2 2 2 2 6" xfId="14182" xr:uid="{00000000-0005-0000-0000-0000D6840000}"/>
    <cellStyle name="Output 2 2 2 2 2 7" xfId="14746" xr:uid="{00000000-0005-0000-0000-0000D7840000}"/>
    <cellStyle name="Output 2 2 2 2 2 8" xfId="15613" xr:uid="{00000000-0005-0000-0000-0000D8840000}"/>
    <cellStyle name="Output 2 2 2 2 2 9" xfId="13583" xr:uid="{00000000-0005-0000-0000-0000D9840000}"/>
    <cellStyle name="Output 2 2 2 2 20" xfId="34967" xr:uid="{00000000-0005-0000-0000-0000DA840000}"/>
    <cellStyle name="Output 2 2 2 2 21" xfId="35363" xr:uid="{00000000-0005-0000-0000-0000DB840000}"/>
    <cellStyle name="Output 2 2 2 2 3" xfId="12461" xr:uid="{00000000-0005-0000-0000-0000DC840000}"/>
    <cellStyle name="Output 2 2 2 2 3 10" xfId="26408" xr:uid="{00000000-0005-0000-0000-0000DD840000}"/>
    <cellStyle name="Output 2 2 2 2 3 11" xfId="27118" xr:uid="{00000000-0005-0000-0000-0000DE840000}"/>
    <cellStyle name="Output 2 2 2 2 3 12" xfId="26918" xr:uid="{00000000-0005-0000-0000-0000DF840000}"/>
    <cellStyle name="Output 2 2 2 2 3 13" xfId="26780" xr:uid="{00000000-0005-0000-0000-0000E0840000}"/>
    <cellStyle name="Output 2 2 2 2 3 14" xfId="27291" xr:uid="{00000000-0005-0000-0000-0000E1840000}"/>
    <cellStyle name="Output 2 2 2 2 3 15" xfId="31833" xr:uid="{00000000-0005-0000-0000-0000E2840000}"/>
    <cellStyle name="Output 2 2 2 2 3 16" xfId="35099" xr:uid="{00000000-0005-0000-0000-0000E3840000}"/>
    <cellStyle name="Output 2 2 2 2 3 17" xfId="35273" xr:uid="{00000000-0005-0000-0000-0000E4840000}"/>
    <cellStyle name="Output 2 2 2 2 3 2" xfId="14873" xr:uid="{00000000-0005-0000-0000-0000E5840000}"/>
    <cellStyle name="Output 2 2 2 2 3 3" xfId="13778" xr:uid="{00000000-0005-0000-0000-0000E6840000}"/>
    <cellStyle name="Output 2 2 2 2 3 4" xfId="15535" xr:uid="{00000000-0005-0000-0000-0000E7840000}"/>
    <cellStyle name="Output 2 2 2 2 3 5" xfId="14142" xr:uid="{00000000-0005-0000-0000-0000E8840000}"/>
    <cellStyle name="Output 2 2 2 2 3 6" xfId="15549" xr:uid="{00000000-0005-0000-0000-0000E9840000}"/>
    <cellStyle name="Output 2 2 2 2 3 7" xfId="13809" xr:uid="{00000000-0005-0000-0000-0000EA840000}"/>
    <cellStyle name="Output 2 2 2 2 3 8" xfId="14580" xr:uid="{00000000-0005-0000-0000-0000EB840000}"/>
    <cellStyle name="Output 2 2 2 2 3 9" xfId="15825" xr:uid="{00000000-0005-0000-0000-0000EC840000}"/>
    <cellStyle name="Output 2 2 2 2 4" xfId="12462" xr:uid="{00000000-0005-0000-0000-0000ED840000}"/>
    <cellStyle name="Output 2 2 2 2 4 10" xfId="26424" xr:uid="{00000000-0005-0000-0000-0000EE840000}"/>
    <cellStyle name="Output 2 2 2 2 4 11" xfId="27105" xr:uid="{00000000-0005-0000-0000-0000EF840000}"/>
    <cellStyle name="Output 2 2 2 2 4 12" xfId="26132" xr:uid="{00000000-0005-0000-0000-0000F0840000}"/>
    <cellStyle name="Output 2 2 2 2 4 13" xfId="27497" xr:uid="{00000000-0005-0000-0000-0000F1840000}"/>
    <cellStyle name="Output 2 2 2 2 4 14" xfId="26848" xr:uid="{00000000-0005-0000-0000-0000F2840000}"/>
    <cellStyle name="Output 2 2 2 2 4 15" xfId="29808" xr:uid="{00000000-0005-0000-0000-0000F3840000}"/>
    <cellStyle name="Output 2 2 2 2 4 16" xfId="35114" xr:uid="{00000000-0005-0000-0000-0000F4840000}"/>
    <cellStyle name="Output 2 2 2 2 4 17" xfId="35260" xr:uid="{00000000-0005-0000-0000-0000F5840000}"/>
    <cellStyle name="Output 2 2 2 2 4 2" xfId="13612" xr:uid="{00000000-0005-0000-0000-0000F6840000}"/>
    <cellStyle name="Output 2 2 2 2 4 3" xfId="13543" xr:uid="{00000000-0005-0000-0000-0000F7840000}"/>
    <cellStyle name="Output 2 2 2 2 4 4" xfId="14624" xr:uid="{00000000-0005-0000-0000-0000F8840000}"/>
    <cellStyle name="Output 2 2 2 2 4 5" xfId="14562" xr:uid="{00000000-0005-0000-0000-0000F9840000}"/>
    <cellStyle name="Output 2 2 2 2 4 6" xfId="14501" xr:uid="{00000000-0005-0000-0000-0000FA840000}"/>
    <cellStyle name="Output 2 2 2 2 4 7" xfId="14532" xr:uid="{00000000-0005-0000-0000-0000FB840000}"/>
    <cellStyle name="Output 2 2 2 2 4 8" xfId="14223" xr:uid="{00000000-0005-0000-0000-0000FC840000}"/>
    <cellStyle name="Output 2 2 2 2 4 9" xfId="19882" xr:uid="{00000000-0005-0000-0000-0000FD840000}"/>
    <cellStyle name="Output 2 2 2 2 5" xfId="12463" xr:uid="{00000000-0005-0000-0000-0000FE840000}"/>
    <cellStyle name="Output 2 2 2 2 5 10" xfId="26439" xr:uid="{00000000-0005-0000-0000-0000FF840000}"/>
    <cellStyle name="Output 2 2 2 2 5 11" xfId="27691" xr:uid="{00000000-0005-0000-0000-000000850000}"/>
    <cellStyle name="Output 2 2 2 2 5 12" xfId="26065" xr:uid="{00000000-0005-0000-0000-000001850000}"/>
    <cellStyle name="Output 2 2 2 2 5 13" xfId="27353" xr:uid="{00000000-0005-0000-0000-000002850000}"/>
    <cellStyle name="Output 2 2 2 2 5 14" xfId="26145" xr:uid="{00000000-0005-0000-0000-000003850000}"/>
    <cellStyle name="Output 2 2 2 2 5 15" xfId="26966" xr:uid="{00000000-0005-0000-0000-000004850000}"/>
    <cellStyle name="Output 2 2 2 2 5 16" xfId="35123" xr:uid="{00000000-0005-0000-0000-000005850000}"/>
    <cellStyle name="Output 2 2 2 2 5 17" xfId="35415" xr:uid="{00000000-0005-0000-0000-000006850000}"/>
    <cellStyle name="Output 2 2 2 2 5 2" xfId="15671" xr:uid="{00000000-0005-0000-0000-000007850000}"/>
    <cellStyle name="Output 2 2 2 2 5 3" xfId="13554" xr:uid="{00000000-0005-0000-0000-000008850000}"/>
    <cellStyle name="Output 2 2 2 2 5 4" xfId="14185" xr:uid="{00000000-0005-0000-0000-000009850000}"/>
    <cellStyle name="Output 2 2 2 2 5 5" xfId="14743" xr:uid="{00000000-0005-0000-0000-00000A850000}"/>
    <cellStyle name="Output 2 2 2 2 5 6" xfId="14326" xr:uid="{00000000-0005-0000-0000-00000B850000}"/>
    <cellStyle name="Output 2 2 2 2 5 7" xfId="15159" xr:uid="{00000000-0005-0000-0000-00000C850000}"/>
    <cellStyle name="Output 2 2 2 2 5 8" xfId="13675" xr:uid="{00000000-0005-0000-0000-00000D850000}"/>
    <cellStyle name="Output 2 2 2 2 5 9" xfId="22909" xr:uid="{00000000-0005-0000-0000-00000E850000}"/>
    <cellStyle name="Output 2 2 2 2 6" xfId="15790" xr:uid="{00000000-0005-0000-0000-00000F850000}"/>
    <cellStyle name="Output 2 2 2 2 7" xfId="14363" xr:uid="{00000000-0005-0000-0000-000010850000}"/>
    <cellStyle name="Output 2 2 2 2 8" xfId="15086" xr:uid="{00000000-0005-0000-0000-000011850000}"/>
    <cellStyle name="Output 2 2 2 2 9" xfId="14339" xr:uid="{00000000-0005-0000-0000-000012850000}"/>
    <cellStyle name="Output 2 2 2 3" xfId="12464" xr:uid="{00000000-0005-0000-0000-000013850000}"/>
    <cellStyle name="Output 2 2 2 3 10" xfId="26294" xr:uid="{00000000-0005-0000-0000-000014850000}"/>
    <cellStyle name="Output 2 2 2 3 11" xfId="27192" xr:uid="{00000000-0005-0000-0000-000015850000}"/>
    <cellStyle name="Output 2 2 2 3 12" xfId="26926" xr:uid="{00000000-0005-0000-0000-000016850000}"/>
    <cellStyle name="Output 2 2 2 3 13" xfId="26747" xr:uid="{00000000-0005-0000-0000-000017850000}"/>
    <cellStyle name="Output 2 2 2 3 14" xfId="27478" xr:uid="{00000000-0005-0000-0000-000018850000}"/>
    <cellStyle name="Output 2 2 2 3 15" xfId="26998" xr:uid="{00000000-0005-0000-0000-000019850000}"/>
    <cellStyle name="Output 2 2 2 3 16" xfId="34991" xr:uid="{00000000-0005-0000-0000-00001A850000}"/>
    <cellStyle name="Output 2 2 2 3 17" xfId="35346" xr:uid="{00000000-0005-0000-0000-00001B850000}"/>
    <cellStyle name="Output 2 2 2 3 2" xfId="14935" xr:uid="{00000000-0005-0000-0000-00001C850000}"/>
    <cellStyle name="Output 2 2 2 3 3" xfId="14032" xr:uid="{00000000-0005-0000-0000-00001D850000}"/>
    <cellStyle name="Output 2 2 2 3 4" xfId="14308" xr:uid="{00000000-0005-0000-0000-00001E850000}"/>
    <cellStyle name="Output 2 2 2 3 5" xfId="15352" xr:uid="{00000000-0005-0000-0000-00001F850000}"/>
    <cellStyle name="Output 2 2 2 3 6" xfId="15584" xr:uid="{00000000-0005-0000-0000-000020850000}"/>
    <cellStyle name="Output 2 2 2 3 7" xfId="15646" xr:uid="{00000000-0005-0000-0000-000021850000}"/>
    <cellStyle name="Output 2 2 2 3 8" xfId="15096" xr:uid="{00000000-0005-0000-0000-000022850000}"/>
    <cellStyle name="Output 2 2 2 3 9" xfId="13907" xr:uid="{00000000-0005-0000-0000-000023850000}"/>
    <cellStyle name="Output 2 2 2 4" xfId="15797" xr:uid="{00000000-0005-0000-0000-000024850000}"/>
    <cellStyle name="Output 2 2 2 5" xfId="16848" xr:uid="{00000000-0005-0000-0000-000025850000}"/>
    <cellStyle name="Output 2 2 2 6" xfId="13396" xr:uid="{00000000-0005-0000-0000-000026850000}"/>
    <cellStyle name="Output 2 2 2 7" xfId="15244" xr:uid="{00000000-0005-0000-0000-000027850000}"/>
    <cellStyle name="Output 2 2 2 8" xfId="13899" xr:uid="{00000000-0005-0000-0000-000028850000}"/>
    <cellStyle name="Output 2 2 2 9" xfId="26067" xr:uid="{00000000-0005-0000-0000-000029850000}"/>
    <cellStyle name="Output 2 2 3" xfId="12465" xr:uid="{00000000-0005-0000-0000-00002A850000}"/>
    <cellStyle name="Output 2 2 3 10" xfId="15544" xr:uid="{00000000-0005-0000-0000-00002B850000}"/>
    <cellStyle name="Output 2 2 3 11" xfId="14710" xr:uid="{00000000-0005-0000-0000-00002C850000}"/>
    <cellStyle name="Output 2 2 3 12" xfId="21866" xr:uid="{00000000-0005-0000-0000-00002D850000}"/>
    <cellStyle name="Output 2 2 3 13" xfId="15574" xr:uid="{00000000-0005-0000-0000-00002E850000}"/>
    <cellStyle name="Output 2 2 3 14" xfId="14232" xr:uid="{00000000-0005-0000-0000-00002F850000}"/>
    <cellStyle name="Output 2 2 3 15" xfId="26107" xr:uid="{00000000-0005-0000-0000-000030850000}"/>
    <cellStyle name="Output 2 2 3 16" xfId="27257" xr:uid="{00000000-0005-0000-0000-000031850000}"/>
    <cellStyle name="Output 2 2 3 17" xfId="27297" xr:uid="{00000000-0005-0000-0000-000032850000}"/>
    <cellStyle name="Output 2 2 3 18" xfId="25930" xr:uid="{00000000-0005-0000-0000-000033850000}"/>
    <cellStyle name="Output 2 2 3 19" xfId="27031" xr:uid="{00000000-0005-0000-0000-000034850000}"/>
    <cellStyle name="Output 2 2 3 2" xfId="12466" xr:uid="{00000000-0005-0000-0000-000035850000}"/>
    <cellStyle name="Output 2 2 3 2 10" xfId="20935" xr:uid="{00000000-0005-0000-0000-000036850000}"/>
    <cellStyle name="Output 2 2 3 2 11" xfId="26327" xr:uid="{00000000-0005-0000-0000-000037850000}"/>
    <cellStyle name="Output 2 2 3 2 12" xfId="27170" xr:uid="{00000000-0005-0000-0000-000038850000}"/>
    <cellStyle name="Output 2 2 3 2 13" xfId="27419" xr:uid="{00000000-0005-0000-0000-000039850000}"/>
    <cellStyle name="Output 2 2 3 2 14" xfId="26617" xr:uid="{00000000-0005-0000-0000-00003A850000}"/>
    <cellStyle name="Output 2 2 3 2 15" xfId="27006" xr:uid="{00000000-0005-0000-0000-00003B850000}"/>
    <cellStyle name="Output 2 2 3 2 16" xfId="26994" xr:uid="{00000000-0005-0000-0000-00003C850000}"/>
    <cellStyle name="Output 2 2 3 2 17" xfId="35023" xr:uid="{00000000-0005-0000-0000-00003D850000}"/>
    <cellStyle name="Output 2 2 3 2 18" xfId="35324" xr:uid="{00000000-0005-0000-0000-00003E850000}"/>
    <cellStyle name="Output 2 2 3 2 2" xfId="14920" xr:uid="{00000000-0005-0000-0000-00003F850000}"/>
    <cellStyle name="Output 2 2 3 2 3" xfId="13736" xr:uid="{00000000-0005-0000-0000-000040850000}"/>
    <cellStyle name="Output 2 2 3 2 4" xfId="15032" xr:uid="{00000000-0005-0000-0000-000041850000}"/>
    <cellStyle name="Output 2 2 3 2 5" xfId="14006" xr:uid="{00000000-0005-0000-0000-000042850000}"/>
    <cellStyle name="Output 2 2 3 2 6" xfId="14162" xr:uid="{00000000-0005-0000-0000-000043850000}"/>
    <cellStyle name="Output 2 2 3 2 7" xfId="13804" xr:uid="{00000000-0005-0000-0000-000044850000}"/>
    <cellStyle name="Output 2 2 3 2 8" xfId="14961" xr:uid="{00000000-0005-0000-0000-000045850000}"/>
    <cellStyle name="Output 2 2 3 2 9" xfId="15034" xr:uid="{00000000-0005-0000-0000-000046850000}"/>
    <cellStyle name="Output 2 2 3 20" xfId="26682" xr:uid="{00000000-0005-0000-0000-000047850000}"/>
    <cellStyle name="Output 2 2 3 21" xfId="34966" xr:uid="{00000000-0005-0000-0000-000048850000}"/>
    <cellStyle name="Output 2 2 3 22" xfId="35474" xr:uid="{00000000-0005-0000-0000-000049850000}"/>
    <cellStyle name="Output 2 2 3 3" xfId="12467" xr:uid="{00000000-0005-0000-0000-00004A850000}"/>
    <cellStyle name="Output 2 2 3 3 10" xfId="15741" xr:uid="{00000000-0005-0000-0000-00004B850000}"/>
    <cellStyle name="Output 2 2 3 3 11" xfId="26407" xr:uid="{00000000-0005-0000-0000-00004C850000}"/>
    <cellStyle name="Output 2 2 3 3 12" xfId="27703" xr:uid="{00000000-0005-0000-0000-00004D850000}"/>
    <cellStyle name="Output 2 2 3 3 13" xfId="27653" xr:uid="{00000000-0005-0000-0000-00004E850000}"/>
    <cellStyle name="Output 2 2 3 3 14" xfId="27373" xr:uid="{00000000-0005-0000-0000-00004F850000}"/>
    <cellStyle name="Output 2 2 3 3 15" xfId="26720" xr:uid="{00000000-0005-0000-0000-000050850000}"/>
    <cellStyle name="Output 2 2 3 3 16" xfId="26026" xr:uid="{00000000-0005-0000-0000-000051850000}"/>
    <cellStyle name="Output 2 2 3 3 17" xfId="35098" xr:uid="{00000000-0005-0000-0000-000052850000}"/>
    <cellStyle name="Output 2 2 3 3 18" xfId="35427" xr:uid="{00000000-0005-0000-0000-000053850000}"/>
    <cellStyle name="Output 2 2 3 3 2" xfId="15680" xr:uid="{00000000-0005-0000-0000-000054850000}"/>
    <cellStyle name="Output 2 2 3 3 3" xfId="15417" xr:uid="{00000000-0005-0000-0000-000055850000}"/>
    <cellStyle name="Output 2 2 3 3 4" xfId="15029" xr:uid="{00000000-0005-0000-0000-000056850000}"/>
    <cellStyle name="Output 2 2 3 3 5" xfId="15177" xr:uid="{00000000-0005-0000-0000-000057850000}"/>
    <cellStyle name="Output 2 2 3 3 6" xfId="14647" xr:uid="{00000000-0005-0000-0000-000058850000}"/>
    <cellStyle name="Output 2 2 3 3 7" xfId="15099" xr:uid="{00000000-0005-0000-0000-000059850000}"/>
    <cellStyle name="Output 2 2 3 3 8" xfId="14767" xr:uid="{00000000-0005-0000-0000-00005A850000}"/>
    <cellStyle name="Output 2 2 3 3 9" xfId="15046" xr:uid="{00000000-0005-0000-0000-00005B850000}"/>
    <cellStyle name="Output 2 2 3 4" xfId="12468" xr:uid="{00000000-0005-0000-0000-00005C850000}"/>
    <cellStyle name="Output 2 2 3 4 10" xfId="13956" xr:uid="{00000000-0005-0000-0000-00005D850000}"/>
    <cellStyle name="Output 2 2 3 4 11" xfId="26423" xr:uid="{00000000-0005-0000-0000-00005E850000}"/>
    <cellStyle name="Output 2 2 3 4 12" xfId="27696" xr:uid="{00000000-0005-0000-0000-00005F850000}"/>
    <cellStyle name="Output 2 2 3 4 13" xfId="26645" xr:uid="{00000000-0005-0000-0000-000060850000}"/>
    <cellStyle name="Output 2 2 3 4 14" xfId="26783" xr:uid="{00000000-0005-0000-0000-000061850000}"/>
    <cellStyle name="Output 2 2 3 4 15" xfId="27233" xr:uid="{00000000-0005-0000-0000-000062850000}"/>
    <cellStyle name="Output 2 2 3 4 16" xfId="26869" xr:uid="{00000000-0005-0000-0000-000063850000}"/>
    <cellStyle name="Output 2 2 3 4 17" xfId="35113" xr:uid="{00000000-0005-0000-0000-000064850000}"/>
    <cellStyle name="Output 2 2 3 4 18" xfId="35261" xr:uid="{00000000-0005-0000-0000-000065850000}"/>
    <cellStyle name="Output 2 2 3 4 2" xfId="14863" xr:uid="{00000000-0005-0000-0000-000066850000}"/>
    <cellStyle name="Output 2 2 3 4 3" xfId="13784" xr:uid="{00000000-0005-0000-0000-000067850000}"/>
    <cellStyle name="Output 2 2 3 4 4" xfId="15028" xr:uid="{00000000-0005-0000-0000-000068850000}"/>
    <cellStyle name="Output 2 2 3 4 5" xfId="14009" xr:uid="{00000000-0005-0000-0000-000069850000}"/>
    <cellStyle name="Output 2 2 3 4 6" xfId="15826" xr:uid="{00000000-0005-0000-0000-00006A850000}"/>
    <cellStyle name="Output 2 2 3 4 7" xfId="14747" xr:uid="{00000000-0005-0000-0000-00006B850000}"/>
    <cellStyle name="Output 2 2 3 4 8" xfId="13444" xr:uid="{00000000-0005-0000-0000-00006C850000}"/>
    <cellStyle name="Output 2 2 3 4 9" xfId="15132" xr:uid="{00000000-0005-0000-0000-00006D850000}"/>
    <cellStyle name="Output 2 2 3 5" xfId="12469" xr:uid="{00000000-0005-0000-0000-00006E850000}"/>
    <cellStyle name="Output 2 2 3 5 10" xfId="14085" xr:uid="{00000000-0005-0000-0000-00006F850000}"/>
    <cellStyle name="Output 2 2 3 5 11" xfId="26427" xr:uid="{00000000-0005-0000-0000-000070850000}"/>
    <cellStyle name="Output 2 2 3 5 12" xfId="27694" xr:uid="{00000000-0005-0000-0000-000071850000}"/>
    <cellStyle name="Output 2 2 3 5 13" xfId="27212" xr:uid="{00000000-0005-0000-0000-000072850000}"/>
    <cellStyle name="Output 2 2 3 5 14" xfId="27797" xr:uid="{00000000-0005-0000-0000-000073850000}"/>
    <cellStyle name="Output 2 2 3 5 15" xfId="29824" xr:uid="{00000000-0005-0000-0000-000074850000}"/>
    <cellStyle name="Output 2 2 3 5 16" xfId="26688" xr:uid="{00000000-0005-0000-0000-000075850000}"/>
    <cellStyle name="Output 2 2 3 5 17" xfId="35116" xr:uid="{00000000-0005-0000-0000-000076850000}"/>
    <cellStyle name="Output 2 2 3 5 18" xfId="35418" xr:uid="{00000000-0005-0000-0000-000077850000}"/>
    <cellStyle name="Output 2 2 3 5 2" xfId="15676" xr:uid="{00000000-0005-0000-0000-000078850000}"/>
    <cellStyle name="Output 2 2 3 5 3" xfId="13546" xr:uid="{00000000-0005-0000-0000-000079850000}"/>
    <cellStyle name="Output 2 2 3 5 4" xfId="14623" xr:uid="{00000000-0005-0000-0000-00007A850000}"/>
    <cellStyle name="Output 2 2 3 5 5" xfId="15498" xr:uid="{00000000-0005-0000-0000-00007B850000}"/>
    <cellStyle name="Output 2 2 3 5 6" xfId="17856" xr:uid="{00000000-0005-0000-0000-00007C850000}"/>
    <cellStyle name="Output 2 2 3 5 7" xfId="14773" xr:uid="{00000000-0005-0000-0000-00007D850000}"/>
    <cellStyle name="Output 2 2 3 5 8" xfId="13408" xr:uid="{00000000-0005-0000-0000-00007E850000}"/>
    <cellStyle name="Output 2 2 3 5 9" xfId="14498" xr:uid="{00000000-0005-0000-0000-00007F850000}"/>
    <cellStyle name="Output 2 2 3 6" xfId="13843" xr:uid="{00000000-0005-0000-0000-000080850000}"/>
    <cellStyle name="Output 2 2 3 7" xfId="13996" xr:uid="{00000000-0005-0000-0000-000081850000}"/>
    <cellStyle name="Output 2 2 3 8" xfId="13463" xr:uid="{00000000-0005-0000-0000-000082850000}"/>
    <cellStyle name="Output 2 2 3 9" xfId="15366" xr:uid="{00000000-0005-0000-0000-000083850000}"/>
    <cellStyle name="Output 2 2 4" xfId="12470" xr:uid="{00000000-0005-0000-0000-000084850000}"/>
    <cellStyle name="Output 2 2 4 10" xfId="14257" xr:uid="{00000000-0005-0000-0000-000085850000}"/>
    <cellStyle name="Output 2 2 4 11" xfId="19884" xr:uid="{00000000-0005-0000-0000-000086850000}"/>
    <cellStyle name="Output 2 2 4 12" xfId="26534" xr:uid="{00000000-0005-0000-0000-000087850000}"/>
    <cellStyle name="Output 2 2 4 13" xfId="27040" xr:uid="{00000000-0005-0000-0000-000088850000}"/>
    <cellStyle name="Output 2 2 4 14" xfId="27536" xr:uid="{00000000-0005-0000-0000-000089850000}"/>
    <cellStyle name="Output 2 2 4 15" xfId="26051" xr:uid="{00000000-0005-0000-0000-00008A850000}"/>
    <cellStyle name="Output 2 2 4 16" xfId="27801" xr:uid="{00000000-0005-0000-0000-00008B850000}"/>
    <cellStyle name="Output 2 2 4 17" xfId="26933" xr:uid="{00000000-0005-0000-0000-00008C850000}"/>
    <cellStyle name="Output 2 2 4 18" xfId="26681" xr:uid="{00000000-0005-0000-0000-00008D850000}"/>
    <cellStyle name="Output 2 2 4 19" xfId="35199" xr:uid="{00000000-0005-0000-0000-00008E850000}"/>
    <cellStyle name="Output 2 2 4 2" xfId="13980" xr:uid="{00000000-0005-0000-0000-00008F850000}"/>
    <cellStyle name="Output 2 2 4 20" xfId="35203" xr:uid="{00000000-0005-0000-0000-000090850000}"/>
    <cellStyle name="Output 2 2 4 3" xfId="15640" xr:uid="{00000000-0005-0000-0000-000091850000}"/>
    <cellStyle name="Output 2 2 4 4" xfId="14458" xr:uid="{00000000-0005-0000-0000-000092850000}"/>
    <cellStyle name="Output 2 2 4 5" xfId="15752" xr:uid="{00000000-0005-0000-0000-000093850000}"/>
    <cellStyle name="Output 2 2 4 6" xfId="13646" xr:uid="{00000000-0005-0000-0000-000094850000}"/>
    <cellStyle name="Output 2 2 4 7" xfId="14656" xr:uid="{00000000-0005-0000-0000-000095850000}"/>
    <cellStyle name="Output 2 2 4 8" xfId="15243" xr:uid="{00000000-0005-0000-0000-000096850000}"/>
    <cellStyle name="Output 2 2 4 9" xfId="13651" xr:uid="{00000000-0005-0000-0000-000097850000}"/>
    <cellStyle name="Output 2 2 5" xfId="13987" xr:uid="{00000000-0005-0000-0000-000098850000}"/>
    <cellStyle name="Output 2 2 6" xfId="14366" xr:uid="{00000000-0005-0000-0000-000099850000}"/>
    <cellStyle name="Output 2 2 7" xfId="13490" xr:uid="{00000000-0005-0000-0000-00009A850000}"/>
    <cellStyle name="Output 2 2 8" xfId="14254" xr:uid="{00000000-0005-0000-0000-00009B850000}"/>
    <cellStyle name="Output 2 2 9" xfId="14454" xr:uid="{00000000-0005-0000-0000-00009C850000}"/>
    <cellStyle name="Output 2 3" xfId="12471" xr:uid="{00000000-0005-0000-0000-00009D850000}"/>
    <cellStyle name="Output 2 3 10" xfId="27275" xr:uid="{00000000-0005-0000-0000-00009E850000}"/>
    <cellStyle name="Output 2 3 11" xfId="26806" xr:uid="{00000000-0005-0000-0000-00009F850000}"/>
    <cellStyle name="Output 2 3 12" xfId="25919" xr:uid="{00000000-0005-0000-0000-0000A0850000}"/>
    <cellStyle name="Output 2 3 13" xfId="26142" xr:uid="{00000000-0005-0000-0000-0000A1850000}"/>
    <cellStyle name="Output 2 3 14" xfId="26613" xr:uid="{00000000-0005-0000-0000-0000A2850000}"/>
    <cellStyle name="Output 2 3 15" xfId="34918" xr:uid="{00000000-0005-0000-0000-0000A3850000}"/>
    <cellStyle name="Output 2 3 16" xfId="34934" xr:uid="{00000000-0005-0000-0000-0000A4850000}"/>
    <cellStyle name="Output 2 3 17" xfId="35378" xr:uid="{00000000-0005-0000-0000-0000A5850000}"/>
    <cellStyle name="Output 2 3 2" xfId="12472" xr:uid="{00000000-0005-0000-0000-0000A6850000}"/>
    <cellStyle name="Output 2 3 2 10" xfId="18926" xr:uid="{00000000-0005-0000-0000-0000A7850000}"/>
    <cellStyle name="Output 2 3 2 11" xfId="18888" xr:uid="{00000000-0005-0000-0000-0000A8850000}"/>
    <cellStyle name="Output 2 3 2 12" xfId="14673" xr:uid="{00000000-0005-0000-0000-0000A9850000}"/>
    <cellStyle name="Output 2 3 2 13" xfId="14263" xr:uid="{00000000-0005-0000-0000-0000AA850000}"/>
    <cellStyle name="Output 2 3 2 14" xfId="26109" xr:uid="{00000000-0005-0000-0000-0000AB850000}"/>
    <cellStyle name="Output 2 3 2 15" xfId="25910" xr:uid="{00000000-0005-0000-0000-0000AC850000}"/>
    <cellStyle name="Output 2 3 2 16" xfId="26071" xr:uid="{00000000-0005-0000-0000-0000AD850000}"/>
    <cellStyle name="Output 2 3 2 17" xfId="27037" xr:uid="{00000000-0005-0000-0000-0000AE850000}"/>
    <cellStyle name="Output 2 3 2 18" xfId="30856" xr:uid="{00000000-0005-0000-0000-0000AF850000}"/>
    <cellStyle name="Output 2 3 2 19" xfId="30847" xr:uid="{00000000-0005-0000-0000-0000B0850000}"/>
    <cellStyle name="Output 2 3 2 2" xfId="12473" xr:uid="{00000000-0005-0000-0000-0000B1850000}"/>
    <cellStyle name="Output 2 3 2 2 10" xfId="26329" xr:uid="{00000000-0005-0000-0000-0000B2850000}"/>
    <cellStyle name="Output 2 3 2 2 11" xfId="27169" xr:uid="{00000000-0005-0000-0000-0000B3850000}"/>
    <cellStyle name="Output 2 3 2 2 12" xfId="26717" xr:uid="{00000000-0005-0000-0000-0000B4850000}"/>
    <cellStyle name="Output 2 3 2 2 13" xfId="27344" xr:uid="{00000000-0005-0000-0000-0000B5850000}"/>
    <cellStyle name="Output 2 3 2 2 14" xfId="26853" xr:uid="{00000000-0005-0000-0000-0000B6850000}"/>
    <cellStyle name="Output 2 3 2 2 15" xfId="26683" xr:uid="{00000000-0005-0000-0000-0000B7850000}"/>
    <cellStyle name="Output 2 3 2 2 16" xfId="35025" xr:uid="{00000000-0005-0000-0000-0000B8850000}"/>
    <cellStyle name="Output 2 3 2 2 17" xfId="35323" xr:uid="{00000000-0005-0000-0000-0000B9850000}"/>
    <cellStyle name="Output 2 3 2 2 2" xfId="15704" xr:uid="{00000000-0005-0000-0000-0000BA850000}"/>
    <cellStyle name="Output 2 3 2 2 3" xfId="14040" xr:uid="{00000000-0005-0000-0000-0000BB850000}"/>
    <cellStyle name="Output 2 3 2 2 4" xfId="14792" xr:uid="{00000000-0005-0000-0000-0000BC850000}"/>
    <cellStyle name="Output 2 3 2 2 5" xfId="13814" xr:uid="{00000000-0005-0000-0000-0000BD850000}"/>
    <cellStyle name="Output 2 3 2 2 6" xfId="14507" xr:uid="{00000000-0005-0000-0000-0000BE850000}"/>
    <cellStyle name="Output 2 3 2 2 7" xfId="15384" xr:uid="{00000000-0005-0000-0000-0000BF850000}"/>
    <cellStyle name="Output 2 3 2 2 8" xfId="15321" xr:uid="{00000000-0005-0000-0000-0000C0850000}"/>
    <cellStyle name="Output 2 3 2 2 9" xfId="13481" xr:uid="{00000000-0005-0000-0000-0000C1850000}"/>
    <cellStyle name="Output 2 3 2 20" xfId="34968" xr:uid="{00000000-0005-0000-0000-0000C2850000}"/>
    <cellStyle name="Output 2 3 2 21" xfId="35362" xr:uid="{00000000-0005-0000-0000-0000C3850000}"/>
    <cellStyle name="Output 2 3 2 3" xfId="12474" xr:uid="{00000000-0005-0000-0000-0000C4850000}"/>
    <cellStyle name="Output 2 3 2 3 10" xfId="26409" xr:uid="{00000000-0005-0000-0000-0000C5850000}"/>
    <cellStyle name="Output 2 3 2 3 11" xfId="27117" xr:uid="{00000000-0005-0000-0000-0000C6850000}"/>
    <cellStyle name="Output 2 3 2 3 12" xfId="26646" xr:uid="{00000000-0005-0000-0000-0000C7850000}"/>
    <cellStyle name="Output 2 3 2 3 13" xfId="27495" xr:uid="{00000000-0005-0000-0000-0000C8850000}"/>
    <cellStyle name="Output 2 3 2 3 14" xfId="30845" xr:uid="{00000000-0005-0000-0000-0000C9850000}"/>
    <cellStyle name="Output 2 3 2 3 15" xfId="26802" xr:uid="{00000000-0005-0000-0000-0000CA850000}"/>
    <cellStyle name="Output 2 3 2 3 16" xfId="35100" xr:uid="{00000000-0005-0000-0000-0000CB850000}"/>
    <cellStyle name="Output 2 3 2 3 17" xfId="35426" xr:uid="{00000000-0005-0000-0000-0000CC850000}"/>
    <cellStyle name="Output 2 3 2 3 2" xfId="14872" xr:uid="{00000000-0005-0000-0000-0000CD850000}"/>
    <cellStyle name="Output 2 3 2 3 3" xfId="13779" xr:uid="{00000000-0005-0000-0000-0000CE850000}"/>
    <cellStyle name="Output 2 3 2 3 4" xfId="15283" xr:uid="{00000000-0005-0000-0000-0000CF850000}"/>
    <cellStyle name="Output 2 3 2 3 5" xfId="15101" xr:uid="{00000000-0005-0000-0000-0000D0850000}"/>
    <cellStyle name="Output 2 3 2 3 6" xfId="18909" xr:uid="{00000000-0005-0000-0000-0000D1850000}"/>
    <cellStyle name="Output 2 3 2 3 7" xfId="19917" xr:uid="{00000000-0005-0000-0000-0000D2850000}"/>
    <cellStyle name="Output 2 3 2 3 8" xfId="20954" xr:uid="{00000000-0005-0000-0000-0000D3850000}"/>
    <cellStyle name="Output 2 3 2 3 9" xfId="14226" xr:uid="{00000000-0005-0000-0000-0000D4850000}"/>
    <cellStyle name="Output 2 3 2 4" xfId="12475" xr:uid="{00000000-0005-0000-0000-0000D5850000}"/>
    <cellStyle name="Output 2 3 2 4 10" xfId="26425" xr:uid="{00000000-0005-0000-0000-0000D6850000}"/>
    <cellStyle name="Output 2 3 2 4 11" xfId="27695" xr:uid="{00000000-0005-0000-0000-0000D7850000}"/>
    <cellStyle name="Output 2 3 2 4 12" xfId="27582" xr:uid="{00000000-0005-0000-0000-0000D8850000}"/>
    <cellStyle name="Output 2 3 2 4 13" xfId="29831" xr:uid="{00000000-0005-0000-0000-0000D9850000}"/>
    <cellStyle name="Output 2 3 2 4 14" xfId="26825" xr:uid="{00000000-0005-0000-0000-0000DA850000}"/>
    <cellStyle name="Output 2 3 2 4 15" xfId="26592" xr:uid="{00000000-0005-0000-0000-0000DB850000}"/>
    <cellStyle name="Output 2 3 2 4 16" xfId="35115" xr:uid="{00000000-0005-0000-0000-0000DC850000}"/>
    <cellStyle name="Output 2 3 2 4 17" xfId="35419" xr:uid="{00000000-0005-0000-0000-0000DD850000}"/>
    <cellStyle name="Output 2 3 2 4 2" xfId="13611" xr:uid="{00000000-0005-0000-0000-0000DE850000}"/>
    <cellStyle name="Output 2 3 2 4 3" xfId="14062" xr:uid="{00000000-0005-0000-0000-0000DF850000}"/>
    <cellStyle name="Output 2 3 2 4 4" xfId="15112" xr:uid="{00000000-0005-0000-0000-0000E0850000}"/>
    <cellStyle name="Output 2 3 2 4 5" xfId="15443" xr:uid="{00000000-0005-0000-0000-0000E1850000}"/>
    <cellStyle name="Output 2 3 2 4 6" xfId="14327" xr:uid="{00000000-0005-0000-0000-0000E2850000}"/>
    <cellStyle name="Output 2 3 2 4 7" xfId="15849" xr:uid="{00000000-0005-0000-0000-0000E3850000}"/>
    <cellStyle name="Output 2 3 2 4 8" xfId="14772" xr:uid="{00000000-0005-0000-0000-0000E4850000}"/>
    <cellStyle name="Output 2 3 2 4 9" xfId="15619" xr:uid="{00000000-0005-0000-0000-0000E5850000}"/>
    <cellStyle name="Output 2 3 2 5" xfId="12476" xr:uid="{00000000-0005-0000-0000-0000E6850000}"/>
    <cellStyle name="Output 2 3 2 5 10" xfId="26438" xr:uid="{00000000-0005-0000-0000-0000E7850000}"/>
    <cellStyle name="Output 2 3 2 5 11" xfId="27099" xr:uid="{00000000-0005-0000-0000-0000E8850000}"/>
    <cellStyle name="Output 2 3 2 5 12" xfId="27651" xr:uid="{00000000-0005-0000-0000-0000E9850000}"/>
    <cellStyle name="Output 2 3 2 5 13" xfId="27345" xr:uid="{00000000-0005-0000-0000-0000EA850000}"/>
    <cellStyle name="Output 2 3 2 5 14" xfId="29817" xr:uid="{00000000-0005-0000-0000-0000EB850000}"/>
    <cellStyle name="Output 2 3 2 5 15" xfId="27564" xr:uid="{00000000-0005-0000-0000-0000EC850000}"/>
    <cellStyle name="Output 2 3 2 5 16" xfId="35122" xr:uid="{00000000-0005-0000-0000-0000ED850000}"/>
    <cellStyle name="Output 2 3 2 5 17" xfId="34903" xr:uid="{00000000-0005-0000-0000-0000EE850000}"/>
    <cellStyle name="Output 2 3 2 5 2" xfId="14856" xr:uid="{00000000-0005-0000-0000-0000EF850000}"/>
    <cellStyle name="Output 2 3 2 5 3" xfId="15213" xr:uid="{00000000-0005-0000-0000-0000F0850000}"/>
    <cellStyle name="Output 2 3 2 5 4" xfId="15829" xr:uid="{00000000-0005-0000-0000-0000F1850000}"/>
    <cellStyle name="Output 2 3 2 5 5" xfId="14094" xr:uid="{00000000-0005-0000-0000-0000F2850000}"/>
    <cellStyle name="Output 2 3 2 5 6" xfId="13432" xr:uid="{00000000-0005-0000-0000-0000F3850000}"/>
    <cellStyle name="Output 2 3 2 5 7" xfId="15802" xr:uid="{00000000-0005-0000-0000-0000F4850000}"/>
    <cellStyle name="Output 2 3 2 5 8" xfId="15097" xr:uid="{00000000-0005-0000-0000-0000F5850000}"/>
    <cellStyle name="Output 2 3 2 5 9" xfId="13898" xr:uid="{00000000-0005-0000-0000-0000F6850000}"/>
    <cellStyle name="Output 2 3 2 6" xfId="15055" xr:uid="{00000000-0005-0000-0000-0000F7850000}"/>
    <cellStyle name="Output 2 3 2 7" xfId="15739" xr:uid="{00000000-0005-0000-0000-0000F8850000}"/>
    <cellStyle name="Output 2 3 2 8" xfId="14977" xr:uid="{00000000-0005-0000-0000-0000F9850000}"/>
    <cellStyle name="Output 2 3 2 9" xfId="14414" xr:uid="{00000000-0005-0000-0000-0000FA850000}"/>
    <cellStyle name="Output 2 3 3" xfId="12477" xr:uid="{00000000-0005-0000-0000-0000FB850000}"/>
    <cellStyle name="Output 2 3 3 10" xfId="26295" xr:uid="{00000000-0005-0000-0000-0000FC850000}"/>
    <cellStyle name="Output 2 3 3 11" xfId="27742" xr:uid="{00000000-0005-0000-0000-0000FD850000}"/>
    <cellStyle name="Output 2 3 3 12" xfId="27033" xr:uid="{00000000-0005-0000-0000-0000FE850000}"/>
    <cellStyle name="Output 2 3 3 13" xfId="26755" xr:uid="{00000000-0005-0000-0000-0000FF850000}"/>
    <cellStyle name="Output 2 3 3 14" xfId="26855" xr:uid="{00000000-0005-0000-0000-000000860000}"/>
    <cellStyle name="Output 2 3 3 15" xfId="26135" xr:uid="{00000000-0005-0000-0000-000001860000}"/>
    <cellStyle name="Output 2 3 3 16" xfId="34992" xr:uid="{00000000-0005-0000-0000-000002860000}"/>
    <cellStyle name="Output 2 3 3 17" xfId="35467" xr:uid="{00000000-0005-0000-0000-000003860000}"/>
    <cellStyle name="Output 2 3 3 2" xfId="15714" xr:uid="{00000000-0005-0000-0000-000004860000}"/>
    <cellStyle name="Output 2 3 3 3" xfId="13714" xr:uid="{00000000-0005-0000-0000-000005860000}"/>
    <cellStyle name="Output 2 3 3 4" xfId="15547" xr:uid="{00000000-0005-0000-0000-000006860000}"/>
    <cellStyle name="Output 2 3 3 5" xfId="15247" xr:uid="{00000000-0005-0000-0000-000007860000}"/>
    <cellStyle name="Output 2 3 3 6" xfId="13829" xr:uid="{00000000-0005-0000-0000-000008860000}"/>
    <cellStyle name="Output 2 3 3 7" xfId="13425" xr:uid="{00000000-0005-0000-0000-000009860000}"/>
    <cellStyle name="Output 2 3 3 8" xfId="15610" xr:uid="{00000000-0005-0000-0000-00000A860000}"/>
    <cellStyle name="Output 2 3 3 9" xfId="14234" xr:uid="{00000000-0005-0000-0000-00000B860000}"/>
    <cellStyle name="Output 2 3 4" xfId="15064" xr:uid="{00000000-0005-0000-0000-00000C860000}"/>
    <cellStyle name="Output 2 3 5" xfId="15836" xr:uid="{00000000-0005-0000-0000-00000D860000}"/>
    <cellStyle name="Output 2 3 6" xfId="15364" xr:uid="{00000000-0005-0000-0000-00000E860000}"/>
    <cellStyle name="Output 2 3 7" xfId="18853" xr:uid="{00000000-0005-0000-0000-00000F860000}"/>
    <cellStyle name="Output 2 3 8" xfId="13672" xr:uid="{00000000-0005-0000-0000-000010860000}"/>
    <cellStyle name="Output 2 3 9" xfId="26068" xr:uid="{00000000-0005-0000-0000-000011860000}"/>
    <cellStyle name="Output 2 4" xfId="12478" xr:uid="{00000000-0005-0000-0000-000012860000}"/>
    <cellStyle name="Output 2 4 10" xfId="13703" xr:uid="{00000000-0005-0000-0000-000013860000}"/>
    <cellStyle name="Output 2 4 11" xfId="15478" xr:uid="{00000000-0005-0000-0000-000014860000}"/>
    <cellStyle name="Output 2 4 12" xfId="15620" xr:uid="{00000000-0005-0000-0000-000015860000}"/>
    <cellStyle name="Output 2 4 13" xfId="20944" xr:uid="{00000000-0005-0000-0000-000016860000}"/>
    <cellStyle name="Output 2 4 14" xfId="21898" xr:uid="{00000000-0005-0000-0000-000017860000}"/>
    <cellStyle name="Output 2 4 15" xfId="26086" xr:uid="{00000000-0005-0000-0000-000018860000}"/>
    <cellStyle name="Output 2 4 16" xfId="26055" xr:uid="{00000000-0005-0000-0000-000019860000}"/>
    <cellStyle name="Output 2 4 17" xfId="27337" xr:uid="{00000000-0005-0000-0000-00001A860000}"/>
    <cellStyle name="Output 2 4 18" xfId="25984" xr:uid="{00000000-0005-0000-0000-00001B860000}"/>
    <cellStyle name="Output 2 4 19" xfId="25937" xr:uid="{00000000-0005-0000-0000-00001C860000}"/>
    <cellStyle name="Output 2 4 2" xfId="12479" xr:uid="{00000000-0005-0000-0000-00001D860000}"/>
    <cellStyle name="Output 2 4 2 10" xfId="15387" xr:uid="{00000000-0005-0000-0000-00001E860000}"/>
    <cellStyle name="Output 2 4 2 11" xfId="26308" xr:uid="{00000000-0005-0000-0000-00001F860000}"/>
    <cellStyle name="Output 2 4 2 12" xfId="27737" xr:uid="{00000000-0005-0000-0000-000020860000}"/>
    <cellStyle name="Output 2 4 2 13" xfId="26655" xr:uid="{00000000-0005-0000-0000-000021860000}"/>
    <cellStyle name="Output 2 4 2 14" xfId="26541" xr:uid="{00000000-0005-0000-0000-000022860000}"/>
    <cellStyle name="Output 2 4 2 15" xfId="27822" xr:uid="{00000000-0005-0000-0000-000023860000}"/>
    <cellStyle name="Output 2 4 2 16" xfId="27853" xr:uid="{00000000-0005-0000-0000-000024860000}"/>
    <cellStyle name="Output 2 4 2 17" xfId="35004" xr:uid="{00000000-0005-0000-0000-000025860000}"/>
    <cellStyle name="Output 2 4 2 18" xfId="35462" xr:uid="{00000000-0005-0000-0000-000026860000}"/>
    <cellStyle name="Output 2 4 2 2" xfId="14928" xr:uid="{00000000-0005-0000-0000-000027860000}"/>
    <cellStyle name="Output 2 4 2 3" xfId="13724" xr:uid="{00000000-0005-0000-0000-000028860000}"/>
    <cellStyle name="Output 2 4 2 4" xfId="14200" xr:uid="{00000000-0005-0000-0000-000029860000}"/>
    <cellStyle name="Output 2 4 2 5" xfId="13519" xr:uid="{00000000-0005-0000-0000-00002A860000}"/>
    <cellStyle name="Output 2 4 2 6" xfId="15562" xr:uid="{00000000-0005-0000-0000-00002B860000}"/>
    <cellStyle name="Output 2 4 2 7" xfId="13427" xr:uid="{00000000-0005-0000-0000-00002C860000}"/>
    <cellStyle name="Output 2 4 2 8" xfId="15740" xr:uid="{00000000-0005-0000-0000-00002D860000}"/>
    <cellStyle name="Output 2 4 2 9" xfId="19918" xr:uid="{00000000-0005-0000-0000-00002E860000}"/>
    <cellStyle name="Output 2 4 20" xfId="26961" xr:uid="{00000000-0005-0000-0000-00002F860000}"/>
    <cellStyle name="Output 2 4 21" xfId="34947" xr:uid="{00000000-0005-0000-0000-000030860000}"/>
    <cellStyle name="Output 2 4 22" xfId="35371" xr:uid="{00000000-0005-0000-0000-000031860000}"/>
    <cellStyle name="Output 2 4 3" xfId="12480" xr:uid="{00000000-0005-0000-0000-000032860000}"/>
    <cellStyle name="Output 2 4 3 10" xfId="14382" xr:uid="{00000000-0005-0000-0000-000033860000}"/>
    <cellStyle name="Output 2 4 3 11" xfId="26388" xr:uid="{00000000-0005-0000-0000-000034860000}"/>
    <cellStyle name="Output 2 4 3 12" xfId="27130" xr:uid="{00000000-0005-0000-0000-000035860000}"/>
    <cellStyle name="Output 2 4 3 13" xfId="27240" xr:uid="{00000000-0005-0000-0000-000036860000}"/>
    <cellStyle name="Output 2 4 3 14" xfId="26551" xr:uid="{00000000-0005-0000-0000-000037860000}"/>
    <cellStyle name="Output 2 4 3 15" xfId="27003" xr:uid="{00000000-0005-0000-0000-000038860000}"/>
    <cellStyle name="Output 2 4 3 16" xfId="26225" xr:uid="{00000000-0005-0000-0000-000039860000}"/>
    <cellStyle name="Output 2 4 3 17" xfId="35079" xr:uid="{00000000-0005-0000-0000-00003A860000}"/>
    <cellStyle name="Output 2 4 3 18" xfId="35285" xr:uid="{00000000-0005-0000-0000-00003B860000}"/>
    <cellStyle name="Output 2 4 3 2" xfId="14883" xr:uid="{00000000-0005-0000-0000-00003C860000}"/>
    <cellStyle name="Output 2 4 3 3" xfId="13772" xr:uid="{00000000-0005-0000-0000-00003D860000}"/>
    <cellStyle name="Output 2 4 3 4" xfId="14627" xr:uid="{00000000-0005-0000-0000-00003E860000}"/>
    <cellStyle name="Output 2 4 3 5" xfId="15496" xr:uid="{00000000-0005-0000-0000-00003F860000}"/>
    <cellStyle name="Output 2 4 3 6" xfId="15615" xr:uid="{00000000-0005-0000-0000-000040860000}"/>
    <cellStyle name="Output 2 4 3 7" xfId="13659" xr:uid="{00000000-0005-0000-0000-000041860000}"/>
    <cellStyle name="Output 2 4 3 8" xfId="14760" xr:uid="{00000000-0005-0000-0000-000042860000}"/>
    <cellStyle name="Output 2 4 3 9" xfId="13645" xr:uid="{00000000-0005-0000-0000-000043860000}"/>
    <cellStyle name="Output 2 4 4" xfId="12481" xr:uid="{00000000-0005-0000-0000-000044860000}"/>
    <cellStyle name="Output 2 4 4 10" xfId="21899" xr:uid="{00000000-0005-0000-0000-000045860000}"/>
    <cellStyle name="Output 2 4 4 11" xfId="26365" xr:uid="{00000000-0005-0000-0000-000046860000}"/>
    <cellStyle name="Output 2 4 4 12" xfId="25907" xr:uid="{00000000-0005-0000-0000-000047860000}"/>
    <cellStyle name="Output 2 4 4 13" xfId="26072" xr:uid="{00000000-0005-0000-0000-000048860000}"/>
    <cellStyle name="Output 2 4 4 14" xfId="27474" xr:uid="{00000000-0005-0000-0000-000049860000}"/>
    <cellStyle name="Output 2 4 4 15" xfId="27207" xr:uid="{00000000-0005-0000-0000-00004A860000}"/>
    <cellStyle name="Output 2 4 4 16" xfId="27638" xr:uid="{00000000-0005-0000-0000-00004B860000}"/>
    <cellStyle name="Output 2 4 4 17" xfId="35057" xr:uid="{00000000-0005-0000-0000-00004C860000}"/>
    <cellStyle name="Output 2 4 4 18" xfId="34842" xr:uid="{00000000-0005-0000-0000-00004D860000}"/>
    <cellStyle name="Output 2 4 4 2" xfId="14897" xr:uid="{00000000-0005-0000-0000-00004E860000}"/>
    <cellStyle name="Output 2 4 4 3" xfId="14048" xr:uid="{00000000-0005-0000-0000-00004F860000}"/>
    <cellStyle name="Output 2 4 4 4" xfId="13936" xr:uid="{00000000-0005-0000-0000-000050860000}"/>
    <cellStyle name="Output 2 4 4 5" xfId="13816" xr:uid="{00000000-0005-0000-0000-000051860000}"/>
    <cellStyle name="Output 2 4 4 6" xfId="15279" xr:uid="{00000000-0005-0000-0000-000052860000}"/>
    <cellStyle name="Output 2 4 4 7" xfId="13999" xr:uid="{00000000-0005-0000-0000-000053860000}"/>
    <cellStyle name="Output 2 4 4 8" xfId="15262" xr:uid="{00000000-0005-0000-0000-000054860000}"/>
    <cellStyle name="Output 2 4 4 9" xfId="15404" xr:uid="{00000000-0005-0000-0000-000055860000}"/>
    <cellStyle name="Output 2 4 5" xfId="12482" xr:uid="{00000000-0005-0000-0000-000056860000}"/>
    <cellStyle name="Output 2 4 5 10" xfId="14713" xr:uid="{00000000-0005-0000-0000-000057860000}"/>
    <cellStyle name="Output 2 4 5 11" xfId="26352" xr:uid="{00000000-0005-0000-0000-000058860000}"/>
    <cellStyle name="Output 2 4 5 12" xfId="27720" xr:uid="{00000000-0005-0000-0000-000059860000}"/>
    <cellStyle name="Output 2 4 5 13" xfId="26217" xr:uid="{00000000-0005-0000-0000-00005A860000}"/>
    <cellStyle name="Output 2 4 5 14" xfId="26949" xr:uid="{00000000-0005-0000-0000-00005B860000}"/>
    <cellStyle name="Output 2 4 5 15" xfId="26827" xr:uid="{00000000-0005-0000-0000-00005C860000}"/>
    <cellStyle name="Output 2 4 5 16" xfId="27321" xr:uid="{00000000-0005-0000-0000-00005D860000}"/>
    <cellStyle name="Output 2 4 5 17" xfId="35046" xr:uid="{00000000-0005-0000-0000-00005E860000}"/>
    <cellStyle name="Output 2 4 5 18" xfId="35444" xr:uid="{00000000-0005-0000-0000-00005F860000}"/>
    <cellStyle name="Output 2 4 5 2" xfId="15696" xr:uid="{00000000-0005-0000-0000-000060860000}"/>
    <cellStyle name="Output 2 4 5 3" xfId="13882" xr:uid="{00000000-0005-0000-0000-000061860000}"/>
    <cellStyle name="Output 2 4 5 4" xfId="14967" xr:uid="{00000000-0005-0000-0000-000062860000}"/>
    <cellStyle name="Output 2 4 5 5" xfId="15407" xr:uid="{00000000-0005-0000-0000-000063860000}"/>
    <cellStyle name="Output 2 4 5 6" xfId="15192" xr:uid="{00000000-0005-0000-0000-000064860000}"/>
    <cellStyle name="Output 2 4 5 7" xfId="13665" xr:uid="{00000000-0005-0000-0000-000065860000}"/>
    <cellStyle name="Output 2 4 5 8" xfId="13791" xr:uid="{00000000-0005-0000-0000-000066860000}"/>
    <cellStyle name="Output 2 4 5 9" xfId="14290" xr:uid="{00000000-0005-0000-0000-000067860000}"/>
    <cellStyle name="Output 2 4 6" xfId="13853" xr:uid="{00000000-0005-0000-0000-000068860000}"/>
    <cellStyle name="Output 2 4 7" xfId="13685" xr:uid="{00000000-0005-0000-0000-000069860000}"/>
    <cellStyle name="Output 2 4 8" xfId="14925" xr:uid="{00000000-0005-0000-0000-00006A860000}"/>
    <cellStyle name="Output 2 4 9" xfId="15358" xr:uid="{00000000-0005-0000-0000-00006B860000}"/>
    <cellStyle name="Output 2 5" xfId="12483" xr:uid="{00000000-0005-0000-0000-00006C860000}"/>
    <cellStyle name="Output 2 5 10" xfId="21904" xr:uid="{00000000-0005-0000-0000-00006D860000}"/>
    <cellStyle name="Output 2 5 11" xfId="20953" xr:uid="{00000000-0005-0000-0000-00006E860000}"/>
    <cellStyle name="Output 2 5 12" xfId="26535" xr:uid="{00000000-0005-0000-0000-00006F860000}"/>
    <cellStyle name="Output 2 5 13" xfId="27663" xr:uid="{00000000-0005-0000-0000-000070860000}"/>
    <cellStyle name="Output 2 5 14" xfId="26590" xr:uid="{00000000-0005-0000-0000-000071860000}"/>
    <cellStyle name="Output 2 5 15" xfId="27453" xr:uid="{00000000-0005-0000-0000-000072860000}"/>
    <cellStyle name="Output 2 5 16" xfId="27362" xr:uid="{00000000-0005-0000-0000-000073860000}"/>
    <cellStyle name="Output 2 5 17" xfId="27333" xr:uid="{00000000-0005-0000-0000-000074860000}"/>
    <cellStyle name="Output 2 5 18" xfId="26872" xr:uid="{00000000-0005-0000-0000-000075860000}"/>
    <cellStyle name="Output 2 5 19" xfId="35200" xr:uid="{00000000-0005-0000-0000-000076860000}"/>
    <cellStyle name="Output 2 5 2" xfId="13981" xr:uid="{00000000-0005-0000-0000-000077860000}"/>
    <cellStyle name="Output 2 5 20" xfId="35386" xr:uid="{00000000-0005-0000-0000-000078860000}"/>
    <cellStyle name="Output 2 5 3" xfId="14806" xr:uid="{00000000-0005-0000-0000-000079860000}"/>
    <cellStyle name="Output 2 5 4" xfId="14459" xr:uid="{00000000-0005-0000-0000-00007A860000}"/>
    <cellStyle name="Output 2 5 5" xfId="14996" xr:uid="{00000000-0005-0000-0000-00007B860000}"/>
    <cellStyle name="Output 2 5 6" xfId="14405" xr:uid="{00000000-0005-0000-0000-00007C860000}"/>
    <cellStyle name="Output 2 5 7" xfId="13393" xr:uid="{00000000-0005-0000-0000-00007D860000}"/>
    <cellStyle name="Output 2 5 8" xfId="17858" xr:uid="{00000000-0005-0000-0000-00007E860000}"/>
    <cellStyle name="Output 2 5 9" xfId="15517" xr:uid="{00000000-0005-0000-0000-00007F860000}"/>
    <cellStyle name="Output 2 6" xfId="12484" xr:uid="{00000000-0005-0000-0000-000080860000}"/>
    <cellStyle name="Output 2 6 10" xfId="24866" xr:uid="{00000000-0005-0000-0000-000081860000}"/>
    <cellStyle name="Output 2 6 11" xfId="25865" xr:uid="{00000000-0005-0000-0000-000082860000}"/>
    <cellStyle name="Output 2 6 12" xfId="28771" xr:uid="{00000000-0005-0000-0000-000083860000}"/>
    <cellStyle name="Output 2 6 13" xfId="29788" xr:uid="{00000000-0005-0000-0000-000084860000}"/>
    <cellStyle name="Output 2 6 14" xfId="30821" xr:uid="{00000000-0005-0000-0000-000085860000}"/>
    <cellStyle name="Output 2 6 15" xfId="31816" xr:uid="{00000000-0005-0000-0000-000086860000}"/>
    <cellStyle name="Output 2 6 16" xfId="32820" xr:uid="{00000000-0005-0000-0000-000087860000}"/>
    <cellStyle name="Output 2 6 17" xfId="33823" xr:uid="{00000000-0005-0000-0000-000088860000}"/>
    <cellStyle name="Output 2 6 18" xfId="34822" xr:uid="{00000000-0005-0000-0000-000089860000}"/>
    <cellStyle name="Output 2 6 19" xfId="36383" xr:uid="{00000000-0005-0000-0000-00008A860000}"/>
    <cellStyle name="Output 2 6 2" xfId="16855" xr:uid="{00000000-0005-0000-0000-00008B860000}"/>
    <cellStyle name="Output 2 6 20" xfId="37382" xr:uid="{00000000-0005-0000-0000-00008C860000}"/>
    <cellStyle name="Output 2 6 3" xfId="17835" xr:uid="{00000000-0005-0000-0000-00008D860000}"/>
    <cellStyle name="Output 2 6 4" xfId="18860" xr:uid="{00000000-0005-0000-0000-00008E860000}"/>
    <cellStyle name="Output 2 6 5" xfId="19894" xr:uid="{00000000-0005-0000-0000-00008F860000}"/>
    <cellStyle name="Output 2 6 6" xfId="20919" xr:uid="{00000000-0005-0000-0000-000090860000}"/>
    <cellStyle name="Output 2 6 7" xfId="21879" xr:uid="{00000000-0005-0000-0000-000091860000}"/>
    <cellStyle name="Output 2 6 8" xfId="22891" xr:uid="{00000000-0005-0000-0000-000092860000}"/>
    <cellStyle name="Output 2 6 9" xfId="23894" xr:uid="{00000000-0005-0000-0000-000093860000}"/>
    <cellStyle name="Output 3" xfId="245" xr:uid="{00000000-0005-0000-0000-000094860000}"/>
    <cellStyle name="Output 3 2" xfId="12486" xr:uid="{00000000-0005-0000-0000-000095860000}"/>
    <cellStyle name="Output 3 2 10" xfId="26245" xr:uid="{00000000-0005-0000-0000-000096860000}"/>
    <cellStyle name="Output 3 2 11" xfId="26574" xr:uid="{00000000-0005-0000-0000-000097860000}"/>
    <cellStyle name="Output 3 2 12" xfId="27464" xr:uid="{00000000-0005-0000-0000-000098860000}"/>
    <cellStyle name="Output 3 2 13" xfId="27429" xr:uid="{00000000-0005-0000-0000-000099860000}"/>
    <cellStyle name="Output 3 2 14" xfId="29774" xr:uid="{00000000-0005-0000-0000-00009A860000}"/>
    <cellStyle name="Output 3 2 15" xfId="34919" xr:uid="{00000000-0005-0000-0000-00009B860000}"/>
    <cellStyle name="Output 3 2 16" xfId="34935" xr:uid="{00000000-0005-0000-0000-00009C860000}"/>
    <cellStyle name="Output 3 2 17" xfId="34973" xr:uid="{00000000-0005-0000-0000-00009D860000}"/>
    <cellStyle name="Output 3 2 2" xfId="12487" xr:uid="{00000000-0005-0000-0000-00009E860000}"/>
    <cellStyle name="Output 3 2 2 10" xfId="15831" xr:uid="{00000000-0005-0000-0000-00009F860000}"/>
    <cellStyle name="Output 3 2 2 11" xfId="18921" xr:uid="{00000000-0005-0000-0000-0000A0860000}"/>
    <cellStyle name="Output 3 2 2 12" xfId="21868" xr:uid="{00000000-0005-0000-0000-0000A1860000}"/>
    <cellStyle name="Output 3 2 2 13" xfId="14373" xr:uid="{00000000-0005-0000-0000-0000A2860000}"/>
    <cellStyle name="Output 3 2 2 14" xfId="26110" xr:uid="{00000000-0005-0000-0000-0000A3860000}"/>
    <cellStyle name="Output 3 2 2 15" xfId="27777" xr:uid="{00000000-0005-0000-0000-0000A4860000}"/>
    <cellStyle name="Output 3 2 2 16" xfId="27770" xr:uid="{00000000-0005-0000-0000-0000A5860000}"/>
    <cellStyle name="Output 3 2 2 17" xfId="25950" xr:uid="{00000000-0005-0000-0000-0000A6860000}"/>
    <cellStyle name="Output 3 2 2 18" xfId="25990" xr:uid="{00000000-0005-0000-0000-0000A7860000}"/>
    <cellStyle name="Output 3 2 2 19" xfId="29818" xr:uid="{00000000-0005-0000-0000-0000A8860000}"/>
    <cellStyle name="Output 3 2 2 2" xfId="12488" xr:uid="{00000000-0005-0000-0000-0000A9860000}"/>
    <cellStyle name="Output 3 2 2 2 10" xfId="26330" xr:uid="{00000000-0005-0000-0000-0000AA860000}"/>
    <cellStyle name="Output 3 2 2 2 11" xfId="27168" xr:uid="{00000000-0005-0000-0000-0000AB860000}"/>
    <cellStyle name="Output 3 2 2 2 12" xfId="27588" xr:uid="{00000000-0005-0000-0000-0000AC860000}"/>
    <cellStyle name="Output 3 2 2 2 13" xfId="27484" xr:uid="{00000000-0005-0000-0000-0000AD860000}"/>
    <cellStyle name="Output 3 2 2 2 14" xfId="27570" xr:uid="{00000000-0005-0000-0000-0000AE860000}"/>
    <cellStyle name="Output 3 2 2 2 15" xfId="27379" xr:uid="{00000000-0005-0000-0000-0000AF860000}"/>
    <cellStyle name="Output 3 2 2 2 16" xfId="35026" xr:uid="{00000000-0005-0000-0000-0000B0860000}"/>
    <cellStyle name="Output 3 2 2 2 17" xfId="35454" xr:uid="{00000000-0005-0000-0000-0000B1860000}"/>
    <cellStyle name="Output 3 2 2 2 2" xfId="14918" xr:uid="{00000000-0005-0000-0000-0000B2860000}"/>
    <cellStyle name="Output 3 2 2 2 3" xfId="13738" xr:uid="{00000000-0005-0000-0000-0000B3860000}"/>
    <cellStyle name="Output 3 2 2 2 4" xfId="15289" xr:uid="{00000000-0005-0000-0000-0000B4860000}"/>
    <cellStyle name="Output 3 2 2 2 5" xfId="14734" xr:uid="{00000000-0005-0000-0000-0000B5860000}"/>
    <cellStyle name="Output 3 2 2 2 6" xfId="13599" xr:uid="{00000000-0005-0000-0000-0000B6860000}"/>
    <cellStyle name="Output 3 2 2 2 7" xfId="13867" xr:uid="{00000000-0005-0000-0000-0000B7860000}"/>
    <cellStyle name="Output 3 2 2 2 8" xfId="14112" xr:uid="{00000000-0005-0000-0000-0000B8860000}"/>
    <cellStyle name="Output 3 2 2 2 9" xfId="15315" xr:uid="{00000000-0005-0000-0000-0000B9860000}"/>
    <cellStyle name="Output 3 2 2 20" xfId="34969" xr:uid="{00000000-0005-0000-0000-0000BA860000}"/>
    <cellStyle name="Output 3 2 2 21" xfId="35473" xr:uid="{00000000-0005-0000-0000-0000BB860000}"/>
    <cellStyle name="Output 3 2 2 3" xfId="12489" xr:uid="{00000000-0005-0000-0000-0000BC860000}"/>
    <cellStyle name="Output 3 2 2 3 10" xfId="26410" xr:uid="{00000000-0005-0000-0000-0000BD860000}"/>
    <cellStyle name="Output 3 2 2 3 11" xfId="27702" xr:uid="{00000000-0005-0000-0000-0000BE860000}"/>
    <cellStyle name="Output 3 2 2 3 12" xfId="26713" xr:uid="{00000000-0005-0000-0000-0000BF860000}"/>
    <cellStyle name="Output 3 2 2 3 13" xfId="27764" xr:uid="{00000000-0005-0000-0000-0000C0860000}"/>
    <cellStyle name="Output 3 2 2 3 14" xfId="27548" xr:uid="{00000000-0005-0000-0000-0000C1860000}"/>
    <cellStyle name="Output 3 2 2 3 15" xfId="26672" xr:uid="{00000000-0005-0000-0000-0000C2860000}"/>
    <cellStyle name="Output 3 2 2 3 16" xfId="35101" xr:uid="{00000000-0005-0000-0000-0000C3860000}"/>
    <cellStyle name="Output 3 2 2 3 17" xfId="35272" xr:uid="{00000000-0005-0000-0000-0000C4860000}"/>
    <cellStyle name="Output 3 2 2 3 2" xfId="14871" xr:uid="{00000000-0005-0000-0000-0000C5860000}"/>
    <cellStyle name="Output 3 2 2 3 3" xfId="15643" xr:uid="{00000000-0005-0000-0000-0000C6860000}"/>
    <cellStyle name="Output 3 2 2 3 4" xfId="15644" xr:uid="{00000000-0005-0000-0000-0000C7860000}"/>
    <cellStyle name="Output 3 2 2 3 5" xfId="15431" xr:uid="{00000000-0005-0000-0000-0000C8860000}"/>
    <cellStyle name="Output 3 2 2 3 6" xfId="14252" xr:uid="{00000000-0005-0000-0000-0000C9860000}"/>
    <cellStyle name="Output 3 2 2 3 7" xfId="14117" xr:uid="{00000000-0005-0000-0000-0000CA860000}"/>
    <cellStyle name="Output 3 2 2 3 8" xfId="15787" xr:uid="{00000000-0005-0000-0000-0000CB860000}"/>
    <cellStyle name="Output 3 2 2 3 9" xfId="13647" xr:uid="{00000000-0005-0000-0000-0000CC860000}"/>
    <cellStyle name="Output 3 2 2 4" xfId="12490" xr:uid="{00000000-0005-0000-0000-0000CD860000}"/>
    <cellStyle name="Output 3 2 2 4 10" xfId="26354" xr:uid="{00000000-0005-0000-0000-0000CE860000}"/>
    <cellStyle name="Output 3 2 2 4 11" xfId="27150" xr:uid="{00000000-0005-0000-0000-0000CF860000}"/>
    <cellStyle name="Output 3 2 2 4 12" xfId="28764" xr:uid="{00000000-0005-0000-0000-0000D0860000}"/>
    <cellStyle name="Output 3 2 2 4 13" xfId="26965" xr:uid="{00000000-0005-0000-0000-0000D1860000}"/>
    <cellStyle name="Output 3 2 2 4 14" xfId="26571" xr:uid="{00000000-0005-0000-0000-0000D2860000}"/>
    <cellStyle name="Output 3 2 2 4 15" xfId="26576" xr:uid="{00000000-0005-0000-0000-0000D3860000}"/>
    <cellStyle name="Output 3 2 2 4 16" xfId="35048" xr:uid="{00000000-0005-0000-0000-0000D4860000}"/>
    <cellStyle name="Output 3 2 2 4 17" xfId="35305" xr:uid="{00000000-0005-0000-0000-0000D5860000}"/>
    <cellStyle name="Output 3 2 2 4 2" xfId="14904" xr:uid="{00000000-0005-0000-0000-0000D6860000}"/>
    <cellStyle name="Output 3 2 2 4 3" xfId="15857" xr:uid="{00000000-0005-0000-0000-0000D7860000}"/>
    <cellStyle name="Output 3 2 2 4 4" xfId="14321" xr:uid="{00000000-0005-0000-0000-0000D8860000}"/>
    <cellStyle name="Output 3 2 2 4 5" xfId="14338" xr:uid="{00000000-0005-0000-0000-0000D9860000}"/>
    <cellStyle name="Output 3 2 2 4 6" xfId="13847" xr:uid="{00000000-0005-0000-0000-0000DA860000}"/>
    <cellStyle name="Output 3 2 2 4 7" xfId="15357" xr:uid="{00000000-0005-0000-0000-0000DB860000}"/>
    <cellStyle name="Output 3 2 2 4 8" xfId="14187" xr:uid="{00000000-0005-0000-0000-0000DC860000}"/>
    <cellStyle name="Output 3 2 2 4 9" xfId="14990" xr:uid="{00000000-0005-0000-0000-0000DD860000}"/>
    <cellStyle name="Output 3 2 2 5" xfId="12491" xr:uid="{00000000-0005-0000-0000-0000DE860000}"/>
    <cellStyle name="Output 3 2 2 5 10" xfId="26372" xr:uid="{00000000-0005-0000-0000-0000DF860000}"/>
    <cellStyle name="Output 3 2 2 5 11" xfId="27143" xr:uid="{00000000-0005-0000-0000-0000E0860000}"/>
    <cellStyle name="Output 3 2 2 5 12" xfId="26019" xr:uid="{00000000-0005-0000-0000-0000E1860000}"/>
    <cellStyle name="Output 3 2 2 5 13" xfId="26741" xr:uid="{00000000-0005-0000-0000-0000E2860000}"/>
    <cellStyle name="Output 3 2 2 5 14" xfId="26889" xr:uid="{00000000-0005-0000-0000-0000E3860000}"/>
    <cellStyle name="Output 3 2 2 5 15" xfId="27559" xr:uid="{00000000-0005-0000-0000-0000E4860000}"/>
    <cellStyle name="Output 3 2 2 5 16" xfId="35064" xr:uid="{00000000-0005-0000-0000-0000E5860000}"/>
    <cellStyle name="Output 3 2 2 5 17" xfId="34900" xr:uid="{00000000-0005-0000-0000-0000E6860000}"/>
    <cellStyle name="Output 3 2 2 5 2" xfId="14892" xr:uid="{00000000-0005-0000-0000-0000E7860000}"/>
    <cellStyle name="Output 3 2 2 5 3" xfId="15204" xr:uid="{00000000-0005-0000-0000-0000E8860000}"/>
    <cellStyle name="Output 3 2 2 5 4" xfId="14790" xr:uid="{00000000-0005-0000-0000-0000E9860000}"/>
    <cellStyle name="Output 3 2 2 5 5" xfId="13513" xr:uid="{00000000-0005-0000-0000-0000EA860000}"/>
    <cellStyle name="Output 3 2 2 5 6" xfId="14159" xr:uid="{00000000-0005-0000-0000-0000EB860000}"/>
    <cellStyle name="Output 3 2 2 5 7" xfId="13459" xr:uid="{00000000-0005-0000-0000-0000EC860000}"/>
    <cellStyle name="Output 3 2 2 5 8" xfId="17866" xr:uid="{00000000-0005-0000-0000-0000ED860000}"/>
    <cellStyle name="Output 3 2 2 5 9" xfId="13697" xr:uid="{00000000-0005-0000-0000-0000EE860000}"/>
    <cellStyle name="Output 3 2 2 6" xfId="13842" xr:uid="{00000000-0005-0000-0000-0000EF860000}"/>
    <cellStyle name="Output 3 2 2 7" xfId="13997" xr:uid="{00000000-0005-0000-0000-0000F0860000}"/>
    <cellStyle name="Output 3 2 2 8" xfId="13655" xr:uid="{00000000-0005-0000-0000-0000F1860000}"/>
    <cellStyle name="Output 3 2 2 9" xfId="14344" xr:uid="{00000000-0005-0000-0000-0000F2860000}"/>
    <cellStyle name="Output 3 2 3" xfId="12492" xr:uid="{00000000-0005-0000-0000-0000F3860000}"/>
    <cellStyle name="Output 3 2 3 10" xfId="26296" xr:uid="{00000000-0005-0000-0000-0000F4860000}"/>
    <cellStyle name="Output 3 2 3 11" xfId="27191" xr:uid="{00000000-0005-0000-0000-0000F5860000}"/>
    <cellStyle name="Output 3 2 3 12" xfId="26657" xr:uid="{00000000-0005-0000-0000-0000F6860000}"/>
    <cellStyle name="Output 3 2 3 13" xfId="27480" xr:uid="{00000000-0005-0000-0000-0000F7860000}"/>
    <cellStyle name="Output 3 2 3 14" xfId="27234" xr:uid="{00000000-0005-0000-0000-0000F8860000}"/>
    <cellStyle name="Output 3 2 3 15" xfId="27575" xr:uid="{00000000-0005-0000-0000-0000F9860000}"/>
    <cellStyle name="Output 3 2 3 16" xfId="34993" xr:uid="{00000000-0005-0000-0000-0000FA860000}"/>
    <cellStyle name="Output 3 2 3 17" xfId="35345" xr:uid="{00000000-0005-0000-0000-0000FB860000}"/>
    <cellStyle name="Output 3 2 3 2" xfId="14934" xr:uid="{00000000-0005-0000-0000-0000FC860000}"/>
    <cellStyle name="Output 3 2 3 3" xfId="13715" xr:uid="{00000000-0005-0000-0000-0000FD860000}"/>
    <cellStyle name="Output 3 2 3 4" xfId="14639" xr:uid="{00000000-0005-0000-0000-0000FE860000}"/>
    <cellStyle name="Output 3 2 3 5" xfId="13578" xr:uid="{00000000-0005-0000-0000-0000FF860000}"/>
    <cellStyle name="Output 3 2 3 6" xfId="15758" xr:uid="{00000000-0005-0000-0000-000000870000}"/>
    <cellStyle name="Output 3 2 3 7" xfId="13971" xr:uid="{00000000-0005-0000-0000-000001870000}"/>
    <cellStyle name="Output 3 2 3 8" xfId="15004" xr:uid="{00000000-0005-0000-0000-000002870000}"/>
    <cellStyle name="Output 3 2 3 9" xfId="15105" xr:uid="{00000000-0005-0000-0000-000003870000}"/>
    <cellStyle name="Output 3 2 4" xfId="15796" xr:uid="{00000000-0005-0000-0000-000004870000}"/>
    <cellStyle name="Output 3 2 5" xfId="13632" xr:uid="{00000000-0005-0000-0000-000005870000}"/>
    <cellStyle name="Output 3 2 6" xfId="14329" xr:uid="{00000000-0005-0000-0000-000006870000}"/>
    <cellStyle name="Output 3 2 7" xfId="13699" xr:uid="{00000000-0005-0000-0000-000007870000}"/>
    <cellStyle name="Output 3 2 8" xfId="15839" xr:uid="{00000000-0005-0000-0000-000008870000}"/>
    <cellStyle name="Output 3 2 9" xfId="26069" xr:uid="{00000000-0005-0000-0000-000009870000}"/>
    <cellStyle name="Output 3 3" xfId="12493" xr:uid="{00000000-0005-0000-0000-00000A870000}"/>
    <cellStyle name="Output 3 3 10" xfId="14785" xr:uid="{00000000-0005-0000-0000-00000B870000}"/>
    <cellStyle name="Output 3 3 11" xfId="14484" xr:uid="{00000000-0005-0000-0000-00000C870000}"/>
    <cellStyle name="Output 3 3 12" xfId="15341" xr:uid="{00000000-0005-0000-0000-00000D870000}"/>
    <cellStyle name="Output 3 3 13" xfId="14492" xr:uid="{00000000-0005-0000-0000-00000E870000}"/>
    <cellStyle name="Output 3 3 14" xfId="26290" xr:uid="{00000000-0005-0000-0000-00000F870000}"/>
    <cellStyle name="Output 3 3 15" xfId="27195" xr:uid="{00000000-0005-0000-0000-000010870000}"/>
    <cellStyle name="Output 3 3 16" xfId="27591" xr:uid="{00000000-0005-0000-0000-000011870000}"/>
    <cellStyle name="Output 3 3 17" xfId="26538" xr:uid="{00000000-0005-0000-0000-000012870000}"/>
    <cellStyle name="Output 3 3 18" xfId="26909" xr:uid="{00000000-0005-0000-0000-000013870000}"/>
    <cellStyle name="Output 3 3 19" xfId="27286" xr:uid="{00000000-0005-0000-0000-000014870000}"/>
    <cellStyle name="Output 3 3 2" xfId="12494" xr:uid="{00000000-0005-0000-0000-000015870000}"/>
    <cellStyle name="Output 3 3 2 10" xfId="26343" xr:uid="{00000000-0005-0000-0000-000016870000}"/>
    <cellStyle name="Output 3 3 2 11" xfId="27157" xr:uid="{00000000-0005-0000-0000-000017870000}"/>
    <cellStyle name="Output 3 3 2 12" xfId="26716" xr:uid="{00000000-0005-0000-0000-000018870000}"/>
    <cellStyle name="Output 3 3 2 13" xfId="27368" xr:uid="{00000000-0005-0000-0000-000019870000}"/>
    <cellStyle name="Output 3 3 2 14" xfId="27036" xr:uid="{00000000-0005-0000-0000-00001A870000}"/>
    <cellStyle name="Output 3 3 2 15" xfId="26721" xr:uid="{00000000-0005-0000-0000-00001B870000}"/>
    <cellStyle name="Output 3 3 2 16" xfId="35038" xr:uid="{00000000-0005-0000-0000-00001C870000}"/>
    <cellStyle name="Output 3 3 2 17" xfId="35312" xr:uid="{00000000-0005-0000-0000-00001D870000}"/>
    <cellStyle name="Output 3 3 2 2" xfId="15699" xr:uid="{00000000-0005-0000-0000-00001E870000}"/>
    <cellStyle name="Output 3 3 2 3" xfId="13747" xr:uid="{00000000-0005-0000-0000-00001F870000}"/>
    <cellStyle name="Output 3 3 2 4" xfId="15542" xr:uid="{00000000-0005-0000-0000-000020870000}"/>
    <cellStyle name="Output 3 3 2 5" xfId="14550" xr:uid="{00000000-0005-0000-0000-000021870000}"/>
    <cellStyle name="Output 3 3 2 6" xfId="14206" xr:uid="{00000000-0005-0000-0000-000022870000}"/>
    <cellStyle name="Output 3 3 2 7" xfId="14463" xr:uid="{00000000-0005-0000-0000-000023870000}"/>
    <cellStyle name="Output 3 3 2 8" xfId="15461" xr:uid="{00000000-0005-0000-0000-000024870000}"/>
    <cellStyle name="Output 3 3 2 9" xfId="15126" xr:uid="{00000000-0005-0000-0000-000025870000}"/>
    <cellStyle name="Output 3 3 20" xfId="34986" xr:uid="{00000000-0005-0000-0000-000026870000}"/>
    <cellStyle name="Output 3 3 21" xfId="35349" xr:uid="{00000000-0005-0000-0000-000027870000}"/>
    <cellStyle name="Output 3 3 3" xfId="12495" xr:uid="{00000000-0005-0000-0000-000028870000}"/>
    <cellStyle name="Output 3 3 3 10" xfId="26482" xr:uid="{00000000-0005-0000-0000-000029870000}"/>
    <cellStyle name="Output 3 3 3 11" xfId="27675" xr:uid="{00000000-0005-0000-0000-00002A870000}"/>
    <cellStyle name="Output 3 3 3 12" xfId="26640" xr:uid="{00000000-0005-0000-0000-00002B870000}"/>
    <cellStyle name="Output 3 3 3 13" xfId="26794" xr:uid="{00000000-0005-0000-0000-00002C870000}"/>
    <cellStyle name="Output 3 3 3 14" xfId="26937" xr:uid="{00000000-0005-0000-0000-00002D870000}"/>
    <cellStyle name="Output 3 3 3 15" xfId="26804" xr:uid="{00000000-0005-0000-0000-00002E870000}"/>
    <cellStyle name="Output 3 3 3 16" xfId="35165" xr:uid="{00000000-0005-0000-0000-00002F870000}"/>
    <cellStyle name="Output 3 3 3 17" xfId="35224" xr:uid="{00000000-0005-0000-0000-000030870000}"/>
    <cellStyle name="Output 3 3 3 2" xfId="14837" xr:uid="{00000000-0005-0000-0000-000031870000}"/>
    <cellStyle name="Output 3 3 3 3" xfId="14440" xr:uid="{00000000-0005-0000-0000-000032870000}"/>
    <cellStyle name="Output 3 3 3 4" xfId="15015" xr:uid="{00000000-0005-0000-0000-000033870000}"/>
    <cellStyle name="Output 3 3 3 5" xfId="14014" xr:uid="{00000000-0005-0000-0000-000034870000}"/>
    <cellStyle name="Output 3 3 3 6" xfId="15120" xr:uid="{00000000-0005-0000-0000-000035870000}"/>
    <cellStyle name="Output 3 3 3 7" xfId="14691" xr:uid="{00000000-0005-0000-0000-000036870000}"/>
    <cellStyle name="Output 3 3 3 8" xfId="14178" xr:uid="{00000000-0005-0000-0000-000037870000}"/>
    <cellStyle name="Output 3 3 3 9" xfId="14089" xr:uid="{00000000-0005-0000-0000-000038870000}"/>
    <cellStyle name="Output 3 3 4" xfId="12496" xr:uid="{00000000-0005-0000-0000-000039870000}"/>
    <cellStyle name="Output 3 3 4 10" xfId="26467" xr:uid="{00000000-0005-0000-0000-00003A870000}"/>
    <cellStyle name="Output 3 3 4 11" xfId="27079" xr:uid="{00000000-0005-0000-0000-00003B870000}"/>
    <cellStyle name="Output 3 3 4 12" xfId="27756" xr:uid="{00000000-0005-0000-0000-00003C870000}"/>
    <cellStyle name="Output 3 3 4 13" xfId="29778" xr:uid="{00000000-0005-0000-0000-00003D870000}"/>
    <cellStyle name="Output 3 3 4 14" xfId="26938" xr:uid="{00000000-0005-0000-0000-00003E870000}"/>
    <cellStyle name="Output 3 3 4 15" xfId="25976" xr:uid="{00000000-0005-0000-0000-00003F870000}"/>
    <cellStyle name="Output 3 3 4 16" xfId="35150" xr:uid="{00000000-0005-0000-0000-000040870000}"/>
    <cellStyle name="Output 3 3 4 17" xfId="35234" xr:uid="{00000000-0005-0000-0000-000041870000}"/>
    <cellStyle name="Output 3 3 4 2" xfId="15663" xr:uid="{00000000-0005-0000-0000-000042870000}"/>
    <cellStyle name="Output 3 3 4 3" xfId="15216" xr:uid="{00000000-0005-0000-0000-000043870000}"/>
    <cellStyle name="Output 3 3 4 4" xfId="15110" xr:uid="{00000000-0005-0000-0000-000044870000}"/>
    <cellStyle name="Output 3 3 4 5" xfId="15225" xr:uid="{00000000-0005-0000-0000-000045870000}"/>
    <cellStyle name="Output 3 3 4 6" xfId="13984" xr:uid="{00000000-0005-0000-0000-000046870000}"/>
    <cellStyle name="Output 3 3 4 7" xfId="15482" xr:uid="{00000000-0005-0000-0000-000047870000}"/>
    <cellStyle name="Output 3 3 4 8" xfId="15157" xr:uid="{00000000-0005-0000-0000-000048870000}"/>
    <cellStyle name="Output 3 3 4 9" xfId="14377" xr:uid="{00000000-0005-0000-0000-000049870000}"/>
    <cellStyle name="Output 3 3 5" xfId="12497" xr:uid="{00000000-0005-0000-0000-00004A870000}"/>
    <cellStyle name="Output 3 3 5 10" xfId="26496" xr:uid="{00000000-0005-0000-0000-00004B870000}"/>
    <cellStyle name="Output 3 3 5 11" xfId="27059" xr:uid="{00000000-0005-0000-0000-00004C870000}"/>
    <cellStyle name="Output 3 3 5 12" xfId="27014" xr:uid="{00000000-0005-0000-0000-00004D870000}"/>
    <cellStyle name="Output 3 3 5 13" xfId="26696" xr:uid="{00000000-0005-0000-0000-00004E870000}"/>
    <cellStyle name="Output 3 3 5 14" xfId="26210" xr:uid="{00000000-0005-0000-0000-00004F870000}"/>
    <cellStyle name="Output 3 3 5 15" xfId="27633" xr:uid="{00000000-0005-0000-0000-000050870000}"/>
    <cellStyle name="Output 3 3 5 16" xfId="35179" xr:uid="{00000000-0005-0000-0000-000051870000}"/>
    <cellStyle name="Output 3 3 5 17" xfId="35393" xr:uid="{00000000-0005-0000-0000-000052870000}"/>
    <cellStyle name="Output 3 3 5 2" xfId="14833" xr:uid="{00000000-0005-0000-0000-000053870000}"/>
    <cellStyle name="Output 3 3 5 3" xfId="14447" xr:uid="{00000000-0005-0000-0000-000054870000}"/>
    <cellStyle name="Output 3 3 5 4" xfId="15762" xr:uid="{00000000-0005-0000-0000-000055870000}"/>
    <cellStyle name="Output 3 3 5 5" xfId="14016" xr:uid="{00000000-0005-0000-0000-000056870000}"/>
    <cellStyle name="Output 3 3 5 6" xfId="15565" xr:uid="{00000000-0005-0000-0000-000057870000}"/>
    <cellStyle name="Output 3 3 5 7" xfId="14018" xr:uid="{00000000-0005-0000-0000-000058870000}"/>
    <cellStyle name="Output 3 3 5 8" xfId="14116" xr:uid="{00000000-0005-0000-0000-000059870000}"/>
    <cellStyle name="Output 3 3 5 9" xfId="14027" xr:uid="{00000000-0005-0000-0000-00005A870000}"/>
    <cellStyle name="Output 3 3 6" xfId="15716" xr:uid="{00000000-0005-0000-0000-00005B870000}"/>
    <cellStyle name="Output 3 3 7" xfId="13709" xr:uid="{00000000-0005-0000-0000-00005C870000}"/>
    <cellStyle name="Output 3 3 8" xfId="14202" xr:uid="{00000000-0005-0000-0000-00005D870000}"/>
    <cellStyle name="Output 3 3 9" xfId="13443" xr:uid="{00000000-0005-0000-0000-00005E870000}"/>
    <cellStyle name="Output 3 4" xfId="12498" xr:uid="{00000000-0005-0000-0000-00005F870000}"/>
    <cellStyle name="Output 3 4 10" xfId="13455" xr:uid="{00000000-0005-0000-0000-000060870000}"/>
    <cellStyle name="Output 3 4 11" xfId="14642" xr:uid="{00000000-0005-0000-0000-000061870000}"/>
    <cellStyle name="Output 3 4 12" xfId="21858" xr:uid="{00000000-0005-0000-0000-000062870000}"/>
    <cellStyle name="Output 3 4 13" xfId="15001" xr:uid="{00000000-0005-0000-0000-000063870000}"/>
    <cellStyle name="Output 3 4 14" xfId="26087" xr:uid="{00000000-0005-0000-0000-000064870000}"/>
    <cellStyle name="Output 3 4 15" xfId="25924" xr:uid="{00000000-0005-0000-0000-000065870000}"/>
    <cellStyle name="Output 3 4 16" xfId="27165" xr:uid="{00000000-0005-0000-0000-000066870000}"/>
    <cellStyle name="Output 3 4 17" xfId="27790" xr:uid="{00000000-0005-0000-0000-000067870000}"/>
    <cellStyle name="Output 3 4 18" xfId="27833" xr:uid="{00000000-0005-0000-0000-000068870000}"/>
    <cellStyle name="Output 3 4 19" xfId="27661" xr:uid="{00000000-0005-0000-0000-000069870000}"/>
    <cellStyle name="Output 3 4 2" xfId="12499" xr:uid="{00000000-0005-0000-0000-00006A870000}"/>
    <cellStyle name="Output 3 4 2 10" xfId="26309" xr:uid="{00000000-0005-0000-0000-00006B870000}"/>
    <cellStyle name="Output 3 4 2 11" xfId="27182" xr:uid="{00000000-0005-0000-0000-00006C870000}"/>
    <cellStyle name="Output 3 4 2 12" xfId="27032" xr:uid="{00000000-0005-0000-0000-00006D870000}"/>
    <cellStyle name="Output 3 4 2 13" xfId="26112" xr:uid="{00000000-0005-0000-0000-00006E870000}"/>
    <cellStyle name="Output 3 4 2 14" xfId="27410" xr:uid="{00000000-0005-0000-0000-00006F870000}"/>
    <cellStyle name="Output 3 4 2 15" xfId="27803" xr:uid="{00000000-0005-0000-0000-000070870000}"/>
    <cellStyle name="Output 3 4 2 16" xfId="35005" xr:uid="{00000000-0005-0000-0000-000071870000}"/>
    <cellStyle name="Output 3 4 2 17" xfId="35336" xr:uid="{00000000-0005-0000-0000-000072870000}"/>
    <cellStyle name="Output 3 4 2 2" xfId="13969" xr:uid="{00000000-0005-0000-0000-000073870000}"/>
    <cellStyle name="Output 3 4 2 3" xfId="14036" xr:uid="{00000000-0005-0000-0000-000074870000}"/>
    <cellStyle name="Output 3 4 2 4" xfId="14307" xr:uid="{00000000-0005-0000-0000-000075870000}"/>
    <cellStyle name="Output 3 4 2 5" xfId="15853" xr:uid="{00000000-0005-0000-0000-000076870000}"/>
    <cellStyle name="Output 3 4 2 6" xfId="15530" xr:uid="{00000000-0005-0000-0000-000077870000}"/>
    <cellStyle name="Output 3 4 2 7" xfId="14950" xr:uid="{00000000-0005-0000-0000-000078870000}"/>
    <cellStyle name="Output 3 4 2 8" xfId="14372" xr:uid="{00000000-0005-0000-0000-000079870000}"/>
    <cellStyle name="Output 3 4 2 9" xfId="15118" xr:uid="{00000000-0005-0000-0000-00007A870000}"/>
    <cellStyle name="Output 3 4 20" xfId="34948" xr:uid="{00000000-0005-0000-0000-00007B870000}"/>
    <cellStyle name="Output 3 4 21" xfId="35481" xr:uid="{00000000-0005-0000-0000-00007C870000}"/>
    <cellStyle name="Output 3 4 3" xfId="12500" xr:uid="{00000000-0005-0000-0000-00007D870000}"/>
    <cellStyle name="Output 3 4 3 10" xfId="26389" xr:uid="{00000000-0005-0000-0000-00007E870000}"/>
    <cellStyle name="Output 3 4 3 11" xfId="27709" xr:uid="{00000000-0005-0000-0000-00007F870000}"/>
    <cellStyle name="Output 3 4 3 12" xfId="26524" xr:uid="{00000000-0005-0000-0000-000080870000}"/>
    <cellStyle name="Output 3 4 3 13" xfId="26114" xr:uid="{00000000-0005-0000-0000-000081870000}"/>
    <cellStyle name="Output 3 4 3 14" xfId="26606" xr:uid="{00000000-0005-0000-0000-000082870000}"/>
    <cellStyle name="Output 3 4 3 15" xfId="26904" xr:uid="{00000000-0005-0000-0000-000083870000}"/>
    <cellStyle name="Output 3 4 3 16" xfId="35080" xr:uid="{00000000-0005-0000-0000-000084870000}"/>
    <cellStyle name="Output 3 4 3 17" xfId="35433" xr:uid="{00000000-0005-0000-0000-000085870000}"/>
    <cellStyle name="Output 3 4 3 2" xfId="15683" xr:uid="{00000000-0005-0000-0000-000086870000}"/>
    <cellStyle name="Output 3 4 3 3" xfId="14054" xr:uid="{00000000-0005-0000-0000-000087870000}"/>
    <cellStyle name="Output 3 4 3 4" xfId="15114" xr:uid="{00000000-0005-0000-0000-000088870000}"/>
    <cellStyle name="Output 3 4 3 5" xfId="13667" xr:uid="{00000000-0005-0000-0000-000089870000}"/>
    <cellStyle name="Output 3 4 3 6" xfId="13913" xr:uid="{00000000-0005-0000-0000-00008A870000}"/>
    <cellStyle name="Output 3 4 3 7" xfId="14271" xr:uid="{00000000-0005-0000-0000-00008B870000}"/>
    <cellStyle name="Output 3 4 3 8" xfId="18848" xr:uid="{00000000-0005-0000-0000-00008C870000}"/>
    <cellStyle name="Output 3 4 3 9" xfId="14461" xr:uid="{00000000-0005-0000-0000-00008D870000}"/>
    <cellStyle name="Output 3 4 4" xfId="12501" xr:uid="{00000000-0005-0000-0000-00008E870000}"/>
    <cellStyle name="Output 3 4 4 10" xfId="26349" xr:uid="{00000000-0005-0000-0000-00008F870000}"/>
    <cellStyle name="Output 3 4 4 11" xfId="27153" xr:uid="{00000000-0005-0000-0000-000090870000}"/>
    <cellStyle name="Output 3 4 4 12" xfId="25901" xr:uid="{00000000-0005-0000-0000-000091870000}"/>
    <cellStyle name="Output 3 4 4 13" xfId="28765" xr:uid="{00000000-0005-0000-0000-000092870000}"/>
    <cellStyle name="Output 3 4 4 14" xfId="27293" xr:uid="{00000000-0005-0000-0000-000093870000}"/>
    <cellStyle name="Output 3 4 4 15" xfId="27401" xr:uid="{00000000-0005-0000-0000-000094870000}"/>
    <cellStyle name="Output 3 4 4 16" xfId="35043" xr:uid="{00000000-0005-0000-0000-000095870000}"/>
    <cellStyle name="Output 3 4 4 17" xfId="35445" xr:uid="{00000000-0005-0000-0000-000096870000}"/>
    <cellStyle name="Output 3 4 4 2" xfId="15697" xr:uid="{00000000-0005-0000-0000-000097870000}"/>
    <cellStyle name="Output 3 4 4 3" xfId="15808" xr:uid="{00000000-0005-0000-0000-000098870000}"/>
    <cellStyle name="Output 3 4 4 4" xfId="15736" xr:uid="{00000000-0005-0000-0000-000099870000}"/>
    <cellStyle name="Output 3 4 4 5" xfId="14418" xr:uid="{00000000-0005-0000-0000-00009A870000}"/>
    <cellStyle name="Output 3 4 4 6" xfId="15550" xr:uid="{00000000-0005-0000-0000-00009B870000}"/>
    <cellStyle name="Output 3 4 4 7" xfId="14087" xr:uid="{00000000-0005-0000-0000-00009C870000}"/>
    <cellStyle name="Output 3 4 4 8" xfId="14165" xr:uid="{00000000-0005-0000-0000-00009D870000}"/>
    <cellStyle name="Output 3 4 4 9" xfId="13635" xr:uid="{00000000-0005-0000-0000-00009E870000}"/>
    <cellStyle name="Output 3 4 5" xfId="12502" xr:uid="{00000000-0005-0000-0000-00009F870000}"/>
    <cellStyle name="Output 3 4 5 10" xfId="26460" xr:uid="{00000000-0005-0000-0000-0000A0870000}"/>
    <cellStyle name="Output 3 4 5 11" xfId="27084" xr:uid="{00000000-0005-0000-0000-0000A1870000}"/>
    <cellStyle name="Output 3 4 5 12" xfId="26914" xr:uid="{00000000-0005-0000-0000-0000A2870000}"/>
    <cellStyle name="Output 3 4 5 13" xfId="26750" xr:uid="{00000000-0005-0000-0000-0000A3870000}"/>
    <cellStyle name="Output 3 4 5 14" xfId="27432" xr:uid="{00000000-0005-0000-0000-0000A4870000}"/>
    <cellStyle name="Output 3 4 5 15" xfId="27479" xr:uid="{00000000-0005-0000-0000-0000A5870000}"/>
    <cellStyle name="Output 3 4 5 16" xfId="35143" xr:uid="{00000000-0005-0000-0000-0000A6870000}"/>
    <cellStyle name="Output 3 4 5 17" xfId="35239" xr:uid="{00000000-0005-0000-0000-0000A7870000}"/>
    <cellStyle name="Output 3 4 5 2" xfId="15665" xr:uid="{00000000-0005-0000-0000-0000A8870000}"/>
    <cellStyle name="Output 3 4 5 3" xfId="14070" xr:uid="{00000000-0005-0000-0000-0000A9870000}"/>
    <cellStyle name="Output 3 4 5 4" xfId="16849" xr:uid="{00000000-0005-0000-0000-0000AA870000}"/>
    <cellStyle name="Output 3 4 5 5" xfId="15445" xr:uid="{00000000-0005-0000-0000-0000AB870000}"/>
    <cellStyle name="Output 3 4 5 6" xfId="15053" xr:uid="{00000000-0005-0000-0000-0000AC870000}"/>
    <cellStyle name="Output 3 4 5 7" xfId="14944" xr:uid="{00000000-0005-0000-0000-0000AD870000}"/>
    <cellStyle name="Output 3 4 5 8" xfId="15859" xr:uid="{00000000-0005-0000-0000-0000AE870000}"/>
    <cellStyle name="Output 3 4 5 9" xfId="13955" xr:uid="{00000000-0005-0000-0000-0000AF870000}"/>
    <cellStyle name="Output 3 4 6" xfId="13852" xr:uid="{00000000-0005-0000-0000-0000B0870000}"/>
    <cellStyle name="Output 3 4 7" xfId="13992" xr:uid="{00000000-0005-0000-0000-0000B1870000}"/>
    <cellStyle name="Output 3 4 8" xfId="13837" xr:uid="{00000000-0005-0000-0000-0000B2870000}"/>
    <cellStyle name="Output 3 4 9" xfId="13539" xr:uid="{00000000-0005-0000-0000-0000B3870000}"/>
    <cellStyle name="Output 3 5" xfId="12503" xr:uid="{00000000-0005-0000-0000-0000B4870000}"/>
    <cellStyle name="Output 3 5 10" xfId="26293" xr:uid="{00000000-0005-0000-0000-0000B5870000}"/>
    <cellStyle name="Output 3 5 11" xfId="27743" xr:uid="{00000000-0005-0000-0000-0000B6870000}"/>
    <cellStyle name="Output 3 5 12" xfId="25931" xr:uid="{00000000-0005-0000-0000-0000B7870000}"/>
    <cellStyle name="Output 3 5 13" xfId="27854" xr:uid="{00000000-0005-0000-0000-0000B8870000}"/>
    <cellStyle name="Output 3 5 14" xfId="26856" xr:uid="{00000000-0005-0000-0000-0000B9870000}"/>
    <cellStyle name="Output 3 5 15" xfId="26598" xr:uid="{00000000-0005-0000-0000-0000BA870000}"/>
    <cellStyle name="Output 3 5 16" xfId="34990" xr:uid="{00000000-0005-0000-0000-0000BB870000}"/>
    <cellStyle name="Output 3 5 17" xfId="35468" xr:uid="{00000000-0005-0000-0000-0000BC870000}"/>
    <cellStyle name="Output 3 5 2" xfId="14936" xr:uid="{00000000-0005-0000-0000-0000BD870000}"/>
    <cellStyle name="Output 3 5 3" xfId="14031" xr:uid="{00000000-0005-0000-0000-0000BE870000}"/>
    <cellStyle name="Output 3 5 4" xfId="14795" xr:uid="{00000000-0005-0000-0000-0000BF870000}"/>
    <cellStyle name="Output 3 5 5" xfId="13441" xr:uid="{00000000-0005-0000-0000-0000C0870000}"/>
    <cellStyle name="Output 3 5 6" xfId="15460" xr:uid="{00000000-0005-0000-0000-0000C1870000}"/>
    <cellStyle name="Output 3 5 7" xfId="13575" xr:uid="{00000000-0005-0000-0000-0000C2870000}"/>
    <cellStyle name="Output 3 5 8" xfId="14303" xr:uid="{00000000-0005-0000-0000-0000C3870000}"/>
    <cellStyle name="Output 3 5 9" xfId="15261" xr:uid="{00000000-0005-0000-0000-0000C4870000}"/>
    <cellStyle name="Output 3 6" xfId="12504" xr:uid="{00000000-0005-0000-0000-0000C5870000}"/>
    <cellStyle name="Output 3 6 10" xfId="24874" xr:uid="{00000000-0005-0000-0000-0000C6870000}"/>
    <cellStyle name="Output 3 6 11" xfId="25873" xr:uid="{00000000-0005-0000-0000-0000C7870000}"/>
    <cellStyle name="Output 3 6 12" xfId="28779" xr:uid="{00000000-0005-0000-0000-0000C8870000}"/>
    <cellStyle name="Output 3 6 13" xfId="29796" xr:uid="{00000000-0005-0000-0000-0000C9870000}"/>
    <cellStyle name="Output 3 6 14" xfId="30829" xr:uid="{00000000-0005-0000-0000-0000CA870000}"/>
    <cellStyle name="Output 3 6 15" xfId="31824" xr:uid="{00000000-0005-0000-0000-0000CB870000}"/>
    <cellStyle name="Output 3 6 16" xfId="32828" xr:uid="{00000000-0005-0000-0000-0000CC870000}"/>
    <cellStyle name="Output 3 6 17" xfId="33831" xr:uid="{00000000-0005-0000-0000-0000CD870000}"/>
    <cellStyle name="Output 3 6 18" xfId="34830" xr:uid="{00000000-0005-0000-0000-0000CE870000}"/>
    <cellStyle name="Output 3 6 19" xfId="36391" xr:uid="{00000000-0005-0000-0000-0000CF870000}"/>
    <cellStyle name="Output 3 6 2" xfId="16863" xr:uid="{00000000-0005-0000-0000-0000D0870000}"/>
    <cellStyle name="Output 3 6 20" xfId="37390" xr:uid="{00000000-0005-0000-0000-0000D1870000}"/>
    <cellStyle name="Output 3 6 3" xfId="17843" xr:uid="{00000000-0005-0000-0000-0000D2870000}"/>
    <cellStyle name="Output 3 6 4" xfId="18868" xr:uid="{00000000-0005-0000-0000-0000D3870000}"/>
    <cellStyle name="Output 3 6 5" xfId="19902" xr:uid="{00000000-0005-0000-0000-0000D4870000}"/>
    <cellStyle name="Output 3 6 6" xfId="20927" xr:uid="{00000000-0005-0000-0000-0000D5870000}"/>
    <cellStyle name="Output 3 6 7" xfId="21887" xr:uid="{00000000-0005-0000-0000-0000D6870000}"/>
    <cellStyle name="Output 3 6 8" xfId="22899" xr:uid="{00000000-0005-0000-0000-0000D7870000}"/>
    <cellStyle name="Output 3 6 9" xfId="23902" xr:uid="{00000000-0005-0000-0000-0000D8870000}"/>
    <cellStyle name="Output 3 7" xfId="12485" xr:uid="{00000000-0005-0000-0000-0000D9870000}"/>
    <cellStyle name="Output 3 8" xfId="34890" xr:uid="{00000000-0005-0000-0000-0000DA870000}"/>
    <cellStyle name="Output 3 9" xfId="37404" xr:uid="{00000000-0005-0000-0000-0000DB870000}"/>
    <cellStyle name="Output 4" xfId="12505" xr:uid="{00000000-0005-0000-0000-0000DC870000}"/>
    <cellStyle name="Output 5" xfId="12506" xr:uid="{00000000-0005-0000-0000-0000DD870000}"/>
    <cellStyle name="Percent" xfId="3" builtinId="5"/>
    <cellStyle name="Percent 10" xfId="12507" xr:uid="{00000000-0005-0000-0000-0000DF870000}"/>
    <cellStyle name="Percent 10 2" xfId="12508" xr:uid="{00000000-0005-0000-0000-0000E0870000}"/>
    <cellStyle name="Percent 10 2 2" xfId="12509" xr:uid="{00000000-0005-0000-0000-0000E1870000}"/>
    <cellStyle name="Percent 10 3" xfId="12510" xr:uid="{00000000-0005-0000-0000-0000E2870000}"/>
    <cellStyle name="Percent 10 4" xfId="12511" xr:uid="{00000000-0005-0000-0000-0000E3870000}"/>
    <cellStyle name="Percent 10 5" xfId="34920" xr:uid="{00000000-0005-0000-0000-0000E4870000}"/>
    <cellStyle name="Percent 11" xfId="12512" xr:uid="{00000000-0005-0000-0000-0000E5870000}"/>
    <cellStyle name="Percent 11 2" xfId="12513" xr:uid="{00000000-0005-0000-0000-0000E6870000}"/>
    <cellStyle name="Percent 11 2 2" xfId="12514" xr:uid="{00000000-0005-0000-0000-0000E7870000}"/>
    <cellStyle name="Percent 11 2 3" xfId="12515" xr:uid="{00000000-0005-0000-0000-0000E8870000}"/>
    <cellStyle name="Percent 11 3" xfId="12516" xr:uid="{00000000-0005-0000-0000-0000E9870000}"/>
    <cellStyle name="Percent 11 3 2" xfId="12517" xr:uid="{00000000-0005-0000-0000-0000EA870000}"/>
    <cellStyle name="Percent 11 3 3" xfId="12518" xr:uid="{00000000-0005-0000-0000-0000EB870000}"/>
    <cellStyle name="Percent 11 4" xfId="12519" xr:uid="{00000000-0005-0000-0000-0000EC870000}"/>
    <cellStyle name="Percent 11 5" xfId="12520" xr:uid="{00000000-0005-0000-0000-0000ED870000}"/>
    <cellStyle name="Percent 12" xfId="12521" xr:uid="{00000000-0005-0000-0000-0000EE870000}"/>
    <cellStyle name="Percent 13" xfId="12522" xr:uid="{00000000-0005-0000-0000-0000EF870000}"/>
    <cellStyle name="Percent 14" xfId="12523" xr:uid="{00000000-0005-0000-0000-0000F0870000}"/>
    <cellStyle name="Percent 14 2" xfId="12524" xr:uid="{00000000-0005-0000-0000-0000F1870000}"/>
    <cellStyle name="Percent 14 2 2" xfId="12525" xr:uid="{00000000-0005-0000-0000-0000F2870000}"/>
    <cellStyle name="Percent 15" xfId="12526" xr:uid="{00000000-0005-0000-0000-0000F3870000}"/>
    <cellStyle name="Percent 16 2" xfId="12527" xr:uid="{00000000-0005-0000-0000-0000F4870000}"/>
    <cellStyle name="Percent 16 2 2" xfId="12528" xr:uid="{00000000-0005-0000-0000-0000F5870000}"/>
    <cellStyle name="Percent 2" xfId="24" xr:uid="{00000000-0005-0000-0000-0000F6870000}"/>
    <cellStyle name="Percent 2 2" xfId="25" xr:uid="{00000000-0005-0000-0000-0000F7870000}"/>
    <cellStyle name="Percent 2 2 2" xfId="248" xr:uid="{00000000-0005-0000-0000-0000F8870000}"/>
    <cellStyle name="Percent 2 2 3" xfId="12529" xr:uid="{00000000-0005-0000-0000-0000F9870000}"/>
    <cellStyle name="Percent 2 2 3 2" xfId="12530" xr:uid="{00000000-0005-0000-0000-0000FA870000}"/>
    <cellStyle name="Percent 2 2 4" xfId="12531" xr:uid="{00000000-0005-0000-0000-0000FB870000}"/>
    <cellStyle name="Percent 2 3" xfId="350" xr:uid="{00000000-0005-0000-0000-0000FC870000}"/>
    <cellStyle name="Percent 2 3 2" xfId="12532" xr:uid="{00000000-0005-0000-0000-0000FD870000}"/>
    <cellStyle name="Percent 2 3 3" xfId="12533" xr:uid="{00000000-0005-0000-0000-0000FE870000}"/>
    <cellStyle name="Percent 2 4" xfId="12534" xr:uid="{00000000-0005-0000-0000-0000FF870000}"/>
    <cellStyle name="Percent 2 4 2" xfId="12535" xr:uid="{00000000-0005-0000-0000-000000880000}"/>
    <cellStyle name="Percent 2 4 3" xfId="12536" xr:uid="{00000000-0005-0000-0000-000001880000}"/>
    <cellStyle name="Percent 2 5" xfId="12537" xr:uid="{00000000-0005-0000-0000-000002880000}"/>
    <cellStyle name="Percent 2 6" xfId="26" xr:uid="{00000000-0005-0000-0000-000003880000}"/>
    <cellStyle name="Percent 2 7" xfId="12538" xr:uid="{00000000-0005-0000-0000-000004880000}"/>
    <cellStyle name="Percent 3" xfId="27" xr:uid="{00000000-0005-0000-0000-000005880000}"/>
    <cellStyle name="Percent 3 10" xfId="12539" xr:uid="{00000000-0005-0000-0000-000006880000}"/>
    <cellStyle name="Percent 3 11" xfId="12540" xr:uid="{00000000-0005-0000-0000-000007880000}"/>
    <cellStyle name="Percent 3 2" xfId="28" xr:uid="{00000000-0005-0000-0000-000008880000}"/>
    <cellStyle name="Percent 3 2 2" xfId="12541" xr:uid="{00000000-0005-0000-0000-000009880000}"/>
    <cellStyle name="Percent 3 2 2 2" xfId="12542" xr:uid="{00000000-0005-0000-0000-00000A880000}"/>
    <cellStyle name="Percent 3 2 2 2 2" xfId="12543" xr:uid="{00000000-0005-0000-0000-00000B880000}"/>
    <cellStyle name="Percent 3 2 2 2 2 2" xfId="12544" xr:uid="{00000000-0005-0000-0000-00000C880000}"/>
    <cellStyle name="Percent 3 2 2 2 2 2 2" xfId="12545" xr:uid="{00000000-0005-0000-0000-00000D880000}"/>
    <cellStyle name="Percent 3 2 2 2 2 2 2 2" xfId="12546" xr:uid="{00000000-0005-0000-0000-00000E880000}"/>
    <cellStyle name="Percent 3 2 2 2 2 2 2 3" xfId="12547" xr:uid="{00000000-0005-0000-0000-00000F880000}"/>
    <cellStyle name="Percent 3 2 2 2 2 2 3" xfId="12548" xr:uid="{00000000-0005-0000-0000-000010880000}"/>
    <cellStyle name="Percent 3 2 2 2 2 2 3 2" xfId="12549" xr:uid="{00000000-0005-0000-0000-000011880000}"/>
    <cellStyle name="Percent 3 2 2 2 2 2 3 3" xfId="12550" xr:uid="{00000000-0005-0000-0000-000012880000}"/>
    <cellStyle name="Percent 3 2 2 2 2 2 4" xfId="12551" xr:uid="{00000000-0005-0000-0000-000013880000}"/>
    <cellStyle name="Percent 3 2 2 2 2 2 5" xfId="12552" xr:uid="{00000000-0005-0000-0000-000014880000}"/>
    <cellStyle name="Percent 3 2 2 2 2 3" xfId="12553" xr:uid="{00000000-0005-0000-0000-000015880000}"/>
    <cellStyle name="Percent 3 2 2 2 2 3 2" xfId="12554" xr:uid="{00000000-0005-0000-0000-000016880000}"/>
    <cellStyle name="Percent 3 2 2 2 2 3 3" xfId="12555" xr:uid="{00000000-0005-0000-0000-000017880000}"/>
    <cellStyle name="Percent 3 2 2 2 2 4" xfId="12556" xr:uid="{00000000-0005-0000-0000-000018880000}"/>
    <cellStyle name="Percent 3 2 2 2 2 4 2" xfId="12557" xr:uid="{00000000-0005-0000-0000-000019880000}"/>
    <cellStyle name="Percent 3 2 2 2 2 4 3" xfId="12558" xr:uid="{00000000-0005-0000-0000-00001A880000}"/>
    <cellStyle name="Percent 3 2 2 2 2 5" xfId="12559" xr:uid="{00000000-0005-0000-0000-00001B880000}"/>
    <cellStyle name="Percent 3 2 2 2 2 6" xfId="12560" xr:uid="{00000000-0005-0000-0000-00001C880000}"/>
    <cellStyle name="Percent 3 2 2 2 3" xfId="12561" xr:uid="{00000000-0005-0000-0000-00001D880000}"/>
    <cellStyle name="Percent 3 2 2 2 3 2" xfId="12562" xr:uid="{00000000-0005-0000-0000-00001E880000}"/>
    <cellStyle name="Percent 3 2 2 2 3 2 2" xfId="12563" xr:uid="{00000000-0005-0000-0000-00001F880000}"/>
    <cellStyle name="Percent 3 2 2 2 3 2 3" xfId="12564" xr:uid="{00000000-0005-0000-0000-000020880000}"/>
    <cellStyle name="Percent 3 2 2 2 3 3" xfId="12565" xr:uid="{00000000-0005-0000-0000-000021880000}"/>
    <cellStyle name="Percent 3 2 2 2 3 3 2" xfId="12566" xr:uid="{00000000-0005-0000-0000-000022880000}"/>
    <cellStyle name="Percent 3 2 2 2 3 3 3" xfId="12567" xr:uid="{00000000-0005-0000-0000-000023880000}"/>
    <cellStyle name="Percent 3 2 2 2 3 4" xfId="12568" xr:uid="{00000000-0005-0000-0000-000024880000}"/>
    <cellStyle name="Percent 3 2 2 2 3 5" xfId="12569" xr:uid="{00000000-0005-0000-0000-000025880000}"/>
    <cellStyle name="Percent 3 2 2 2 4" xfId="12570" xr:uid="{00000000-0005-0000-0000-000026880000}"/>
    <cellStyle name="Percent 3 2 2 2 4 2" xfId="12571" xr:uid="{00000000-0005-0000-0000-000027880000}"/>
    <cellStyle name="Percent 3 2 2 2 4 3" xfId="12572" xr:uid="{00000000-0005-0000-0000-000028880000}"/>
    <cellStyle name="Percent 3 2 2 2 5" xfId="12573" xr:uid="{00000000-0005-0000-0000-000029880000}"/>
    <cellStyle name="Percent 3 2 2 2 5 2" xfId="12574" xr:uid="{00000000-0005-0000-0000-00002A880000}"/>
    <cellStyle name="Percent 3 2 2 2 5 3" xfId="12575" xr:uid="{00000000-0005-0000-0000-00002B880000}"/>
    <cellStyle name="Percent 3 2 2 2 6" xfId="12576" xr:uid="{00000000-0005-0000-0000-00002C880000}"/>
    <cellStyle name="Percent 3 2 2 2 7" xfId="12577" xr:uid="{00000000-0005-0000-0000-00002D880000}"/>
    <cellStyle name="Percent 3 2 2 3" xfId="12578" xr:uid="{00000000-0005-0000-0000-00002E880000}"/>
    <cellStyle name="Percent 3 2 2 3 2" xfId="12579" xr:uid="{00000000-0005-0000-0000-00002F880000}"/>
    <cellStyle name="Percent 3 2 2 3 2 2" xfId="12580" xr:uid="{00000000-0005-0000-0000-000030880000}"/>
    <cellStyle name="Percent 3 2 2 3 2 2 2" xfId="12581" xr:uid="{00000000-0005-0000-0000-000031880000}"/>
    <cellStyle name="Percent 3 2 2 3 2 2 3" xfId="12582" xr:uid="{00000000-0005-0000-0000-000032880000}"/>
    <cellStyle name="Percent 3 2 2 3 2 3" xfId="12583" xr:uid="{00000000-0005-0000-0000-000033880000}"/>
    <cellStyle name="Percent 3 2 2 3 2 3 2" xfId="12584" xr:uid="{00000000-0005-0000-0000-000034880000}"/>
    <cellStyle name="Percent 3 2 2 3 2 3 3" xfId="12585" xr:uid="{00000000-0005-0000-0000-000035880000}"/>
    <cellStyle name="Percent 3 2 2 3 2 4" xfId="12586" xr:uid="{00000000-0005-0000-0000-000036880000}"/>
    <cellStyle name="Percent 3 2 2 3 2 5" xfId="12587" xr:uid="{00000000-0005-0000-0000-000037880000}"/>
    <cellStyle name="Percent 3 2 2 3 3" xfId="12588" xr:uid="{00000000-0005-0000-0000-000038880000}"/>
    <cellStyle name="Percent 3 2 2 3 3 2" xfId="12589" xr:uid="{00000000-0005-0000-0000-000039880000}"/>
    <cellStyle name="Percent 3 2 2 3 3 3" xfId="12590" xr:uid="{00000000-0005-0000-0000-00003A880000}"/>
    <cellStyle name="Percent 3 2 2 3 4" xfId="12591" xr:uid="{00000000-0005-0000-0000-00003B880000}"/>
    <cellStyle name="Percent 3 2 2 3 4 2" xfId="12592" xr:uid="{00000000-0005-0000-0000-00003C880000}"/>
    <cellStyle name="Percent 3 2 2 3 4 3" xfId="12593" xr:uid="{00000000-0005-0000-0000-00003D880000}"/>
    <cellStyle name="Percent 3 2 2 3 5" xfId="12594" xr:uid="{00000000-0005-0000-0000-00003E880000}"/>
    <cellStyle name="Percent 3 2 2 3 6" xfId="12595" xr:uid="{00000000-0005-0000-0000-00003F880000}"/>
    <cellStyle name="Percent 3 2 2 4" xfId="12596" xr:uid="{00000000-0005-0000-0000-000040880000}"/>
    <cellStyle name="Percent 3 2 2 4 2" xfId="12597" xr:uid="{00000000-0005-0000-0000-000041880000}"/>
    <cellStyle name="Percent 3 2 2 4 2 2" xfId="12598" xr:uid="{00000000-0005-0000-0000-000042880000}"/>
    <cellStyle name="Percent 3 2 2 4 2 3" xfId="12599" xr:uid="{00000000-0005-0000-0000-000043880000}"/>
    <cellStyle name="Percent 3 2 2 4 3" xfId="12600" xr:uid="{00000000-0005-0000-0000-000044880000}"/>
    <cellStyle name="Percent 3 2 2 4 3 2" xfId="12601" xr:uid="{00000000-0005-0000-0000-000045880000}"/>
    <cellStyle name="Percent 3 2 2 4 3 3" xfId="12602" xr:uid="{00000000-0005-0000-0000-000046880000}"/>
    <cellStyle name="Percent 3 2 2 4 4" xfId="12603" xr:uid="{00000000-0005-0000-0000-000047880000}"/>
    <cellStyle name="Percent 3 2 2 4 5" xfId="12604" xr:uid="{00000000-0005-0000-0000-000048880000}"/>
    <cellStyle name="Percent 3 2 2 5" xfId="12605" xr:uid="{00000000-0005-0000-0000-000049880000}"/>
    <cellStyle name="Percent 3 2 2 5 2" xfId="12606" xr:uid="{00000000-0005-0000-0000-00004A880000}"/>
    <cellStyle name="Percent 3 2 2 5 3" xfId="12607" xr:uid="{00000000-0005-0000-0000-00004B880000}"/>
    <cellStyle name="Percent 3 2 2 6" xfId="12608" xr:uid="{00000000-0005-0000-0000-00004C880000}"/>
    <cellStyle name="Percent 3 2 2 6 2" xfId="12609" xr:uid="{00000000-0005-0000-0000-00004D880000}"/>
    <cellStyle name="Percent 3 2 2 6 3" xfId="12610" xr:uid="{00000000-0005-0000-0000-00004E880000}"/>
    <cellStyle name="Percent 3 2 2 7" xfId="12611" xr:uid="{00000000-0005-0000-0000-00004F880000}"/>
    <cellStyle name="Percent 3 2 2 8" xfId="12612" xr:uid="{00000000-0005-0000-0000-000050880000}"/>
    <cellStyle name="Percent 3 2 3" xfId="12613" xr:uid="{00000000-0005-0000-0000-000051880000}"/>
    <cellStyle name="Percent 3 2 3 2" xfId="12614" xr:uid="{00000000-0005-0000-0000-000052880000}"/>
    <cellStyle name="Percent 3 2 3 2 2" xfId="12615" xr:uid="{00000000-0005-0000-0000-000053880000}"/>
    <cellStyle name="Percent 3 2 3 2 2 2" xfId="12616" xr:uid="{00000000-0005-0000-0000-000054880000}"/>
    <cellStyle name="Percent 3 2 3 2 2 2 2" xfId="12617" xr:uid="{00000000-0005-0000-0000-000055880000}"/>
    <cellStyle name="Percent 3 2 3 2 2 2 3" xfId="12618" xr:uid="{00000000-0005-0000-0000-000056880000}"/>
    <cellStyle name="Percent 3 2 3 2 2 3" xfId="12619" xr:uid="{00000000-0005-0000-0000-000057880000}"/>
    <cellStyle name="Percent 3 2 3 2 2 3 2" xfId="12620" xr:uid="{00000000-0005-0000-0000-000058880000}"/>
    <cellStyle name="Percent 3 2 3 2 2 3 3" xfId="12621" xr:uid="{00000000-0005-0000-0000-000059880000}"/>
    <cellStyle name="Percent 3 2 3 2 2 4" xfId="12622" xr:uid="{00000000-0005-0000-0000-00005A880000}"/>
    <cellStyle name="Percent 3 2 3 2 2 5" xfId="12623" xr:uid="{00000000-0005-0000-0000-00005B880000}"/>
    <cellStyle name="Percent 3 2 3 2 3" xfId="12624" xr:uid="{00000000-0005-0000-0000-00005C880000}"/>
    <cellStyle name="Percent 3 2 3 2 3 2" xfId="12625" xr:uid="{00000000-0005-0000-0000-00005D880000}"/>
    <cellStyle name="Percent 3 2 3 2 3 3" xfId="12626" xr:uid="{00000000-0005-0000-0000-00005E880000}"/>
    <cellStyle name="Percent 3 2 3 2 4" xfId="12627" xr:uid="{00000000-0005-0000-0000-00005F880000}"/>
    <cellStyle name="Percent 3 2 3 2 4 2" xfId="12628" xr:uid="{00000000-0005-0000-0000-000060880000}"/>
    <cellStyle name="Percent 3 2 3 2 4 3" xfId="12629" xr:uid="{00000000-0005-0000-0000-000061880000}"/>
    <cellStyle name="Percent 3 2 3 2 5" xfId="12630" xr:uid="{00000000-0005-0000-0000-000062880000}"/>
    <cellStyle name="Percent 3 2 3 2 6" xfId="12631" xr:uid="{00000000-0005-0000-0000-000063880000}"/>
    <cellStyle name="Percent 3 2 3 3" xfId="12632" xr:uid="{00000000-0005-0000-0000-000064880000}"/>
    <cellStyle name="Percent 3 2 3 3 2" xfId="12633" xr:uid="{00000000-0005-0000-0000-000065880000}"/>
    <cellStyle name="Percent 3 2 3 3 2 2" xfId="12634" xr:uid="{00000000-0005-0000-0000-000066880000}"/>
    <cellStyle name="Percent 3 2 3 3 2 3" xfId="12635" xr:uid="{00000000-0005-0000-0000-000067880000}"/>
    <cellStyle name="Percent 3 2 3 3 3" xfId="12636" xr:uid="{00000000-0005-0000-0000-000068880000}"/>
    <cellStyle name="Percent 3 2 3 3 3 2" xfId="12637" xr:uid="{00000000-0005-0000-0000-000069880000}"/>
    <cellStyle name="Percent 3 2 3 3 3 3" xfId="12638" xr:uid="{00000000-0005-0000-0000-00006A880000}"/>
    <cellStyle name="Percent 3 2 3 3 4" xfId="12639" xr:uid="{00000000-0005-0000-0000-00006B880000}"/>
    <cellStyle name="Percent 3 2 3 3 5" xfId="12640" xr:uid="{00000000-0005-0000-0000-00006C880000}"/>
    <cellStyle name="Percent 3 2 3 4" xfId="12641" xr:uid="{00000000-0005-0000-0000-00006D880000}"/>
    <cellStyle name="Percent 3 2 3 4 2" xfId="12642" xr:uid="{00000000-0005-0000-0000-00006E880000}"/>
    <cellStyle name="Percent 3 2 3 4 3" xfId="12643" xr:uid="{00000000-0005-0000-0000-00006F880000}"/>
    <cellStyle name="Percent 3 2 3 5" xfId="12644" xr:uid="{00000000-0005-0000-0000-000070880000}"/>
    <cellStyle name="Percent 3 2 3 5 2" xfId="12645" xr:uid="{00000000-0005-0000-0000-000071880000}"/>
    <cellStyle name="Percent 3 2 3 5 3" xfId="12646" xr:uid="{00000000-0005-0000-0000-000072880000}"/>
    <cellStyle name="Percent 3 2 3 6" xfId="12647" xr:uid="{00000000-0005-0000-0000-000073880000}"/>
    <cellStyle name="Percent 3 2 3 7" xfId="12648" xr:uid="{00000000-0005-0000-0000-000074880000}"/>
    <cellStyle name="Percent 3 2 4" xfId="12649" xr:uid="{00000000-0005-0000-0000-000075880000}"/>
    <cellStyle name="Percent 3 2 4 2" xfId="12650" xr:uid="{00000000-0005-0000-0000-000076880000}"/>
    <cellStyle name="Percent 3 2 4 2 2" xfId="12651" xr:uid="{00000000-0005-0000-0000-000077880000}"/>
    <cellStyle name="Percent 3 2 4 2 2 2" xfId="12652" xr:uid="{00000000-0005-0000-0000-000078880000}"/>
    <cellStyle name="Percent 3 2 4 2 2 3" xfId="12653" xr:uid="{00000000-0005-0000-0000-000079880000}"/>
    <cellStyle name="Percent 3 2 4 2 3" xfId="12654" xr:uid="{00000000-0005-0000-0000-00007A880000}"/>
    <cellStyle name="Percent 3 2 4 2 3 2" xfId="12655" xr:uid="{00000000-0005-0000-0000-00007B880000}"/>
    <cellStyle name="Percent 3 2 4 2 3 3" xfId="12656" xr:uid="{00000000-0005-0000-0000-00007C880000}"/>
    <cellStyle name="Percent 3 2 4 2 4" xfId="12657" xr:uid="{00000000-0005-0000-0000-00007D880000}"/>
    <cellStyle name="Percent 3 2 4 2 5" xfId="12658" xr:uid="{00000000-0005-0000-0000-00007E880000}"/>
    <cellStyle name="Percent 3 2 4 3" xfId="12659" xr:uid="{00000000-0005-0000-0000-00007F880000}"/>
    <cellStyle name="Percent 3 2 4 3 2" xfId="12660" xr:uid="{00000000-0005-0000-0000-000080880000}"/>
    <cellStyle name="Percent 3 2 4 3 3" xfId="12661" xr:uid="{00000000-0005-0000-0000-000081880000}"/>
    <cellStyle name="Percent 3 2 4 4" xfId="12662" xr:uid="{00000000-0005-0000-0000-000082880000}"/>
    <cellStyle name="Percent 3 2 4 4 2" xfId="12663" xr:uid="{00000000-0005-0000-0000-000083880000}"/>
    <cellStyle name="Percent 3 2 4 4 3" xfId="12664" xr:uid="{00000000-0005-0000-0000-000084880000}"/>
    <cellStyle name="Percent 3 2 4 5" xfId="12665" xr:uid="{00000000-0005-0000-0000-000085880000}"/>
    <cellStyle name="Percent 3 2 4 6" xfId="12666" xr:uid="{00000000-0005-0000-0000-000086880000}"/>
    <cellStyle name="Percent 3 2 5" xfId="12667" xr:uid="{00000000-0005-0000-0000-000087880000}"/>
    <cellStyle name="Percent 3 2 5 2" xfId="12668" xr:uid="{00000000-0005-0000-0000-000088880000}"/>
    <cellStyle name="Percent 3 2 5 2 2" xfId="12669" xr:uid="{00000000-0005-0000-0000-000089880000}"/>
    <cellStyle name="Percent 3 2 5 2 3" xfId="12670" xr:uid="{00000000-0005-0000-0000-00008A880000}"/>
    <cellStyle name="Percent 3 2 5 3" xfId="12671" xr:uid="{00000000-0005-0000-0000-00008B880000}"/>
    <cellStyle name="Percent 3 2 5 3 2" xfId="12672" xr:uid="{00000000-0005-0000-0000-00008C880000}"/>
    <cellStyle name="Percent 3 2 5 3 3" xfId="12673" xr:uid="{00000000-0005-0000-0000-00008D880000}"/>
    <cellStyle name="Percent 3 2 5 4" xfId="12674" xr:uid="{00000000-0005-0000-0000-00008E880000}"/>
    <cellStyle name="Percent 3 2 5 5" xfId="12675" xr:uid="{00000000-0005-0000-0000-00008F880000}"/>
    <cellStyle name="Percent 3 2 6" xfId="12676" xr:uid="{00000000-0005-0000-0000-000090880000}"/>
    <cellStyle name="Percent 3 2 6 2" xfId="12677" xr:uid="{00000000-0005-0000-0000-000091880000}"/>
    <cellStyle name="Percent 3 2 6 3" xfId="12678" xr:uid="{00000000-0005-0000-0000-000092880000}"/>
    <cellStyle name="Percent 3 2 7" xfId="12679" xr:uid="{00000000-0005-0000-0000-000093880000}"/>
    <cellStyle name="Percent 3 2 7 2" xfId="12680" xr:uid="{00000000-0005-0000-0000-000094880000}"/>
    <cellStyle name="Percent 3 2 7 3" xfId="12681" xr:uid="{00000000-0005-0000-0000-000095880000}"/>
    <cellStyle name="Percent 3 2 8" xfId="12682" xr:uid="{00000000-0005-0000-0000-000096880000}"/>
    <cellStyle name="Percent 3 2 9" xfId="12683" xr:uid="{00000000-0005-0000-0000-000097880000}"/>
    <cellStyle name="Percent 3 3" xfId="12684" xr:uid="{00000000-0005-0000-0000-000098880000}"/>
    <cellStyle name="Percent 3 3 2" xfId="12685" xr:uid="{00000000-0005-0000-0000-000099880000}"/>
    <cellStyle name="Percent 3 3 2 2" xfId="12686" xr:uid="{00000000-0005-0000-0000-00009A880000}"/>
    <cellStyle name="Percent 3 3 2 2 2" xfId="12687" xr:uid="{00000000-0005-0000-0000-00009B880000}"/>
    <cellStyle name="Percent 3 3 2 2 2 2" xfId="12688" xr:uid="{00000000-0005-0000-0000-00009C880000}"/>
    <cellStyle name="Percent 3 3 2 2 2 2 2" xfId="12689" xr:uid="{00000000-0005-0000-0000-00009D880000}"/>
    <cellStyle name="Percent 3 3 2 2 2 2 3" xfId="12690" xr:uid="{00000000-0005-0000-0000-00009E880000}"/>
    <cellStyle name="Percent 3 3 2 2 2 3" xfId="12691" xr:uid="{00000000-0005-0000-0000-00009F880000}"/>
    <cellStyle name="Percent 3 3 2 2 2 3 2" xfId="12692" xr:uid="{00000000-0005-0000-0000-0000A0880000}"/>
    <cellStyle name="Percent 3 3 2 2 2 3 3" xfId="12693" xr:uid="{00000000-0005-0000-0000-0000A1880000}"/>
    <cellStyle name="Percent 3 3 2 2 2 4" xfId="12694" xr:uid="{00000000-0005-0000-0000-0000A2880000}"/>
    <cellStyle name="Percent 3 3 2 2 2 5" xfId="12695" xr:uid="{00000000-0005-0000-0000-0000A3880000}"/>
    <cellStyle name="Percent 3 3 2 2 3" xfId="12696" xr:uid="{00000000-0005-0000-0000-0000A4880000}"/>
    <cellStyle name="Percent 3 3 2 2 3 2" xfId="12697" xr:uid="{00000000-0005-0000-0000-0000A5880000}"/>
    <cellStyle name="Percent 3 3 2 2 3 3" xfId="12698" xr:uid="{00000000-0005-0000-0000-0000A6880000}"/>
    <cellStyle name="Percent 3 3 2 2 4" xfId="12699" xr:uid="{00000000-0005-0000-0000-0000A7880000}"/>
    <cellStyle name="Percent 3 3 2 2 4 2" xfId="12700" xr:uid="{00000000-0005-0000-0000-0000A8880000}"/>
    <cellStyle name="Percent 3 3 2 2 4 3" xfId="12701" xr:uid="{00000000-0005-0000-0000-0000A9880000}"/>
    <cellStyle name="Percent 3 3 2 2 5" xfId="12702" xr:uid="{00000000-0005-0000-0000-0000AA880000}"/>
    <cellStyle name="Percent 3 3 2 2 6" xfId="12703" xr:uid="{00000000-0005-0000-0000-0000AB880000}"/>
    <cellStyle name="Percent 3 3 2 3" xfId="12704" xr:uid="{00000000-0005-0000-0000-0000AC880000}"/>
    <cellStyle name="Percent 3 3 2 3 2" xfId="12705" xr:uid="{00000000-0005-0000-0000-0000AD880000}"/>
    <cellStyle name="Percent 3 3 2 3 2 2" xfId="12706" xr:uid="{00000000-0005-0000-0000-0000AE880000}"/>
    <cellStyle name="Percent 3 3 2 3 2 3" xfId="12707" xr:uid="{00000000-0005-0000-0000-0000AF880000}"/>
    <cellStyle name="Percent 3 3 2 3 3" xfId="12708" xr:uid="{00000000-0005-0000-0000-0000B0880000}"/>
    <cellStyle name="Percent 3 3 2 3 3 2" xfId="12709" xr:uid="{00000000-0005-0000-0000-0000B1880000}"/>
    <cellStyle name="Percent 3 3 2 3 3 3" xfId="12710" xr:uid="{00000000-0005-0000-0000-0000B2880000}"/>
    <cellStyle name="Percent 3 3 2 3 4" xfId="12711" xr:uid="{00000000-0005-0000-0000-0000B3880000}"/>
    <cellStyle name="Percent 3 3 2 3 5" xfId="12712" xr:uid="{00000000-0005-0000-0000-0000B4880000}"/>
    <cellStyle name="Percent 3 3 2 4" xfId="12713" xr:uid="{00000000-0005-0000-0000-0000B5880000}"/>
    <cellStyle name="Percent 3 3 2 4 2" xfId="12714" xr:uid="{00000000-0005-0000-0000-0000B6880000}"/>
    <cellStyle name="Percent 3 3 2 4 3" xfId="12715" xr:uid="{00000000-0005-0000-0000-0000B7880000}"/>
    <cellStyle name="Percent 3 3 2 5" xfId="12716" xr:uid="{00000000-0005-0000-0000-0000B8880000}"/>
    <cellStyle name="Percent 3 3 2 5 2" xfId="12717" xr:uid="{00000000-0005-0000-0000-0000B9880000}"/>
    <cellStyle name="Percent 3 3 2 5 3" xfId="12718" xr:uid="{00000000-0005-0000-0000-0000BA880000}"/>
    <cellStyle name="Percent 3 3 2 6" xfId="12719" xr:uid="{00000000-0005-0000-0000-0000BB880000}"/>
    <cellStyle name="Percent 3 3 2 7" xfId="12720" xr:uid="{00000000-0005-0000-0000-0000BC880000}"/>
    <cellStyle name="Percent 3 3 3" xfId="12721" xr:uid="{00000000-0005-0000-0000-0000BD880000}"/>
    <cellStyle name="Percent 3 3 3 2" xfId="12722" xr:uid="{00000000-0005-0000-0000-0000BE880000}"/>
    <cellStyle name="Percent 3 3 3 2 2" xfId="12723" xr:uid="{00000000-0005-0000-0000-0000BF880000}"/>
    <cellStyle name="Percent 3 3 3 2 2 2" xfId="12724" xr:uid="{00000000-0005-0000-0000-0000C0880000}"/>
    <cellStyle name="Percent 3 3 3 2 2 3" xfId="12725" xr:uid="{00000000-0005-0000-0000-0000C1880000}"/>
    <cellStyle name="Percent 3 3 3 2 3" xfId="12726" xr:uid="{00000000-0005-0000-0000-0000C2880000}"/>
    <cellStyle name="Percent 3 3 3 2 3 2" xfId="12727" xr:uid="{00000000-0005-0000-0000-0000C3880000}"/>
    <cellStyle name="Percent 3 3 3 2 3 3" xfId="12728" xr:uid="{00000000-0005-0000-0000-0000C4880000}"/>
    <cellStyle name="Percent 3 3 3 2 4" xfId="12729" xr:uid="{00000000-0005-0000-0000-0000C5880000}"/>
    <cellStyle name="Percent 3 3 3 2 5" xfId="12730" xr:uid="{00000000-0005-0000-0000-0000C6880000}"/>
    <cellStyle name="Percent 3 3 3 3" xfId="12731" xr:uid="{00000000-0005-0000-0000-0000C7880000}"/>
    <cellStyle name="Percent 3 3 3 3 2" xfId="12732" xr:uid="{00000000-0005-0000-0000-0000C8880000}"/>
    <cellStyle name="Percent 3 3 3 3 3" xfId="12733" xr:uid="{00000000-0005-0000-0000-0000C9880000}"/>
    <cellStyle name="Percent 3 3 3 4" xfId="12734" xr:uid="{00000000-0005-0000-0000-0000CA880000}"/>
    <cellStyle name="Percent 3 3 3 4 2" xfId="12735" xr:uid="{00000000-0005-0000-0000-0000CB880000}"/>
    <cellStyle name="Percent 3 3 3 4 3" xfId="12736" xr:uid="{00000000-0005-0000-0000-0000CC880000}"/>
    <cellStyle name="Percent 3 3 3 5" xfId="12737" xr:uid="{00000000-0005-0000-0000-0000CD880000}"/>
    <cellStyle name="Percent 3 3 3 6" xfId="12738" xr:uid="{00000000-0005-0000-0000-0000CE880000}"/>
    <cellStyle name="Percent 3 3 4" xfId="12739" xr:uid="{00000000-0005-0000-0000-0000CF880000}"/>
    <cellStyle name="Percent 3 3 4 2" xfId="12740" xr:uid="{00000000-0005-0000-0000-0000D0880000}"/>
    <cellStyle name="Percent 3 3 4 2 2" xfId="12741" xr:uid="{00000000-0005-0000-0000-0000D1880000}"/>
    <cellStyle name="Percent 3 3 4 2 3" xfId="12742" xr:uid="{00000000-0005-0000-0000-0000D2880000}"/>
    <cellStyle name="Percent 3 3 4 3" xfId="12743" xr:uid="{00000000-0005-0000-0000-0000D3880000}"/>
    <cellStyle name="Percent 3 3 4 3 2" xfId="12744" xr:uid="{00000000-0005-0000-0000-0000D4880000}"/>
    <cellStyle name="Percent 3 3 4 3 3" xfId="12745" xr:uid="{00000000-0005-0000-0000-0000D5880000}"/>
    <cellStyle name="Percent 3 3 4 4" xfId="12746" xr:uid="{00000000-0005-0000-0000-0000D6880000}"/>
    <cellStyle name="Percent 3 3 4 5" xfId="12747" xr:uid="{00000000-0005-0000-0000-0000D7880000}"/>
    <cellStyle name="Percent 3 3 5" xfId="12748" xr:uid="{00000000-0005-0000-0000-0000D8880000}"/>
    <cellStyle name="Percent 3 3 5 2" xfId="12749" xr:uid="{00000000-0005-0000-0000-0000D9880000}"/>
    <cellStyle name="Percent 3 3 5 3" xfId="12750" xr:uid="{00000000-0005-0000-0000-0000DA880000}"/>
    <cellStyle name="Percent 3 3 6" xfId="12751" xr:uid="{00000000-0005-0000-0000-0000DB880000}"/>
    <cellStyle name="Percent 3 3 6 2" xfId="12752" xr:uid="{00000000-0005-0000-0000-0000DC880000}"/>
    <cellStyle name="Percent 3 3 6 3" xfId="12753" xr:uid="{00000000-0005-0000-0000-0000DD880000}"/>
    <cellStyle name="Percent 3 3 7" xfId="12754" xr:uid="{00000000-0005-0000-0000-0000DE880000}"/>
    <cellStyle name="Percent 3 3 8" xfId="12755" xr:uid="{00000000-0005-0000-0000-0000DF880000}"/>
    <cellStyle name="Percent 3 4" xfId="12756" xr:uid="{00000000-0005-0000-0000-0000E0880000}"/>
    <cellStyle name="Percent 3 4 2" xfId="12757" xr:uid="{00000000-0005-0000-0000-0000E1880000}"/>
    <cellStyle name="Percent 3 4 2 2" xfId="12758" xr:uid="{00000000-0005-0000-0000-0000E2880000}"/>
    <cellStyle name="Percent 3 4 2 2 2" xfId="12759" xr:uid="{00000000-0005-0000-0000-0000E3880000}"/>
    <cellStyle name="Percent 3 4 2 2 2 2" xfId="12760" xr:uid="{00000000-0005-0000-0000-0000E4880000}"/>
    <cellStyle name="Percent 3 4 2 2 2 2 2" xfId="12761" xr:uid="{00000000-0005-0000-0000-0000E5880000}"/>
    <cellStyle name="Percent 3 4 2 2 2 2 3" xfId="12762" xr:uid="{00000000-0005-0000-0000-0000E6880000}"/>
    <cellStyle name="Percent 3 4 2 2 2 3" xfId="12763" xr:uid="{00000000-0005-0000-0000-0000E7880000}"/>
    <cellStyle name="Percent 3 4 2 2 2 3 2" xfId="12764" xr:uid="{00000000-0005-0000-0000-0000E8880000}"/>
    <cellStyle name="Percent 3 4 2 2 2 3 3" xfId="12765" xr:uid="{00000000-0005-0000-0000-0000E9880000}"/>
    <cellStyle name="Percent 3 4 2 2 2 4" xfId="12766" xr:uid="{00000000-0005-0000-0000-0000EA880000}"/>
    <cellStyle name="Percent 3 4 2 2 2 5" xfId="12767" xr:uid="{00000000-0005-0000-0000-0000EB880000}"/>
    <cellStyle name="Percent 3 4 2 2 3" xfId="12768" xr:uid="{00000000-0005-0000-0000-0000EC880000}"/>
    <cellStyle name="Percent 3 4 2 2 3 2" xfId="12769" xr:uid="{00000000-0005-0000-0000-0000ED880000}"/>
    <cellStyle name="Percent 3 4 2 2 3 3" xfId="12770" xr:uid="{00000000-0005-0000-0000-0000EE880000}"/>
    <cellStyle name="Percent 3 4 2 2 4" xfId="12771" xr:uid="{00000000-0005-0000-0000-0000EF880000}"/>
    <cellStyle name="Percent 3 4 2 2 4 2" xfId="12772" xr:uid="{00000000-0005-0000-0000-0000F0880000}"/>
    <cellStyle name="Percent 3 4 2 2 4 3" xfId="12773" xr:uid="{00000000-0005-0000-0000-0000F1880000}"/>
    <cellStyle name="Percent 3 4 2 2 5" xfId="12774" xr:uid="{00000000-0005-0000-0000-0000F2880000}"/>
    <cellStyle name="Percent 3 4 2 2 6" xfId="12775" xr:uid="{00000000-0005-0000-0000-0000F3880000}"/>
    <cellStyle name="Percent 3 4 2 3" xfId="12776" xr:uid="{00000000-0005-0000-0000-0000F4880000}"/>
    <cellStyle name="Percent 3 4 2 3 2" xfId="12777" xr:uid="{00000000-0005-0000-0000-0000F5880000}"/>
    <cellStyle name="Percent 3 4 2 3 2 2" xfId="12778" xr:uid="{00000000-0005-0000-0000-0000F6880000}"/>
    <cellStyle name="Percent 3 4 2 3 2 3" xfId="12779" xr:uid="{00000000-0005-0000-0000-0000F7880000}"/>
    <cellStyle name="Percent 3 4 2 3 3" xfId="12780" xr:uid="{00000000-0005-0000-0000-0000F8880000}"/>
    <cellStyle name="Percent 3 4 2 3 3 2" xfId="12781" xr:uid="{00000000-0005-0000-0000-0000F9880000}"/>
    <cellStyle name="Percent 3 4 2 3 3 3" xfId="12782" xr:uid="{00000000-0005-0000-0000-0000FA880000}"/>
    <cellStyle name="Percent 3 4 2 3 4" xfId="12783" xr:uid="{00000000-0005-0000-0000-0000FB880000}"/>
    <cellStyle name="Percent 3 4 2 3 5" xfId="12784" xr:uid="{00000000-0005-0000-0000-0000FC880000}"/>
    <cellStyle name="Percent 3 4 2 4" xfId="12785" xr:uid="{00000000-0005-0000-0000-0000FD880000}"/>
    <cellStyle name="Percent 3 4 2 4 2" xfId="12786" xr:uid="{00000000-0005-0000-0000-0000FE880000}"/>
    <cellStyle name="Percent 3 4 2 4 3" xfId="12787" xr:uid="{00000000-0005-0000-0000-0000FF880000}"/>
    <cellStyle name="Percent 3 4 2 5" xfId="12788" xr:uid="{00000000-0005-0000-0000-000000890000}"/>
    <cellStyle name="Percent 3 4 2 5 2" xfId="12789" xr:uid="{00000000-0005-0000-0000-000001890000}"/>
    <cellStyle name="Percent 3 4 2 5 3" xfId="12790" xr:uid="{00000000-0005-0000-0000-000002890000}"/>
    <cellStyle name="Percent 3 4 2 6" xfId="12791" xr:uid="{00000000-0005-0000-0000-000003890000}"/>
    <cellStyle name="Percent 3 4 2 7" xfId="12792" xr:uid="{00000000-0005-0000-0000-000004890000}"/>
    <cellStyle name="Percent 3 4 3" xfId="12793" xr:uid="{00000000-0005-0000-0000-000005890000}"/>
    <cellStyle name="Percent 3 4 3 2" xfId="12794" xr:uid="{00000000-0005-0000-0000-000006890000}"/>
    <cellStyle name="Percent 3 4 3 2 2" xfId="12795" xr:uid="{00000000-0005-0000-0000-000007890000}"/>
    <cellStyle name="Percent 3 4 3 2 2 2" xfId="12796" xr:uid="{00000000-0005-0000-0000-000008890000}"/>
    <cellStyle name="Percent 3 4 3 2 2 3" xfId="12797" xr:uid="{00000000-0005-0000-0000-000009890000}"/>
    <cellStyle name="Percent 3 4 3 2 3" xfId="12798" xr:uid="{00000000-0005-0000-0000-00000A890000}"/>
    <cellStyle name="Percent 3 4 3 2 3 2" xfId="12799" xr:uid="{00000000-0005-0000-0000-00000B890000}"/>
    <cellStyle name="Percent 3 4 3 2 3 3" xfId="12800" xr:uid="{00000000-0005-0000-0000-00000C890000}"/>
    <cellStyle name="Percent 3 4 3 2 4" xfId="12801" xr:uid="{00000000-0005-0000-0000-00000D890000}"/>
    <cellStyle name="Percent 3 4 3 2 5" xfId="12802" xr:uid="{00000000-0005-0000-0000-00000E890000}"/>
    <cellStyle name="Percent 3 4 3 3" xfId="12803" xr:uid="{00000000-0005-0000-0000-00000F890000}"/>
    <cellStyle name="Percent 3 4 3 3 2" xfId="12804" xr:uid="{00000000-0005-0000-0000-000010890000}"/>
    <cellStyle name="Percent 3 4 3 3 3" xfId="12805" xr:uid="{00000000-0005-0000-0000-000011890000}"/>
    <cellStyle name="Percent 3 4 3 4" xfId="12806" xr:uid="{00000000-0005-0000-0000-000012890000}"/>
    <cellStyle name="Percent 3 4 3 4 2" xfId="12807" xr:uid="{00000000-0005-0000-0000-000013890000}"/>
    <cellStyle name="Percent 3 4 3 4 3" xfId="12808" xr:uid="{00000000-0005-0000-0000-000014890000}"/>
    <cellStyle name="Percent 3 4 3 5" xfId="12809" xr:uid="{00000000-0005-0000-0000-000015890000}"/>
    <cellStyle name="Percent 3 4 3 6" xfId="12810" xr:uid="{00000000-0005-0000-0000-000016890000}"/>
    <cellStyle name="Percent 3 4 4" xfId="12811" xr:uid="{00000000-0005-0000-0000-000017890000}"/>
    <cellStyle name="Percent 3 4 4 2" xfId="12812" xr:uid="{00000000-0005-0000-0000-000018890000}"/>
    <cellStyle name="Percent 3 4 4 2 2" xfId="12813" xr:uid="{00000000-0005-0000-0000-000019890000}"/>
    <cellStyle name="Percent 3 4 4 2 3" xfId="12814" xr:uid="{00000000-0005-0000-0000-00001A890000}"/>
    <cellStyle name="Percent 3 4 4 3" xfId="12815" xr:uid="{00000000-0005-0000-0000-00001B890000}"/>
    <cellStyle name="Percent 3 4 4 3 2" xfId="12816" xr:uid="{00000000-0005-0000-0000-00001C890000}"/>
    <cellStyle name="Percent 3 4 4 3 3" xfId="12817" xr:uid="{00000000-0005-0000-0000-00001D890000}"/>
    <cellStyle name="Percent 3 4 4 4" xfId="12818" xr:uid="{00000000-0005-0000-0000-00001E890000}"/>
    <cellStyle name="Percent 3 4 4 5" xfId="12819" xr:uid="{00000000-0005-0000-0000-00001F890000}"/>
    <cellStyle name="Percent 3 4 5" xfId="12820" xr:uid="{00000000-0005-0000-0000-000020890000}"/>
    <cellStyle name="Percent 3 4 5 2" xfId="12821" xr:uid="{00000000-0005-0000-0000-000021890000}"/>
    <cellStyle name="Percent 3 4 5 3" xfId="12822" xr:uid="{00000000-0005-0000-0000-000022890000}"/>
    <cellStyle name="Percent 3 4 6" xfId="12823" xr:uid="{00000000-0005-0000-0000-000023890000}"/>
    <cellStyle name="Percent 3 4 6 2" xfId="12824" xr:uid="{00000000-0005-0000-0000-000024890000}"/>
    <cellStyle name="Percent 3 4 6 3" xfId="12825" xr:uid="{00000000-0005-0000-0000-000025890000}"/>
    <cellStyle name="Percent 3 4 7" xfId="12826" xr:uid="{00000000-0005-0000-0000-000026890000}"/>
    <cellStyle name="Percent 3 4 8" xfId="12827" xr:uid="{00000000-0005-0000-0000-000027890000}"/>
    <cellStyle name="Percent 3 5" xfId="12828" xr:uid="{00000000-0005-0000-0000-000028890000}"/>
    <cellStyle name="Percent 3 5 2" xfId="12829" xr:uid="{00000000-0005-0000-0000-000029890000}"/>
    <cellStyle name="Percent 3 5 3" xfId="34921" xr:uid="{00000000-0005-0000-0000-00002A890000}"/>
    <cellStyle name="Percent 3 6" xfId="12830" xr:uid="{00000000-0005-0000-0000-00002B890000}"/>
    <cellStyle name="Percent 3 6 2" xfId="12831" xr:uid="{00000000-0005-0000-0000-00002C890000}"/>
    <cellStyle name="Percent 3 6 2 2" xfId="12832" xr:uid="{00000000-0005-0000-0000-00002D890000}"/>
    <cellStyle name="Percent 3 6 2 2 2" xfId="12833" xr:uid="{00000000-0005-0000-0000-00002E890000}"/>
    <cellStyle name="Percent 3 6 2 2 3" xfId="12834" xr:uid="{00000000-0005-0000-0000-00002F890000}"/>
    <cellStyle name="Percent 3 6 2 3" xfId="12835" xr:uid="{00000000-0005-0000-0000-000030890000}"/>
    <cellStyle name="Percent 3 6 2 3 2" xfId="12836" xr:uid="{00000000-0005-0000-0000-000031890000}"/>
    <cellStyle name="Percent 3 6 2 3 3" xfId="12837" xr:uid="{00000000-0005-0000-0000-000032890000}"/>
    <cellStyle name="Percent 3 6 2 4" xfId="12838" xr:uid="{00000000-0005-0000-0000-000033890000}"/>
    <cellStyle name="Percent 3 6 2 5" xfId="12839" xr:uid="{00000000-0005-0000-0000-000034890000}"/>
    <cellStyle name="Percent 3 6 3" xfId="12840" xr:uid="{00000000-0005-0000-0000-000035890000}"/>
    <cellStyle name="Percent 3 6 3 2" xfId="12841" xr:uid="{00000000-0005-0000-0000-000036890000}"/>
    <cellStyle name="Percent 3 6 3 3" xfId="12842" xr:uid="{00000000-0005-0000-0000-000037890000}"/>
    <cellStyle name="Percent 3 6 4" xfId="12843" xr:uid="{00000000-0005-0000-0000-000038890000}"/>
    <cellStyle name="Percent 3 6 4 2" xfId="12844" xr:uid="{00000000-0005-0000-0000-000039890000}"/>
    <cellStyle name="Percent 3 6 4 3" xfId="12845" xr:uid="{00000000-0005-0000-0000-00003A890000}"/>
    <cellStyle name="Percent 3 6 5" xfId="12846" xr:uid="{00000000-0005-0000-0000-00003B890000}"/>
    <cellStyle name="Percent 3 6 6" xfId="12847" xr:uid="{00000000-0005-0000-0000-00003C890000}"/>
    <cellStyle name="Percent 3 7" xfId="12848" xr:uid="{00000000-0005-0000-0000-00003D890000}"/>
    <cellStyle name="Percent 3 7 2" xfId="12849" xr:uid="{00000000-0005-0000-0000-00003E890000}"/>
    <cellStyle name="Percent 3 7 2 2" xfId="12850" xr:uid="{00000000-0005-0000-0000-00003F890000}"/>
    <cellStyle name="Percent 3 7 2 3" xfId="12851" xr:uid="{00000000-0005-0000-0000-000040890000}"/>
    <cellStyle name="Percent 3 7 3" xfId="12852" xr:uid="{00000000-0005-0000-0000-000041890000}"/>
    <cellStyle name="Percent 3 7 3 2" xfId="12853" xr:uid="{00000000-0005-0000-0000-000042890000}"/>
    <cellStyle name="Percent 3 7 3 3" xfId="12854" xr:uid="{00000000-0005-0000-0000-000043890000}"/>
    <cellStyle name="Percent 3 7 4" xfId="12855" xr:uid="{00000000-0005-0000-0000-000044890000}"/>
    <cellStyle name="Percent 3 7 5" xfId="12856" xr:uid="{00000000-0005-0000-0000-000045890000}"/>
    <cellStyle name="Percent 3 8" xfId="12857" xr:uid="{00000000-0005-0000-0000-000046890000}"/>
    <cellStyle name="Percent 3 8 2" xfId="12858" xr:uid="{00000000-0005-0000-0000-000047890000}"/>
    <cellStyle name="Percent 3 8 3" xfId="12859" xr:uid="{00000000-0005-0000-0000-000048890000}"/>
    <cellStyle name="Percent 3 9" xfId="12860" xr:uid="{00000000-0005-0000-0000-000049890000}"/>
    <cellStyle name="Percent 3 9 2" xfId="12861" xr:uid="{00000000-0005-0000-0000-00004A890000}"/>
    <cellStyle name="Percent 3 9 3" xfId="12862" xr:uid="{00000000-0005-0000-0000-00004B890000}"/>
    <cellStyle name="Percent 4" xfId="29" xr:uid="{00000000-0005-0000-0000-00004C890000}"/>
    <cellStyle name="Percent 4 2" xfId="352" xr:uid="{00000000-0005-0000-0000-00004D890000}"/>
    <cellStyle name="Percent 4 2 2" xfId="12863" xr:uid="{00000000-0005-0000-0000-00004E890000}"/>
    <cellStyle name="Percent 4 2 3" xfId="12864" xr:uid="{00000000-0005-0000-0000-00004F890000}"/>
    <cellStyle name="Percent 4 3" xfId="351" xr:uid="{00000000-0005-0000-0000-000050890000}"/>
    <cellStyle name="Percent 4 3 2" xfId="12865" xr:uid="{00000000-0005-0000-0000-000051890000}"/>
    <cellStyle name="Percent 4 4" xfId="12866" xr:uid="{00000000-0005-0000-0000-000052890000}"/>
    <cellStyle name="Percent 4 4 2" xfId="12867" xr:uid="{00000000-0005-0000-0000-000053890000}"/>
    <cellStyle name="Percent 4 4 2 2" xfId="12868" xr:uid="{00000000-0005-0000-0000-000054890000}"/>
    <cellStyle name="Percent 4 4 2 3" xfId="34922" xr:uid="{00000000-0005-0000-0000-000055890000}"/>
    <cellStyle name="Percent 4 4 3" xfId="12869" xr:uid="{00000000-0005-0000-0000-000056890000}"/>
    <cellStyle name="Percent 4 5" xfId="12870" xr:uid="{00000000-0005-0000-0000-000057890000}"/>
    <cellStyle name="Percent 4 6" xfId="12871" xr:uid="{00000000-0005-0000-0000-000058890000}"/>
    <cellStyle name="Percent 5" xfId="250" xr:uid="{00000000-0005-0000-0000-000059890000}"/>
    <cellStyle name="Percent 5 2" xfId="12872" xr:uid="{00000000-0005-0000-0000-00005A890000}"/>
    <cellStyle name="Percent 5 2 2" xfId="12873" xr:uid="{00000000-0005-0000-0000-00005B890000}"/>
    <cellStyle name="Percent 5 2 2 2" xfId="12874" xr:uid="{00000000-0005-0000-0000-00005C890000}"/>
    <cellStyle name="Percent 5 2 2 2 2" xfId="12875" xr:uid="{00000000-0005-0000-0000-00005D890000}"/>
    <cellStyle name="Percent 5 2 2 2 2 2" xfId="12876" xr:uid="{00000000-0005-0000-0000-00005E890000}"/>
    <cellStyle name="Percent 5 2 2 2 2 2 2" xfId="12877" xr:uid="{00000000-0005-0000-0000-00005F890000}"/>
    <cellStyle name="Percent 5 2 2 2 2 2 3" xfId="12878" xr:uid="{00000000-0005-0000-0000-000060890000}"/>
    <cellStyle name="Percent 5 2 2 2 2 3" xfId="12879" xr:uid="{00000000-0005-0000-0000-000061890000}"/>
    <cellStyle name="Percent 5 2 2 2 2 3 2" xfId="12880" xr:uid="{00000000-0005-0000-0000-000062890000}"/>
    <cellStyle name="Percent 5 2 2 2 2 3 3" xfId="12881" xr:uid="{00000000-0005-0000-0000-000063890000}"/>
    <cellStyle name="Percent 5 2 2 2 2 4" xfId="12882" xr:uid="{00000000-0005-0000-0000-000064890000}"/>
    <cellStyle name="Percent 5 2 2 2 2 5" xfId="12883" xr:uid="{00000000-0005-0000-0000-000065890000}"/>
    <cellStyle name="Percent 5 2 2 2 3" xfId="12884" xr:uid="{00000000-0005-0000-0000-000066890000}"/>
    <cellStyle name="Percent 5 2 2 2 3 2" xfId="12885" xr:uid="{00000000-0005-0000-0000-000067890000}"/>
    <cellStyle name="Percent 5 2 2 2 3 3" xfId="12886" xr:uid="{00000000-0005-0000-0000-000068890000}"/>
    <cellStyle name="Percent 5 2 2 2 4" xfId="12887" xr:uid="{00000000-0005-0000-0000-000069890000}"/>
    <cellStyle name="Percent 5 2 2 2 4 2" xfId="12888" xr:uid="{00000000-0005-0000-0000-00006A890000}"/>
    <cellStyle name="Percent 5 2 2 2 4 3" xfId="12889" xr:uid="{00000000-0005-0000-0000-00006B890000}"/>
    <cellStyle name="Percent 5 2 2 2 5" xfId="12890" xr:uid="{00000000-0005-0000-0000-00006C890000}"/>
    <cellStyle name="Percent 5 2 2 2 6" xfId="12891" xr:uid="{00000000-0005-0000-0000-00006D890000}"/>
    <cellStyle name="Percent 5 2 2 3" xfId="12892" xr:uid="{00000000-0005-0000-0000-00006E890000}"/>
    <cellStyle name="Percent 5 2 2 3 2" xfId="12893" xr:uid="{00000000-0005-0000-0000-00006F890000}"/>
    <cellStyle name="Percent 5 2 2 3 2 2" xfId="12894" xr:uid="{00000000-0005-0000-0000-000070890000}"/>
    <cellStyle name="Percent 5 2 2 3 2 3" xfId="12895" xr:uid="{00000000-0005-0000-0000-000071890000}"/>
    <cellStyle name="Percent 5 2 2 3 3" xfId="12896" xr:uid="{00000000-0005-0000-0000-000072890000}"/>
    <cellStyle name="Percent 5 2 2 3 3 2" xfId="12897" xr:uid="{00000000-0005-0000-0000-000073890000}"/>
    <cellStyle name="Percent 5 2 2 3 3 3" xfId="12898" xr:uid="{00000000-0005-0000-0000-000074890000}"/>
    <cellStyle name="Percent 5 2 2 3 4" xfId="12899" xr:uid="{00000000-0005-0000-0000-000075890000}"/>
    <cellStyle name="Percent 5 2 2 3 5" xfId="12900" xr:uid="{00000000-0005-0000-0000-000076890000}"/>
    <cellStyle name="Percent 5 2 2 4" xfId="12901" xr:uid="{00000000-0005-0000-0000-000077890000}"/>
    <cellStyle name="Percent 5 2 2 4 2" xfId="12902" xr:uid="{00000000-0005-0000-0000-000078890000}"/>
    <cellStyle name="Percent 5 2 2 4 3" xfId="12903" xr:uid="{00000000-0005-0000-0000-000079890000}"/>
    <cellStyle name="Percent 5 2 2 5" xfId="12904" xr:uid="{00000000-0005-0000-0000-00007A890000}"/>
    <cellStyle name="Percent 5 2 2 5 2" xfId="12905" xr:uid="{00000000-0005-0000-0000-00007B890000}"/>
    <cellStyle name="Percent 5 2 2 5 3" xfId="12906" xr:uid="{00000000-0005-0000-0000-00007C890000}"/>
    <cellStyle name="Percent 5 2 2 6" xfId="12907" xr:uid="{00000000-0005-0000-0000-00007D890000}"/>
    <cellStyle name="Percent 5 2 2 7" xfId="12908" xr:uid="{00000000-0005-0000-0000-00007E890000}"/>
    <cellStyle name="Percent 5 2 3" xfId="12909" xr:uid="{00000000-0005-0000-0000-00007F890000}"/>
    <cellStyle name="Percent 5 2 3 2" xfId="12910" xr:uid="{00000000-0005-0000-0000-000080890000}"/>
    <cellStyle name="Percent 5 2 3 2 2" xfId="12911" xr:uid="{00000000-0005-0000-0000-000081890000}"/>
    <cellStyle name="Percent 5 2 3 2 2 2" xfId="12912" xr:uid="{00000000-0005-0000-0000-000082890000}"/>
    <cellStyle name="Percent 5 2 3 2 2 3" xfId="12913" xr:uid="{00000000-0005-0000-0000-000083890000}"/>
    <cellStyle name="Percent 5 2 3 2 3" xfId="12914" xr:uid="{00000000-0005-0000-0000-000084890000}"/>
    <cellStyle name="Percent 5 2 3 2 3 2" xfId="12915" xr:uid="{00000000-0005-0000-0000-000085890000}"/>
    <cellStyle name="Percent 5 2 3 2 3 3" xfId="12916" xr:uid="{00000000-0005-0000-0000-000086890000}"/>
    <cellStyle name="Percent 5 2 3 2 4" xfId="12917" xr:uid="{00000000-0005-0000-0000-000087890000}"/>
    <cellStyle name="Percent 5 2 3 2 5" xfId="12918" xr:uid="{00000000-0005-0000-0000-000088890000}"/>
    <cellStyle name="Percent 5 2 3 3" xfId="12919" xr:uid="{00000000-0005-0000-0000-000089890000}"/>
    <cellStyle name="Percent 5 2 3 3 2" xfId="12920" xr:uid="{00000000-0005-0000-0000-00008A890000}"/>
    <cellStyle name="Percent 5 2 3 3 3" xfId="12921" xr:uid="{00000000-0005-0000-0000-00008B890000}"/>
    <cellStyle name="Percent 5 2 3 4" xfId="12922" xr:uid="{00000000-0005-0000-0000-00008C890000}"/>
    <cellStyle name="Percent 5 2 3 4 2" xfId="12923" xr:uid="{00000000-0005-0000-0000-00008D890000}"/>
    <cellStyle name="Percent 5 2 3 4 3" xfId="12924" xr:uid="{00000000-0005-0000-0000-00008E890000}"/>
    <cellStyle name="Percent 5 2 3 5" xfId="12925" xr:uid="{00000000-0005-0000-0000-00008F890000}"/>
    <cellStyle name="Percent 5 2 3 6" xfId="12926" xr:uid="{00000000-0005-0000-0000-000090890000}"/>
    <cellStyle name="Percent 5 2 4" xfId="12927" xr:uid="{00000000-0005-0000-0000-000091890000}"/>
    <cellStyle name="Percent 5 2 4 2" xfId="12928" xr:uid="{00000000-0005-0000-0000-000092890000}"/>
    <cellStyle name="Percent 5 2 4 2 2" xfId="12929" xr:uid="{00000000-0005-0000-0000-000093890000}"/>
    <cellStyle name="Percent 5 2 4 2 3" xfId="12930" xr:uid="{00000000-0005-0000-0000-000094890000}"/>
    <cellStyle name="Percent 5 2 4 3" xfId="12931" xr:uid="{00000000-0005-0000-0000-000095890000}"/>
    <cellStyle name="Percent 5 2 4 3 2" xfId="12932" xr:uid="{00000000-0005-0000-0000-000096890000}"/>
    <cellStyle name="Percent 5 2 4 3 3" xfId="12933" xr:uid="{00000000-0005-0000-0000-000097890000}"/>
    <cellStyle name="Percent 5 2 4 4" xfId="12934" xr:uid="{00000000-0005-0000-0000-000098890000}"/>
    <cellStyle name="Percent 5 2 4 5" xfId="12935" xr:uid="{00000000-0005-0000-0000-000099890000}"/>
    <cellStyle name="Percent 5 2 5" xfId="12936" xr:uid="{00000000-0005-0000-0000-00009A890000}"/>
    <cellStyle name="Percent 5 2 5 2" xfId="12937" xr:uid="{00000000-0005-0000-0000-00009B890000}"/>
    <cellStyle name="Percent 5 2 5 3" xfId="12938" xr:uid="{00000000-0005-0000-0000-00009C890000}"/>
    <cellStyle name="Percent 5 2 6" xfId="12939" xr:uid="{00000000-0005-0000-0000-00009D890000}"/>
    <cellStyle name="Percent 5 2 6 2" xfId="12940" xr:uid="{00000000-0005-0000-0000-00009E890000}"/>
    <cellStyle name="Percent 5 2 6 3" xfId="12941" xr:uid="{00000000-0005-0000-0000-00009F890000}"/>
    <cellStyle name="Percent 5 2 7" xfId="12942" xr:uid="{00000000-0005-0000-0000-0000A0890000}"/>
    <cellStyle name="Percent 5 2 8" xfId="12943" xr:uid="{00000000-0005-0000-0000-0000A1890000}"/>
    <cellStyle name="Percent 5 3" xfId="12944" xr:uid="{00000000-0005-0000-0000-0000A2890000}"/>
    <cellStyle name="Percent 5 3 2" xfId="12945" xr:uid="{00000000-0005-0000-0000-0000A3890000}"/>
    <cellStyle name="Percent 5 3 2 2" xfId="12946" xr:uid="{00000000-0005-0000-0000-0000A4890000}"/>
    <cellStyle name="Percent 5 3 2 2 2" xfId="12947" xr:uid="{00000000-0005-0000-0000-0000A5890000}"/>
    <cellStyle name="Percent 5 3 2 2 2 2" xfId="12948" xr:uid="{00000000-0005-0000-0000-0000A6890000}"/>
    <cellStyle name="Percent 5 3 2 2 2 3" xfId="12949" xr:uid="{00000000-0005-0000-0000-0000A7890000}"/>
    <cellStyle name="Percent 5 3 2 2 3" xfId="12950" xr:uid="{00000000-0005-0000-0000-0000A8890000}"/>
    <cellStyle name="Percent 5 3 2 2 3 2" xfId="12951" xr:uid="{00000000-0005-0000-0000-0000A9890000}"/>
    <cellStyle name="Percent 5 3 2 2 3 3" xfId="12952" xr:uid="{00000000-0005-0000-0000-0000AA890000}"/>
    <cellStyle name="Percent 5 3 2 2 4" xfId="12953" xr:uid="{00000000-0005-0000-0000-0000AB890000}"/>
    <cellStyle name="Percent 5 3 2 2 5" xfId="12954" xr:uid="{00000000-0005-0000-0000-0000AC890000}"/>
    <cellStyle name="Percent 5 3 2 3" xfId="12955" xr:uid="{00000000-0005-0000-0000-0000AD890000}"/>
    <cellStyle name="Percent 5 3 2 3 2" xfId="12956" xr:uid="{00000000-0005-0000-0000-0000AE890000}"/>
    <cellStyle name="Percent 5 3 2 3 3" xfId="12957" xr:uid="{00000000-0005-0000-0000-0000AF890000}"/>
    <cellStyle name="Percent 5 3 2 4" xfId="12958" xr:uid="{00000000-0005-0000-0000-0000B0890000}"/>
    <cellStyle name="Percent 5 3 2 4 2" xfId="12959" xr:uid="{00000000-0005-0000-0000-0000B1890000}"/>
    <cellStyle name="Percent 5 3 2 4 3" xfId="12960" xr:uid="{00000000-0005-0000-0000-0000B2890000}"/>
    <cellStyle name="Percent 5 3 2 5" xfId="12961" xr:uid="{00000000-0005-0000-0000-0000B3890000}"/>
    <cellStyle name="Percent 5 3 2 6" xfId="12962" xr:uid="{00000000-0005-0000-0000-0000B4890000}"/>
    <cellStyle name="Percent 5 3 3" xfId="12963" xr:uid="{00000000-0005-0000-0000-0000B5890000}"/>
    <cellStyle name="Percent 5 3 3 2" xfId="12964" xr:uid="{00000000-0005-0000-0000-0000B6890000}"/>
    <cellStyle name="Percent 5 3 3 2 2" xfId="12965" xr:uid="{00000000-0005-0000-0000-0000B7890000}"/>
    <cellStyle name="Percent 5 3 3 2 3" xfId="12966" xr:uid="{00000000-0005-0000-0000-0000B8890000}"/>
    <cellStyle name="Percent 5 3 3 3" xfId="12967" xr:uid="{00000000-0005-0000-0000-0000B9890000}"/>
    <cellStyle name="Percent 5 3 3 3 2" xfId="12968" xr:uid="{00000000-0005-0000-0000-0000BA890000}"/>
    <cellStyle name="Percent 5 3 3 3 3" xfId="12969" xr:uid="{00000000-0005-0000-0000-0000BB890000}"/>
    <cellStyle name="Percent 5 3 3 4" xfId="12970" xr:uid="{00000000-0005-0000-0000-0000BC890000}"/>
    <cellStyle name="Percent 5 3 3 5" xfId="12971" xr:uid="{00000000-0005-0000-0000-0000BD890000}"/>
    <cellStyle name="Percent 5 3 4" xfId="12972" xr:uid="{00000000-0005-0000-0000-0000BE890000}"/>
    <cellStyle name="Percent 5 3 4 2" xfId="12973" xr:uid="{00000000-0005-0000-0000-0000BF890000}"/>
    <cellStyle name="Percent 5 3 4 3" xfId="12974" xr:uid="{00000000-0005-0000-0000-0000C0890000}"/>
    <cellStyle name="Percent 5 3 5" xfId="12975" xr:uid="{00000000-0005-0000-0000-0000C1890000}"/>
    <cellStyle name="Percent 5 3 5 2" xfId="12976" xr:uid="{00000000-0005-0000-0000-0000C2890000}"/>
    <cellStyle name="Percent 5 3 5 3" xfId="12977" xr:uid="{00000000-0005-0000-0000-0000C3890000}"/>
    <cellStyle name="Percent 5 3 6" xfId="12978" xr:uid="{00000000-0005-0000-0000-0000C4890000}"/>
    <cellStyle name="Percent 5 3 7" xfId="12979" xr:uid="{00000000-0005-0000-0000-0000C5890000}"/>
    <cellStyle name="Percent 5 4" xfId="12980" xr:uid="{00000000-0005-0000-0000-0000C6890000}"/>
    <cellStyle name="Percent 5 4 2" xfId="12981" xr:uid="{00000000-0005-0000-0000-0000C7890000}"/>
    <cellStyle name="Percent 5 4 2 2" xfId="12982" xr:uid="{00000000-0005-0000-0000-0000C8890000}"/>
    <cellStyle name="Percent 5 4 2 2 2" xfId="12983" xr:uid="{00000000-0005-0000-0000-0000C9890000}"/>
    <cellStyle name="Percent 5 4 2 2 3" xfId="12984" xr:uid="{00000000-0005-0000-0000-0000CA890000}"/>
    <cellStyle name="Percent 5 4 2 3" xfId="12985" xr:uid="{00000000-0005-0000-0000-0000CB890000}"/>
    <cellStyle name="Percent 5 4 2 3 2" xfId="12986" xr:uid="{00000000-0005-0000-0000-0000CC890000}"/>
    <cellStyle name="Percent 5 4 2 3 3" xfId="12987" xr:uid="{00000000-0005-0000-0000-0000CD890000}"/>
    <cellStyle name="Percent 5 4 2 4" xfId="12988" xr:uid="{00000000-0005-0000-0000-0000CE890000}"/>
    <cellStyle name="Percent 5 4 2 5" xfId="12989" xr:uid="{00000000-0005-0000-0000-0000CF890000}"/>
    <cellStyle name="Percent 5 4 3" xfId="12990" xr:uid="{00000000-0005-0000-0000-0000D0890000}"/>
    <cellStyle name="Percent 5 4 3 2" xfId="12991" xr:uid="{00000000-0005-0000-0000-0000D1890000}"/>
    <cellStyle name="Percent 5 4 3 3" xfId="12992" xr:uid="{00000000-0005-0000-0000-0000D2890000}"/>
    <cellStyle name="Percent 5 4 4" xfId="12993" xr:uid="{00000000-0005-0000-0000-0000D3890000}"/>
    <cellStyle name="Percent 5 4 4 2" xfId="12994" xr:uid="{00000000-0005-0000-0000-0000D4890000}"/>
    <cellStyle name="Percent 5 4 4 3" xfId="12995" xr:uid="{00000000-0005-0000-0000-0000D5890000}"/>
    <cellStyle name="Percent 5 4 5" xfId="12996" xr:uid="{00000000-0005-0000-0000-0000D6890000}"/>
    <cellStyle name="Percent 5 4 6" xfId="12997" xr:uid="{00000000-0005-0000-0000-0000D7890000}"/>
    <cellStyle name="Percent 5 5" xfId="12998" xr:uid="{00000000-0005-0000-0000-0000D8890000}"/>
    <cellStyle name="Percent 5 5 2" xfId="12999" xr:uid="{00000000-0005-0000-0000-0000D9890000}"/>
    <cellStyle name="Percent 5 5 2 2" xfId="13000" xr:uid="{00000000-0005-0000-0000-0000DA890000}"/>
    <cellStyle name="Percent 5 5 2 3" xfId="13001" xr:uid="{00000000-0005-0000-0000-0000DB890000}"/>
    <cellStyle name="Percent 5 5 3" xfId="13002" xr:uid="{00000000-0005-0000-0000-0000DC890000}"/>
    <cellStyle name="Percent 5 5 3 2" xfId="13003" xr:uid="{00000000-0005-0000-0000-0000DD890000}"/>
    <cellStyle name="Percent 5 5 3 3" xfId="13004" xr:uid="{00000000-0005-0000-0000-0000DE890000}"/>
    <cellStyle name="Percent 5 5 4" xfId="13005" xr:uid="{00000000-0005-0000-0000-0000DF890000}"/>
    <cellStyle name="Percent 5 5 5" xfId="13006" xr:uid="{00000000-0005-0000-0000-0000E0890000}"/>
    <cellStyle name="Percent 5 6" xfId="13007" xr:uid="{00000000-0005-0000-0000-0000E1890000}"/>
    <cellStyle name="Percent 5 6 2" xfId="13008" xr:uid="{00000000-0005-0000-0000-0000E2890000}"/>
    <cellStyle name="Percent 5 6 3" xfId="13009" xr:uid="{00000000-0005-0000-0000-0000E3890000}"/>
    <cellStyle name="Percent 5 7" xfId="13010" xr:uid="{00000000-0005-0000-0000-0000E4890000}"/>
    <cellStyle name="Percent 5 7 2" xfId="13011" xr:uid="{00000000-0005-0000-0000-0000E5890000}"/>
    <cellStyle name="Percent 5 7 3" xfId="13012" xr:uid="{00000000-0005-0000-0000-0000E6890000}"/>
    <cellStyle name="Percent 5 8" xfId="13013" xr:uid="{00000000-0005-0000-0000-0000E7890000}"/>
    <cellStyle name="Percent 5 9" xfId="13014" xr:uid="{00000000-0005-0000-0000-0000E8890000}"/>
    <cellStyle name="Percent 6" xfId="251" xr:uid="{00000000-0005-0000-0000-0000E9890000}"/>
    <cellStyle name="Percent 6 2" xfId="13015" xr:uid="{00000000-0005-0000-0000-0000EA890000}"/>
    <cellStyle name="Percent 6 2 2" xfId="13016" xr:uid="{00000000-0005-0000-0000-0000EB890000}"/>
    <cellStyle name="Percent 6 2 2 2" xfId="13017" xr:uid="{00000000-0005-0000-0000-0000EC890000}"/>
    <cellStyle name="Percent 6 2 2 2 2" xfId="13018" xr:uid="{00000000-0005-0000-0000-0000ED890000}"/>
    <cellStyle name="Percent 6 2 2 2 2 2" xfId="13019" xr:uid="{00000000-0005-0000-0000-0000EE890000}"/>
    <cellStyle name="Percent 6 2 2 2 2 3" xfId="13020" xr:uid="{00000000-0005-0000-0000-0000EF890000}"/>
    <cellStyle name="Percent 6 2 2 2 3" xfId="13021" xr:uid="{00000000-0005-0000-0000-0000F0890000}"/>
    <cellStyle name="Percent 6 2 2 2 3 2" xfId="13022" xr:uid="{00000000-0005-0000-0000-0000F1890000}"/>
    <cellStyle name="Percent 6 2 2 2 3 3" xfId="13023" xr:uid="{00000000-0005-0000-0000-0000F2890000}"/>
    <cellStyle name="Percent 6 2 2 2 4" xfId="13024" xr:uid="{00000000-0005-0000-0000-0000F3890000}"/>
    <cellStyle name="Percent 6 2 2 2 5" xfId="13025" xr:uid="{00000000-0005-0000-0000-0000F4890000}"/>
    <cellStyle name="Percent 6 2 2 3" xfId="13026" xr:uid="{00000000-0005-0000-0000-0000F5890000}"/>
    <cellStyle name="Percent 6 2 2 3 2" xfId="13027" xr:uid="{00000000-0005-0000-0000-0000F6890000}"/>
    <cellStyle name="Percent 6 2 2 3 3" xfId="13028" xr:uid="{00000000-0005-0000-0000-0000F7890000}"/>
    <cellStyle name="Percent 6 2 2 4" xfId="13029" xr:uid="{00000000-0005-0000-0000-0000F8890000}"/>
    <cellStyle name="Percent 6 2 2 4 2" xfId="13030" xr:uid="{00000000-0005-0000-0000-0000F9890000}"/>
    <cellStyle name="Percent 6 2 2 4 3" xfId="13031" xr:uid="{00000000-0005-0000-0000-0000FA890000}"/>
    <cellStyle name="Percent 6 2 2 5" xfId="13032" xr:uid="{00000000-0005-0000-0000-0000FB890000}"/>
    <cellStyle name="Percent 6 2 2 6" xfId="13033" xr:uid="{00000000-0005-0000-0000-0000FC890000}"/>
    <cellStyle name="Percent 6 2 3" xfId="13034" xr:uid="{00000000-0005-0000-0000-0000FD890000}"/>
    <cellStyle name="Percent 6 2 3 2" xfId="13035" xr:uid="{00000000-0005-0000-0000-0000FE890000}"/>
    <cellStyle name="Percent 6 2 3 2 2" xfId="13036" xr:uid="{00000000-0005-0000-0000-0000FF890000}"/>
    <cellStyle name="Percent 6 2 3 2 3" xfId="13037" xr:uid="{00000000-0005-0000-0000-0000008A0000}"/>
    <cellStyle name="Percent 6 2 3 3" xfId="13038" xr:uid="{00000000-0005-0000-0000-0000018A0000}"/>
    <cellStyle name="Percent 6 2 3 3 2" xfId="13039" xr:uid="{00000000-0005-0000-0000-0000028A0000}"/>
    <cellStyle name="Percent 6 2 3 3 3" xfId="13040" xr:uid="{00000000-0005-0000-0000-0000038A0000}"/>
    <cellStyle name="Percent 6 2 3 4" xfId="13041" xr:uid="{00000000-0005-0000-0000-0000048A0000}"/>
    <cellStyle name="Percent 6 2 3 5" xfId="13042" xr:uid="{00000000-0005-0000-0000-0000058A0000}"/>
    <cellStyle name="Percent 6 2 4" xfId="13043" xr:uid="{00000000-0005-0000-0000-0000068A0000}"/>
    <cellStyle name="Percent 6 2 4 2" xfId="13044" xr:uid="{00000000-0005-0000-0000-0000078A0000}"/>
    <cellStyle name="Percent 6 2 4 3" xfId="13045" xr:uid="{00000000-0005-0000-0000-0000088A0000}"/>
    <cellStyle name="Percent 6 2 5" xfId="13046" xr:uid="{00000000-0005-0000-0000-0000098A0000}"/>
    <cellStyle name="Percent 6 2 5 2" xfId="13047" xr:uid="{00000000-0005-0000-0000-00000A8A0000}"/>
    <cellStyle name="Percent 6 2 5 3" xfId="13048" xr:uid="{00000000-0005-0000-0000-00000B8A0000}"/>
    <cellStyle name="Percent 6 2 6" xfId="13049" xr:uid="{00000000-0005-0000-0000-00000C8A0000}"/>
    <cellStyle name="Percent 6 2 7" xfId="13050" xr:uid="{00000000-0005-0000-0000-00000D8A0000}"/>
    <cellStyle name="Percent 6 3" xfId="13051" xr:uid="{00000000-0005-0000-0000-00000E8A0000}"/>
    <cellStyle name="Percent 6 3 2" xfId="13052" xr:uid="{00000000-0005-0000-0000-00000F8A0000}"/>
    <cellStyle name="Percent 6 3 2 2" xfId="13053" xr:uid="{00000000-0005-0000-0000-0000108A0000}"/>
    <cellStyle name="Percent 6 3 2 2 2" xfId="13054" xr:uid="{00000000-0005-0000-0000-0000118A0000}"/>
    <cellStyle name="Percent 6 3 2 2 3" xfId="13055" xr:uid="{00000000-0005-0000-0000-0000128A0000}"/>
    <cellStyle name="Percent 6 3 2 3" xfId="13056" xr:uid="{00000000-0005-0000-0000-0000138A0000}"/>
    <cellStyle name="Percent 6 3 2 3 2" xfId="13057" xr:uid="{00000000-0005-0000-0000-0000148A0000}"/>
    <cellStyle name="Percent 6 3 2 3 3" xfId="13058" xr:uid="{00000000-0005-0000-0000-0000158A0000}"/>
    <cellStyle name="Percent 6 3 2 4" xfId="13059" xr:uid="{00000000-0005-0000-0000-0000168A0000}"/>
    <cellStyle name="Percent 6 3 2 5" xfId="13060" xr:uid="{00000000-0005-0000-0000-0000178A0000}"/>
    <cellStyle name="Percent 6 3 3" xfId="13061" xr:uid="{00000000-0005-0000-0000-0000188A0000}"/>
    <cellStyle name="Percent 6 3 3 2" xfId="13062" xr:uid="{00000000-0005-0000-0000-0000198A0000}"/>
    <cellStyle name="Percent 6 3 3 3" xfId="13063" xr:uid="{00000000-0005-0000-0000-00001A8A0000}"/>
    <cellStyle name="Percent 6 3 4" xfId="13064" xr:uid="{00000000-0005-0000-0000-00001B8A0000}"/>
    <cellStyle name="Percent 6 3 4 2" xfId="13065" xr:uid="{00000000-0005-0000-0000-00001C8A0000}"/>
    <cellStyle name="Percent 6 3 4 3" xfId="13066" xr:uid="{00000000-0005-0000-0000-00001D8A0000}"/>
    <cellStyle name="Percent 6 3 5" xfId="13067" xr:uid="{00000000-0005-0000-0000-00001E8A0000}"/>
    <cellStyle name="Percent 6 3 6" xfId="13068" xr:uid="{00000000-0005-0000-0000-00001F8A0000}"/>
    <cellStyle name="Percent 6 4" xfId="13069" xr:uid="{00000000-0005-0000-0000-0000208A0000}"/>
    <cellStyle name="Percent 6 4 2" xfId="13070" xr:uid="{00000000-0005-0000-0000-0000218A0000}"/>
    <cellStyle name="Percent 6 4 2 2" xfId="13071" xr:uid="{00000000-0005-0000-0000-0000228A0000}"/>
    <cellStyle name="Percent 6 4 2 3" xfId="13072" xr:uid="{00000000-0005-0000-0000-0000238A0000}"/>
    <cellStyle name="Percent 6 4 3" xfId="13073" xr:uid="{00000000-0005-0000-0000-0000248A0000}"/>
    <cellStyle name="Percent 6 4 3 2" xfId="13074" xr:uid="{00000000-0005-0000-0000-0000258A0000}"/>
    <cellStyle name="Percent 6 4 3 3" xfId="13075" xr:uid="{00000000-0005-0000-0000-0000268A0000}"/>
    <cellStyle name="Percent 6 4 4" xfId="13076" xr:uid="{00000000-0005-0000-0000-0000278A0000}"/>
    <cellStyle name="Percent 6 4 5" xfId="13077" xr:uid="{00000000-0005-0000-0000-0000288A0000}"/>
    <cellStyle name="Percent 6 5" xfId="13078" xr:uid="{00000000-0005-0000-0000-0000298A0000}"/>
    <cellStyle name="Percent 6 5 2" xfId="13079" xr:uid="{00000000-0005-0000-0000-00002A8A0000}"/>
    <cellStyle name="Percent 6 5 3" xfId="13080" xr:uid="{00000000-0005-0000-0000-00002B8A0000}"/>
    <cellStyle name="Percent 6 6" xfId="13081" xr:uid="{00000000-0005-0000-0000-00002C8A0000}"/>
    <cellStyle name="Percent 6 6 2" xfId="13082" xr:uid="{00000000-0005-0000-0000-00002D8A0000}"/>
    <cellStyle name="Percent 6 6 3" xfId="13083" xr:uid="{00000000-0005-0000-0000-00002E8A0000}"/>
    <cellStyle name="Percent 6 7" xfId="13084" xr:uid="{00000000-0005-0000-0000-00002F8A0000}"/>
    <cellStyle name="Percent 6 8" xfId="13085" xr:uid="{00000000-0005-0000-0000-0000308A0000}"/>
    <cellStyle name="Percent 7" xfId="247" xr:uid="{00000000-0005-0000-0000-0000318A0000}"/>
    <cellStyle name="Percent 7 2" xfId="272" xr:uid="{00000000-0005-0000-0000-0000328A0000}"/>
    <cellStyle name="Percent 7 2 2" xfId="13086" xr:uid="{00000000-0005-0000-0000-0000338A0000}"/>
    <cellStyle name="Percent 7 2 2 2" xfId="13087" xr:uid="{00000000-0005-0000-0000-0000348A0000}"/>
    <cellStyle name="Percent 7 2 2 2 2" xfId="13088" xr:uid="{00000000-0005-0000-0000-0000358A0000}"/>
    <cellStyle name="Percent 7 2 2 2 2 2" xfId="13089" xr:uid="{00000000-0005-0000-0000-0000368A0000}"/>
    <cellStyle name="Percent 7 2 2 2 2 3" xfId="13090" xr:uid="{00000000-0005-0000-0000-0000378A0000}"/>
    <cellStyle name="Percent 7 2 2 2 3" xfId="13091" xr:uid="{00000000-0005-0000-0000-0000388A0000}"/>
    <cellStyle name="Percent 7 2 2 2 3 2" xfId="13092" xr:uid="{00000000-0005-0000-0000-0000398A0000}"/>
    <cellStyle name="Percent 7 2 2 2 3 3" xfId="13093" xr:uid="{00000000-0005-0000-0000-00003A8A0000}"/>
    <cellStyle name="Percent 7 2 2 2 4" xfId="13094" xr:uid="{00000000-0005-0000-0000-00003B8A0000}"/>
    <cellStyle name="Percent 7 2 2 2 5" xfId="13095" xr:uid="{00000000-0005-0000-0000-00003C8A0000}"/>
    <cellStyle name="Percent 7 2 2 3" xfId="13096" xr:uid="{00000000-0005-0000-0000-00003D8A0000}"/>
    <cellStyle name="Percent 7 2 2 3 2" xfId="13097" xr:uid="{00000000-0005-0000-0000-00003E8A0000}"/>
    <cellStyle name="Percent 7 2 2 3 3" xfId="13098" xr:uid="{00000000-0005-0000-0000-00003F8A0000}"/>
    <cellStyle name="Percent 7 2 2 4" xfId="13099" xr:uid="{00000000-0005-0000-0000-0000408A0000}"/>
    <cellStyle name="Percent 7 2 2 4 2" xfId="13100" xr:uid="{00000000-0005-0000-0000-0000418A0000}"/>
    <cellStyle name="Percent 7 2 2 4 3" xfId="13101" xr:uid="{00000000-0005-0000-0000-0000428A0000}"/>
    <cellStyle name="Percent 7 2 2 5" xfId="13102" xr:uid="{00000000-0005-0000-0000-0000438A0000}"/>
    <cellStyle name="Percent 7 2 2 6" xfId="13103" xr:uid="{00000000-0005-0000-0000-0000448A0000}"/>
    <cellStyle name="Percent 7 2 3" xfId="13104" xr:uid="{00000000-0005-0000-0000-0000458A0000}"/>
    <cellStyle name="Percent 7 2 3 2" xfId="13105" xr:uid="{00000000-0005-0000-0000-0000468A0000}"/>
    <cellStyle name="Percent 7 2 3 2 2" xfId="13106" xr:uid="{00000000-0005-0000-0000-0000478A0000}"/>
    <cellStyle name="Percent 7 2 3 2 3" xfId="13107" xr:uid="{00000000-0005-0000-0000-0000488A0000}"/>
    <cellStyle name="Percent 7 2 3 3" xfId="13108" xr:uid="{00000000-0005-0000-0000-0000498A0000}"/>
    <cellStyle name="Percent 7 2 3 3 2" xfId="13109" xr:uid="{00000000-0005-0000-0000-00004A8A0000}"/>
    <cellStyle name="Percent 7 2 3 3 3" xfId="13110" xr:uid="{00000000-0005-0000-0000-00004B8A0000}"/>
    <cellStyle name="Percent 7 2 3 4" xfId="13111" xr:uid="{00000000-0005-0000-0000-00004C8A0000}"/>
    <cellStyle name="Percent 7 2 3 5" xfId="13112" xr:uid="{00000000-0005-0000-0000-00004D8A0000}"/>
    <cellStyle name="Percent 7 2 4" xfId="13113" xr:uid="{00000000-0005-0000-0000-00004E8A0000}"/>
    <cellStyle name="Percent 7 2 4 2" xfId="13114" xr:uid="{00000000-0005-0000-0000-00004F8A0000}"/>
    <cellStyle name="Percent 7 2 4 3" xfId="13115" xr:uid="{00000000-0005-0000-0000-0000508A0000}"/>
    <cellStyle name="Percent 7 2 5" xfId="13116" xr:uid="{00000000-0005-0000-0000-0000518A0000}"/>
    <cellStyle name="Percent 7 2 5 2" xfId="13117" xr:uid="{00000000-0005-0000-0000-0000528A0000}"/>
    <cellStyle name="Percent 7 2 5 3" xfId="13118" xr:uid="{00000000-0005-0000-0000-0000538A0000}"/>
    <cellStyle name="Percent 7 2 6" xfId="13119" xr:uid="{00000000-0005-0000-0000-0000548A0000}"/>
    <cellStyle name="Percent 7 2 7" xfId="13120" xr:uid="{00000000-0005-0000-0000-0000558A0000}"/>
    <cellStyle name="Percent 7 3" xfId="353" xr:uid="{00000000-0005-0000-0000-0000568A0000}"/>
    <cellStyle name="Percent 7 3 2" xfId="13121" xr:uid="{00000000-0005-0000-0000-0000578A0000}"/>
    <cellStyle name="Percent 7 3 2 2" xfId="13122" xr:uid="{00000000-0005-0000-0000-0000588A0000}"/>
    <cellStyle name="Percent 7 3 2 2 2" xfId="13123" xr:uid="{00000000-0005-0000-0000-0000598A0000}"/>
    <cellStyle name="Percent 7 3 2 2 3" xfId="13124" xr:uid="{00000000-0005-0000-0000-00005A8A0000}"/>
    <cellStyle name="Percent 7 3 2 3" xfId="13125" xr:uid="{00000000-0005-0000-0000-00005B8A0000}"/>
    <cellStyle name="Percent 7 3 2 3 2" xfId="13126" xr:uid="{00000000-0005-0000-0000-00005C8A0000}"/>
    <cellStyle name="Percent 7 3 2 3 3" xfId="13127" xr:uid="{00000000-0005-0000-0000-00005D8A0000}"/>
    <cellStyle name="Percent 7 3 2 4" xfId="13128" xr:uid="{00000000-0005-0000-0000-00005E8A0000}"/>
    <cellStyle name="Percent 7 3 2 5" xfId="13129" xr:uid="{00000000-0005-0000-0000-00005F8A0000}"/>
    <cellStyle name="Percent 7 3 3" xfId="13130" xr:uid="{00000000-0005-0000-0000-0000608A0000}"/>
    <cellStyle name="Percent 7 3 3 2" xfId="13131" xr:uid="{00000000-0005-0000-0000-0000618A0000}"/>
    <cellStyle name="Percent 7 3 3 3" xfId="13132" xr:uid="{00000000-0005-0000-0000-0000628A0000}"/>
    <cellStyle name="Percent 7 3 4" xfId="13133" xr:uid="{00000000-0005-0000-0000-0000638A0000}"/>
    <cellStyle name="Percent 7 3 4 2" xfId="13134" xr:uid="{00000000-0005-0000-0000-0000648A0000}"/>
    <cellStyle name="Percent 7 3 4 3" xfId="13135" xr:uid="{00000000-0005-0000-0000-0000658A0000}"/>
    <cellStyle name="Percent 7 3 5" xfId="13136" xr:uid="{00000000-0005-0000-0000-0000668A0000}"/>
    <cellStyle name="Percent 7 3 6" xfId="13137" xr:uid="{00000000-0005-0000-0000-0000678A0000}"/>
    <cellStyle name="Percent 7 4" xfId="13138" xr:uid="{00000000-0005-0000-0000-0000688A0000}"/>
    <cellStyle name="Percent 7 4 2" xfId="13139" xr:uid="{00000000-0005-0000-0000-0000698A0000}"/>
    <cellStyle name="Percent 7 4 2 2" xfId="13140" xr:uid="{00000000-0005-0000-0000-00006A8A0000}"/>
    <cellStyle name="Percent 7 4 2 3" xfId="13141" xr:uid="{00000000-0005-0000-0000-00006B8A0000}"/>
    <cellStyle name="Percent 7 4 3" xfId="13142" xr:uid="{00000000-0005-0000-0000-00006C8A0000}"/>
    <cellStyle name="Percent 7 4 3 2" xfId="13143" xr:uid="{00000000-0005-0000-0000-00006D8A0000}"/>
    <cellStyle name="Percent 7 4 3 3" xfId="13144" xr:uid="{00000000-0005-0000-0000-00006E8A0000}"/>
    <cellStyle name="Percent 7 4 4" xfId="13145" xr:uid="{00000000-0005-0000-0000-00006F8A0000}"/>
    <cellStyle name="Percent 7 4 5" xfId="13146" xr:uid="{00000000-0005-0000-0000-0000708A0000}"/>
    <cellStyle name="Percent 7 5" xfId="13147" xr:uid="{00000000-0005-0000-0000-0000718A0000}"/>
    <cellStyle name="Percent 7 5 2" xfId="13148" xr:uid="{00000000-0005-0000-0000-0000728A0000}"/>
    <cellStyle name="Percent 7 5 3" xfId="13149" xr:uid="{00000000-0005-0000-0000-0000738A0000}"/>
    <cellStyle name="Percent 7 6" xfId="13150" xr:uid="{00000000-0005-0000-0000-0000748A0000}"/>
    <cellStyle name="Percent 7 6 2" xfId="13151" xr:uid="{00000000-0005-0000-0000-0000758A0000}"/>
    <cellStyle name="Percent 7 6 3" xfId="13152" xr:uid="{00000000-0005-0000-0000-0000768A0000}"/>
    <cellStyle name="Percent 7 7" xfId="13153" xr:uid="{00000000-0005-0000-0000-0000778A0000}"/>
    <cellStyle name="Percent 7 8" xfId="13154" xr:uid="{00000000-0005-0000-0000-0000788A0000}"/>
    <cellStyle name="Percent 8" xfId="354" xr:uid="{00000000-0005-0000-0000-0000798A0000}"/>
    <cellStyle name="Percent 8 2" xfId="13155" xr:uid="{00000000-0005-0000-0000-00007A8A0000}"/>
    <cellStyle name="Percent 8 2 2" xfId="13156" xr:uid="{00000000-0005-0000-0000-00007B8A0000}"/>
    <cellStyle name="Percent 8 2 2 2" xfId="13157" xr:uid="{00000000-0005-0000-0000-00007C8A0000}"/>
    <cellStyle name="Percent 8 2 2 2 2" xfId="13158" xr:uid="{00000000-0005-0000-0000-00007D8A0000}"/>
    <cellStyle name="Percent 8 2 2 2 3" xfId="13159" xr:uid="{00000000-0005-0000-0000-00007E8A0000}"/>
    <cellStyle name="Percent 8 2 2 3" xfId="13160" xr:uid="{00000000-0005-0000-0000-00007F8A0000}"/>
    <cellStyle name="Percent 8 2 2 3 2" xfId="13161" xr:uid="{00000000-0005-0000-0000-0000808A0000}"/>
    <cellStyle name="Percent 8 2 2 3 3" xfId="13162" xr:uid="{00000000-0005-0000-0000-0000818A0000}"/>
    <cellStyle name="Percent 8 2 2 4" xfId="13163" xr:uid="{00000000-0005-0000-0000-0000828A0000}"/>
    <cellStyle name="Percent 8 2 2 5" xfId="13164" xr:uid="{00000000-0005-0000-0000-0000838A0000}"/>
    <cellStyle name="Percent 8 2 3" xfId="13165" xr:uid="{00000000-0005-0000-0000-0000848A0000}"/>
    <cellStyle name="Percent 8 2 3 2" xfId="13166" xr:uid="{00000000-0005-0000-0000-0000858A0000}"/>
    <cellStyle name="Percent 8 2 3 3" xfId="13167" xr:uid="{00000000-0005-0000-0000-0000868A0000}"/>
    <cellStyle name="Percent 8 2 4" xfId="13168" xr:uid="{00000000-0005-0000-0000-0000878A0000}"/>
    <cellStyle name="Percent 8 2 4 2" xfId="13169" xr:uid="{00000000-0005-0000-0000-0000888A0000}"/>
    <cellStyle name="Percent 8 2 4 3" xfId="13170" xr:uid="{00000000-0005-0000-0000-0000898A0000}"/>
    <cellStyle name="Percent 8 2 5" xfId="13171" xr:uid="{00000000-0005-0000-0000-00008A8A0000}"/>
    <cellStyle name="Percent 8 2 6" xfId="13172" xr:uid="{00000000-0005-0000-0000-00008B8A0000}"/>
    <cellStyle name="Percent 8 3" xfId="13173" xr:uid="{00000000-0005-0000-0000-00008C8A0000}"/>
    <cellStyle name="Percent 8 3 2" xfId="13174" xr:uid="{00000000-0005-0000-0000-00008D8A0000}"/>
    <cellStyle name="Percent 8 3 2 2" xfId="13175" xr:uid="{00000000-0005-0000-0000-00008E8A0000}"/>
    <cellStyle name="Percent 8 3 2 3" xfId="13176" xr:uid="{00000000-0005-0000-0000-00008F8A0000}"/>
    <cellStyle name="Percent 8 3 3" xfId="13177" xr:uid="{00000000-0005-0000-0000-0000908A0000}"/>
    <cellStyle name="Percent 8 3 3 2" xfId="13178" xr:uid="{00000000-0005-0000-0000-0000918A0000}"/>
    <cellStyle name="Percent 8 3 3 3" xfId="13179" xr:uid="{00000000-0005-0000-0000-0000928A0000}"/>
    <cellStyle name="Percent 8 3 4" xfId="13180" xr:uid="{00000000-0005-0000-0000-0000938A0000}"/>
    <cellStyle name="Percent 8 3 5" xfId="13181" xr:uid="{00000000-0005-0000-0000-0000948A0000}"/>
    <cellStyle name="Percent 8 4" xfId="13182" xr:uid="{00000000-0005-0000-0000-0000958A0000}"/>
    <cellStyle name="Percent 8 4 2" xfId="13183" xr:uid="{00000000-0005-0000-0000-0000968A0000}"/>
    <cellStyle name="Percent 8 4 3" xfId="13184" xr:uid="{00000000-0005-0000-0000-0000978A0000}"/>
    <cellStyle name="Percent 8 5" xfId="13185" xr:uid="{00000000-0005-0000-0000-0000988A0000}"/>
    <cellStyle name="Percent 8 5 2" xfId="13186" xr:uid="{00000000-0005-0000-0000-0000998A0000}"/>
    <cellStyle name="Percent 8 5 3" xfId="13187" xr:uid="{00000000-0005-0000-0000-00009A8A0000}"/>
    <cellStyle name="Percent 8 6" xfId="13188" xr:uid="{00000000-0005-0000-0000-00009B8A0000}"/>
    <cellStyle name="Percent 8 7" xfId="13189" xr:uid="{00000000-0005-0000-0000-00009C8A0000}"/>
    <cellStyle name="Percent 9" xfId="13190" xr:uid="{00000000-0005-0000-0000-00009D8A0000}"/>
    <cellStyle name="Percent 9 2" xfId="13191" xr:uid="{00000000-0005-0000-0000-00009E8A0000}"/>
    <cellStyle name="Percent 9 3" xfId="13192" xr:uid="{00000000-0005-0000-0000-00009F8A0000}"/>
    <cellStyle name="Percent 9 4" xfId="13193" xr:uid="{00000000-0005-0000-0000-0000A08A0000}"/>
    <cellStyle name="Percent(1)" xfId="252" xr:uid="{00000000-0005-0000-0000-0000A18A0000}"/>
    <cellStyle name="Percent(1) 2" xfId="13194" xr:uid="{00000000-0005-0000-0000-0000A28A0000}"/>
    <cellStyle name="Percent(2)" xfId="253" xr:uid="{00000000-0005-0000-0000-0000A38A0000}"/>
    <cellStyle name="Percent(2) 2" xfId="13195" xr:uid="{00000000-0005-0000-0000-0000A48A0000}"/>
    <cellStyle name="Posting_Period" xfId="13196" xr:uid="{00000000-0005-0000-0000-0000A58A0000}"/>
    <cellStyle name="PRM" xfId="254" xr:uid="{00000000-0005-0000-0000-0000A68A0000}"/>
    <cellStyle name="PRM 2" xfId="255" xr:uid="{00000000-0005-0000-0000-0000A78A0000}"/>
    <cellStyle name="PRM 3" xfId="256" xr:uid="{00000000-0005-0000-0000-0000A88A0000}"/>
    <cellStyle name="PRM 4" xfId="13197" xr:uid="{00000000-0005-0000-0000-0000A98A0000}"/>
    <cellStyle name="PRM_2011-11" xfId="257" xr:uid="{00000000-0005-0000-0000-0000AA8A0000}"/>
    <cellStyle name="PS_Comma" xfId="30" xr:uid="{00000000-0005-0000-0000-0000AB8A0000}"/>
    <cellStyle name="PSChar" xfId="31" xr:uid="{00000000-0005-0000-0000-0000AC8A0000}"/>
    <cellStyle name="PSChar 2" xfId="13198" xr:uid="{00000000-0005-0000-0000-0000AD8A0000}"/>
    <cellStyle name="PSDate" xfId="32" xr:uid="{00000000-0005-0000-0000-0000AE8A0000}"/>
    <cellStyle name="PSDec" xfId="33" xr:uid="{00000000-0005-0000-0000-0000AF8A0000}"/>
    <cellStyle name="PSHeading" xfId="34" xr:uid="{00000000-0005-0000-0000-0000B08A0000}"/>
    <cellStyle name="PSHeading 2" xfId="13199" xr:uid="{00000000-0005-0000-0000-0000B18A0000}"/>
    <cellStyle name="PSHeading 2 2" xfId="13200" xr:uid="{00000000-0005-0000-0000-0000B28A0000}"/>
    <cellStyle name="PSHeading 2 3" xfId="15852" xr:uid="{00000000-0005-0000-0000-0000B38A0000}"/>
    <cellStyle name="PSHeading 3" xfId="13201" xr:uid="{00000000-0005-0000-0000-0000B48A0000}"/>
    <cellStyle name="PSInt" xfId="35" xr:uid="{00000000-0005-0000-0000-0000B58A0000}"/>
    <cellStyle name="PSSpacer" xfId="36" xr:uid="{00000000-0005-0000-0000-0000B68A0000}"/>
    <cellStyle name="Reset  - Style4" xfId="13202" xr:uid="{00000000-0005-0000-0000-0000B78A0000}"/>
    <cellStyle name="Reset  - Style7" xfId="13203" xr:uid="{00000000-0005-0000-0000-0000B88A0000}"/>
    <cellStyle name="STYL0 - Style1" xfId="355" xr:uid="{00000000-0005-0000-0000-0000B98A0000}"/>
    <cellStyle name="STYL1 - Style2" xfId="356" xr:uid="{00000000-0005-0000-0000-0000BA8A0000}"/>
    <cellStyle name="STYL2 - Style3" xfId="357" xr:uid="{00000000-0005-0000-0000-0000BB8A0000}"/>
    <cellStyle name="STYL3 - Style4" xfId="358" xr:uid="{00000000-0005-0000-0000-0000BC8A0000}"/>
    <cellStyle name="STYL4 - Style5" xfId="359" xr:uid="{00000000-0005-0000-0000-0000BD8A0000}"/>
    <cellStyle name="STYL5 - Style6" xfId="360" xr:uid="{00000000-0005-0000-0000-0000BE8A0000}"/>
    <cellStyle name="STYL6 - Style7" xfId="361" xr:uid="{00000000-0005-0000-0000-0000BF8A0000}"/>
    <cellStyle name="STYL7 - Style8" xfId="362" xr:uid="{00000000-0005-0000-0000-0000C08A0000}"/>
    <cellStyle name="Style 1" xfId="258" xr:uid="{00000000-0005-0000-0000-0000C18A0000}"/>
    <cellStyle name="Style 1 2" xfId="259" xr:uid="{00000000-0005-0000-0000-0000C28A0000}"/>
    <cellStyle name="Style 1 2 2" xfId="13204" xr:uid="{00000000-0005-0000-0000-0000C38A0000}"/>
    <cellStyle name="Style 1 3" xfId="13205" xr:uid="{00000000-0005-0000-0000-0000C48A0000}"/>
    <cellStyle name="Style 1 4" xfId="13206" xr:uid="{00000000-0005-0000-0000-0000C58A0000}"/>
    <cellStyle name="Style 1 5" xfId="13207" xr:uid="{00000000-0005-0000-0000-0000C68A0000}"/>
    <cellStyle name="Style 1_Recycle Center Commodities MRF" xfId="13208" xr:uid="{00000000-0005-0000-0000-0000C78A0000}"/>
    <cellStyle name="STYLE1" xfId="260" xr:uid="{00000000-0005-0000-0000-0000C88A0000}"/>
    <cellStyle name="STYLE1 2" xfId="13209" xr:uid="{00000000-0005-0000-0000-0000C98A0000}"/>
    <cellStyle name="STYLE1 3" xfId="13210" xr:uid="{00000000-0005-0000-0000-0000CA8A0000}"/>
    <cellStyle name="sub heading" xfId="363" xr:uid="{00000000-0005-0000-0000-0000CB8A0000}"/>
    <cellStyle name="Table  - Style5" xfId="13211" xr:uid="{00000000-0005-0000-0000-0000CC8A0000}"/>
    <cellStyle name="Table  - Style5 10" xfId="14671" xr:uid="{00000000-0005-0000-0000-0000CD8A0000}"/>
    <cellStyle name="Table  - Style5 11" xfId="14291" xr:uid="{00000000-0005-0000-0000-0000CE8A0000}"/>
    <cellStyle name="Table  - Style5 12" xfId="14422" xr:uid="{00000000-0005-0000-0000-0000CF8A0000}"/>
    <cellStyle name="Table  - Style5 13" xfId="13596" xr:uid="{00000000-0005-0000-0000-0000D08A0000}"/>
    <cellStyle name="Table  - Style5 14" xfId="14288" xr:uid="{00000000-0005-0000-0000-0000D18A0000}"/>
    <cellStyle name="Table  - Style5 15" xfId="26282" xr:uid="{00000000-0005-0000-0000-0000D28A0000}"/>
    <cellStyle name="Table  - Style5 16" xfId="27199" xr:uid="{00000000-0005-0000-0000-0000D38A0000}"/>
    <cellStyle name="Table  - Style5 17" xfId="26003" xr:uid="{00000000-0005-0000-0000-0000D48A0000}"/>
    <cellStyle name="Table  - Style5 18" xfId="26928" xr:uid="{00000000-0005-0000-0000-0000D58A0000}"/>
    <cellStyle name="Table  - Style5 19" xfId="26199" xr:uid="{00000000-0005-0000-0000-0000D68A0000}"/>
    <cellStyle name="Table  - Style5 2" xfId="13212" xr:uid="{00000000-0005-0000-0000-0000D78A0000}"/>
    <cellStyle name="Table  - Style5 2 10" xfId="15144" xr:uid="{00000000-0005-0000-0000-0000D88A0000}"/>
    <cellStyle name="Table  - Style5 2 11" xfId="26335" xr:uid="{00000000-0005-0000-0000-0000D98A0000}"/>
    <cellStyle name="Table  - Style5 2 12" xfId="27726" xr:uid="{00000000-0005-0000-0000-0000DA8A0000}"/>
    <cellStyle name="Table  - Style5 2 13" xfId="27328" xr:uid="{00000000-0005-0000-0000-0000DB8A0000}"/>
    <cellStyle name="Table  - Style5 2 14" xfId="27460" xr:uid="{00000000-0005-0000-0000-0000DC8A0000}"/>
    <cellStyle name="Table  - Style5 2 15" xfId="26947" xr:uid="{00000000-0005-0000-0000-0000DD8A0000}"/>
    <cellStyle name="Table  - Style5 2 16" xfId="30837" xr:uid="{00000000-0005-0000-0000-0000DE8A0000}"/>
    <cellStyle name="Table  - Style5 2 17" xfId="27562" xr:uid="{00000000-0005-0000-0000-0000DF8A0000}"/>
    <cellStyle name="Table  - Style5 2 18" xfId="35030" xr:uid="{00000000-0005-0000-0000-0000E08A0000}"/>
    <cellStyle name="Table  - Style5 2 19" xfId="35317" xr:uid="{00000000-0005-0000-0000-0000E18A0000}"/>
    <cellStyle name="Table  - Style5 2 2" xfId="14913" xr:uid="{00000000-0005-0000-0000-0000E28A0000}"/>
    <cellStyle name="Table  - Style5 2 3" xfId="15073" xr:uid="{00000000-0005-0000-0000-0000E38A0000}"/>
    <cellStyle name="Table  - Style5 2 4" xfId="14971" xr:uid="{00000000-0005-0000-0000-0000E48A0000}"/>
    <cellStyle name="Table  - Style5 2 5" xfId="15405" xr:uid="{00000000-0005-0000-0000-0000E58A0000}"/>
    <cellStyle name="Table  - Style5 2 6" xfId="18895" xr:uid="{00000000-0005-0000-0000-0000E68A0000}"/>
    <cellStyle name="Table  - Style5 2 7" xfId="13705" xr:uid="{00000000-0005-0000-0000-0000E78A0000}"/>
    <cellStyle name="Table  - Style5 2 8" xfId="20941" xr:uid="{00000000-0005-0000-0000-0000E88A0000}"/>
    <cellStyle name="Table  - Style5 2 9" xfId="15817" xr:uid="{00000000-0005-0000-0000-0000E98A0000}"/>
    <cellStyle name="Table  - Style5 20" xfId="25883" xr:uid="{00000000-0005-0000-0000-0000EA8A0000}"/>
    <cellStyle name="Table  - Style5 21" xfId="26992" xr:uid="{00000000-0005-0000-0000-0000EB8A0000}"/>
    <cellStyle name="Table  - Style5 22" xfId="34978" xr:uid="{00000000-0005-0000-0000-0000EC8A0000}"/>
    <cellStyle name="Table  - Style5 23" xfId="35355" xr:uid="{00000000-0005-0000-0000-0000ED8A0000}"/>
    <cellStyle name="Table  - Style5 3" xfId="13213" xr:uid="{00000000-0005-0000-0000-0000EE8A0000}"/>
    <cellStyle name="Table  - Style5 3 10" xfId="15306" xr:uid="{00000000-0005-0000-0000-0000EF8A0000}"/>
    <cellStyle name="Table  - Style5 3 11" xfId="26473" xr:uid="{00000000-0005-0000-0000-0000F08A0000}"/>
    <cellStyle name="Table  - Style5 3 12" xfId="27678" xr:uid="{00000000-0005-0000-0000-0000F18A0000}"/>
    <cellStyle name="Table  - Style5 3 13" xfId="26178" xr:uid="{00000000-0005-0000-0000-0000F28A0000}"/>
    <cellStyle name="Table  - Style5 3 14" xfId="26912" xr:uid="{00000000-0005-0000-0000-0000F38A0000}"/>
    <cellStyle name="Table  - Style5 3 15" xfId="27645" xr:uid="{00000000-0005-0000-0000-0000F48A0000}"/>
    <cellStyle name="Table  - Style5 3 16" xfId="26625" xr:uid="{00000000-0005-0000-0000-0000F58A0000}"/>
    <cellStyle name="Table  - Style5 3 17" xfId="27397" xr:uid="{00000000-0005-0000-0000-0000F68A0000}"/>
    <cellStyle name="Table  - Style5 3 18" xfId="35156" xr:uid="{00000000-0005-0000-0000-0000F78A0000}"/>
    <cellStyle name="Table  - Style5 3 19" xfId="35230" xr:uid="{00000000-0005-0000-0000-0000F88A0000}"/>
    <cellStyle name="Table  - Style5 3 2" xfId="14842" xr:uid="{00000000-0005-0000-0000-0000F98A0000}"/>
    <cellStyle name="Table  - Style5 3 3" xfId="14814" xr:uid="{00000000-0005-0000-0000-0000FA8A0000}"/>
    <cellStyle name="Table  - Style5 3 4" xfId="15432" xr:uid="{00000000-0005-0000-0000-0000FB8A0000}"/>
    <cellStyle name="Table  - Style5 3 5" xfId="15000" xr:uid="{00000000-0005-0000-0000-0000FC8A0000}"/>
    <cellStyle name="Table  - Style5 3 6" xfId="15614" xr:uid="{00000000-0005-0000-0000-0000FD8A0000}"/>
    <cellStyle name="Table  - Style5 3 7" xfId="13869" xr:uid="{00000000-0005-0000-0000-0000FE8A0000}"/>
    <cellStyle name="Table  - Style5 3 8" xfId="14228" xr:uid="{00000000-0005-0000-0000-0000FF8A0000}"/>
    <cellStyle name="Table  - Style5 3 9" xfId="14400" xr:uid="{00000000-0005-0000-0000-0000008B0000}"/>
    <cellStyle name="Table  - Style5 4" xfId="13214" xr:uid="{00000000-0005-0000-0000-0000018B0000}"/>
    <cellStyle name="Table  - Style5 4 10" xfId="14286" xr:uid="{00000000-0005-0000-0000-0000028B0000}"/>
    <cellStyle name="Table  - Style5 4 11" xfId="26455" xr:uid="{00000000-0005-0000-0000-0000038B0000}"/>
    <cellStyle name="Table  - Style5 4 12" xfId="27087" xr:uid="{00000000-0005-0000-0000-0000048B0000}"/>
    <cellStyle name="Table  - Style5 4 13" xfId="26171" xr:uid="{00000000-0005-0000-0000-0000058B0000}"/>
    <cellStyle name="Table  - Style5 4 14" xfId="26915" xr:uid="{00000000-0005-0000-0000-0000068B0000}"/>
    <cellStyle name="Table  - Style5 4 15" xfId="27499" xr:uid="{00000000-0005-0000-0000-0000078B0000}"/>
    <cellStyle name="Table  - Style5 4 16" xfId="27601" xr:uid="{00000000-0005-0000-0000-0000088B0000}"/>
    <cellStyle name="Table  - Style5 4 17" xfId="27361" xr:uid="{00000000-0005-0000-0000-0000098B0000}"/>
    <cellStyle name="Table  - Style5 4 18" xfId="35138" xr:uid="{00000000-0005-0000-0000-00000A8B0000}"/>
    <cellStyle name="Table  - Style5 4 19" xfId="35242" xr:uid="{00000000-0005-0000-0000-00000B8B0000}"/>
    <cellStyle name="Table  - Style5 4 2" xfId="15667" xr:uid="{00000000-0005-0000-0000-00000C8B0000}"/>
    <cellStyle name="Table  - Style5 4 3" xfId="15419" xr:uid="{00000000-0005-0000-0000-00000D8B0000}"/>
    <cellStyle name="Table  - Style5 4 4" xfId="15768" xr:uid="{00000000-0005-0000-0000-00000E8B0000}"/>
    <cellStyle name="Table  - Style5 4 5" xfId="14391" xr:uid="{00000000-0005-0000-0000-00000F8B0000}"/>
    <cellStyle name="Table  - Style5 4 6" xfId="14886" xr:uid="{00000000-0005-0000-0000-0000108B0000}"/>
    <cellStyle name="Table  - Style5 4 7" xfId="14346" xr:uid="{00000000-0005-0000-0000-0000118B0000}"/>
    <cellStyle name="Table  - Style5 4 8" xfId="14628" xr:uid="{00000000-0005-0000-0000-0000128B0000}"/>
    <cellStyle name="Table  - Style5 4 9" xfId="14599" xr:uid="{00000000-0005-0000-0000-0000138B0000}"/>
    <cellStyle name="Table  - Style5 5" xfId="13215" xr:uid="{00000000-0005-0000-0000-0000148B0000}"/>
    <cellStyle name="Table  - Style5 5 10" xfId="14592" xr:uid="{00000000-0005-0000-0000-0000158B0000}"/>
    <cellStyle name="Table  - Style5 5 11" xfId="26488" xr:uid="{00000000-0005-0000-0000-0000168B0000}"/>
    <cellStyle name="Table  - Style5 5 12" xfId="27064" xr:uid="{00000000-0005-0000-0000-0000178B0000}"/>
    <cellStyle name="Table  - Style5 5 13" xfId="26125" xr:uid="{00000000-0005-0000-0000-0000188B0000}"/>
    <cellStyle name="Table  - Style5 5 14" xfId="27647" xr:uid="{00000000-0005-0000-0000-0000198B0000}"/>
    <cellStyle name="Table  - Style5 5 15" xfId="26594" xr:uid="{00000000-0005-0000-0000-00001A8B0000}"/>
    <cellStyle name="Table  - Style5 5 16" xfId="26674" xr:uid="{00000000-0005-0000-0000-00001B8B0000}"/>
    <cellStyle name="Table  - Style5 5 17" xfId="26694" xr:uid="{00000000-0005-0000-0000-00001C8B0000}"/>
    <cellStyle name="Table  - Style5 5 18" xfId="35171" xr:uid="{00000000-0005-0000-0000-00001D8B0000}"/>
    <cellStyle name="Table  - Style5 5 19" xfId="35396" xr:uid="{00000000-0005-0000-0000-00001E8B0000}"/>
    <cellStyle name="Table  - Style5 5 2" xfId="13608" xr:uid="{00000000-0005-0000-0000-00001F8B0000}"/>
    <cellStyle name="Table  - Style5 5 3" xfId="14076" xr:uid="{00000000-0005-0000-0000-0000208B0000}"/>
    <cellStyle name="Table  - Style5 5 4" xfId="15108" xr:uid="{00000000-0005-0000-0000-0000218B0000}"/>
    <cellStyle name="Table  - Style5 5 5" xfId="13825" xr:uid="{00000000-0005-0000-0000-0000228B0000}"/>
    <cellStyle name="Table  - Style5 5 6" xfId="14678" xr:uid="{00000000-0005-0000-0000-0000238B0000}"/>
    <cellStyle name="Table  - Style5 5 7" xfId="18882" xr:uid="{00000000-0005-0000-0000-0000248B0000}"/>
    <cellStyle name="Table  - Style5 5 8" xfId="14588" xr:uid="{00000000-0005-0000-0000-0000258B0000}"/>
    <cellStyle name="Table  - Style5 5 9" xfId="15548" xr:uid="{00000000-0005-0000-0000-0000268B0000}"/>
    <cellStyle name="Table  - Style5 6" xfId="14943" xr:uid="{00000000-0005-0000-0000-0000278B0000}"/>
    <cellStyle name="Table  - Style5 7" xfId="14028" xr:uid="{00000000-0005-0000-0000-0000288B0000}"/>
    <cellStyle name="Table  - Style5 8" xfId="15634" xr:uid="{00000000-0005-0000-0000-0000298B0000}"/>
    <cellStyle name="Table  - Style5 9" xfId="13945" xr:uid="{00000000-0005-0000-0000-00002A8B0000}"/>
    <cellStyle name="Table  - Style6" xfId="13216" xr:uid="{00000000-0005-0000-0000-00002B8B0000}"/>
    <cellStyle name="Table  - Style6 10" xfId="15639" xr:uid="{00000000-0005-0000-0000-00002C8B0000}"/>
    <cellStyle name="Table  - Style6 11" xfId="14541" xr:uid="{00000000-0005-0000-0000-00002D8B0000}"/>
    <cellStyle name="Table  - Style6 12" xfId="13428" xr:uid="{00000000-0005-0000-0000-00002E8B0000}"/>
    <cellStyle name="Table  - Style6 13" xfId="15342" xr:uid="{00000000-0005-0000-0000-00002F8B0000}"/>
    <cellStyle name="Table  - Style6 14" xfId="15570" xr:uid="{00000000-0005-0000-0000-0000308B0000}"/>
    <cellStyle name="Table  - Style6 15" xfId="26283" xr:uid="{00000000-0005-0000-0000-0000318B0000}"/>
    <cellStyle name="Table  - Style6 16" xfId="27748" xr:uid="{00000000-0005-0000-0000-0000328B0000}"/>
    <cellStyle name="Table  - Style6 17" xfId="26254" xr:uid="{00000000-0005-0000-0000-0000338B0000}"/>
    <cellStyle name="Table  - Style6 18" xfId="26659" xr:uid="{00000000-0005-0000-0000-0000348B0000}"/>
    <cellStyle name="Table  - Style6 19" xfId="26049" xr:uid="{00000000-0005-0000-0000-0000358B0000}"/>
    <cellStyle name="Table  - Style6 2" xfId="13217" xr:uid="{00000000-0005-0000-0000-0000368B0000}"/>
    <cellStyle name="Table  - Style6 2 10" xfId="18878" xr:uid="{00000000-0005-0000-0000-0000378B0000}"/>
    <cellStyle name="Table  - Style6 2 11" xfId="26336" xr:uid="{00000000-0005-0000-0000-0000388B0000}"/>
    <cellStyle name="Table  - Style6 2 12" xfId="27162" xr:uid="{00000000-0005-0000-0000-0000398B0000}"/>
    <cellStyle name="Table  - Style6 2 13" xfId="25938" xr:uid="{00000000-0005-0000-0000-00003A8B0000}"/>
    <cellStyle name="Table  - Style6 2 14" xfId="26921" xr:uid="{00000000-0005-0000-0000-00003B8B0000}"/>
    <cellStyle name="Table  - Style6 2 15" xfId="28791" xr:uid="{00000000-0005-0000-0000-00003C8B0000}"/>
    <cellStyle name="Table  - Style6 2 16" xfId="27844" xr:uid="{00000000-0005-0000-0000-00003D8B0000}"/>
    <cellStyle name="Table  - Style6 2 17" xfId="26975" xr:uid="{00000000-0005-0000-0000-00003E8B0000}"/>
    <cellStyle name="Table  - Style6 2 18" xfId="35031" xr:uid="{00000000-0005-0000-0000-00003F8B0000}"/>
    <cellStyle name="Table  - Style6 2 19" xfId="35316" xr:uid="{00000000-0005-0000-0000-0000408B0000}"/>
    <cellStyle name="Table  - Style6 2 2" xfId="15700" xr:uid="{00000000-0005-0000-0000-0000418B0000}"/>
    <cellStyle name="Table  - Style6 2 3" xfId="15806" xr:uid="{00000000-0005-0000-0000-0000428B0000}"/>
    <cellStyle name="Table  - Style6 2 4" xfId="14970" xr:uid="{00000000-0005-0000-0000-0000438B0000}"/>
    <cellStyle name="Table  - Style6 2 5" xfId="13942" xr:uid="{00000000-0005-0000-0000-0000448B0000}"/>
    <cellStyle name="Table  - Style6 2 6" xfId="14299" xr:uid="{00000000-0005-0000-0000-0000458B0000}"/>
    <cellStyle name="Table  - Style6 2 7" xfId="15553" xr:uid="{00000000-0005-0000-0000-0000468B0000}"/>
    <cellStyle name="Table  - Style6 2 8" xfId="15536" xr:uid="{00000000-0005-0000-0000-0000478B0000}"/>
    <cellStyle name="Table  - Style6 2 9" xfId="14310" xr:uid="{00000000-0005-0000-0000-0000488B0000}"/>
    <cellStyle name="Table  - Style6 20" xfId="29782" xr:uid="{00000000-0005-0000-0000-0000498B0000}"/>
    <cellStyle name="Table  - Style6 21" xfId="27795" xr:uid="{00000000-0005-0000-0000-00004A8B0000}"/>
    <cellStyle name="Table  - Style6 22" xfId="34979" xr:uid="{00000000-0005-0000-0000-00004B8B0000}"/>
    <cellStyle name="Table  - Style6 23" xfId="35354" xr:uid="{00000000-0005-0000-0000-00004C8B0000}"/>
    <cellStyle name="Table  - Style6 3" xfId="13218" xr:uid="{00000000-0005-0000-0000-00004D8B0000}"/>
    <cellStyle name="Table  - Style6 3 10" xfId="14245" xr:uid="{00000000-0005-0000-0000-00004E8B0000}"/>
    <cellStyle name="Table  - Style6 3 11" xfId="26474" xr:uid="{00000000-0005-0000-0000-00004F8B0000}"/>
    <cellStyle name="Table  - Style6 3 12" xfId="27074" xr:uid="{00000000-0005-0000-0000-0000508B0000}"/>
    <cellStyle name="Table  - Style6 3 13" xfId="26179" xr:uid="{00000000-0005-0000-0000-0000518B0000}"/>
    <cellStyle name="Table  - Style6 3 14" xfId="26641" xr:uid="{00000000-0005-0000-0000-0000528B0000}"/>
    <cellStyle name="Table  - Style6 3 15" xfId="27428" xr:uid="{00000000-0005-0000-0000-0000538B0000}"/>
    <cellStyle name="Table  - Style6 3 16" xfId="27543" xr:uid="{00000000-0005-0000-0000-0000548B0000}"/>
    <cellStyle name="Table  - Style6 3 17" xfId="27565" xr:uid="{00000000-0005-0000-0000-0000558B0000}"/>
    <cellStyle name="Table  - Style6 3 18" xfId="35157" xr:uid="{00000000-0005-0000-0000-0000568B0000}"/>
    <cellStyle name="Table  - Style6 3 19" xfId="35229" xr:uid="{00000000-0005-0000-0000-0000578B0000}"/>
    <cellStyle name="Table  - Style6 3 2" xfId="14841" xr:uid="{00000000-0005-0000-0000-0000588B0000}"/>
    <cellStyle name="Table  - Style6 3 3" xfId="13883" xr:uid="{00000000-0005-0000-0000-0000598B0000}"/>
    <cellStyle name="Table  - Style6 3 4" xfId="15732" xr:uid="{00000000-0005-0000-0000-00005A8B0000}"/>
    <cellStyle name="Table  - Style6 3 5" xfId="13689" xr:uid="{00000000-0005-0000-0000-00005B8B0000}"/>
    <cellStyle name="Table  - Style6 3 6" xfId="14500" xr:uid="{00000000-0005-0000-0000-00005C8B0000}"/>
    <cellStyle name="Table  - Style6 3 7" xfId="14381" xr:uid="{00000000-0005-0000-0000-00005D8B0000}"/>
    <cellStyle name="Table  - Style6 3 8" xfId="15148" xr:uid="{00000000-0005-0000-0000-00005E8B0000}"/>
    <cellStyle name="Table  - Style6 3 9" xfId="18854" xr:uid="{00000000-0005-0000-0000-00005F8B0000}"/>
    <cellStyle name="Table  - Style6 4" xfId="13219" xr:uid="{00000000-0005-0000-0000-0000608B0000}"/>
    <cellStyle name="Table  - Style6 4 10" xfId="13691" xr:uid="{00000000-0005-0000-0000-0000618B0000}"/>
    <cellStyle name="Table  - Style6 4 11" xfId="26430" xr:uid="{00000000-0005-0000-0000-0000628B0000}"/>
    <cellStyle name="Table  - Style6 4 12" xfId="27102" xr:uid="{00000000-0005-0000-0000-0000638B0000}"/>
    <cellStyle name="Table  - Style6 4 13" xfId="25981" xr:uid="{00000000-0005-0000-0000-0000648B0000}"/>
    <cellStyle name="Table  - Style6 4 14" xfId="27211" xr:uid="{00000000-0005-0000-0000-0000658B0000}"/>
    <cellStyle name="Table  - Style6 4 15" xfId="27477" xr:uid="{00000000-0005-0000-0000-0000668B0000}"/>
    <cellStyle name="Table  - Style6 4 16" xfId="26726" xr:uid="{00000000-0005-0000-0000-0000678B0000}"/>
    <cellStyle name="Table  - Style6 4 17" xfId="27639" xr:uid="{00000000-0005-0000-0000-0000688B0000}"/>
    <cellStyle name="Table  - Style6 4 18" xfId="35118" xr:uid="{00000000-0005-0000-0000-0000698B0000}"/>
    <cellStyle name="Table  - Style6 4 19" xfId="35258" xr:uid="{00000000-0005-0000-0000-00006A8B0000}"/>
    <cellStyle name="Table  - Style6 4 2" xfId="15675" xr:uid="{00000000-0005-0000-0000-00006B8B0000}"/>
    <cellStyle name="Table  - Style6 4 3" xfId="14063" xr:uid="{00000000-0005-0000-0000-00006C8B0000}"/>
    <cellStyle name="Table  - Style6 4 4" xfId="13903" xr:uid="{00000000-0005-0000-0000-00006D8B0000}"/>
    <cellStyle name="Table  - Style6 4 5" xfId="14477" xr:uid="{00000000-0005-0000-0000-00006E8B0000}"/>
    <cellStyle name="Table  - Style6 4 6" xfId="15084" xr:uid="{00000000-0005-0000-0000-00006F8B0000}"/>
    <cellStyle name="Table  - Style6 4 7" xfId="14567" xr:uid="{00000000-0005-0000-0000-0000708B0000}"/>
    <cellStyle name="Table  - Style6 4 8" xfId="14660" xr:uid="{00000000-0005-0000-0000-0000718B0000}"/>
    <cellStyle name="Table  - Style6 4 9" xfId="15860" xr:uid="{00000000-0005-0000-0000-0000728B0000}"/>
    <cellStyle name="Table  - Style6 5" xfId="13220" xr:uid="{00000000-0005-0000-0000-0000738B0000}"/>
    <cellStyle name="Table  - Style6 5 10" xfId="15648" xr:uid="{00000000-0005-0000-0000-0000748B0000}"/>
    <cellStyle name="Table  - Style6 5 11" xfId="26489" xr:uid="{00000000-0005-0000-0000-0000758B0000}"/>
    <cellStyle name="Table  - Style6 5 12" xfId="27672" xr:uid="{00000000-0005-0000-0000-0000768B0000}"/>
    <cellStyle name="Table  - Style6 5 13" xfId="26186" xr:uid="{00000000-0005-0000-0000-0000778B0000}"/>
    <cellStyle name="Table  - Style6 5 14" xfId="26639" xr:uid="{00000000-0005-0000-0000-0000788B0000}"/>
    <cellStyle name="Table  - Style6 5 15" xfId="26796" xr:uid="{00000000-0005-0000-0000-0000798B0000}"/>
    <cellStyle name="Table  - Style6 5 16" xfId="27424" xr:uid="{00000000-0005-0000-0000-00007A8B0000}"/>
    <cellStyle name="Table  - Style6 5 17" xfId="26215" xr:uid="{00000000-0005-0000-0000-00007B8B0000}"/>
    <cellStyle name="Table  - Style6 5 18" xfId="35172" xr:uid="{00000000-0005-0000-0000-00007C8B0000}"/>
    <cellStyle name="Table  - Style6 5 19" xfId="35219" xr:uid="{00000000-0005-0000-0000-00007D8B0000}"/>
    <cellStyle name="Table  - Style6 5 2" xfId="13607" xr:uid="{00000000-0005-0000-0000-00007E8B0000}"/>
    <cellStyle name="Table  - Style6 5 3" xfId="14443" xr:uid="{00000000-0005-0000-0000-00007F8B0000}"/>
    <cellStyle name="Table  - Style6 5 4" xfId="15764" xr:uid="{00000000-0005-0000-0000-0000808B0000}"/>
    <cellStyle name="Table  - Style6 5 5" xfId="13540" xr:uid="{00000000-0005-0000-0000-0000818B0000}"/>
    <cellStyle name="Table  - Style6 5 6" xfId="15296" xr:uid="{00000000-0005-0000-0000-0000828B0000}"/>
    <cellStyle name="Table  - Style6 5 7" xfId="14535" xr:uid="{00000000-0005-0000-0000-0000838B0000}"/>
    <cellStyle name="Table  - Style6 5 8" xfId="13499" xr:uid="{00000000-0005-0000-0000-0000848B0000}"/>
    <cellStyle name="Table  - Style6 5 9" xfId="14376" xr:uid="{00000000-0005-0000-0000-0000858B0000}"/>
    <cellStyle name="Table  - Style6 6" xfId="14942" xr:uid="{00000000-0005-0000-0000-0000868B0000}"/>
    <cellStyle name="Table  - Style6 7" xfId="13702" xr:uid="{00000000-0005-0000-0000-0000878B0000}"/>
    <cellStyle name="Table  - Style6 8" xfId="14640" xr:uid="{00000000-0005-0000-0000-0000888B0000}"/>
    <cellStyle name="Table  - Style6 9" xfId="14546" xr:uid="{00000000-0005-0000-0000-0000898B0000}"/>
    <cellStyle name="Tax_Rate" xfId="13221" xr:uid="{00000000-0005-0000-0000-00008A8B0000}"/>
    <cellStyle name="Title" xfId="13352" builtinId="15" customBuiltin="1"/>
    <cellStyle name="Title  - Style1" xfId="13222" xr:uid="{00000000-0005-0000-0000-00008C8B0000}"/>
    <cellStyle name="Title  - Style6" xfId="13223" xr:uid="{00000000-0005-0000-0000-00008D8B0000}"/>
    <cellStyle name="Title 10" xfId="13224" xr:uid="{00000000-0005-0000-0000-00008E8B0000}"/>
    <cellStyle name="Title 11" xfId="13225" xr:uid="{00000000-0005-0000-0000-00008F8B0000}"/>
    <cellStyle name="Title 12" xfId="13226" xr:uid="{00000000-0005-0000-0000-0000908B0000}"/>
    <cellStyle name="Title 13" xfId="13227" xr:uid="{00000000-0005-0000-0000-0000918B0000}"/>
    <cellStyle name="Title 14" xfId="13228" xr:uid="{00000000-0005-0000-0000-0000928B0000}"/>
    <cellStyle name="Title 15" xfId="13229" xr:uid="{00000000-0005-0000-0000-0000938B0000}"/>
    <cellStyle name="Title 16" xfId="13230" xr:uid="{00000000-0005-0000-0000-0000948B0000}"/>
    <cellStyle name="Title 17" xfId="13231" xr:uid="{00000000-0005-0000-0000-0000958B0000}"/>
    <cellStyle name="Title 18" xfId="13232" xr:uid="{00000000-0005-0000-0000-0000968B0000}"/>
    <cellStyle name="Title 19" xfId="13233" xr:uid="{00000000-0005-0000-0000-0000978B0000}"/>
    <cellStyle name="Title 2" xfId="262" xr:uid="{00000000-0005-0000-0000-0000988B0000}"/>
    <cellStyle name="Title 2 2" xfId="13234" xr:uid="{00000000-0005-0000-0000-0000998B0000}"/>
    <cellStyle name="Title 2 2 2" xfId="13235" xr:uid="{00000000-0005-0000-0000-00009A8B0000}"/>
    <cellStyle name="Title 2 3" xfId="13236" xr:uid="{00000000-0005-0000-0000-00009B8B0000}"/>
    <cellStyle name="Title 20" xfId="13237" xr:uid="{00000000-0005-0000-0000-00009C8B0000}"/>
    <cellStyle name="Title 21" xfId="13238" xr:uid="{00000000-0005-0000-0000-00009D8B0000}"/>
    <cellStyle name="Title 22" xfId="13239" xr:uid="{00000000-0005-0000-0000-00009E8B0000}"/>
    <cellStyle name="Title 23" xfId="13240" xr:uid="{00000000-0005-0000-0000-00009F8B0000}"/>
    <cellStyle name="Title 24" xfId="13241" xr:uid="{00000000-0005-0000-0000-0000A08B0000}"/>
    <cellStyle name="Title 25" xfId="13242" xr:uid="{00000000-0005-0000-0000-0000A18B0000}"/>
    <cellStyle name="Title 3" xfId="261" xr:uid="{00000000-0005-0000-0000-0000A28B0000}"/>
    <cellStyle name="Title 3 2" xfId="13244" xr:uid="{00000000-0005-0000-0000-0000A38B0000}"/>
    <cellStyle name="Title 3 3" xfId="13243" xr:uid="{00000000-0005-0000-0000-0000A48B0000}"/>
    <cellStyle name="Title 4" xfId="13245" xr:uid="{00000000-0005-0000-0000-0000A58B0000}"/>
    <cellStyle name="Title 5" xfId="13246" xr:uid="{00000000-0005-0000-0000-0000A68B0000}"/>
    <cellStyle name="Title 6" xfId="13247" xr:uid="{00000000-0005-0000-0000-0000A78B0000}"/>
    <cellStyle name="Title 7" xfId="13248" xr:uid="{00000000-0005-0000-0000-0000A88B0000}"/>
    <cellStyle name="Title 8" xfId="13249" xr:uid="{00000000-0005-0000-0000-0000A98B0000}"/>
    <cellStyle name="Title 9" xfId="13250" xr:uid="{00000000-0005-0000-0000-0000AA8B0000}"/>
    <cellStyle name="Total" xfId="13368" builtinId="25" customBuiltin="1"/>
    <cellStyle name="Total 2" xfId="264" xr:uid="{00000000-0005-0000-0000-0000AC8B0000}"/>
    <cellStyle name="Total 2 2" xfId="364" xr:uid="{00000000-0005-0000-0000-0000AD8B0000}"/>
    <cellStyle name="Total 2 2 2" xfId="13251" xr:uid="{00000000-0005-0000-0000-0000AE8B0000}"/>
    <cellStyle name="Total 2 2 2 10" xfId="14163" xr:uid="{00000000-0005-0000-0000-0000AF8B0000}"/>
    <cellStyle name="Total 2 2 2 11" xfId="13501" xr:uid="{00000000-0005-0000-0000-0000B08B0000}"/>
    <cellStyle name="Total 2 2 2 12" xfId="13912" xr:uid="{00000000-0005-0000-0000-0000B18B0000}"/>
    <cellStyle name="Total 2 2 2 13" xfId="13668" xr:uid="{00000000-0005-0000-0000-0000B28B0000}"/>
    <cellStyle name="Total 2 2 2 14" xfId="15473" xr:uid="{00000000-0005-0000-0000-0000B38B0000}"/>
    <cellStyle name="Total 2 2 2 15" xfId="26284" xr:uid="{00000000-0005-0000-0000-0000B48B0000}"/>
    <cellStyle name="Total 2 2 2 16" xfId="27747" xr:uid="{00000000-0005-0000-0000-0000B58B0000}"/>
    <cellStyle name="Total 2 2 2 17" xfId="27514" xr:uid="{00000000-0005-0000-0000-0000B68B0000}"/>
    <cellStyle name="Total 2 2 2 18" xfId="26073" xr:uid="{00000000-0005-0000-0000-0000B78B0000}"/>
    <cellStyle name="Total 2 2 2 19" xfId="26875" xr:uid="{00000000-0005-0000-0000-0000B88B0000}"/>
    <cellStyle name="Total 2 2 2 2" xfId="13252" xr:uid="{00000000-0005-0000-0000-0000B98B0000}"/>
    <cellStyle name="Total 2 2 2 2 10" xfId="15236" xr:uid="{00000000-0005-0000-0000-0000BA8B0000}"/>
    <cellStyle name="Total 2 2 2 2 11" xfId="26337" xr:uid="{00000000-0005-0000-0000-0000BB8B0000}"/>
    <cellStyle name="Total 2 2 2 2 12" xfId="27725" xr:uid="{00000000-0005-0000-0000-0000BC8B0000}"/>
    <cellStyle name="Total 2 2 2 2 13" xfId="27587" xr:uid="{00000000-0005-0000-0000-0000BD8B0000}"/>
    <cellStyle name="Total 2 2 2 2 14" xfId="27605" xr:uid="{00000000-0005-0000-0000-0000BE8B0000}"/>
    <cellStyle name="Total 2 2 2 2 15" xfId="27406" xr:uid="{00000000-0005-0000-0000-0000BF8B0000}"/>
    <cellStyle name="Total 2 2 2 2 16" xfId="26799" xr:uid="{00000000-0005-0000-0000-0000C08B0000}"/>
    <cellStyle name="Total 2 2 2 2 17" xfId="35032" xr:uid="{00000000-0005-0000-0000-0000C18B0000}"/>
    <cellStyle name="Total 2 2 2 2 18" xfId="35450" xr:uid="{00000000-0005-0000-0000-0000C28B0000}"/>
    <cellStyle name="Total 2 2 2 2 2" xfId="14912" xr:uid="{00000000-0005-0000-0000-0000C38B0000}"/>
    <cellStyle name="Total 2 2 2 2 3" xfId="13880" xr:uid="{00000000-0005-0000-0000-0000C48B0000}"/>
    <cellStyle name="Total 2 2 2 2 4" xfId="14969" xr:uid="{00000000-0005-0000-0000-0000C58B0000}"/>
    <cellStyle name="Total 2 2 2 2 5" xfId="14416" xr:uid="{00000000-0005-0000-0000-0000C68B0000}"/>
    <cellStyle name="Total 2 2 2 2 6" xfId="13588" xr:uid="{00000000-0005-0000-0000-0000C78B0000}"/>
    <cellStyle name="Total 2 2 2 2 7" xfId="14120" xr:uid="{00000000-0005-0000-0000-0000C88B0000}"/>
    <cellStyle name="Total 2 2 2 2 8" xfId="18880" xr:uid="{00000000-0005-0000-0000-0000C98B0000}"/>
    <cellStyle name="Total 2 2 2 2 9" xfId="14211" xr:uid="{00000000-0005-0000-0000-0000CA8B0000}"/>
    <cellStyle name="Total 2 2 2 20" xfId="27008" xr:uid="{00000000-0005-0000-0000-0000CB8B0000}"/>
    <cellStyle name="Total 2 2 2 21" xfId="26074" xr:uid="{00000000-0005-0000-0000-0000CC8B0000}"/>
    <cellStyle name="Total 2 2 2 22" xfId="34980" xr:uid="{00000000-0005-0000-0000-0000CD8B0000}"/>
    <cellStyle name="Total 2 2 2 23" xfId="35471" xr:uid="{00000000-0005-0000-0000-0000CE8B0000}"/>
    <cellStyle name="Total 2 2 2 3" xfId="13253" xr:uid="{00000000-0005-0000-0000-0000CF8B0000}"/>
    <cellStyle name="Total 2 2 2 3 10" xfId="15258" xr:uid="{00000000-0005-0000-0000-0000D08B0000}"/>
    <cellStyle name="Total 2 2 2 3 11" xfId="26475" xr:uid="{00000000-0005-0000-0000-0000D18B0000}"/>
    <cellStyle name="Total 2 2 2 3 12" xfId="27677" xr:uid="{00000000-0005-0000-0000-0000D28B0000}"/>
    <cellStyle name="Total 2 2 2 3 13" xfId="27648" xr:uid="{00000000-0005-0000-0000-0000D38B0000}"/>
    <cellStyle name="Total 2 2 2 3 14" xfId="29830" xr:uid="{00000000-0005-0000-0000-0000D48B0000}"/>
    <cellStyle name="Total 2 2 2 3 15" xfId="30849" xr:uid="{00000000-0005-0000-0000-0000D58B0000}"/>
    <cellStyle name="Total 2 2 2 3 16" xfId="26988" xr:uid="{00000000-0005-0000-0000-0000D68B0000}"/>
    <cellStyle name="Total 2 2 2 3 17" xfId="35158" xr:uid="{00000000-0005-0000-0000-0000D78B0000}"/>
    <cellStyle name="Total 2 2 2 3 18" xfId="35401" xr:uid="{00000000-0005-0000-0000-0000D88B0000}"/>
    <cellStyle name="Total 2 2 2 3 2" xfId="15660" xr:uid="{00000000-0005-0000-0000-0000D98B0000}"/>
    <cellStyle name="Total 2 2 2 3 3" xfId="15168" xr:uid="{00000000-0005-0000-0000-0000DA8B0000}"/>
    <cellStyle name="Total 2 2 2 3 4" xfId="14319" xr:uid="{00000000-0005-0000-0000-0000DB8B0000}"/>
    <cellStyle name="Total 2 2 2 3 5" xfId="13802" xr:uid="{00000000-0005-0000-0000-0000DC8B0000}"/>
    <cellStyle name="Total 2 2 2 3 6" xfId="18916" xr:uid="{00000000-0005-0000-0000-0000DD8B0000}"/>
    <cellStyle name="Total 2 2 2 3 7" xfId="15140" xr:uid="{00000000-0005-0000-0000-0000DE8B0000}"/>
    <cellStyle name="Total 2 2 2 3 8" xfId="15049" xr:uid="{00000000-0005-0000-0000-0000DF8B0000}"/>
    <cellStyle name="Total 2 2 2 3 9" xfId="15729" xr:uid="{00000000-0005-0000-0000-0000E08B0000}"/>
    <cellStyle name="Total 2 2 2 4" xfId="13254" xr:uid="{00000000-0005-0000-0000-0000E18B0000}"/>
    <cellStyle name="Total 2 2 2 4 10" xfId="15309" xr:uid="{00000000-0005-0000-0000-0000E28B0000}"/>
    <cellStyle name="Total 2 2 2 4 11" xfId="26456" xr:uid="{00000000-0005-0000-0000-0000E38B0000}"/>
    <cellStyle name="Total 2 2 2 4 12" xfId="27086" xr:uid="{00000000-0005-0000-0000-0000E48B0000}"/>
    <cellStyle name="Total 2 2 2 4 13" xfId="27456" xr:uid="{00000000-0005-0000-0000-0000E58B0000}"/>
    <cellStyle name="Total 2 2 2 4 14" xfId="26788" xr:uid="{00000000-0005-0000-0000-0000E68B0000}"/>
    <cellStyle name="Total 2 2 2 4 15" xfId="27820" xr:uid="{00000000-0005-0000-0000-0000E78B0000}"/>
    <cellStyle name="Total 2 2 2 4 16" xfId="27506" xr:uid="{00000000-0005-0000-0000-0000E88B0000}"/>
    <cellStyle name="Total 2 2 2 4 17" xfId="35139" xr:uid="{00000000-0005-0000-0000-0000E98B0000}"/>
    <cellStyle name="Total 2 2 2 4 18" xfId="35408" xr:uid="{00000000-0005-0000-0000-0000EA8B0000}"/>
    <cellStyle name="Total 2 2 2 4 2" xfId="14850" xr:uid="{00000000-0005-0000-0000-0000EB8B0000}"/>
    <cellStyle name="Total 2 2 2 4 3" xfId="13445" xr:uid="{00000000-0005-0000-0000-0000EC8B0000}"/>
    <cellStyle name="Total 2 2 2 4 4" xfId="15024" xr:uid="{00000000-0005-0000-0000-0000ED8B0000}"/>
    <cellStyle name="Total 2 2 2 4 5" xfId="15179" xr:uid="{00000000-0005-0000-0000-0000EE8B0000}"/>
    <cellStyle name="Total 2 2 2 4 6" xfId="14220" xr:uid="{00000000-0005-0000-0000-0000EF8B0000}"/>
    <cellStyle name="Total 2 2 2 4 7" xfId="14533" xr:uid="{00000000-0005-0000-0000-0000F08B0000}"/>
    <cellStyle name="Total 2 2 2 4 8" xfId="14111" xr:uid="{00000000-0005-0000-0000-0000F18B0000}"/>
    <cellStyle name="Total 2 2 2 4 9" xfId="15469" xr:uid="{00000000-0005-0000-0000-0000F28B0000}"/>
    <cellStyle name="Total 2 2 2 5" xfId="13255" xr:uid="{00000000-0005-0000-0000-0000F38B0000}"/>
    <cellStyle name="Total 2 2 2 5 10" xfId="15861" xr:uid="{00000000-0005-0000-0000-0000F48B0000}"/>
    <cellStyle name="Total 2 2 2 5 11" xfId="26490" xr:uid="{00000000-0005-0000-0000-0000F58B0000}"/>
    <cellStyle name="Total 2 2 2 5 12" xfId="27063" xr:uid="{00000000-0005-0000-0000-0000F68B0000}"/>
    <cellStyle name="Total 2 2 2 5 13" xfId="27235" xr:uid="{00000000-0005-0000-0000-0000F78B0000}"/>
    <cellStyle name="Total 2 2 2 5 14" xfId="27504" xr:uid="{00000000-0005-0000-0000-0000F88B0000}"/>
    <cellStyle name="Total 2 2 2 5 15" xfId="27335" xr:uid="{00000000-0005-0000-0000-0000F98B0000}"/>
    <cellStyle name="Total 2 2 2 5 16" xfId="27789" xr:uid="{00000000-0005-0000-0000-0000FA8B0000}"/>
    <cellStyle name="Total 2 2 2 5 17" xfId="35173" xr:uid="{00000000-0005-0000-0000-0000FB8B0000}"/>
    <cellStyle name="Total 2 2 2 5 18" xfId="35218" xr:uid="{00000000-0005-0000-0000-0000FC8B0000}"/>
    <cellStyle name="Total 2 2 2 5 2" xfId="15657" xr:uid="{00000000-0005-0000-0000-0000FD8B0000}"/>
    <cellStyle name="Total 2 2 2 5 3" xfId="14444" xr:uid="{00000000-0005-0000-0000-0000FE8B0000}"/>
    <cellStyle name="Total 2 2 2 5 4" xfId="15013" xr:uid="{00000000-0005-0000-0000-0000FF8B0000}"/>
    <cellStyle name="Total 2 2 2 5 5" xfId="13686" xr:uid="{00000000-0005-0000-0000-0000008C0000}"/>
    <cellStyle name="Total 2 2 2 5 6" xfId="15707" xr:uid="{00000000-0005-0000-0000-0000018C0000}"/>
    <cellStyle name="Total 2 2 2 5 7" xfId="13684" xr:uid="{00000000-0005-0000-0000-0000028C0000}"/>
    <cellStyle name="Total 2 2 2 5 8" xfId="14306" xr:uid="{00000000-0005-0000-0000-0000038C0000}"/>
    <cellStyle name="Total 2 2 2 5 9" xfId="15453" xr:uid="{00000000-0005-0000-0000-0000048C0000}"/>
    <cellStyle name="Total 2 2 2 6" xfId="15718" xr:uid="{00000000-0005-0000-0000-0000058C0000}"/>
    <cellStyle name="Total 2 2 2 7" xfId="13704" xr:uid="{00000000-0005-0000-0000-0000068C0000}"/>
    <cellStyle name="Total 2 2 2 8" xfId="15291" xr:uid="{00000000-0005-0000-0000-0000078C0000}"/>
    <cellStyle name="Total 2 2 2 9" xfId="14729" xr:uid="{00000000-0005-0000-0000-0000088C0000}"/>
    <cellStyle name="Total 2 2 3" xfId="13256" xr:uid="{00000000-0005-0000-0000-0000098C0000}"/>
    <cellStyle name="Total 2 2 3 10" xfId="13657" xr:uid="{00000000-0005-0000-0000-00000A8C0000}"/>
    <cellStyle name="Total 2 2 3 11" xfId="18900" xr:uid="{00000000-0005-0000-0000-00000B8C0000}"/>
    <cellStyle name="Total 2 2 3 12" xfId="13654" xr:uid="{00000000-0005-0000-0000-00000C8C0000}"/>
    <cellStyle name="Total 2 2 3 13" xfId="15607" xr:uid="{00000000-0005-0000-0000-00000D8C0000}"/>
    <cellStyle name="Total 2 2 3 14" xfId="15102" xr:uid="{00000000-0005-0000-0000-00000E8C0000}"/>
    <cellStyle name="Total 2 2 3 15" xfId="26090" xr:uid="{00000000-0005-0000-0000-00000F8C0000}"/>
    <cellStyle name="Total 2 2 3 16" xfId="27785" xr:uid="{00000000-0005-0000-0000-0000108C0000}"/>
    <cellStyle name="Total 2 2 3 17" xfId="25962" xr:uid="{00000000-0005-0000-0000-0000118C0000}"/>
    <cellStyle name="Total 2 2 3 18" xfId="27320" xr:uid="{00000000-0005-0000-0000-0000128C0000}"/>
    <cellStyle name="Total 2 2 3 19" xfId="26012" xr:uid="{00000000-0005-0000-0000-0000138C0000}"/>
    <cellStyle name="Total 2 2 3 2" xfId="13257" xr:uid="{00000000-0005-0000-0000-0000148C0000}"/>
    <cellStyle name="Total 2 2 3 2 10" xfId="13465" xr:uid="{00000000-0005-0000-0000-0000158C0000}"/>
    <cellStyle name="Total 2 2 3 2 11" xfId="26311" xr:uid="{00000000-0005-0000-0000-0000168C0000}"/>
    <cellStyle name="Total 2 2 3 2 12" xfId="27736" xr:uid="{00000000-0005-0000-0000-0000178C0000}"/>
    <cellStyle name="Total 2 2 3 2 13" xfId="26924" xr:uid="{00000000-0005-0000-0000-0000188C0000}"/>
    <cellStyle name="Total 2 2 3 2 14" xfId="26759" xr:uid="{00000000-0005-0000-0000-0000198C0000}"/>
    <cellStyle name="Total 2 2 3 2 15" xfId="26860" xr:uid="{00000000-0005-0000-0000-00001A8C0000}"/>
    <cellStyle name="Total 2 2 3 2 16" xfId="26974" xr:uid="{00000000-0005-0000-0000-00001B8C0000}"/>
    <cellStyle name="Total 2 2 3 2 17" xfId="35007" xr:uid="{00000000-0005-0000-0000-00001C8C0000}"/>
    <cellStyle name="Total 2 2 3 2 18" xfId="35461" xr:uid="{00000000-0005-0000-0000-00001D8C0000}"/>
    <cellStyle name="Total 2 2 3 2 2" xfId="13617" xr:uid="{00000000-0005-0000-0000-00001E8C0000}"/>
    <cellStyle name="Total 2 2 3 2 3" xfId="13726" xr:uid="{00000000-0005-0000-0000-00001F8C0000}"/>
    <cellStyle name="Total 2 2 3 2 4" xfId="15290" xr:uid="{00000000-0005-0000-0000-0000208C0000}"/>
    <cellStyle name="Total 2 2 3 2 5" xfId="14732" xr:uid="{00000000-0005-0000-0000-0000218C0000}"/>
    <cellStyle name="Total 2 2 3 2 6" xfId="14708" xr:uid="{00000000-0005-0000-0000-0000228C0000}"/>
    <cellStyle name="Total 2 2 3 2 7" xfId="15622" xr:uid="{00000000-0005-0000-0000-0000238C0000}"/>
    <cellStyle name="Total 2 2 3 2 8" xfId="14573" xr:uid="{00000000-0005-0000-0000-0000248C0000}"/>
    <cellStyle name="Total 2 2 3 2 9" xfId="14412" xr:uid="{00000000-0005-0000-0000-0000258C0000}"/>
    <cellStyle name="Total 2 2 3 20" xfId="27340" xr:uid="{00000000-0005-0000-0000-0000268C0000}"/>
    <cellStyle name="Total 2 2 3 21" xfId="26660" xr:uid="{00000000-0005-0000-0000-0000278C0000}"/>
    <cellStyle name="Total 2 2 3 22" xfId="34950" xr:uid="{00000000-0005-0000-0000-0000288C0000}"/>
    <cellStyle name="Total 2 2 3 23" xfId="35480" xr:uid="{00000000-0005-0000-0000-0000298C0000}"/>
    <cellStyle name="Total 2 2 3 3" xfId="13258" xr:uid="{00000000-0005-0000-0000-00002A8C0000}"/>
    <cellStyle name="Total 2 2 3 3 10" xfId="14273" xr:uid="{00000000-0005-0000-0000-00002B8C0000}"/>
    <cellStyle name="Total 2 2 3 3 11" xfId="26391" xr:uid="{00000000-0005-0000-0000-00002C8C0000}"/>
    <cellStyle name="Total 2 2 3 3 12" xfId="27128" xr:uid="{00000000-0005-0000-0000-00002D8C0000}"/>
    <cellStyle name="Total 2 2 3 3 13" xfId="27417" xr:uid="{00000000-0005-0000-0000-00002E8C0000}"/>
    <cellStyle name="Total 2 2 3 3 14" xfId="26775" xr:uid="{00000000-0005-0000-0000-00002F8C0000}"/>
    <cellStyle name="Total 2 2 3 3 15" xfId="26602" xr:uid="{00000000-0005-0000-0000-0000308C0000}"/>
    <cellStyle name="Total 2 2 3 3 16" xfId="27563" xr:uid="{00000000-0005-0000-0000-0000318C0000}"/>
    <cellStyle name="Total 2 2 3 3 17" xfId="35082" xr:uid="{00000000-0005-0000-0000-0000328C0000}"/>
    <cellStyle name="Total 2 2 3 3 18" xfId="35432" xr:uid="{00000000-0005-0000-0000-0000338C0000}"/>
    <cellStyle name="Total 2 2 3 3 2" xfId="14881" xr:uid="{00000000-0005-0000-0000-0000348C0000}"/>
    <cellStyle name="Total 2 2 3 3 3" xfId="14427" xr:uid="{00000000-0005-0000-0000-0000358C0000}"/>
    <cellStyle name="Total 2 2 3 3 4" xfId="15772" xr:uid="{00000000-0005-0000-0000-0000368C0000}"/>
    <cellStyle name="Total 2 2 3 3 5" xfId="14386" xr:uid="{00000000-0005-0000-0000-0000378C0000}"/>
    <cellStyle name="Total 2 2 3 3 6" xfId="13860" xr:uid="{00000000-0005-0000-0000-0000388C0000}"/>
    <cellStyle name="Total 2 2 3 3 7" xfId="15748" xr:uid="{00000000-0005-0000-0000-0000398C0000}"/>
    <cellStyle name="Total 2 2 3 3 8" xfId="15525" xr:uid="{00000000-0005-0000-0000-00003A8C0000}"/>
    <cellStyle name="Total 2 2 3 3 9" xfId="14024" xr:uid="{00000000-0005-0000-0000-00003B8C0000}"/>
    <cellStyle name="Total 2 2 3 4" xfId="13259" xr:uid="{00000000-0005-0000-0000-00003C8C0000}"/>
    <cellStyle name="Total 2 2 3 4 10" xfId="15627" xr:uid="{00000000-0005-0000-0000-00003D8C0000}"/>
    <cellStyle name="Total 2 2 3 4 11" xfId="26367" xr:uid="{00000000-0005-0000-0000-00003E8C0000}"/>
    <cellStyle name="Total 2 2 3 4 12" xfId="26036" xr:uid="{00000000-0005-0000-0000-00003F8C0000}"/>
    <cellStyle name="Total 2 2 3 4 13" xfId="26649" xr:uid="{00000000-0005-0000-0000-0000408C0000}"/>
    <cellStyle name="Total 2 2 3 4 14" xfId="26768" xr:uid="{00000000-0005-0000-0000-0000418C0000}"/>
    <cellStyle name="Total 2 2 3 4 15" xfId="27465" xr:uid="{00000000-0005-0000-0000-0000428C0000}"/>
    <cellStyle name="Total 2 2 3 4 16" xfId="27217" xr:uid="{00000000-0005-0000-0000-0000438C0000}"/>
    <cellStyle name="Total 2 2 3 4 17" xfId="35059" xr:uid="{00000000-0005-0000-0000-0000448C0000}"/>
    <cellStyle name="Total 2 2 3 4 18" xfId="34898" xr:uid="{00000000-0005-0000-0000-0000458C0000}"/>
    <cellStyle name="Total 2 2 3 4 2" xfId="14896" xr:uid="{00000000-0005-0000-0000-0000468C0000}"/>
    <cellStyle name="Total 2 2 3 4 3" xfId="13762" xr:uid="{00000000-0005-0000-0000-0000478C0000}"/>
    <cellStyle name="Total 2 2 3 4 4" xfId="15286" xr:uid="{00000000-0005-0000-0000-0000488C0000}"/>
    <cellStyle name="Total 2 2 3 4 5" xfId="15598" xr:uid="{00000000-0005-0000-0000-0000498C0000}"/>
    <cellStyle name="Total 2 2 3 4 6" xfId="14616" xr:uid="{00000000-0005-0000-0000-00004A8C0000}"/>
    <cellStyle name="Total 2 2 3 4 7" xfId="14565" xr:uid="{00000000-0005-0000-0000-00004B8C0000}"/>
    <cellStyle name="Total 2 2 3 4 8" xfId="13419" xr:uid="{00000000-0005-0000-0000-00004C8C0000}"/>
    <cellStyle name="Total 2 2 3 4 9" xfId="14082" xr:uid="{00000000-0005-0000-0000-00004D8C0000}"/>
    <cellStyle name="Total 2 2 3 5" xfId="13260" xr:uid="{00000000-0005-0000-0000-00004E8C0000}"/>
    <cellStyle name="Total 2 2 3 5 10" xfId="15188" xr:uid="{00000000-0005-0000-0000-00004F8C0000}"/>
    <cellStyle name="Total 2 2 3 5 11" xfId="26468" xr:uid="{00000000-0005-0000-0000-0000508C0000}"/>
    <cellStyle name="Total 2 2 3 5 12" xfId="27680" xr:uid="{00000000-0005-0000-0000-0000518C0000}"/>
    <cellStyle name="Total 2 2 3 5 13" xfId="27649" xr:uid="{00000000-0005-0000-0000-0000528C0000}"/>
    <cellStyle name="Total 2 2 3 5 14" xfId="26791" xr:uid="{00000000-0005-0000-0000-0000538C0000}"/>
    <cellStyle name="Total 2 2 3 5 15" xfId="26697" xr:uid="{00000000-0005-0000-0000-0000548C0000}"/>
    <cellStyle name="Total 2 2 3 5 16" xfId="27800" xr:uid="{00000000-0005-0000-0000-0000558C0000}"/>
    <cellStyle name="Total 2 2 3 5 17" xfId="35151" xr:uid="{00000000-0005-0000-0000-0000568C0000}"/>
    <cellStyle name="Total 2 2 3 5 18" xfId="35233" xr:uid="{00000000-0005-0000-0000-0000578C0000}"/>
    <cellStyle name="Total 2 2 3 5 2" xfId="14846" xr:uid="{00000000-0005-0000-0000-0000588C0000}"/>
    <cellStyle name="Total 2 2 3 5 3" xfId="14435" xr:uid="{00000000-0005-0000-0000-0000598C0000}"/>
    <cellStyle name="Total 2 2 3 5 4" xfId="15019" xr:uid="{00000000-0005-0000-0000-00005A8C0000}"/>
    <cellStyle name="Total 2 2 3 5 5" xfId="15180" xr:uid="{00000000-0005-0000-0000-00005B8C0000}"/>
    <cellStyle name="Total 2 2 3 5 6" xfId="14812" xr:uid="{00000000-0005-0000-0000-00005C8C0000}"/>
    <cellStyle name="Total 2 2 3 5 7" xfId="15356" xr:uid="{00000000-0005-0000-0000-00005D8C0000}"/>
    <cellStyle name="Total 2 2 3 5 8" xfId="18894" xr:uid="{00000000-0005-0000-0000-00005E8C0000}"/>
    <cellStyle name="Total 2 2 3 5 9" xfId="13412" xr:uid="{00000000-0005-0000-0000-00005F8C0000}"/>
    <cellStyle name="Total 2 2 3 6" xfId="13850" xr:uid="{00000000-0005-0000-0000-0000608C0000}"/>
    <cellStyle name="Total 2 2 3 7" xfId="15378" xr:uid="{00000000-0005-0000-0000-0000618C0000}"/>
    <cellStyle name="Total 2 2 3 8" xfId="14926" xr:uid="{00000000-0005-0000-0000-0000628C0000}"/>
    <cellStyle name="Total 2 2 3 9" xfId="15344" xr:uid="{00000000-0005-0000-0000-0000638C0000}"/>
    <cellStyle name="Total 2 2 4" xfId="13261" xr:uid="{00000000-0005-0000-0000-0000648C0000}"/>
    <cellStyle name="Total 2 2 4 10" xfId="24878" xr:uid="{00000000-0005-0000-0000-0000658C0000}"/>
    <cellStyle name="Total 2 2 4 11" xfId="25877" xr:uid="{00000000-0005-0000-0000-0000668C0000}"/>
    <cellStyle name="Total 2 2 4 12" xfId="28783" xr:uid="{00000000-0005-0000-0000-0000678C0000}"/>
    <cellStyle name="Total 2 2 4 13" xfId="29800" xr:uid="{00000000-0005-0000-0000-0000688C0000}"/>
    <cellStyle name="Total 2 2 4 14" xfId="30833" xr:uid="{00000000-0005-0000-0000-0000698C0000}"/>
    <cellStyle name="Total 2 2 4 15" xfId="31828" xr:uid="{00000000-0005-0000-0000-00006A8C0000}"/>
    <cellStyle name="Total 2 2 4 16" xfId="32832" xr:uid="{00000000-0005-0000-0000-00006B8C0000}"/>
    <cellStyle name="Total 2 2 4 17" xfId="33835" xr:uid="{00000000-0005-0000-0000-00006C8C0000}"/>
    <cellStyle name="Total 2 2 4 18" xfId="34834" xr:uid="{00000000-0005-0000-0000-00006D8C0000}"/>
    <cellStyle name="Total 2 2 4 19" xfId="36395" xr:uid="{00000000-0005-0000-0000-00006E8C0000}"/>
    <cellStyle name="Total 2 2 4 2" xfId="16867" xr:uid="{00000000-0005-0000-0000-00006F8C0000}"/>
    <cellStyle name="Total 2 2 4 20" xfId="37394" xr:uid="{00000000-0005-0000-0000-0000708C0000}"/>
    <cellStyle name="Total 2 2 4 3" xfId="17847" xr:uid="{00000000-0005-0000-0000-0000718C0000}"/>
    <cellStyle name="Total 2 2 4 4" xfId="18872" xr:uid="{00000000-0005-0000-0000-0000728C0000}"/>
    <cellStyle name="Total 2 2 4 5" xfId="19906" xr:uid="{00000000-0005-0000-0000-0000738C0000}"/>
    <cellStyle name="Total 2 2 4 6" xfId="20931" xr:uid="{00000000-0005-0000-0000-0000748C0000}"/>
    <cellStyle name="Total 2 2 4 7" xfId="21891" xr:uid="{00000000-0005-0000-0000-0000758C0000}"/>
    <cellStyle name="Total 2 2 4 8" xfId="22903" xr:uid="{00000000-0005-0000-0000-0000768C0000}"/>
    <cellStyle name="Total 2 2 4 9" xfId="23906" xr:uid="{00000000-0005-0000-0000-0000778C0000}"/>
    <cellStyle name="Total 2 2 5" xfId="13262" xr:uid="{00000000-0005-0000-0000-0000788C0000}"/>
    <cellStyle name="Total 2 2 5 10" xfId="24880" xr:uid="{00000000-0005-0000-0000-0000798C0000}"/>
    <cellStyle name="Total 2 2 5 11" xfId="25879" xr:uid="{00000000-0005-0000-0000-00007A8C0000}"/>
    <cellStyle name="Total 2 2 5 12" xfId="28785" xr:uid="{00000000-0005-0000-0000-00007B8C0000}"/>
    <cellStyle name="Total 2 2 5 13" xfId="29802" xr:uid="{00000000-0005-0000-0000-00007C8C0000}"/>
    <cellStyle name="Total 2 2 5 14" xfId="30835" xr:uid="{00000000-0005-0000-0000-00007D8C0000}"/>
    <cellStyle name="Total 2 2 5 15" xfId="31830" xr:uid="{00000000-0005-0000-0000-00007E8C0000}"/>
    <cellStyle name="Total 2 2 5 16" xfId="32834" xr:uid="{00000000-0005-0000-0000-00007F8C0000}"/>
    <cellStyle name="Total 2 2 5 17" xfId="33837" xr:uid="{00000000-0005-0000-0000-0000808C0000}"/>
    <cellStyle name="Total 2 2 5 18" xfId="34836" xr:uid="{00000000-0005-0000-0000-0000818C0000}"/>
    <cellStyle name="Total 2 2 5 19" xfId="36397" xr:uid="{00000000-0005-0000-0000-0000828C0000}"/>
    <cellStyle name="Total 2 2 5 2" xfId="16869" xr:uid="{00000000-0005-0000-0000-0000838C0000}"/>
    <cellStyle name="Total 2 2 5 20" xfId="37396" xr:uid="{00000000-0005-0000-0000-0000848C0000}"/>
    <cellStyle name="Total 2 2 5 3" xfId="17849" xr:uid="{00000000-0005-0000-0000-0000858C0000}"/>
    <cellStyle name="Total 2 2 5 4" xfId="18874" xr:uid="{00000000-0005-0000-0000-0000868C0000}"/>
    <cellStyle name="Total 2 2 5 5" xfId="19908" xr:uid="{00000000-0005-0000-0000-0000878C0000}"/>
    <cellStyle name="Total 2 2 5 6" xfId="20933" xr:uid="{00000000-0005-0000-0000-0000888C0000}"/>
    <cellStyle name="Total 2 2 5 7" xfId="21893" xr:uid="{00000000-0005-0000-0000-0000898C0000}"/>
    <cellStyle name="Total 2 2 5 8" xfId="22905" xr:uid="{00000000-0005-0000-0000-00008A8C0000}"/>
    <cellStyle name="Total 2 2 5 9" xfId="23908" xr:uid="{00000000-0005-0000-0000-00008B8C0000}"/>
    <cellStyle name="Total 2 3" xfId="13263" xr:uid="{00000000-0005-0000-0000-00008C8C0000}"/>
    <cellStyle name="Total 2 3 10" xfId="15054" xr:uid="{00000000-0005-0000-0000-00008D8C0000}"/>
    <cellStyle name="Total 2 3 11" xfId="15134" xr:uid="{00000000-0005-0000-0000-00008E8C0000}"/>
    <cellStyle name="Total 2 3 12" xfId="15721" xr:uid="{00000000-0005-0000-0000-00008F8C0000}"/>
    <cellStyle name="Total 2 3 13" xfId="15515" xr:uid="{00000000-0005-0000-0000-0000908C0000}"/>
    <cellStyle name="Total 2 3 14" xfId="14169" xr:uid="{00000000-0005-0000-0000-0000918C0000}"/>
    <cellStyle name="Total 2 3 15" xfId="16847" xr:uid="{00000000-0005-0000-0000-0000928C0000}"/>
    <cellStyle name="Total 2 3 16" xfId="27271" xr:uid="{00000000-0005-0000-0000-0000938C0000}"/>
    <cellStyle name="Total 2 3 17" xfId="26500" xr:uid="{00000000-0005-0000-0000-0000948C0000}"/>
    <cellStyle name="Total 2 3 18" xfId="27342" xr:uid="{00000000-0005-0000-0000-0000958C0000}"/>
    <cellStyle name="Total 2 3 19" xfId="27616" xr:uid="{00000000-0005-0000-0000-0000968C0000}"/>
    <cellStyle name="Total 2 3 2" xfId="13264" xr:uid="{00000000-0005-0000-0000-0000978C0000}"/>
    <cellStyle name="Total 2 3 2 10" xfId="15137" xr:uid="{00000000-0005-0000-0000-0000988C0000}"/>
    <cellStyle name="Total 2 3 2 11" xfId="14230" xr:uid="{00000000-0005-0000-0000-0000998C0000}"/>
    <cellStyle name="Total 2 3 2 12" xfId="21869" xr:uid="{00000000-0005-0000-0000-00009A8C0000}"/>
    <cellStyle name="Total 2 3 2 13" xfId="19915" xr:uid="{00000000-0005-0000-0000-00009B8C0000}"/>
    <cellStyle name="Total 2 3 2 14" xfId="21873" xr:uid="{00000000-0005-0000-0000-00009C8C0000}"/>
    <cellStyle name="Total 2 3 2 15" xfId="27255" xr:uid="{00000000-0005-0000-0000-00009D8C0000}"/>
    <cellStyle name="Total 2 3 2 16" xfId="25940" xr:uid="{00000000-0005-0000-0000-00009E8C0000}"/>
    <cellStyle name="Total 2 3 2 17" xfId="27774" xr:uid="{00000000-0005-0000-0000-00009F8C0000}"/>
    <cellStyle name="Total 2 3 2 18" xfId="26612" xr:uid="{00000000-0005-0000-0000-0000A08C0000}"/>
    <cellStyle name="Total 2 3 2 19" xfId="27237" xr:uid="{00000000-0005-0000-0000-0000A18C0000}"/>
    <cellStyle name="Total 2 3 2 2" xfId="13265" xr:uid="{00000000-0005-0000-0000-0000A28C0000}"/>
    <cellStyle name="Total 2 3 2 2 10" xfId="14686" xr:uid="{00000000-0005-0000-0000-0000A38C0000}"/>
    <cellStyle name="Total 2 3 2 2 11" xfId="27167" xr:uid="{00000000-0005-0000-0000-0000A48C0000}"/>
    <cellStyle name="Total 2 3 2 2 12" xfId="25887" xr:uid="{00000000-0005-0000-0000-0000A58C0000}"/>
    <cellStyle name="Total 2 3 2 2 13" xfId="26241" xr:uid="{00000000-0005-0000-0000-0000A68C0000}"/>
    <cellStyle name="Total 2 3 2 2 14" xfId="26876" xr:uid="{00000000-0005-0000-0000-0000A78C0000}"/>
    <cellStyle name="Total 2 3 2 2 15" xfId="27222" xr:uid="{00000000-0005-0000-0000-0000A88C0000}"/>
    <cellStyle name="Total 2 3 2 2 16" xfId="27246" xr:uid="{00000000-0005-0000-0000-0000A98C0000}"/>
    <cellStyle name="Total 2 3 2 2 17" xfId="35322" xr:uid="{00000000-0005-0000-0000-0000AA8C0000}"/>
    <cellStyle name="Total 2 3 2 2 2" xfId="15703" xr:uid="{00000000-0005-0000-0000-0000AB8C0000}"/>
    <cellStyle name="Total 2 3 2 2 3" xfId="13739" xr:uid="{00000000-0005-0000-0000-0000AC8C0000}"/>
    <cellStyle name="Total 2 3 2 2 4" xfId="15031" xr:uid="{00000000-0005-0000-0000-0000AD8C0000}"/>
    <cellStyle name="Total 2 3 2 2 5" xfId="14384" xr:uid="{00000000-0005-0000-0000-0000AE8C0000}"/>
    <cellStyle name="Total 2 3 2 2 6" xfId="14617" xr:uid="{00000000-0005-0000-0000-0000AF8C0000}"/>
    <cellStyle name="Total 2 3 2 2 7" xfId="14335" xr:uid="{00000000-0005-0000-0000-0000B08C0000}"/>
    <cellStyle name="Total 2 3 2 2 8" xfId="15070" xr:uid="{00000000-0005-0000-0000-0000B18C0000}"/>
    <cellStyle name="Total 2 3 2 2 9" xfId="13508" xr:uid="{00000000-0005-0000-0000-0000B28C0000}"/>
    <cellStyle name="Total 2 3 2 20" xfId="26632" xr:uid="{00000000-0005-0000-0000-0000B38C0000}"/>
    <cellStyle name="Total 2 3 2 21" xfId="35361" xr:uid="{00000000-0005-0000-0000-0000B48C0000}"/>
    <cellStyle name="Total 2 3 2 3" xfId="13266" xr:uid="{00000000-0005-0000-0000-0000B58C0000}"/>
    <cellStyle name="Total 2 3 2 3 10" xfId="13439" xr:uid="{00000000-0005-0000-0000-0000B68C0000}"/>
    <cellStyle name="Total 2 3 2 3 11" xfId="27116" xr:uid="{00000000-0005-0000-0000-0000B78C0000}"/>
    <cellStyle name="Total 2 3 2 3 12" xfId="26151" xr:uid="{00000000-0005-0000-0000-0000B88C0000}"/>
    <cellStyle name="Total 2 3 2 3 13" xfId="27583" xr:uid="{00000000-0005-0000-0000-0000B98C0000}"/>
    <cellStyle name="Total 2 3 2 3 14" xfId="27299" xr:uid="{00000000-0005-0000-0000-0000BA8C0000}"/>
    <cellStyle name="Total 2 3 2 3 15" xfId="27567" xr:uid="{00000000-0005-0000-0000-0000BB8C0000}"/>
    <cellStyle name="Total 2 3 2 3 16" xfId="27203" xr:uid="{00000000-0005-0000-0000-0000BC8C0000}"/>
    <cellStyle name="Total 2 3 2 3 17" xfId="35271" xr:uid="{00000000-0005-0000-0000-0000BD8C0000}"/>
    <cellStyle name="Total 2 3 2 3 2" xfId="15679" xr:uid="{00000000-0005-0000-0000-0000BE8C0000}"/>
    <cellStyle name="Total 2 3 2 3 3" xfId="15079" xr:uid="{00000000-0005-0000-0000-0000BF8C0000}"/>
    <cellStyle name="Total 2 3 2 3 4" xfId="14964" xr:uid="{00000000-0005-0000-0000-0000C08C0000}"/>
    <cellStyle name="Total 2 3 2 3 5" xfId="15408" xr:uid="{00000000-0005-0000-0000-0000C18C0000}"/>
    <cellStyle name="Total 2 3 2 3 6" xfId="15263" xr:uid="{00000000-0005-0000-0000-0000C28C0000}"/>
    <cellStyle name="Total 2 3 2 3 7" xfId="14227" xr:uid="{00000000-0005-0000-0000-0000C38C0000}"/>
    <cellStyle name="Total 2 3 2 3 8" xfId="16843" xr:uid="{00000000-0005-0000-0000-0000C48C0000}"/>
    <cellStyle name="Total 2 3 2 3 9" xfId="14493" xr:uid="{00000000-0005-0000-0000-0000C58C0000}"/>
    <cellStyle name="Total 2 3 2 4" xfId="13267" xr:uid="{00000000-0005-0000-0000-0000C68C0000}"/>
    <cellStyle name="Total 2 3 2 4 10" xfId="20907" xr:uid="{00000000-0005-0000-0000-0000C78C0000}"/>
    <cellStyle name="Total 2 3 2 4 11" xfId="26043" xr:uid="{00000000-0005-0000-0000-0000C88C0000}"/>
    <cellStyle name="Total 2 3 2 4 12" xfId="26141" xr:uid="{00000000-0005-0000-0000-0000C98C0000}"/>
    <cellStyle name="Total 2 3 2 4 13" xfId="27027" xr:uid="{00000000-0005-0000-0000-0000CA8C0000}"/>
    <cellStyle name="Total 2 3 2 4 14" xfId="26545" xr:uid="{00000000-0005-0000-0000-0000CB8C0000}"/>
    <cellStyle name="Total 2 3 2 4 15" xfId="26744" xr:uid="{00000000-0005-0000-0000-0000CC8C0000}"/>
    <cellStyle name="Total 2 3 2 4 16" xfId="26800" xr:uid="{00000000-0005-0000-0000-0000CD8C0000}"/>
    <cellStyle name="Total 2 3 2 4 17" xfId="35302" xr:uid="{00000000-0005-0000-0000-0000CE8C0000}"/>
    <cellStyle name="Total 2 3 2 4 2" xfId="15694" xr:uid="{00000000-0005-0000-0000-0000CF8C0000}"/>
    <cellStyle name="Total 2 3 2 4 3" xfId="13750" xr:uid="{00000000-0005-0000-0000-0000D08C0000}"/>
    <cellStyle name="Total 2 3 2 4 4" xfId="14633" xr:uid="{00000000-0005-0000-0000-0000D18C0000}"/>
    <cellStyle name="Total 2 3 2 4 5" xfId="15492" xr:uid="{00000000-0005-0000-0000-0000D28C0000}"/>
    <cellStyle name="Total 2 3 2 4 6" xfId="15458" xr:uid="{00000000-0005-0000-0000-0000D38C0000}"/>
    <cellStyle name="Total 2 3 2 4 7" xfId="13669" xr:uid="{00000000-0005-0000-0000-0000D48C0000}"/>
    <cellStyle name="Total 2 3 2 4 8" xfId="13884" xr:uid="{00000000-0005-0000-0000-0000D58C0000}"/>
    <cellStyle name="Total 2 3 2 4 9" xfId="15152" xr:uid="{00000000-0005-0000-0000-0000D68C0000}"/>
    <cellStyle name="Total 2 3 2 5" xfId="13268" xr:uid="{00000000-0005-0000-0000-0000D78C0000}"/>
    <cellStyle name="Total 2 3 2 5 10" xfId="15104" xr:uid="{00000000-0005-0000-0000-0000D88C0000}"/>
    <cellStyle name="Total 2 3 2 5 11" xfId="27081" xr:uid="{00000000-0005-0000-0000-0000D98C0000}"/>
    <cellStyle name="Total 2 3 2 5 12" xfId="26175" xr:uid="{00000000-0005-0000-0000-0000DA8C0000}"/>
    <cellStyle name="Total 2 3 2 5 13" xfId="26711" xr:uid="{00000000-0005-0000-0000-0000DB8C0000}"/>
    <cellStyle name="Total 2 3 2 5 14" xfId="26789" xr:uid="{00000000-0005-0000-0000-0000DC8C0000}"/>
    <cellStyle name="Total 2 3 2 5 15" xfId="27315" xr:uid="{00000000-0005-0000-0000-0000DD8C0000}"/>
    <cellStyle name="Total 2 3 2 5 16" xfId="26597" xr:uid="{00000000-0005-0000-0000-0000DE8C0000}"/>
    <cellStyle name="Total 2 3 2 5 17" xfId="35405" xr:uid="{00000000-0005-0000-0000-0000DF8C0000}"/>
    <cellStyle name="Total 2 3 2 5 2" xfId="14847" xr:uid="{00000000-0005-0000-0000-0000E08C0000}"/>
    <cellStyle name="Total 2 3 2 5 3" xfId="14433" xr:uid="{00000000-0005-0000-0000-0000E18C0000}"/>
    <cellStyle name="Total 2 3 2 5 4" xfId="15021" xr:uid="{00000000-0005-0000-0000-0000E28C0000}"/>
    <cellStyle name="Total 2 3 2 5 5" xfId="14013" xr:uid="{00000000-0005-0000-0000-0000E38C0000}"/>
    <cellStyle name="Total 2 3 2 5 6" xfId="15035" xr:uid="{00000000-0005-0000-0000-0000E48C0000}"/>
    <cellStyle name="Total 2 3 2 5 7" xfId="15369" xr:uid="{00000000-0005-0000-0000-0000E58C0000}"/>
    <cellStyle name="Total 2 3 2 5 8" xfId="15563" xr:uid="{00000000-0005-0000-0000-0000E68C0000}"/>
    <cellStyle name="Total 2 3 2 5 9" xfId="18850" xr:uid="{00000000-0005-0000-0000-0000E78C0000}"/>
    <cellStyle name="Total 2 3 2 6" xfId="13841" xr:uid="{00000000-0005-0000-0000-0000E88C0000}"/>
    <cellStyle name="Total 2 3 2 7" xfId="14364" xr:uid="{00000000-0005-0000-0000-0000E98C0000}"/>
    <cellStyle name="Total 2 3 2 8" xfId="13845" xr:uid="{00000000-0005-0000-0000-0000EA8C0000}"/>
    <cellStyle name="Total 2 3 2 9" xfId="14317" xr:uid="{00000000-0005-0000-0000-0000EB8C0000}"/>
    <cellStyle name="Total 2 3 20" xfId="27614" xr:uid="{00000000-0005-0000-0000-0000EC8C0000}"/>
    <cellStyle name="Total 2 3 21" xfId="26593" xr:uid="{00000000-0005-0000-0000-0000ED8C0000}"/>
    <cellStyle name="Total 2 3 22" xfId="35377" xr:uid="{00000000-0005-0000-0000-0000EE8C0000}"/>
    <cellStyle name="Total 2 3 3" xfId="13269" xr:uid="{00000000-0005-0000-0000-0000EF8C0000}"/>
    <cellStyle name="Total 2 3 3 10" xfId="15386" xr:uid="{00000000-0005-0000-0000-0000F08C0000}"/>
    <cellStyle name="Total 2 3 3 11" xfId="27190" xr:uid="{00000000-0005-0000-0000-0000F18C0000}"/>
    <cellStyle name="Total 2 3 3 12" xfId="26004" xr:uid="{00000000-0005-0000-0000-0000F28C0000}"/>
    <cellStyle name="Total 2 3 3 13" xfId="26233" xr:uid="{00000000-0005-0000-0000-0000F38C0000}"/>
    <cellStyle name="Total 2 3 3 14" xfId="26748" xr:uid="{00000000-0005-0000-0000-0000F48C0000}"/>
    <cellStyle name="Total 2 3 3 15" xfId="26668" xr:uid="{00000000-0005-0000-0000-0000F58C0000}"/>
    <cellStyle name="Total 2 3 3 16" xfId="26228" xr:uid="{00000000-0005-0000-0000-0000F68C0000}"/>
    <cellStyle name="Total 2 3 3 17" xfId="35466" xr:uid="{00000000-0005-0000-0000-0000F78C0000}"/>
    <cellStyle name="Total 2 3 3 2" xfId="15713" xr:uid="{00000000-0005-0000-0000-0000F88C0000}"/>
    <cellStyle name="Total 2 3 3 3" xfId="15194" xr:uid="{00000000-0005-0000-0000-0000F98C0000}"/>
    <cellStyle name="Total 2 3 3 4" xfId="14794" xr:uid="{00000000-0005-0000-0000-0000FA8C0000}"/>
    <cellStyle name="Total 2 3 3 5" xfId="13436" xr:uid="{00000000-0005-0000-0000-0000FB8C0000}"/>
    <cellStyle name="Total 2 3 3 6" xfId="13944" xr:uid="{00000000-0005-0000-0000-0000FC8C0000}"/>
    <cellStyle name="Total 2 3 3 7" xfId="14603" xr:uid="{00000000-0005-0000-0000-0000FD8C0000}"/>
    <cellStyle name="Total 2 3 3 8" xfId="14750" xr:uid="{00000000-0005-0000-0000-0000FE8C0000}"/>
    <cellStyle name="Total 2 3 3 9" xfId="15375" xr:uid="{00000000-0005-0000-0000-0000FF8C0000}"/>
    <cellStyle name="Total 2 3 4" xfId="13270" xr:uid="{00000000-0005-0000-0000-0000008D0000}"/>
    <cellStyle name="Total 2 3 4 10" xfId="14682" xr:uid="{00000000-0005-0000-0000-0000018D0000}"/>
    <cellStyle name="Total 2 3 4 11" xfId="27140" xr:uid="{00000000-0005-0000-0000-0000028D0000}"/>
    <cellStyle name="Total 2 3 4 12" xfId="26144" xr:uid="{00000000-0005-0000-0000-0000038D0000}"/>
    <cellStyle name="Total 2 3 4 13" xfId="27767" xr:uid="{00000000-0005-0000-0000-0000048D0000}"/>
    <cellStyle name="Total 2 3 4 14" xfId="26771" xr:uid="{00000000-0005-0000-0000-0000058D0000}"/>
    <cellStyle name="Total 2 3 4 15" xfId="27821" xr:uid="{00000000-0005-0000-0000-0000068D0000}"/>
    <cellStyle name="Total 2 3 4 16" xfId="27000" xr:uid="{00000000-0005-0000-0000-0000078D0000}"/>
    <cellStyle name="Total 2 3 4 17" xfId="35295" xr:uid="{00000000-0005-0000-0000-0000088D0000}"/>
    <cellStyle name="Total 2 3 4 2" xfId="14890" xr:uid="{00000000-0005-0000-0000-0000098D0000}"/>
    <cellStyle name="Total 2 3 4 3" xfId="14424" xr:uid="{00000000-0005-0000-0000-00000A8D0000}"/>
    <cellStyle name="Total 2 3 4 4" xfId="15285" xr:uid="{00000000-0005-0000-0000-00000B8D0000}"/>
    <cellStyle name="Total 2 3 4 5" xfId="14738" xr:uid="{00000000-0005-0000-0000-00000C8D0000}"/>
    <cellStyle name="Total 2 3 4 6" xfId="14668" xr:uid="{00000000-0005-0000-0000-00000D8D0000}"/>
    <cellStyle name="Total 2 3 4 7" xfId="15472" xr:uid="{00000000-0005-0000-0000-00000E8D0000}"/>
    <cellStyle name="Total 2 3 4 8" xfId="15255" xr:uid="{00000000-0005-0000-0000-00000F8D0000}"/>
    <cellStyle name="Total 2 3 4 9" xfId="14960" xr:uid="{00000000-0005-0000-0000-0000108D0000}"/>
    <cellStyle name="Total 2 3 5" xfId="13271" xr:uid="{00000000-0005-0000-0000-0000118D0000}"/>
    <cellStyle name="Total 2 3 5 10" xfId="14709" xr:uid="{00000000-0005-0000-0000-0000128D0000}"/>
    <cellStyle name="Total 2 3 5 11" xfId="27145" xr:uid="{00000000-0005-0000-0000-0000138D0000}"/>
    <cellStyle name="Total 2 3 5 12" xfId="25974" xr:uid="{00000000-0005-0000-0000-0000148D0000}"/>
    <cellStyle name="Total 2 3 5 13" xfId="27026" xr:uid="{00000000-0005-0000-0000-0000158D0000}"/>
    <cellStyle name="Total 2 3 5 14" xfId="27369" xr:uid="{00000000-0005-0000-0000-0000168D0000}"/>
    <cellStyle name="Total 2 3 5 15" xfId="27454" xr:uid="{00000000-0005-0000-0000-0000178D0000}"/>
    <cellStyle name="Total 2 3 5 16" xfId="26903" xr:uid="{00000000-0005-0000-0000-0000188D0000}"/>
    <cellStyle name="Total 2 3 5 17" xfId="35299" xr:uid="{00000000-0005-0000-0000-0000198D0000}"/>
    <cellStyle name="Total 2 3 5 2" xfId="15692" xr:uid="{00000000-0005-0000-0000-00001A8D0000}"/>
    <cellStyle name="Total 2 3 5 3" xfId="13755" xr:uid="{00000000-0005-0000-0000-00001B8D0000}"/>
    <cellStyle name="Total 2 3 5 4" xfId="15540" xr:uid="{00000000-0005-0000-0000-00001C8D0000}"/>
    <cellStyle name="Total 2 3 5 5" xfId="15493" xr:uid="{00000000-0005-0000-0000-00001D8D0000}"/>
    <cellStyle name="Total 2 3 5 6" xfId="15006" xr:uid="{00000000-0005-0000-0000-00001E8D0000}"/>
    <cellStyle name="Total 2 3 5 7" xfId="14704" xr:uid="{00000000-0005-0000-0000-00001F8D0000}"/>
    <cellStyle name="Total 2 3 5 8" xfId="14455" xr:uid="{00000000-0005-0000-0000-0000208D0000}"/>
    <cellStyle name="Total 2 3 5 9" xfId="13941" xr:uid="{00000000-0005-0000-0000-0000218D0000}"/>
    <cellStyle name="Total 2 3 6" xfId="13272" xr:uid="{00000000-0005-0000-0000-0000228D0000}"/>
    <cellStyle name="Total 2 3 6 10" xfId="15184" xr:uid="{00000000-0005-0000-0000-0000238D0000}"/>
    <cellStyle name="Total 2 3 6 11" xfId="27715" xr:uid="{00000000-0005-0000-0000-0000248D0000}"/>
    <cellStyle name="Total 2 3 6 12" xfId="28334" xr:uid="{00000000-0005-0000-0000-0000258D0000}"/>
    <cellStyle name="Total 2 3 6 13" xfId="27307" xr:uid="{00000000-0005-0000-0000-0000268D0000}"/>
    <cellStyle name="Total 2 3 6 14" xfId="26548" xr:uid="{00000000-0005-0000-0000-0000278D0000}"/>
    <cellStyle name="Total 2 3 6 15" xfId="27057" xr:uid="{00000000-0005-0000-0000-0000288D0000}"/>
    <cellStyle name="Total 2 3 6 16" xfId="27626" xr:uid="{00000000-0005-0000-0000-0000298D0000}"/>
    <cellStyle name="Total 2 3 6 17" xfId="35439" xr:uid="{00000000-0005-0000-0000-00002A8D0000}"/>
    <cellStyle name="Total 2 3 6 2" xfId="15687" xr:uid="{00000000-0005-0000-0000-00002B8D0000}"/>
    <cellStyle name="Total 2 3 6 3" xfId="13768" xr:uid="{00000000-0005-0000-0000-00002C8D0000}"/>
    <cellStyle name="Total 2 3 6 4" xfId="15538" xr:uid="{00000000-0005-0000-0000-00002D8D0000}"/>
    <cellStyle name="Total 2 3 6 5" xfId="15250" xr:uid="{00000000-0005-0000-0000-00002E8D0000}"/>
    <cellStyle name="Total 2 3 6 6" xfId="16369" xr:uid="{00000000-0005-0000-0000-00002F8D0000}"/>
    <cellStyle name="Total 2 3 6 7" xfId="14369" xr:uid="{00000000-0005-0000-0000-0000308D0000}"/>
    <cellStyle name="Total 2 3 6 8" xfId="14776" xr:uid="{00000000-0005-0000-0000-0000318D0000}"/>
    <cellStyle name="Total 2 3 6 9" xfId="13529" xr:uid="{00000000-0005-0000-0000-0000328D0000}"/>
    <cellStyle name="Total 2 3 7" xfId="13866" xr:uid="{00000000-0005-0000-0000-0000338D0000}"/>
    <cellStyle name="Total 2 3 8" xfId="15145" xr:uid="{00000000-0005-0000-0000-0000348D0000}"/>
    <cellStyle name="Total 2 3 9" xfId="14336" xr:uid="{00000000-0005-0000-0000-0000358D0000}"/>
    <cellStyle name="Total 2 4" xfId="13273" xr:uid="{00000000-0005-0000-0000-0000368D0000}"/>
    <cellStyle name="Total 2 4 10" xfId="14343" xr:uid="{00000000-0005-0000-0000-0000378D0000}"/>
    <cellStyle name="Total 2 4 11" xfId="15124" xr:uid="{00000000-0005-0000-0000-0000388D0000}"/>
    <cellStyle name="Total 2 4 12" xfId="14462" xr:uid="{00000000-0005-0000-0000-0000398D0000}"/>
    <cellStyle name="Total 2 4 13" xfId="13888" xr:uid="{00000000-0005-0000-0000-00003A8D0000}"/>
    <cellStyle name="Total 2 4 14" xfId="19914" xr:uid="{00000000-0005-0000-0000-00003B8D0000}"/>
    <cellStyle name="Total 2 4 15" xfId="14705" xr:uid="{00000000-0005-0000-0000-00003C8D0000}"/>
    <cellStyle name="Total 2 4 16" xfId="27270" xr:uid="{00000000-0005-0000-0000-00003D8D0000}"/>
    <cellStyle name="Total 2 4 17" xfId="26669" xr:uid="{00000000-0005-0000-0000-00003E8D0000}"/>
    <cellStyle name="Total 2 4 18" xfId="27467" xr:uid="{00000000-0005-0000-0000-00003F8D0000}"/>
    <cellStyle name="Total 2 4 19" xfId="26807" xr:uid="{00000000-0005-0000-0000-0000408D0000}"/>
    <cellStyle name="Total 2 4 2" xfId="13274" xr:uid="{00000000-0005-0000-0000-0000418D0000}"/>
    <cellStyle name="Total 2 4 2 10" xfId="14540" xr:uid="{00000000-0005-0000-0000-0000428D0000}"/>
    <cellStyle name="Total 2 4 2 11" xfId="13830" xr:uid="{00000000-0005-0000-0000-0000438D0000}"/>
    <cellStyle name="Total 2 4 2 12" xfId="14955" xr:uid="{00000000-0005-0000-0000-0000448D0000}"/>
    <cellStyle name="Total 2 4 2 13" xfId="20945" xr:uid="{00000000-0005-0000-0000-0000458D0000}"/>
    <cellStyle name="Total 2 4 2 14" xfId="13886" xr:uid="{00000000-0005-0000-0000-0000468D0000}"/>
    <cellStyle name="Total 2 4 2 15" xfId="27776" xr:uid="{00000000-0005-0000-0000-0000478D0000}"/>
    <cellStyle name="Total 2 4 2 16" xfId="27245" xr:uid="{00000000-0005-0000-0000-0000488D0000}"/>
    <cellStyle name="Total 2 4 2 17" xfId="26190" xr:uid="{00000000-0005-0000-0000-0000498D0000}"/>
    <cellStyle name="Total 2 4 2 18" xfId="27558" xr:uid="{00000000-0005-0000-0000-00004A8D0000}"/>
    <cellStyle name="Total 2 4 2 19" xfId="27444" xr:uid="{00000000-0005-0000-0000-00004B8D0000}"/>
    <cellStyle name="Total 2 4 2 2" xfId="13275" xr:uid="{00000000-0005-0000-0000-00004C8D0000}"/>
    <cellStyle name="Total 2 4 2 2 10" xfId="15625" xr:uid="{00000000-0005-0000-0000-00004D8D0000}"/>
    <cellStyle name="Total 2 4 2 2 11" xfId="26046" xr:uid="{00000000-0005-0000-0000-00004E8D0000}"/>
    <cellStyle name="Total 2 4 2 2 12" xfId="26653" xr:uid="{00000000-0005-0000-0000-00004F8D0000}"/>
    <cellStyle name="Total 2 4 2 2 13" xfId="26738" xr:uid="{00000000-0005-0000-0000-0000508D0000}"/>
    <cellStyle name="Total 2 4 2 2 14" xfId="26603" xr:uid="{00000000-0005-0000-0000-0000518D0000}"/>
    <cellStyle name="Total 2 4 2 2 15" xfId="27408" xr:uid="{00000000-0005-0000-0000-0000528D0000}"/>
    <cellStyle name="Total 2 4 2 2 16" xfId="35321" xr:uid="{00000000-0005-0000-0000-0000538D0000}"/>
    <cellStyle name="Total 2 4 2 2 2" xfId="14917" xr:uid="{00000000-0005-0000-0000-0000548D0000}"/>
    <cellStyle name="Total 2 4 2 2 3" xfId="14041" xr:uid="{00000000-0005-0000-0000-0000558D0000}"/>
    <cellStyle name="Total 2 4 2 2 4" xfId="14305" xr:uid="{00000000-0005-0000-0000-0000568D0000}"/>
    <cellStyle name="Total 2 4 2 2 5" xfId="15439" xr:uid="{00000000-0005-0000-0000-0000578D0000}"/>
    <cellStyle name="Total 2 4 2 2 6" xfId="15230" xr:uid="{00000000-0005-0000-0000-0000588D0000}"/>
    <cellStyle name="Total 2 4 2 2 7" xfId="15169" xr:uid="{00000000-0005-0000-0000-0000598D0000}"/>
    <cellStyle name="Total 2 4 2 2 8" xfId="13695" xr:uid="{00000000-0005-0000-0000-00005A8D0000}"/>
    <cellStyle name="Total 2 4 2 2 9" xfId="14762" xr:uid="{00000000-0005-0000-0000-00005B8D0000}"/>
    <cellStyle name="Total 2 4 2 20" xfId="35360" xr:uid="{00000000-0005-0000-0000-00005C8D0000}"/>
    <cellStyle name="Total 2 4 2 3" xfId="13276" xr:uid="{00000000-0005-0000-0000-00005D8D0000}"/>
    <cellStyle name="Total 2 4 2 3 10" xfId="15039" xr:uid="{00000000-0005-0000-0000-00005E8D0000}"/>
    <cellStyle name="Total 2 4 2 3 11" xfId="27701" xr:uid="{00000000-0005-0000-0000-00005F8D0000}"/>
    <cellStyle name="Total 2 4 2 3 12" xfId="27022" xr:uid="{00000000-0005-0000-0000-0000608D0000}"/>
    <cellStyle name="Total 2 4 2 3 13" xfId="27434" xr:uid="{00000000-0005-0000-0000-0000618D0000}"/>
    <cellStyle name="Total 2 4 2 3 14" xfId="26161" xr:uid="{00000000-0005-0000-0000-0000628D0000}"/>
    <cellStyle name="Total 2 4 2 3 15" xfId="27289" xr:uid="{00000000-0005-0000-0000-0000638D0000}"/>
    <cellStyle name="Total 2 4 2 3 16" xfId="35425" xr:uid="{00000000-0005-0000-0000-0000648D0000}"/>
    <cellStyle name="Total 2 4 2 3 2" xfId="14870" xr:uid="{00000000-0005-0000-0000-0000658D0000}"/>
    <cellStyle name="Total 2 4 2 3 3" xfId="15858" xr:uid="{00000000-0005-0000-0000-0000668D0000}"/>
    <cellStyle name="Total 2 4 2 3 4" xfId="14320" xr:uid="{00000000-0005-0000-0000-0000678D0000}"/>
    <cellStyle name="Total 2 4 2 3 5" xfId="13674" xr:uid="{00000000-0005-0000-0000-0000688D0000}"/>
    <cellStyle name="Total 2 4 2 3 6" xfId="13397" xr:uid="{00000000-0005-0000-0000-0000698D0000}"/>
    <cellStyle name="Total 2 4 2 3 7" xfId="15603" xr:uid="{00000000-0005-0000-0000-00006A8D0000}"/>
    <cellStyle name="Total 2 4 2 3 8" xfId="14589" xr:uid="{00000000-0005-0000-0000-00006B8D0000}"/>
    <cellStyle name="Total 2 4 2 3 9" xfId="21901" xr:uid="{00000000-0005-0000-0000-00006C8D0000}"/>
    <cellStyle name="Total 2 4 2 4" xfId="13277" xr:uid="{00000000-0005-0000-0000-00006D8D0000}"/>
    <cellStyle name="Total 2 4 2 4 10" xfId="15036" xr:uid="{00000000-0005-0000-0000-00006E8D0000}"/>
    <cellStyle name="Total 2 4 2 4 11" xfId="26042" xr:uid="{00000000-0005-0000-0000-00006F8D0000}"/>
    <cellStyle name="Total 2 4 2 4 12" xfId="26022" xr:uid="{00000000-0005-0000-0000-0000708D0000}"/>
    <cellStyle name="Total 2 4 2 4 13" xfId="27487" xr:uid="{00000000-0005-0000-0000-0000718D0000}"/>
    <cellStyle name="Total 2 4 2 4 14" xfId="28747" xr:uid="{00000000-0005-0000-0000-0000728D0000}"/>
    <cellStyle name="Total 2 4 2 4 15" xfId="27576" xr:uid="{00000000-0005-0000-0000-0000738D0000}"/>
    <cellStyle name="Total 2 4 2 4 16" xfId="35301" xr:uid="{00000000-0005-0000-0000-0000748D0000}"/>
    <cellStyle name="Total 2 4 2 4 2" xfId="14901" xr:uid="{00000000-0005-0000-0000-0000758D0000}"/>
    <cellStyle name="Total 2 4 2 4 3" xfId="13751" xr:uid="{00000000-0005-0000-0000-0000768D0000}"/>
    <cellStyle name="Total 2 4 2 4 4" xfId="15541" xr:uid="{00000000-0005-0000-0000-0000778D0000}"/>
    <cellStyle name="Total 2 4 2 4 5" xfId="14552" xr:uid="{00000000-0005-0000-0000-0000788D0000}"/>
    <cellStyle name="Total 2 4 2 4 6" xfId="15815" xr:uid="{00000000-0005-0000-0000-0000798D0000}"/>
    <cellStyle name="Total 2 4 2 4 7" xfId="17864" xr:uid="{00000000-0005-0000-0000-00007A8D0000}"/>
    <cellStyle name="Total 2 4 2 4 8" xfId="14728" xr:uid="{00000000-0005-0000-0000-00007B8D0000}"/>
    <cellStyle name="Total 2 4 2 4 9" xfId="14716" xr:uid="{00000000-0005-0000-0000-00007C8D0000}"/>
    <cellStyle name="Total 2 4 2 5" xfId="13278" xr:uid="{00000000-0005-0000-0000-00007D8D0000}"/>
    <cellStyle name="Total 2 4 2 5 10" xfId="13451" xr:uid="{00000000-0005-0000-0000-00007E8D0000}"/>
    <cellStyle name="Total 2 4 2 5 11" xfId="27100" xr:uid="{00000000-0005-0000-0000-00007F8D0000}"/>
    <cellStyle name="Total 2 4 2 5 12" xfId="26275" xr:uid="{00000000-0005-0000-0000-0000808D0000}"/>
    <cellStyle name="Total 2 4 2 5 13" xfId="27352" xr:uid="{00000000-0005-0000-0000-0000818D0000}"/>
    <cellStyle name="Total 2 4 2 5 14" xfId="27411" xr:uid="{00000000-0005-0000-0000-0000828D0000}"/>
    <cellStyle name="Total 2 4 2 5 15" xfId="27761" xr:uid="{00000000-0005-0000-0000-0000838D0000}"/>
    <cellStyle name="Total 2 4 2 5 16" xfId="34853" xr:uid="{00000000-0005-0000-0000-0000848D0000}"/>
    <cellStyle name="Total 2 4 2 5 2" xfId="14857" xr:uid="{00000000-0005-0000-0000-0000858D0000}"/>
    <cellStyle name="Total 2 4 2 5 3" xfId="13946" xr:uid="{00000000-0005-0000-0000-0000868D0000}"/>
    <cellStyle name="Total 2 4 2 5 4" xfId="15532" xr:uid="{00000000-0005-0000-0000-0000878D0000}"/>
    <cellStyle name="Total 2 4 2 5 5" xfId="15252" xr:uid="{00000000-0005-0000-0000-0000888D0000}"/>
    <cellStyle name="Total 2 4 2 5 6" xfId="15009" xr:uid="{00000000-0005-0000-0000-0000898D0000}"/>
    <cellStyle name="Total 2 4 2 5 7" xfId="14146" xr:uid="{00000000-0005-0000-0000-00008A8D0000}"/>
    <cellStyle name="Total 2 4 2 5 8" xfId="15037" xr:uid="{00000000-0005-0000-0000-00008B8D0000}"/>
    <cellStyle name="Total 2 4 2 5 9" xfId="14235" xr:uid="{00000000-0005-0000-0000-00008C8D0000}"/>
    <cellStyle name="Total 2 4 2 6" xfId="15789" xr:uid="{00000000-0005-0000-0000-00008D8D0000}"/>
    <cellStyle name="Total 2 4 2 7" xfId="15174" xr:uid="{00000000-0005-0000-0000-00008E8D0000}"/>
    <cellStyle name="Total 2 4 2 8" xfId="13462" xr:uid="{00000000-0005-0000-0000-00008F8D0000}"/>
    <cellStyle name="Total 2 4 2 9" xfId="13475" xr:uid="{00000000-0005-0000-0000-0000908D0000}"/>
    <cellStyle name="Total 2 4 20" xfId="31832" xr:uid="{00000000-0005-0000-0000-0000918D0000}"/>
    <cellStyle name="Total 2 4 21" xfId="35376" xr:uid="{00000000-0005-0000-0000-0000928D0000}"/>
    <cellStyle name="Total 2 4 3" xfId="13279" xr:uid="{00000000-0005-0000-0000-0000938D0000}"/>
    <cellStyle name="Total 2 4 3 10" xfId="14217" xr:uid="{00000000-0005-0000-0000-0000948D0000}"/>
    <cellStyle name="Total 2 4 3 11" xfId="27189" xr:uid="{00000000-0005-0000-0000-0000958D0000}"/>
    <cellStyle name="Total 2 4 3 12" xfId="26053" xr:uid="{00000000-0005-0000-0000-0000968D0000}"/>
    <cellStyle name="Total 2 4 3 13" xfId="26539" xr:uid="{00000000-0005-0000-0000-0000978D0000}"/>
    <cellStyle name="Total 2 4 3 14" xfId="26895" xr:uid="{00000000-0005-0000-0000-0000988D0000}"/>
    <cellStyle name="Total 2 4 3 15" xfId="26877" xr:uid="{00000000-0005-0000-0000-0000998D0000}"/>
    <cellStyle name="Total 2 4 3 16" xfId="35344" xr:uid="{00000000-0005-0000-0000-00009A8D0000}"/>
    <cellStyle name="Total 2 4 3 2" xfId="14933" xr:uid="{00000000-0005-0000-0000-00009B8D0000}"/>
    <cellStyle name="Total 2 4 3 3" xfId="13716" xr:uid="{00000000-0005-0000-0000-00009C8D0000}"/>
    <cellStyle name="Total 2 4 3 4" xfId="14201" xr:uid="{00000000-0005-0000-0000-00009D8D0000}"/>
    <cellStyle name="Total 2 4 3 5" xfId="13518" xr:uid="{00000000-0005-0000-0000-00009E8D0000}"/>
    <cellStyle name="Total 2 4 3 6" xfId="14766" xr:uid="{00000000-0005-0000-0000-00009F8D0000}"/>
    <cellStyle name="Total 2 4 3 7" xfId="15095" xr:uid="{00000000-0005-0000-0000-0000A08D0000}"/>
    <cellStyle name="Total 2 4 3 8" xfId="15241" xr:uid="{00000000-0005-0000-0000-0000A18D0000}"/>
    <cellStyle name="Total 2 4 3 9" xfId="15738" xr:uid="{00000000-0005-0000-0000-0000A28D0000}"/>
    <cellStyle name="Total 2 4 4" xfId="13280" xr:uid="{00000000-0005-0000-0000-0000A38D0000}"/>
    <cellStyle name="Total 2 4 4 10" xfId="14799" xr:uid="{00000000-0005-0000-0000-0000A48D0000}"/>
    <cellStyle name="Total 2 4 4 11" xfId="27139" xr:uid="{00000000-0005-0000-0000-0000A58D0000}"/>
    <cellStyle name="Total 2 4 4 12" xfId="26018" xr:uid="{00000000-0005-0000-0000-0000A68D0000}"/>
    <cellStyle name="Total 2 4 4 13" xfId="26549" xr:uid="{00000000-0005-0000-0000-0000A78D0000}"/>
    <cellStyle name="Total 2 4 4 14" xfId="27451" xr:uid="{00000000-0005-0000-0000-0000A88D0000}"/>
    <cellStyle name="Total 2 4 4 15" xfId="26842" xr:uid="{00000000-0005-0000-0000-0000A98D0000}"/>
    <cellStyle name="Total 2 4 4 16" xfId="35438" xr:uid="{00000000-0005-0000-0000-0000AA8D0000}"/>
    <cellStyle name="Total 2 4 4 2" xfId="14889" xr:uid="{00000000-0005-0000-0000-0000AB8D0000}"/>
    <cellStyle name="Total 2 4 4 3" xfId="15411" xr:uid="{00000000-0005-0000-0000-0000AC8D0000}"/>
    <cellStyle name="Total 2 4 4 4" xfId="14629" xr:uid="{00000000-0005-0000-0000-0000AD8D0000}"/>
    <cellStyle name="Total 2 4 4 5" xfId="15495" xr:uid="{00000000-0005-0000-0000-0000AE8D0000}"/>
    <cellStyle name="Total 2 4 4 6" xfId="14765" xr:uid="{00000000-0005-0000-0000-0000AF8D0000}"/>
    <cellStyle name="Total 2 4 4 7" xfId="13627" xr:uid="{00000000-0005-0000-0000-0000B08D0000}"/>
    <cellStyle name="Total 2 4 4 8" xfId="14780" xr:uid="{00000000-0005-0000-0000-0000B18D0000}"/>
    <cellStyle name="Total 2 4 4 9" xfId="13642" xr:uid="{00000000-0005-0000-0000-0000B28D0000}"/>
    <cellStyle name="Total 2 4 5" xfId="13281" xr:uid="{00000000-0005-0000-0000-0000B38D0000}"/>
    <cellStyle name="Total 2 4 5 10" xfId="13606" xr:uid="{00000000-0005-0000-0000-0000B48D0000}"/>
    <cellStyle name="Total 2 4 5 11" xfId="27144" xr:uid="{00000000-0005-0000-0000-0000B58D0000}"/>
    <cellStyle name="Total 2 4 5 12" xfId="26510" xr:uid="{00000000-0005-0000-0000-0000B68D0000}"/>
    <cellStyle name="Total 2 4 5 13" xfId="25998" xr:uid="{00000000-0005-0000-0000-0000B78D0000}"/>
    <cellStyle name="Total 2 4 5 14" xfId="27546" xr:uid="{00000000-0005-0000-0000-0000B88D0000}"/>
    <cellStyle name="Total 2 4 5 15" xfId="25927" xr:uid="{00000000-0005-0000-0000-0000B98D0000}"/>
    <cellStyle name="Total 2 4 5 16" xfId="34884" xr:uid="{00000000-0005-0000-0000-0000BA8D0000}"/>
    <cellStyle name="Total 2 4 5 2" xfId="14898" xr:uid="{00000000-0005-0000-0000-0000BB8D0000}"/>
    <cellStyle name="Total 2 4 5 3" xfId="13756" xr:uid="{00000000-0005-0000-0000-0000BC8D0000}"/>
    <cellStyle name="Total 2 4 5 4" xfId="14632" xr:uid="{00000000-0005-0000-0000-0000BD8D0000}"/>
    <cellStyle name="Total 2 4 5 5" xfId="14138" xr:uid="{00000000-0005-0000-0000-0000BE8D0000}"/>
    <cellStyle name="Total 2 4 5 6" xfId="14108" xr:uid="{00000000-0005-0000-0000-0000BF8D0000}"/>
    <cellStyle name="Total 2 4 5 7" xfId="15782" xr:uid="{00000000-0005-0000-0000-0000C08D0000}"/>
    <cellStyle name="Total 2 4 5 8" xfId="13786" xr:uid="{00000000-0005-0000-0000-0000C18D0000}"/>
    <cellStyle name="Total 2 4 5 9" xfId="15050" xr:uid="{00000000-0005-0000-0000-0000C28D0000}"/>
    <cellStyle name="Total 2 4 6" xfId="13282" xr:uid="{00000000-0005-0000-0000-0000C38D0000}"/>
    <cellStyle name="Total 2 4 6 10" xfId="14233" xr:uid="{00000000-0005-0000-0000-0000C48D0000}"/>
    <cellStyle name="Total 2 4 6 11" xfId="25904" xr:uid="{00000000-0005-0000-0000-0000C58D0000}"/>
    <cellStyle name="Total 2 4 6 12" xfId="27757" xr:uid="{00000000-0005-0000-0000-0000C68D0000}"/>
    <cellStyle name="Total 2 4 6 13" xfId="27855" xr:uid="{00000000-0005-0000-0000-0000C78D0000}"/>
    <cellStyle name="Total 2 4 6 14" xfId="26411" xr:uid="{00000000-0005-0000-0000-0000C88D0000}"/>
    <cellStyle name="Total 2 4 6 15" xfId="27290" xr:uid="{00000000-0005-0000-0000-0000C98D0000}"/>
    <cellStyle name="Total 2 4 6 16" xfId="35256" xr:uid="{00000000-0005-0000-0000-0000CA8D0000}"/>
    <cellStyle name="Total 2 4 6 2" xfId="15674" xr:uid="{00000000-0005-0000-0000-0000CB8D0000}"/>
    <cellStyle name="Total 2 4 6 3" xfId="14064" xr:uid="{00000000-0005-0000-0000-0000CC8D0000}"/>
    <cellStyle name="Total 2 4 6 4" xfId="15155" xr:uid="{00000000-0005-0000-0000-0000CD8D0000}"/>
    <cellStyle name="Total 2 4 6 5" xfId="15224" xr:uid="{00000000-0005-0000-0000-0000CE8D0000}"/>
    <cellStyle name="Total 2 4 6 6" xfId="15666" xr:uid="{00000000-0005-0000-0000-0000CF8D0000}"/>
    <cellStyle name="Total 2 4 6 7" xfId="14778" xr:uid="{00000000-0005-0000-0000-0000D08D0000}"/>
    <cellStyle name="Total 2 4 6 8" xfId="13895" xr:uid="{00000000-0005-0000-0000-0000D18D0000}"/>
    <cellStyle name="Total 2 4 6 9" xfId="15040" xr:uid="{00000000-0005-0000-0000-0000D28D0000}"/>
    <cellStyle name="Total 2 4 7" xfId="13865" xr:uid="{00000000-0005-0000-0000-0000D38D0000}"/>
    <cellStyle name="Total 2 4 8" xfId="13988" xr:uid="{00000000-0005-0000-0000-0000D48D0000}"/>
    <cellStyle name="Total 2 4 9" xfId="13935" xr:uid="{00000000-0005-0000-0000-0000D58D0000}"/>
    <cellStyle name="Total 2 5" xfId="13283" xr:uid="{00000000-0005-0000-0000-0000D68D0000}"/>
    <cellStyle name="Total 2 5 10" xfId="18908" xr:uid="{00000000-0005-0000-0000-0000D78D0000}"/>
    <cellStyle name="Total 2 5 11" xfId="19916" xr:uid="{00000000-0005-0000-0000-0000D88D0000}"/>
    <cellStyle name="Total 2 5 12" xfId="20951" xr:uid="{00000000-0005-0000-0000-0000D98D0000}"/>
    <cellStyle name="Total 2 5 13" xfId="14520" xr:uid="{00000000-0005-0000-0000-0000DA8D0000}"/>
    <cellStyle name="Total 2 5 14" xfId="22908" xr:uid="{00000000-0005-0000-0000-0000DB8D0000}"/>
    <cellStyle name="Total 2 5 15" xfId="26089" xr:uid="{00000000-0005-0000-0000-0000DC8D0000}"/>
    <cellStyle name="Total 2 5 16" xfId="26238" xr:uid="{00000000-0005-0000-0000-0000DD8D0000}"/>
    <cellStyle name="Total 2 5 17" xfId="27838" xr:uid="{00000000-0005-0000-0000-0000DE8D0000}"/>
    <cellStyle name="Total 2 5 18" xfId="27148" xr:uid="{00000000-0005-0000-0000-0000DF8D0000}"/>
    <cellStyle name="Total 2 5 19" xfId="26611" xr:uid="{00000000-0005-0000-0000-0000E08D0000}"/>
    <cellStyle name="Total 2 5 2" xfId="13284" xr:uid="{00000000-0005-0000-0000-0000E18D0000}"/>
    <cellStyle name="Total 2 5 2 10" xfId="15335" xr:uid="{00000000-0005-0000-0000-0000E28D0000}"/>
    <cellStyle name="Total 2 5 2 11" xfId="26310" xr:uid="{00000000-0005-0000-0000-0000E38D0000}"/>
    <cellStyle name="Total 2 5 2 12" xfId="27181" xr:uid="{00000000-0005-0000-0000-0000E48D0000}"/>
    <cellStyle name="Total 2 5 2 13" xfId="26052" xr:uid="{00000000-0005-0000-0000-0000E58D0000}"/>
    <cellStyle name="Total 2 5 2 14" xfId="25997" xr:uid="{00000000-0005-0000-0000-0000E68D0000}"/>
    <cellStyle name="Total 2 5 2 15" xfId="26894" xr:uid="{00000000-0005-0000-0000-0000E78D0000}"/>
    <cellStyle name="Total 2 5 2 16" xfId="27437" xr:uid="{00000000-0005-0000-0000-0000E88D0000}"/>
    <cellStyle name="Total 2 5 2 17" xfId="35006" xr:uid="{00000000-0005-0000-0000-0000E98D0000}"/>
    <cellStyle name="Total 2 5 2 18" xfId="35335" xr:uid="{00000000-0005-0000-0000-0000EA8D0000}"/>
    <cellStyle name="Total 2 5 2 2" xfId="13618" xr:uid="{00000000-0005-0000-0000-0000EB8D0000}"/>
    <cellStyle name="Total 2 5 2 3" xfId="13725" xr:uid="{00000000-0005-0000-0000-0000EC8D0000}"/>
    <cellStyle name="Total 2 5 2 4" xfId="14637" xr:uid="{00000000-0005-0000-0000-0000ED8D0000}"/>
    <cellStyle name="Total 2 5 2 5" xfId="13891" xr:uid="{00000000-0005-0000-0000-0000EE8D0000}"/>
    <cellStyle name="Total 2 5 2 6" xfId="15370" xr:uid="{00000000-0005-0000-0000-0000EF8D0000}"/>
    <cellStyle name="Total 2 5 2 7" xfId="14154" xr:uid="{00000000-0005-0000-0000-0000F08D0000}"/>
    <cellStyle name="Total 2 5 2 8" xfId="15449" xr:uid="{00000000-0005-0000-0000-0000F18D0000}"/>
    <cellStyle name="Total 2 5 2 9" xfId="15504" xr:uid="{00000000-0005-0000-0000-0000F28D0000}"/>
    <cellStyle name="Total 2 5 20" xfId="30844" xr:uid="{00000000-0005-0000-0000-0000F38D0000}"/>
    <cellStyle name="Total 2 5 21" xfId="26216" xr:uid="{00000000-0005-0000-0000-0000F48D0000}"/>
    <cellStyle name="Total 2 5 22" xfId="34949" xr:uid="{00000000-0005-0000-0000-0000F58D0000}"/>
    <cellStyle name="Total 2 5 23" xfId="34891" xr:uid="{00000000-0005-0000-0000-0000F68D0000}"/>
    <cellStyle name="Total 2 5 3" xfId="13285" xr:uid="{00000000-0005-0000-0000-0000F78D0000}"/>
    <cellStyle name="Total 2 5 3 10" xfId="14297" xr:uid="{00000000-0005-0000-0000-0000F88D0000}"/>
    <cellStyle name="Total 2 5 3 11" xfId="26390" xr:uid="{00000000-0005-0000-0000-0000F98D0000}"/>
    <cellStyle name="Total 2 5 3 12" xfId="27129" xr:uid="{00000000-0005-0000-0000-0000FA8D0000}"/>
    <cellStyle name="Total 2 5 3 13" xfId="27024" xr:uid="{00000000-0005-0000-0000-0000FB8D0000}"/>
    <cellStyle name="Total 2 5 3 14" xfId="27492" xr:uid="{00000000-0005-0000-0000-0000FC8D0000}"/>
    <cellStyle name="Total 2 5 3 15" xfId="26888" xr:uid="{00000000-0005-0000-0000-0000FD8D0000}"/>
    <cellStyle name="Total 2 5 3 16" xfId="27288" xr:uid="{00000000-0005-0000-0000-0000FE8D0000}"/>
    <cellStyle name="Total 2 5 3 17" xfId="35081" xr:uid="{00000000-0005-0000-0000-0000FF8D0000}"/>
    <cellStyle name="Total 2 5 3 18" xfId="35284" xr:uid="{00000000-0005-0000-0000-0000008E0000}"/>
    <cellStyle name="Total 2 5 3 2" xfId="14882" xr:uid="{00000000-0005-0000-0000-0000018E0000}"/>
    <cellStyle name="Total 2 5 3 3" xfId="13773" xr:uid="{00000000-0005-0000-0000-0000028E0000}"/>
    <cellStyle name="Total 2 5 3 4" xfId="14190" xr:uid="{00000000-0005-0000-0000-0000038E0000}"/>
    <cellStyle name="Total 2 5 3 5" xfId="14740" xr:uid="{00000000-0005-0000-0000-0000048E0000}"/>
    <cellStyle name="Total 2 5 3 6" xfId="14158" xr:uid="{00000000-0005-0000-0000-0000058E0000}"/>
    <cellStyle name="Total 2 5 3 7" xfId="13507" xr:uid="{00000000-0005-0000-0000-0000068E0000}"/>
    <cellStyle name="Total 2 5 3 8" xfId="14274" xr:uid="{00000000-0005-0000-0000-0000078E0000}"/>
    <cellStyle name="Total 2 5 3 9" xfId="15326" xr:uid="{00000000-0005-0000-0000-0000088E0000}"/>
    <cellStyle name="Total 2 5 4" xfId="13286" xr:uid="{00000000-0005-0000-0000-0000098E0000}"/>
    <cellStyle name="Total 2 5 4 10" xfId="18896" xr:uid="{00000000-0005-0000-0000-00000A8E0000}"/>
    <cellStyle name="Total 2 5 4 11" xfId="26366" xr:uid="{00000000-0005-0000-0000-00000B8E0000}"/>
    <cellStyle name="Total 2 5 4 12" xfId="26037" xr:uid="{00000000-0005-0000-0000-00000C8E0000}"/>
    <cellStyle name="Total 2 5 4 13" xfId="26509" xr:uid="{00000000-0005-0000-0000-00000D8E0000}"/>
    <cellStyle name="Total 2 5 4 14" xfId="26767" xr:uid="{00000000-0005-0000-0000-00000E8E0000}"/>
    <cellStyle name="Total 2 5 4 15" xfId="27405" xr:uid="{00000000-0005-0000-0000-00000F8E0000}"/>
    <cellStyle name="Total 2 5 4 16" xfId="26237" xr:uid="{00000000-0005-0000-0000-0000108E0000}"/>
    <cellStyle name="Total 2 5 4 17" xfId="35058" xr:uid="{00000000-0005-0000-0000-0000118E0000}"/>
    <cellStyle name="Total 2 5 4 18" xfId="34843" xr:uid="{00000000-0005-0000-0000-0000128E0000}"/>
    <cellStyle name="Total 2 5 4 2" xfId="15690" xr:uid="{00000000-0005-0000-0000-0000138E0000}"/>
    <cellStyle name="Total 2 5 4 3" xfId="13761" xr:uid="{00000000-0005-0000-0000-0000148E0000}"/>
    <cellStyle name="Total 2 5 4 4" xfId="14631" xr:uid="{00000000-0005-0000-0000-0000158E0000}"/>
    <cellStyle name="Total 2 5 4 5" xfId="14139" xr:uid="{00000000-0005-0000-0000-0000168E0000}"/>
    <cellStyle name="Total 2 5 4 6" xfId="14160" xr:uid="{00000000-0005-0000-0000-0000178E0000}"/>
    <cellStyle name="Total 2 5 4 7" xfId="13584" xr:uid="{00000000-0005-0000-0000-0000188E0000}"/>
    <cellStyle name="Total 2 5 4 8" xfId="13479" xr:uid="{00000000-0005-0000-0000-0000198E0000}"/>
    <cellStyle name="Total 2 5 4 9" xfId="14694" xr:uid="{00000000-0005-0000-0000-00001A8E0000}"/>
    <cellStyle name="Total 2 5 5" xfId="13287" xr:uid="{00000000-0005-0000-0000-00001B8E0000}"/>
    <cellStyle name="Total 2 5 5 10" xfId="14980" xr:uid="{00000000-0005-0000-0000-00001C8E0000}"/>
    <cellStyle name="Total 2 5 5 11" xfId="26428" xr:uid="{00000000-0005-0000-0000-00001D8E0000}"/>
    <cellStyle name="Total 2 5 5 12" xfId="27104" xr:uid="{00000000-0005-0000-0000-00001E8E0000}"/>
    <cellStyle name="Total 2 5 5 13" xfId="27758" xr:uid="{00000000-0005-0000-0000-00001F8E0000}"/>
    <cellStyle name="Total 2 5 5 14" xfId="26749" xr:uid="{00000000-0005-0000-0000-0000208E0000}"/>
    <cellStyle name="Total 2 5 5 15" xfId="27509" xr:uid="{00000000-0005-0000-0000-0000218E0000}"/>
    <cellStyle name="Total 2 5 5 16" xfId="26870" xr:uid="{00000000-0005-0000-0000-0000228E0000}"/>
    <cellStyle name="Total 2 5 5 17" xfId="35117" xr:uid="{00000000-0005-0000-0000-0000238E0000}"/>
    <cellStyle name="Total 2 5 5 18" xfId="35259" xr:uid="{00000000-0005-0000-0000-0000248E0000}"/>
    <cellStyle name="Total 2 5 5 2" xfId="14862" xr:uid="{00000000-0005-0000-0000-0000258E0000}"/>
    <cellStyle name="Total 2 5 5 3" xfId="15211" xr:uid="{00000000-0005-0000-0000-0000268E0000}"/>
    <cellStyle name="Total 2 5 5 4" xfId="14823" xr:uid="{00000000-0005-0000-0000-0000278E0000}"/>
    <cellStyle name="Total 2 5 5 5" xfId="13820" xr:uid="{00000000-0005-0000-0000-0000288E0000}"/>
    <cellStyle name="Total 2 5 5 6" xfId="15560" xr:uid="{00000000-0005-0000-0000-0000298E0000}"/>
    <cellStyle name="Total 2 5 5 7" xfId="13431" xr:uid="{00000000-0005-0000-0000-00002A8E0000}"/>
    <cellStyle name="Total 2 5 5 8" xfId="15623" xr:uid="{00000000-0005-0000-0000-00002B8E0000}"/>
    <cellStyle name="Total 2 5 5 9" xfId="17853" xr:uid="{00000000-0005-0000-0000-00002C8E0000}"/>
    <cellStyle name="Total 2 5 6" xfId="13851" xr:uid="{00000000-0005-0000-0000-00002D8E0000}"/>
    <cellStyle name="Total 2 5 7" xfId="14357" xr:uid="{00000000-0005-0000-0000-00002E8E0000}"/>
    <cellStyle name="Total 2 5 8" xfId="15793" xr:uid="{00000000-0005-0000-0000-00002F8E0000}"/>
    <cellStyle name="Total 2 5 9" xfId="15850" xr:uid="{00000000-0005-0000-0000-0000308E0000}"/>
    <cellStyle name="Total 2 6" xfId="13288" xr:uid="{00000000-0005-0000-0000-0000318E0000}"/>
    <cellStyle name="Total 2 6 10" xfId="15240" xr:uid="{00000000-0005-0000-0000-0000328E0000}"/>
    <cellStyle name="Total 2 6 11" xfId="15267" xr:uid="{00000000-0005-0000-0000-0000338E0000}"/>
    <cellStyle name="Total 2 6 12" xfId="26536" xr:uid="{00000000-0005-0000-0000-0000348E0000}"/>
    <cellStyle name="Total 2 6 13" xfId="27038" xr:uid="{00000000-0005-0000-0000-0000358E0000}"/>
    <cellStyle name="Total 2 6 14" xfId="26211" xr:uid="{00000000-0005-0000-0000-0000368E0000}"/>
    <cellStyle name="Total 2 6 15" xfId="27226" xr:uid="{00000000-0005-0000-0000-0000378E0000}"/>
    <cellStyle name="Total 2 6 16" xfId="26620" xr:uid="{00000000-0005-0000-0000-0000388E0000}"/>
    <cellStyle name="Total 2 6 17" xfId="27595" xr:uid="{00000000-0005-0000-0000-0000398E0000}"/>
    <cellStyle name="Total 2 6 18" xfId="29825" xr:uid="{00000000-0005-0000-0000-00003A8E0000}"/>
    <cellStyle name="Total 2 6 19" xfId="35201" xr:uid="{00000000-0005-0000-0000-00003B8E0000}"/>
    <cellStyle name="Total 2 6 2" xfId="13982" xr:uid="{00000000-0005-0000-0000-00003C8E0000}"/>
    <cellStyle name="Total 2 6 20" xfId="35202" xr:uid="{00000000-0005-0000-0000-00003D8E0000}"/>
    <cellStyle name="Total 2 6 3" xfId="14805" xr:uid="{00000000-0005-0000-0000-00003E8E0000}"/>
    <cellStyle name="Total 2 6 4" xfId="15435" xr:uid="{00000000-0005-0000-0000-00003F8E0000}"/>
    <cellStyle name="Total 2 6 5" xfId="14995" xr:uid="{00000000-0005-0000-0000-0000408E0000}"/>
    <cellStyle name="Total 2 6 6" xfId="14406" xr:uid="{00000000-0005-0000-0000-0000418E0000}"/>
    <cellStyle name="Total 2 6 7" xfId="14212" xr:uid="{00000000-0005-0000-0000-0000428E0000}"/>
    <cellStyle name="Total 2 6 8" xfId="14538" xr:uid="{00000000-0005-0000-0000-0000438E0000}"/>
    <cellStyle name="Total 2 6 9" xfId="13885" xr:uid="{00000000-0005-0000-0000-0000448E0000}"/>
    <cellStyle name="Total 2 7" xfId="13289" xr:uid="{00000000-0005-0000-0000-0000458E0000}"/>
    <cellStyle name="Total 2 8" xfId="13290" xr:uid="{00000000-0005-0000-0000-0000468E0000}"/>
    <cellStyle name="Total 2 8 10" xfId="24865" xr:uid="{00000000-0005-0000-0000-0000478E0000}"/>
    <cellStyle name="Total 2 8 11" xfId="25864" xr:uid="{00000000-0005-0000-0000-0000488E0000}"/>
    <cellStyle name="Total 2 8 12" xfId="28770" xr:uid="{00000000-0005-0000-0000-0000498E0000}"/>
    <cellStyle name="Total 2 8 13" xfId="29787" xr:uid="{00000000-0005-0000-0000-00004A8E0000}"/>
    <cellStyle name="Total 2 8 14" xfId="30820" xr:uid="{00000000-0005-0000-0000-00004B8E0000}"/>
    <cellStyle name="Total 2 8 15" xfId="31815" xr:uid="{00000000-0005-0000-0000-00004C8E0000}"/>
    <cellStyle name="Total 2 8 16" xfId="32819" xr:uid="{00000000-0005-0000-0000-00004D8E0000}"/>
    <cellStyle name="Total 2 8 17" xfId="33822" xr:uid="{00000000-0005-0000-0000-00004E8E0000}"/>
    <cellStyle name="Total 2 8 18" xfId="34821" xr:uid="{00000000-0005-0000-0000-00004F8E0000}"/>
    <cellStyle name="Total 2 8 19" xfId="36382" xr:uid="{00000000-0005-0000-0000-0000508E0000}"/>
    <cellStyle name="Total 2 8 2" xfId="16854" xr:uid="{00000000-0005-0000-0000-0000518E0000}"/>
    <cellStyle name="Total 2 8 20" xfId="37381" xr:uid="{00000000-0005-0000-0000-0000528E0000}"/>
    <cellStyle name="Total 2 8 3" xfId="17834" xr:uid="{00000000-0005-0000-0000-0000538E0000}"/>
    <cellStyle name="Total 2 8 4" xfId="18859" xr:uid="{00000000-0005-0000-0000-0000548E0000}"/>
    <cellStyle name="Total 2 8 5" xfId="19893" xr:uid="{00000000-0005-0000-0000-0000558E0000}"/>
    <cellStyle name="Total 2 8 6" xfId="20918" xr:uid="{00000000-0005-0000-0000-0000568E0000}"/>
    <cellStyle name="Total 2 8 7" xfId="21878" xr:uid="{00000000-0005-0000-0000-0000578E0000}"/>
    <cellStyle name="Total 2 8 8" xfId="22890" xr:uid="{00000000-0005-0000-0000-0000588E0000}"/>
    <cellStyle name="Total 2 8 9" xfId="23893" xr:uid="{00000000-0005-0000-0000-0000598E0000}"/>
    <cellStyle name="Total 3" xfId="263" xr:uid="{00000000-0005-0000-0000-00005A8E0000}"/>
    <cellStyle name="Total 3 2" xfId="365" xr:uid="{00000000-0005-0000-0000-00005B8E0000}"/>
    <cellStyle name="Total 3 2 2" xfId="13291" xr:uid="{00000000-0005-0000-0000-00005C8E0000}"/>
    <cellStyle name="Total 3 2 2 10" xfId="14124" xr:uid="{00000000-0005-0000-0000-00005D8E0000}"/>
    <cellStyle name="Total 3 2 2 11" xfId="19887" xr:uid="{00000000-0005-0000-0000-00005E8E0000}"/>
    <cellStyle name="Total 3 2 2 12" xfId="14658" xr:uid="{00000000-0005-0000-0000-00005F8E0000}"/>
    <cellStyle name="Total 3 2 2 13" xfId="15106" xr:uid="{00000000-0005-0000-0000-0000608E0000}"/>
    <cellStyle name="Total 3 2 2 14" xfId="15592" xr:uid="{00000000-0005-0000-0000-0000618E0000}"/>
    <cellStyle name="Total 3 2 2 15" xfId="26292" xr:uid="{00000000-0005-0000-0000-0000628E0000}"/>
    <cellStyle name="Total 3 2 2 16" xfId="27194" xr:uid="{00000000-0005-0000-0000-0000638E0000}"/>
    <cellStyle name="Total 3 2 2 17" xfId="27420" xr:uid="{00000000-0005-0000-0000-0000648E0000}"/>
    <cellStyle name="Total 3 2 2 18" xfId="26280" xr:uid="{00000000-0005-0000-0000-0000658E0000}"/>
    <cellStyle name="Total 3 2 2 19" xfId="26607" xr:uid="{00000000-0005-0000-0000-0000668E0000}"/>
    <cellStyle name="Total 3 2 2 2" xfId="13292" xr:uid="{00000000-0005-0000-0000-0000678E0000}"/>
    <cellStyle name="Total 3 2 2 2 10" xfId="19880" xr:uid="{00000000-0005-0000-0000-0000688E0000}"/>
    <cellStyle name="Total 3 2 2 2 11" xfId="26345" xr:uid="{00000000-0005-0000-0000-0000698E0000}"/>
    <cellStyle name="Total 3 2 2 2 12" xfId="27156" xr:uid="{00000000-0005-0000-0000-00006A8E0000}"/>
    <cellStyle name="Total 3 2 2 2 13" xfId="26652" xr:uid="{00000000-0005-0000-0000-00006B8E0000}"/>
    <cellStyle name="Total 3 2 2 2 14" xfId="27486" xr:uid="{00000000-0005-0000-0000-00006C8E0000}"/>
    <cellStyle name="Total 3 2 2 2 15" xfId="26276" xr:uid="{00000000-0005-0000-0000-00006D8E0000}"/>
    <cellStyle name="Total 3 2 2 2 16" xfId="27538" xr:uid="{00000000-0005-0000-0000-00006E8E0000}"/>
    <cellStyle name="Total 3 2 2 2 17" xfId="35040" xr:uid="{00000000-0005-0000-0000-00006F8E0000}"/>
    <cellStyle name="Total 3 2 2 2 18" xfId="35447" xr:uid="{00000000-0005-0000-0000-0000708E0000}"/>
    <cellStyle name="Total 3 2 2 2 2" xfId="14908" xr:uid="{00000000-0005-0000-0000-0000718E0000}"/>
    <cellStyle name="Total 3 2 2 2 3" xfId="13748" xr:uid="{00000000-0005-0000-0000-0000728E0000}"/>
    <cellStyle name="Total 3 2 2 2 4" xfId="14634" xr:uid="{00000000-0005-0000-0000-0000738E0000}"/>
    <cellStyle name="Total 3 2 2 2 5" xfId="14551" xr:uid="{00000000-0005-0000-0000-0000748E0000}"/>
    <cellStyle name="Total 3 2 2 2 6" xfId="14649" xr:uid="{00000000-0005-0000-0000-0000758E0000}"/>
    <cellStyle name="Total 3 2 2 2 7" xfId="14725" xr:uid="{00000000-0005-0000-0000-0000768E0000}"/>
    <cellStyle name="Total 3 2 2 2 8" xfId="14285" xr:uid="{00000000-0005-0000-0000-0000778E0000}"/>
    <cellStyle name="Total 3 2 2 2 9" xfId="15823" xr:uid="{00000000-0005-0000-0000-0000788E0000}"/>
    <cellStyle name="Total 3 2 2 20" xfId="27282" xr:uid="{00000000-0005-0000-0000-0000798E0000}"/>
    <cellStyle name="Total 3 2 2 21" xfId="34988" xr:uid="{00000000-0005-0000-0000-00007A8E0000}"/>
    <cellStyle name="Total 3 2 2 22" xfId="35348" xr:uid="{00000000-0005-0000-0000-00007B8E0000}"/>
    <cellStyle name="Total 3 2 2 3" xfId="13293" xr:uid="{00000000-0005-0000-0000-00007C8E0000}"/>
    <cellStyle name="Total 3 2 2 3 10" xfId="13983" xr:uid="{00000000-0005-0000-0000-00007D8E0000}"/>
    <cellStyle name="Total 3 2 2 3 11" xfId="26484" xr:uid="{00000000-0005-0000-0000-00007E8E0000}"/>
    <cellStyle name="Total 3 2 2 3 12" xfId="27674" xr:uid="{00000000-0005-0000-0000-00007F8E0000}"/>
    <cellStyle name="Total 3 2 2 3 13" xfId="27016" xr:uid="{00000000-0005-0000-0000-0000808E0000}"/>
    <cellStyle name="Total 3 2 2 3 14" xfId="27539" xr:uid="{00000000-0005-0000-0000-0000818E0000}"/>
    <cellStyle name="Total 3 2 2 3 15" xfId="27323" xr:uid="{00000000-0005-0000-0000-0000828E0000}"/>
    <cellStyle name="Total 3 2 2 3 16" xfId="27537" xr:uid="{00000000-0005-0000-0000-0000838E0000}"/>
    <cellStyle name="Total 3 2 2 3 17" xfId="35167" xr:uid="{00000000-0005-0000-0000-0000848E0000}"/>
    <cellStyle name="Total 3 2 2 3 18" xfId="35223" xr:uid="{00000000-0005-0000-0000-0000858E0000}"/>
    <cellStyle name="Total 3 2 2 3 2" xfId="14836" xr:uid="{00000000-0005-0000-0000-0000868E0000}"/>
    <cellStyle name="Total 3 2 2 3 3" xfId="14075" xr:uid="{00000000-0005-0000-0000-0000878E0000}"/>
    <cellStyle name="Total 3 2 2 3 4" xfId="17347" xr:uid="{00000000-0005-0000-0000-0000888E0000}"/>
    <cellStyle name="Total 3 2 2 3 5" xfId="14482" xr:uid="{00000000-0005-0000-0000-0000898E0000}"/>
    <cellStyle name="Total 3 2 2 3 6" xfId="14662" xr:uid="{00000000-0005-0000-0000-00008A8E0000}"/>
    <cellStyle name="Total 3 2 2 3 7" xfId="14121" xr:uid="{00000000-0005-0000-0000-00008B8E0000}"/>
    <cellStyle name="Total 3 2 2 3 8" xfId="14173" xr:uid="{00000000-0005-0000-0000-00008C8E0000}"/>
    <cellStyle name="Total 3 2 2 3 9" xfId="17857" xr:uid="{00000000-0005-0000-0000-00008D8E0000}"/>
    <cellStyle name="Total 3 2 2 4" xfId="13294" xr:uid="{00000000-0005-0000-0000-00008E8E0000}"/>
    <cellStyle name="Total 3 2 2 4 10" xfId="13690" xr:uid="{00000000-0005-0000-0000-00008F8E0000}"/>
    <cellStyle name="Total 3 2 2 4 11" xfId="26459" xr:uid="{00000000-0005-0000-0000-0000908E0000}"/>
    <cellStyle name="Total 3 2 2 4 12" xfId="27683" xr:uid="{00000000-0005-0000-0000-0000918E0000}"/>
    <cellStyle name="Total 3 2 2 4 13" xfId="27018" xr:uid="{00000000-0005-0000-0000-0000928E0000}"/>
    <cellStyle name="Total 3 2 2 4 14" xfId="27500" xr:uid="{00000000-0005-0000-0000-0000938E0000}"/>
    <cellStyle name="Total 3 2 2 4 15" xfId="26939" xr:uid="{00000000-0005-0000-0000-0000948E0000}"/>
    <cellStyle name="Total 3 2 2 4 16" xfId="27332" xr:uid="{00000000-0005-0000-0000-0000958E0000}"/>
    <cellStyle name="Total 3 2 2 4 17" xfId="35142" xr:uid="{00000000-0005-0000-0000-0000968E0000}"/>
    <cellStyle name="Total 3 2 2 4 18" xfId="35407" xr:uid="{00000000-0005-0000-0000-0000978E0000}"/>
    <cellStyle name="Total 3 2 2 4 2" xfId="14849" xr:uid="{00000000-0005-0000-0000-0000988E0000}"/>
    <cellStyle name="Total 3 2 2 4 3" xfId="13563" xr:uid="{00000000-0005-0000-0000-0000998E0000}"/>
    <cellStyle name="Total 3 2 2 4 4" xfId="15023" xr:uid="{00000000-0005-0000-0000-00009A8E0000}"/>
    <cellStyle name="Total 3 2 2 4 5" xfId="14392" xr:uid="{00000000-0005-0000-0000-00009B8E0000}"/>
    <cellStyle name="Total 3 2 2 4 6" xfId="14664" xr:uid="{00000000-0005-0000-0000-00009C8E0000}"/>
    <cellStyle name="Total 3 2 2 4 7" xfId="13433" xr:uid="{00000000-0005-0000-0000-00009D8E0000}"/>
    <cellStyle name="Total 3 2 2 4 8" xfId="13638" xr:uid="{00000000-0005-0000-0000-00009E8E0000}"/>
    <cellStyle name="Total 3 2 2 4 9" xfId="15588" xr:uid="{00000000-0005-0000-0000-00009F8E0000}"/>
    <cellStyle name="Total 3 2 2 5" xfId="13295" xr:uid="{00000000-0005-0000-0000-0000A08E0000}"/>
    <cellStyle name="Total 3 2 2 5 10" xfId="14781" xr:uid="{00000000-0005-0000-0000-0000A18E0000}"/>
    <cellStyle name="Total 3 2 2 5 11" xfId="26498" xr:uid="{00000000-0005-0000-0000-0000A28E0000}"/>
    <cellStyle name="Total 3 2 2 5 12" xfId="26525" xr:uid="{00000000-0005-0000-0000-0000A38E0000}"/>
    <cellStyle name="Total 3 2 2 5 13" xfId="25932" xr:uid="{00000000-0005-0000-0000-0000A48E0000}"/>
    <cellStyle name="Total 3 2 2 5 14" xfId="26798" xr:uid="{00000000-0005-0000-0000-0000A58E0000}"/>
    <cellStyle name="Total 3 2 2 5 15" xfId="26934" xr:uid="{00000000-0005-0000-0000-0000A68E0000}"/>
    <cellStyle name="Total 3 2 2 5 16" xfId="27507" xr:uid="{00000000-0005-0000-0000-0000A78E0000}"/>
    <cellStyle name="Total 3 2 2 5 17" xfId="35181" xr:uid="{00000000-0005-0000-0000-0000A88E0000}"/>
    <cellStyle name="Total 3 2 2 5 18" xfId="35213" xr:uid="{00000000-0005-0000-0000-0000A98E0000}"/>
    <cellStyle name="Total 3 2 2 5 2" xfId="13421" xr:uid="{00000000-0005-0000-0000-0000AA8E0000}"/>
    <cellStyle name="Total 3 2 2 5 3" xfId="15427" xr:uid="{00000000-0005-0000-0000-0000AB8E0000}"/>
    <cellStyle name="Total 3 2 2 5 4" xfId="15010" xr:uid="{00000000-0005-0000-0000-0000AC8E0000}"/>
    <cellStyle name="Total 3 2 2 5 5" xfId="14399" xr:uid="{00000000-0005-0000-0000-0000AD8E0000}"/>
    <cellStyle name="Total 3 2 2 5 6" xfId="14902" xr:uid="{00000000-0005-0000-0000-0000AE8E0000}"/>
    <cellStyle name="Total 3 2 2 5 7" xfId="14262" xr:uid="{00000000-0005-0000-0000-0000AF8E0000}"/>
    <cellStyle name="Total 3 2 2 5 8" xfId="14196" xr:uid="{00000000-0005-0000-0000-0000B08E0000}"/>
    <cellStyle name="Total 3 2 2 5 9" xfId="15354" xr:uid="{00000000-0005-0000-0000-0000B18E0000}"/>
    <cellStyle name="Total 3 2 2 6" xfId="15715" xr:uid="{00000000-0005-0000-0000-0000B28E0000}"/>
    <cellStyle name="Total 3 2 2 7" xfId="15193" xr:uid="{00000000-0005-0000-0000-0000B38E0000}"/>
    <cellStyle name="Total 3 2 2 8" xfId="14796" xr:uid="{00000000-0005-0000-0000-0000B48E0000}"/>
    <cellStyle name="Total 3 2 2 9" xfId="14467" xr:uid="{00000000-0005-0000-0000-0000B58E0000}"/>
    <cellStyle name="Total 3 2 3" xfId="13296" xr:uid="{00000000-0005-0000-0000-0000B68E0000}"/>
    <cellStyle name="Total 3 2 3 10" xfId="15769" xr:uid="{00000000-0005-0000-0000-0000B78E0000}"/>
    <cellStyle name="Total 3 2 3 11" xfId="13472" xr:uid="{00000000-0005-0000-0000-0000B88E0000}"/>
    <cellStyle name="Total 3 2 3 12" xfId="14591" xr:uid="{00000000-0005-0000-0000-0000B98E0000}"/>
    <cellStyle name="Total 3 2 3 13" xfId="21900" xr:uid="{00000000-0005-0000-0000-0000BA8E0000}"/>
    <cellStyle name="Total 3 2 3 14" xfId="14483" xr:uid="{00000000-0005-0000-0000-0000BB8E0000}"/>
    <cellStyle name="Total 3 2 3 15" xfId="26092" xr:uid="{00000000-0005-0000-0000-0000BC8E0000}"/>
    <cellStyle name="Total 3 2 3 16" xfId="25933" xr:uid="{00000000-0005-0000-0000-0000BD8E0000}"/>
    <cellStyle name="Total 3 2 3 17" xfId="25916" xr:uid="{00000000-0005-0000-0000-0000BE8E0000}"/>
    <cellStyle name="Total 3 2 3 18" xfId="26984" xr:uid="{00000000-0005-0000-0000-0000BF8E0000}"/>
    <cellStyle name="Total 3 2 3 19" xfId="27019" xr:uid="{00000000-0005-0000-0000-0000C08E0000}"/>
    <cellStyle name="Total 3 2 3 2" xfId="13297" xr:uid="{00000000-0005-0000-0000-0000C18E0000}"/>
    <cellStyle name="Total 3 2 3 2 10" xfId="14295" xr:uid="{00000000-0005-0000-0000-0000C28E0000}"/>
    <cellStyle name="Total 3 2 3 2 11" xfId="26313" xr:uid="{00000000-0005-0000-0000-0000C38E0000}"/>
    <cellStyle name="Total 3 2 3 2 12" xfId="27179" xr:uid="{00000000-0005-0000-0000-0000C48E0000}"/>
    <cellStyle name="Total 3 2 3 2 13" xfId="27589" xr:uid="{00000000-0005-0000-0000-0000C58E0000}"/>
    <cellStyle name="Total 3 2 3 2 14" xfId="26760" xr:uid="{00000000-0005-0000-0000-0000C68E0000}"/>
    <cellStyle name="Total 3 2 3 2 15" xfId="26946" xr:uid="{00000000-0005-0000-0000-0000C78E0000}"/>
    <cellStyle name="Total 3 2 3 2 16" xfId="31808" xr:uid="{00000000-0005-0000-0000-0000C88E0000}"/>
    <cellStyle name="Total 3 2 3 2 17" xfId="35009" xr:uid="{00000000-0005-0000-0000-0000C98E0000}"/>
    <cellStyle name="Total 3 2 3 2 18" xfId="35460" xr:uid="{00000000-0005-0000-0000-0000CA8E0000}"/>
    <cellStyle name="Total 3 2 3 2 2" xfId="14927" xr:uid="{00000000-0005-0000-0000-0000CB8E0000}"/>
    <cellStyle name="Total 3 2 3 2 3" xfId="13727" xr:uid="{00000000-0005-0000-0000-0000CC8E0000}"/>
    <cellStyle name="Total 3 2 3 2 4" xfId="13630" xr:uid="{00000000-0005-0000-0000-0000CD8E0000}"/>
    <cellStyle name="Total 3 2 3 2 5" xfId="15840" xr:uid="{00000000-0005-0000-0000-0000CE8E0000}"/>
    <cellStyle name="Total 3 2 3 2 6" xfId="14351" xr:uid="{00000000-0005-0000-0000-0000CF8E0000}"/>
    <cellStyle name="Total 3 2 3 2 7" xfId="15090" xr:uid="{00000000-0005-0000-0000-0000D08E0000}"/>
    <cellStyle name="Total 3 2 3 2 8" xfId="14612" xr:uid="{00000000-0005-0000-0000-0000D18E0000}"/>
    <cellStyle name="Total 3 2 3 2 9" xfId="15780" xr:uid="{00000000-0005-0000-0000-0000D28E0000}"/>
    <cellStyle name="Total 3 2 3 20" xfId="25948" xr:uid="{00000000-0005-0000-0000-0000D38E0000}"/>
    <cellStyle name="Total 3 2 3 21" xfId="34952" xr:uid="{00000000-0005-0000-0000-0000D48E0000}"/>
    <cellStyle name="Total 3 2 3 22" xfId="35479" xr:uid="{00000000-0005-0000-0000-0000D58E0000}"/>
    <cellStyle name="Total 3 2 3 3" xfId="13298" xr:uid="{00000000-0005-0000-0000-0000D68E0000}"/>
    <cellStyle name="Total 3 2 3 3 10" xfId="13536" xr:uid="{00000000-0005-0000-0000-0000D78E0000}"/>
    <cellStyle name="Total 3 2 3 3 11" xfId="26393" xr:uid="{00000000-0005-0000-0000-0000D88E0000}"/>
    <cellStyle name="Total 3 2 3 3 12" xfId="27127" xr:uid="{00000000-0005-0000-0000-0000D98E0000}"/>
    <cellStyle name="Total 3 2 3 3 13" xfId="27654" xr:uid="{00000000-0005-0000-0000-0000DA8E0000}"/>
    <cellStyle name="Total 3 2 3 3 14" xfId="27470" xr:uid="{00000000-0005-0000-0000-0000DB8E0000}"/>
    <cellStyle name="Total 3 2 3 3 15" xfId="26627" xr:uid="{00000000-0005-0000-0000-0000DC8E0000}"/>
    <cellStyle name="Total 3 2 3 3 16" xfId="27555" xr:uid="{00000000-0005-0000-0000-0000DD8E0000}"/>
    <cellStyle name="Total 3 2 3 3 17" xfId="35084" xr:uid="{00000000-0005-0000-0000-0000DE8E0000}"/>
    <cellStyle name="Total 3 2 3 3 18" xfId="35282" xr:uid="{00000000-0005-0000-0000-0000DF8E0000}"/>
    <cellStyle name="Total 3 2 3 3 2" xfId="13613" xr:uid="{00000000-0005-0000-0000-0000E08E0000}"/>
    <cellStyle name="Total 3 2 3 3 3" xfId="15207" xr:uid="{00000000-0005-0000-0000-0000E18E0000}"/>
    <cellStyle name="Total 3 2 3 3 4" xfId="14787" xr:uid="{00000000-0005-0000-0000-0000E28E0000}"/>
    <cellStyle name="Total 3 2 3 3 5" xfId="13819" xr:uid="{00000000-0005-0000-0000-0000E38E0000}"/>
    <cellStyle name="Total 3 2 3 3 6" xfId="14575" xr:uid="{00000000-0005-0000-0000-0000E48E0000}"/>
    <cellStyle name="Total 3 2 3 3 7" xfId="15522" xr:uid="{00000000-0005-0000-0000-0000E58E0000}"/>
    <cellStyle name="Total 3 2 3 3 8" xfId="15383" xr:uid="{00000000-0005-0000-0000-0000E68E0000}"/>
    <cellStyle name="Total 3 2 3 3 9" xfId="14104" xr:uid="{00000000-0005-0000-0000-0000E78E0000}"/>
    <cellStyle name="Total 3 2 3 4" xfId="13299" xr:uid="{00000000-0005-0000-0000-0000E88E0000}"/>
    <cellStyle name="Total 3 2 3 4 10" xfId="14489" xr:uid="{00000000-0005-0000-0000-0000E98E0000}"/>
    <cellStyle name="Total 3 2 3 4 11" xfId="26434" xr:uid="{00000000-0005-0000-0000-0000EA8E0000}"/>
    <cellStyle name="Total 3 2 3 4 12" xfId="26030" xr:uid="{00000000-0005-0000-0000-0000EB8E0000}"/>
    <cellStyle name="Total 3 2 3 4 13" xfId="27466" xr:uid="{00000000-0005-0000-0000-0000EC8E0000}"/>
    <cellStyle name="Total 3 2 3 4 14" xfId="27350" xr:uid="{00000000-0005-0000-0000-0000ED8E0000}"/>
    <cellStyle name="Total 3 2 3 4 15" xfId="29811" xr:uid="{00000000-0005-0000-0000-0000EE8E0000}"/>
    <cellStyle name="Total 3 2 3 4 16" xfId="27249" xr:uid="{00000000-0005-0000-0000-0000EF8E0000}"/>
    <cellStyle name="Total 3 2 3 4 17" xfId="35121" xr:uid="{00000000-0005-0000-0000-0000F08E0000}"/>
    <cellStyle name="Total 3 2 3 4 18" xfId="35254" xr:uid="{00000000-0005-0000-0000-0000F18E0000}"/>
    <cellStyle name="Total 3 2 3 4 2" xfId="15673" xr:uid="{00000000-0005-0000-0000-0000F28E0000}"/>
    <cellStyle name="Total 3 2 3 4 3" xfId="13551" xr:uid="{00000000-0005-0000-0000-0000F38E0000}"/>
    <cellStyle name="Total 3 2 3 4 4" xfId="14622" xr:uid="{00000000-0005-0000-0000-0000F48E0000}"/>
    <cellStyle name="Total 3 2 3 4 5" xfId="13893" xr:uid="{00000000-0005-0000-0000-0000F58E0000}"/>
    <cellStyle name="Total 3 2 3 4 6" xfId="15052" xr:uid="{00000000-0005-0000-0000-0000F68E0000}"/>
    <cellStyle name="Total 3 2 3 4 7" xfId="15397" xr:uid="{00000000-0005-0000-0000-0000F78E0000}"/>
    <cellStyle name="Total 3 2 3 4 8" xfId="18930" xr:uid="{00000000-0005-0000-0000-0000F88E0000}"/>
    <cellStyle name="Total 3 2 3 4 9" xfId="14296" xr:uid="{00000000-0005-0000-0000-0000F98E0000}"/>
    <cellStyle name="Total 3 2 3 5" xfId="13300" xr:uid="{00000000-0005-0000-0000-0000FA8E0000}"/>
    <cellStyle name="Total 3 2 3 5 10" xfId="14157" xr:uid="{00000000-0005-0000-0000-0000FB8E0000}"/>
    <cellStyle name="Total 3 2 3 5 11" xfId="26446" xr:uid="{00000000-0005-0000-0000-0000FC8E0000}"/>
    <cellStyle name="Total 3 2 3 5 12" xfId="27688" xr:uid="{00000000-0005-0000-0000-0000FD8E0000}"/>
    <cellStyle name="Total 3 2 3 5 13" xfId="26644" xr:uid="{00000000-0005-0000-0000-0000FE8E0000}"/>
    <cellStyle name="Total 3 2 3 5 14" xfId="26557" xr:uid="{00000000-0005-0000-0000-0000FF8E0000}"/>
    <cellStyle name="Total 3 2 3 5 15" xfId="27325" xr:uid="{00000000-0005-0000-0000-0000008F0000}"/>
    <cellStyle name="Total 3 2 3 5 16" xfId="31807" xr:uid="{00000000-0005-0000-0000-0000018F0000}"/>
    <cellStyle name="Total 3 2 3 5 17" xfId="35129" xr:uid="{00000000-0005-0000-0000-0000028F0000}"/>
    <cellStyle name="Total 3 2 3 5 18" xfId="35412" xr:uid="{00000000-0005-0000-0000-0000038F0000}"/>
    <cellStyle name="Total 3 2 3 5 2" xfId="15669" xr:uid="{00000000-0005-0000-0000-0000048F0000}"/>
    <cellStyle name="Total 3 2 3 5 3" xfId="13558" xr:uid="{00000000-0005-0000-0000-0000058F0000}"/>
    <cellStyle name="Total 3 2 3 5 4" xfId="15026" xr:uid="{00000000-0005-0000-0000-0000068F0000}"/>
    <cellStyle name="Total 3 2 3 5 5" xfId="14389" xr:uid="{00000000-0005-0000-0000-0000078F0000}"/>
    <cellStyle name="Total 3 2 3 5 6" xfId="13483" xr:uid="{00000000-0005-0000-0000-0000088F0000}"/>
    <cellStyle name="Total 3 2 3 5 7" xfId="14568" xr:uid="{00000000-0005-0000-0000-0000098F0000}"/>
    <cellStyle name="Total 3 2 3 5 8" xfId="18905" xr:uid="{00000000-0005-0000-0000-00000A8F0000}"/>
    <cellStyle name="Total 3 2 3 5 9" xfId="15475" xr:uid="{00000000-0005-0000-0000-00000B8F0000}"/>
    <cellStyle name="Total 3 2 3 6" xfId="13848" xr:uid="{00000000-0005-0000-0000-00000C8F0000}"/>
    <cellStyle name="Total 3 2 3 7" xfId="14358" xr:uid="{00000000-0005-0000-0000-00000D8F0000}"/>
    <cellStyle name="Total 3 2 3 8" xfId="14878" xr:uid="{00000000-0005-0000-0000-00000E8F0000}"/>
    <cellStyle name="Total 3 2 3 9" xfId="15353" xr:uid="{00000000-0005-0000-0000-00000F8F0000}"/>
    <cellStyle name="Total 3 2 4" xfId="13301" xr:uid="{00000000-0005-0000-0000-0000108F0000}"/>
    <cellStyle name="Total 3 2 4 10" xfId="24879" xr:uid="{00000000-0005-0000-0000-0000118F0000}"/>
    <cellStyle name="Total 3 2 4 11" xfId="25878" xr:uid="{00000000-0005-0000-0000-0000128F0000}"/>
    <cellStyle name="Total 3 2 4 12" xfId="28784" xr:uid="{00000000-0005-0000-0000-0000138F0000}"/>
    <cellStyle name="Total 3 2 4 13" xfId="29801" xr:uid="{00000000-0005-0000-0000-0000148F0000}"/>
    <cellStyle name="Total 3 2 4 14" xfId="30834" xr:uid="{00000000-0005-0000-0000-0000158F0000}"/>
    <cellStyle name="Total 3 2 4 15" xfId="31829" xr:uid="{00000000-0005-0000-0000-0000168F0000}"/>
    <cellStyle name="Total 3 2 4 16" xfId="32833" xr:uid="{00000000-0005-0000-0000-0000178F0000}"/>
    <cellStyle name="Total 3 2 4 17" xfId="33836" xr:uid="{00000000-0005-0000-0000-0000188F0000}"/>
    <cellStyle name="Total 3 2 4 18" xfId="34835" xr:uid="{00000000-0005-0000-0000-0000198F0000}"/>
    <cellStyle name="Total 3 2 4 19" xfId="36396" xr:uid="{00000000-0005-0000-0000-00001A8F0000}"/>
    <cellStyle name="Total 3 2 4 2" xfId="16868" xr:uid="{00000000-0005-0000-0000-00001B8F0000}"/>
    <cellStyle name="Total 3 2 4 20" xfId="37395" xr:uid="{00000000-0005-0000-0000-00001C8F0000}"/>
    <cellStyle name="Total 3 2 4 3" xfId="17848" xr:uid="{00000000-0005-0000-0000-00001D8F0000}"/>
    <cellStyle name="Total 3 2 4 4" xfId="18873" xr:uid="{00000000-0005-0000-0000-00001E8F0000}"/>
    <cellStyle name="Total 3 2 4 5" xfId="19907" xr:uid="{00000000-0005-0000-0000-00001F8F0000}"/>
    <cellStyle name="Total 3 2 4 6" xfId="20932" xr:uid="{00000000-0005-0000-0000-0000208F0000}"/>
    <cellStyle name="Total 3 2 4 7" xfId="21892" xr:uid="{00000000-0005-0000-0000-0000218F0000}"/>
    <cellStyle name="Total 3 2 4 8" xfId="22904" xr:uid="{00000000-0005-0000-0000-0000228F0000}"/>
    <cellStyle name="Total 3 2 4 9" xfId="23907" xr:uid="{00000000-0005-0000-0000-0000238F0000}"/>
    <cellStyle name="Total 3 2 5" xfId="13302" xr:uid="{00000000-0005-0000-0000-0000248F0000}"/>
    <cellStyle name="Total 3 2 5 10" xfId="24881" xr:uid="{00000000-0005-0000-0000-0000258F0000}"/>
    <cellStyle name="Total 3 2 5 11" xfId="25880" xr:uid="{00000000-0005-0000-0000-0000268F0000}"/>
    <cellStyle name="Total 3 2 5 12" xfId="28786" xr:uid="{00000000-0005-0000-0000-0000278F0000}"/>
    <cellStyle name="Total 3 2 5 13" xfId="29803" xr:uid="{00000000-0005-0000-0000-0000288F0000}"/>
    <cellStyle name="Total 3 2 5 14" xfId="30836" xr:uid="{00000000-0005-0000-0000-0000298F0000}"/>
    <cellStyle name="Total 3 2 5 15" xfId="31831" xr:uid="{00000000-0005-0000-0000-00002A8F0000}"/>
    <cellStyle name="Total 3 2 5 16" xfId="32835" xr:uid="{00000000-0005-0000-0000-00002B8F0000}"/>
    <cellStyle name="Total 3 2 5 17" xfId="33838" xr:uid="{00000000-0005-0000-0000-00002C8F0000}"/>
    <cellStyle name="Total 3 2 5 18" xfId="34837" xr:uid="{00000000-0005-0000-0000-00002D8F0000}"/>
    <cellStyle name="Total 3 2 5 19" xfId="36398" xr:uid="{00000000-0005-0000-0000-00002E8F0000}"/>
    <cellStyle name="Total 3 2 5 2" xfId="16870" xr:uid="{00000000-0005-0000-0000-00002F8F0000}"/>
    <cellStyle name="Total 3 2 5 20" xfId="37397" xr:uid="{00000000-0005-0000-0000-0000308F0000}"/>
    <cellStyle name="Total 3 2 5 3" xfId="17850" xr:uid="{00000000-0005-0000-0000-0000318F0000}"/>
    <cellStyle name="Total 3 2 5 4" xfId="18875" xr:uid="{00000000-0005-0000-0000-0000328F0000}"/>
    <cellStyle name="Total 3 2 5 5" xfId="19909" xr:uid="{00000000-0005-0000-0000-0000338F0000}"/>
    <cellStyle name="Total 3 2 5 6" xfId="20934" xr:uid="{00000000-0005-0000-0000-0000348F0000}"/>
    <cellStyle name="Total 3 2 5 7" xfId="21894" xr:uid="{00000000-0005-0000-0000-0000358F0000}"/>
    <cellStyle name="Total 3 2 5 8" xfId="22906" xr:uid="{00000000-0005-0000-0000-0000368F0000}"/>
    <cellStyle name="Total 3 2 5 9" xfId="23909" xr:uid="{00000000-0005-0000-0000-0000378F0000}"/>
    <cellStyle name="Total 3 3" xfId="13303" xr:uid="{00000000-0005-0000-0000-0000388F0000}"/>
    <cellStyle name="Total 3 3 10" xfId="15343" xr:uid="{00000000-0005-0000-0000-0000398F0000}"/>
    <cellStyle name="Total 3 3 11" xfId="18901" xr:uid="{00000000-0005-0000-0000-00003A8F0000}"/>
    <cellStyle name="Total 3 3 12" xfId="19911" xr:uid="{00000000-0005-0000-0000-00003B8F0000}"/>
    <cellStyle name="Total 3 3 13" xfId="20946" xr:uid="{00000000-0005-0000-0000-00003C8F0000}"/>
    <cellStyle name="Total 3 3 14" xfId="13410" xr:uid="{00000000-0005-0000-0000-00003D8F0000}"/>
    <cellStyle name="Total 3 3 15" xfId="14244" xr:uid="{00000000-0005-0000-0000-00003E8F0000}"/>
    <cellStyle name="Total 3 3 16" xfId="27788" xr:uid="{00000000-0005-0000-0000-00003F8F0000}"/>
    <cellStyle name="Total 3 3 17" xfId="26573" xr:uid="{00000000-0005-0000-0000-0000408F0000}"/>
    <cellStyle name="Total 3 3 18" xfId="27360" xr:uid="{00000000-0005-0000-0000-0000418F0000}"/>
    <cellStyle name="Total 3 3 19" xfId="30841" xr:uid="{00000000-0005-0000-0000-0000428F0000}"/>
    <cellStyle name="Total 3 3 2" xfId="13304" xr:uid="{00000000-0005-0000-0000-0000438F0000}"/>
    <cellStyle name="Total 3 3 2 10" xfId="18927" xr:uid="{00000000-0005-0000-0000-0000448F0000}"/>
    <cellStyle name="Total 3 3 2 11" xfId="13571" xr:uid="{00000000-0005-0000-0000-0000458F0000}"/>
    <cellStyle name="Total 3 3 2 12" xfId="15621" xr:uid="{00000000-0005-0000-0000-0000468F0000}"/>
    <cellStyle name="Total 3 3 2 13" xfId="20958" xr:uid="{00000000-0005-0000-0000-0000478F0000}"/>
    <cellStyle name="Total 3 3 2 14" xfId="13404" xr:uid="{00000000-0005-0000-0000-0000488F0000}"/>
    <cellStyle name="Total 3 3 2 15" xfId="27254" xr:uid="{00000000-0005-0000-0000-0000498F0000}"/>
    <cellStyle name="Total 3 3 2 16" xfId="27824" xr:uid="{00000000-0005-0000-0000-00004A8F0000}"/>
    <cellStyle name="Total 3 3 2 17" xfId="26508" xr:uid="{00000000-0005-0000-0000-00004B8F0000}"/>
    <cellStyle name="Total 3 3 2 18" xfId="30857" xr:uid="{00000000-0005-0000-0000-00004C8F0000}"/>
    <cellStyle name="Total 3 3 2 19" xfId="26609" xr:uid="{00000000-0005-0000-0000-00004D8F0000}"/>
    <cellStyle name="Total 3 3 2 2" xfId="13305" xr:uid="{00000000-0005-0000-0000-00004E8F0000}"/>
    <cellStyle name="Total 3 3 2 2 10" xfId="20943" xr:uid="{00000000-0005-0000-0000-00004F8F0000}"/>
    <cellStyle name="Total 3 3 2 2 11" xfId="27729" xr:uid="{00000000-0005-0000-0000-0000508F0000}"/>
    <cellStyle name="Total 3 3 2 2 12" xfId="26922" xr:uid="{00000000-0005-0000-0000-0000518F0000}"/>
    <cellStyle name="Total 3 3 2 2 13" xfId="27636" xr:uid="{00000000-0005-0000-0000-0000528F0000}"/>
    <cellStyle name="Total 3 3 2 2 14" xfId="29804" xr:uid="{00000000-0005-0000-0000-0000538F0000}"/>
    <cellStyle name="Total 3 3 2 2 15" xfId="26868" xr:uid="{00000000-0005-0000-0000-0000548F0000}"/>
    <cellStyle name="Total 3 3 2 2 16" xfId="35453" xr:uid="{00000000-0005-0000-0000-0000558F0000}"/>
    <cellStyle name="Total 3 3 2 2 2" xfId="14916" xr:uid="{00000000-0005-0000-0000-0000568F0000}"/>
    <cellStyle name="Total 3 3 2 2 3" xfId="13740" xr:uid="{00000000-0005-0000-0000-0000578F0000}"/>
    <cellStyle name="Total 3 3 2 2 4" xfId="14635" xr:uid="{00000000-0005-0000-0000-0000588F0000}"/>
    <cellStyle name="Total 3 3 2 2 5" xfId="15491" xr:uid="{00000000-0005-0000-0000-0000598F0000}"/>
    <cellStyle name="Total 3 3 2 2 6" xfId="15162" xr:uid="{00000000-0005-0000-0000-00005A8F0000}"/>
    <cellStyle name="Total 3 3 2 2 7" xfId="13505" xr:uid="{00000000-0005-0000-0000-00005B8F0000}"/>
    <cellStyle name="Total 3 3 2 2 8" xfId="14098" xr:uid="{00000000-0005-0000-0000-00005C8F0000}"/>
    <cellStyle name="Total 3 3 2 2 9" xfId="14276" xr:uid="{00000000-0005-0000-0000-00005D8F0000}"/>
    <cellStyle name="Total 3 3 2 20" xfId="35359" xr:uid="{00000000-0005-0000-0000-00005E8F0000}"/>
    <cellStyle name="Total 3 3 2 3" xfId="13306" xr:uid="{00000000-0005-0000-0000-00005F8F0000}"/>
    <cellStyle name="Total 3 3 2 3 10" xfId="14800" xr:uid="{00000000-0005-0000-0000-0000608F0000}"/>
    <cellStyle name="Total 3 3 2 3 11" xfId="27115" xr:uid="{00000000-0005-0000-0000-0000618F0000}"/>
    <cellStyle name="Total 3 3 2 3 12" xfId="27415" xr:uid="{00000000-0005-0000-0000-0000628F0000}"/>
    <cellStyle name="Total 3 3 2 3 13" xfId="27338" xr:uid="{00000000-0005-0000-0000-0000638F0000}"/>
    <cellStyle name="Total 3 3 2 3 14" xfId="27404" xr:uid="{00000000-0005-0000-0000-0000648F0000}"/>
    <cellStyle name="Total 3 3 2 3 15" xfId="29809" xr:uid="{00000000-0005-0000-0000-0000658F0000}"/>
    <cellStyle name="Total 3 3 2 3 16" xfId="35270" xr:uid="{00000000-0005-0000-0000-0000668F0000}"/>
    <cellStyle name="Total 3 3 2 3 2" xfId="15678" xr:uid="{00000000-0005-0000-0000-0000678F0000}"/>
    <cellStyle name="Total 3 3 2 3 3" xfId="15810" xr:uid="{00000000-0005-0000-0000-0000688F0000}"/>
    <cellStyle name="Total 3 3 2 3 4" xfId="15733" xr:uid="{00000000-0005-0000-0000-0000698F0000}"/>
    <cellStyle name="Total 3 3 2 3 5" xfId="14421" xr:uid="{00000000-0005-0000-0000-00006A8F0000}"/>
    <cellStyle name="Total 3 3 2 3 6" xfId="14574" xr:uid="{00000000-0005-0000-0000-00006B8F0000}"/>
    <cellStyle name="Total 3 3 2 3 7" xfId="15259" xr:uid="{00000000-0005-0000-0000-00006C8F0000}"/>
    <cellStyle name="Total 3 3 2 3 8" xfId="14354" xr:uid="{00000000-0005-0000-0000-00006D8F0000}"/>
    <cellStyle name="Total 3 3 2 3 9" xfId="15862" xr:uid="{00000000-0005-0000-0000-00006E8F0000}"/>
    <cellStyle name="Total 3 3 2 4" xfId="13307" xr:uid="{00000000-0005-0000-0000-00006F8F0000}"/>
    <cellStyle name="Total 3 3 2 4 10" xfId="13541" xr:uid="{00000000-0005-0000-0000-0000708F0000}"/>
    <cellStyle name="Total 3 3 2 4 11" xfId="27718" xr:uid="{00000000-0005-0000-0000-0000718F0000}"/>
    <cellStyle name="Total 3 3 2 4 12" xfId="26021" xr:uid="{00000000-0005-0000-0000-0000728F0000}"/>
    <cellStyle name="Total 3 3 2 4 13" xfId="26730" xr:uid="{00000000-0005-0000-0000-0000738F0000}"/>
    <cellStyle name="Total 3 3 2 4 14" xfId="27005" xr:uid="{00000000-0005-0000-0000-0000748F0000}"/>
    <cellStyle name="Total 3 3 2 4 15" xfId="27205" xr:uid="{00000000-0005-0000-0000-0000758F0000}"/>
    <cellStyle name="Total 3 3 2 4 16" xfId="35300" xr:uid="{00000000-0005-0000-0000-0000768F0000}"/>
    <cellStyle name="Total 3 3 2 4 2" xfId="14900" xr:uid="{00000000-0005-0000-0000-0000778F0000}"/>
    <cellStyle name="Total 3 3 2 4 3" xfId="14045" xr:uid="{00000000-0005-0000-0000-0000788F0000}"/>
    <cellStyle name="Total 3 3 2 4 4" xfId="13933" xr:uid="{00000000-0005-0000-0000-0000798F0000}"/>
    <cellStyle name="Total 3 3 2 4 5" xfId="14979" xr:uid="{00000000-0005-0000-0000-00007A8F0000}"/>
    <cellStyle name="Total 3 3 2 4 6" xfId="13586" xr:uid="{00000000-0005-0000-0000-00007B8F0000}"/>
    <cellStyle name="Total 3 3 2 4 7" xfId="14605" xr:uid="{00000000-0005-0000-0000-00007C8F0000}"/>
    <cellStyle name="Total 3 3 2 4 8" xfId="13413" xr:uid="{00000000-0005-0000-0000-00007D8F0000}"/>
    <cellStyle name="Total 3 3 2 4 9" xfId="14644" xr:uid="{00000000-0005-0000-0000-00007E8F0000}"/>
    <cellStyle name="Total 3 3 2 5" xfId="13308" xr:uid="{00000000-0005-0000-0000-00007F8F0000}"/>
    <cellStyle name="Total 3 3 2 5 10" xfId="15107" xr:uid="{00000000-0005-0000-0000-0000808F0000}"/>
    <cellStyle name="Total 3 3 2 5 11" xfId="27692" xr:uid="{00000000-0005-0000-0000-0000818F0000}"/>
    <cellStyle name="Total 3 3 2 5 12" xfId="27021" xr:uid="{00000000-0005-0000-0000-0000828F0000}"/>
    <cellStyle name="Total 3 3 2 5 13" xfId="27840" xr:uid="{00000000-0005-0000-0000-0000838F0000}"/>
    <cellStyle name="Total 3 3 2 5 14" xfId="27808" xr:uid="{00000000-0005-0000-0000-0000848F0000}"/>
    <cellStyle name="Total 3 3 2 5 15" xfId="27380" xr:uid="{00000000-0005-0000-0000-0000858F0000}"/>
    <cellStyle name="Total 3 3 2 5 16" xfId="34852" xr:uid="{00000000-0005-0000-0000-0000868F0000}"/>
    <cellStyle name="Total 3 3 2 5 2" xfId="14858" xr:uid="{00000000-0005-0000-0000-0000878F0000}"/>
    <cellStyle name="Total 3 3 2 5 3" xfId="13553" xr:uid="{00000000-0005-0000-0000-0000888F0000}"/>
    <cellStyle name="Total 3 3 2 5 4" xfId="15027" xr:uid="{00000000-0005-0000-0000-0000898F0000}"/>
    <cellStyle name="Total 3 3 2 5 5" xfId="14010" xr:uid="{00000000-0005-0000-0000-00008A8F0000}"/>
    <cellStyle name="Total 3 3 2 5 6" xfId="13861" xr:uid="{00000000-0005-0000-0000-00008B8F0000}"/>
    <cellStyle name="Total 3 3 2 5 7" xfId="15489" xr:uid="{00000000-0005-0000-0000-00008C8F0000}"/>
    <cellStyle name="Total 3 3 2 5 8" xfId="13711" xr:uid="{00000000-0005-0000-0000-00008D8F0000}"/>
    <cellStyle name="Total 3 3 2 5 9" xfId="15311" xr:uid="{00000000-0005-0000-0000-00008E8F0000}"/>
    <cellStyle name="Total 3 3 2 6" xfId="13840" xr:uid="{00000000-0005-0000-0000-00008F8F0000}"/>
    <cellStyle name="Total 3 3 2 7" xfId="15382" xr:uid="{00000000-0005-0000-0000-0000908F0000}"/>
    <cellStyle name="Total 3 3 2 8" xfId="14924" xr:uid="{00000000-0005-0000-0000-0000918F0000}"/>
    <cellStyle name="Total 3 3 2 9" xfId="17826" xr:uid="{00000000-0005-0000-0000-0000928F0000}"/>
    <cellStyle name="Total 3 3 20" xfId="27772" xr:uid="{00000000-0005-0000-0000-0000938F0000}"/>
    <cellStyle name="Total 3 3 21" xfId="35484" xr:uid="{00000000-0005-0000-0000-0000948F0000}"/>
    <cellStyle name="Total 3 3 3" xfId="13309" xr:uid="{00000000-0005-0000-0000-0000958F0000}"/>
    <cellStyle name="Total 3 3 3 10" xfId="14722" xr:uid="{00000000-0005-0000-0000-0000968F0000}"/>
    <cellStyle name="Total 3 3 3 11" xfId="26048" xr:uid="{00000000-0005-0000-0000-0000978F0000}"/>
    <cellStyle name="Total 3 3 3 12" xfId="27590" xr:uid="{00000000-0005-0000-0000-0000988F0000}"/>
    <cellStyle name="Total 3 3 3 13" xfId="26756" xr:uid="{00000000-0005-0000-0000-0000998F0000}"/>
    <cellStyle name="Total 3 3 3 14" xfId="27334" xr:uid="{00000000-0005-0000-0000-00009A8F0000}"/>
    <cellStyle name="Total 3 3 3 15" xfId="26281" xr:uid="{00000000-0005-0000-0000-00009B8F0000}"/>
    <cellStyle name="Total 3 3 3 16" xfId="35343" xr:uid="{00000000-0005-0000-0000-00009C8F0000}"/>
    <cellStyle name="Total 3 3 3 2" xfId="14932" xr:uid="{00000000-0005-0000-0000-00009D8F0000}"/>
    <cellStyle name="Total 3 3 3 3" xfId="13717" xr:uid="{00000000-0005-0000-0000-00009E8F0000}"/>
    <cellStyle name="Total 3 3 3 4" xfId="15546" xr:uid="{00000000-0005-0000-0000-00009F8F0000}"/>
    <cellStyle name="Total 3 3 3 5" xfId="14547" xr:uid="{00000000-0005-0000-0000-0000A08F0000}"/>
    <cellStyle name="Total 3 3 3 6" xfId="14619" xr:uid="{00000000-0005-0000-0000-0000A18F0000}"/>
    <cellStyle name="Total 3 3 3 7" xfId="13530" xr:uid="{00000000-0005-0000-0000-0000A28F0000}"/>
    <cellStyle name="Total 3 3 3 8" xfId="14279" xr:uid="{00000000-0005-0000-0000-0000A38F0000}"/>
    <cellStyle name="Total 3 3 3 9" xfId="15051" xr:uid="{00000000-0005-0000-0000-0000A48F0000}"/>
    <cellStyle name="Total 3 3 4" xfId="13310" xr:uid="{00000000-0005-0000-0000-0000A58F0000}"/>
    <cellStyle name="Total 3 3 4 10" xfId="13908" xr:uid="{00000000-0005-0000-0000-0000A68F0000}"/>
    <cellStyle name="Total 3 3 4 11" xfId="27714" xr:uid="{00000000-0005-0000-0000-0000A78F0000}"/>
    <cellStyle name="Total 3 3 4 12" xfId="27784" xr:uid="{00000000-0005-0000-0000-0000A88F0000}"/>
    <cellStyle name="Total 3 3 4 13" xfId="27775" xr:uid="{00000000-0005-0000-0000-0000A98F0000}"/>
    <cellStyle name="Total 3 3 4 14" xfId="26858" xr:uid="{00000000-0005-0000-0000-0000AA8F0000}"/>
    <cellStyle name="Total 3 3 4 15" xfId="26599" xr:uid="{00000000-0005-0000-0000-0000AB8F0000}"/>
    <cellStyle name="Total 3 3 4 16" xfId="35294" xr:uid="{00000000-0005-0000-0000-0000AC8F0000}"/>
    <cellStyle name="Total 3 3 4 2" xfId="14888" xr:uid="{00000000-0005-0000-0000-0000AD8F0000}"/>
    <cellStyle name="Total 3 3 4 3" xfId="15078" xr:uid="{00000000-0005-0000-0000-0000AE8F0000}"/>
    <cellStyle name="Total 3 3 4 4" xfId="15734" xr:uid="{00000000-0005-0000-0000-0000AF8F0000}"/>
    <cellStyle name="Total 3 3 4 5" xfId="13487" xr:uid="{00000000-0005-0000-0000-0000B08F0000}"/>
    <cellStyle name="Total 3 3 4 6" xfId="14123" xr:uid="{00000000-0005-0000-0000-0000B18F0000}"/>
    <cellStyle name="Total 3 3 4 7" xfId="15269" xr:uid="{00000000-0005-0000-0000-0000B28F0000}"/>
    <cellStyle name="Total 3 3 4 8" xfId="14114" xr:uid="{00000000-0005-0000-0000-0000B38F0000}"/>
    <cellStyle name="Total 3 3 4 9" xfId="14692" xr:uid="{00000000-0005-0000-0000-0000B48F0000}"/>
    <cellStyle name="Total 3 3 5" xfId="13311" xr:uid="{00000000-0005-0000-0000-0000B58F0000}"/>
    <cellStyle name="Total 3 3 5 10" xfId="14513" xr:uid="{00000000-0005-0000-0000-0000B68F0000}"/>
    <cellStyle name="Total 3 3 5 11" xfId="27722" xr:uid="{00000000-0005-0000-0000-0000B78F0000}"/>
    <cellStyle name="Total 3 3 5 12" xfId="26023" xr:uid="{00000000-0005-0000-0000-0000B88F0000}"/>
    <cellStyle name="Total 3 3 5 13" xfId="26948" xr:uid="{00000000-0005-0000-0000-0000B98F0000}"/>
    <cellStyle name="Total 3 3 5 14" xfId="27810" xr:uid="{00000000-0005-0000-0000-0000BA8F0000}"/>
    <cellStyle name="Total 3 3 5 15" xfId="26604" xr:uid="{00000000-0005-0000-0000-0000BB8F0000}"/>
    <cellStyle name="Total 3 3 5 16" xfId="35446" xr:uid="{00000000-0005-0000-0000-0000BC8F0000}"/>
    <cellStyle name="Total 3 3 5 2" xfId="15698" xr:uid="{00000000-0005-0000-0000-0000BD8F0000}"/>
    <cellStyle name="Total 3 3 5 3" xfId="15075" xr:uid="{00000000-0005-0000-0000-0000BE8F0000}"/>
    <cellStyle name="Total 3 3 5 4" xfId="14968" xr:uid="{00000000-0005-0000-0000-0000BF8F0000}"/>
    <cellStyle name="Total 3 3 5 5" xfId="14417" xr:uid="{00000000-0005-0000-0000-0000C08F0000}"/>
    <cellStyle name="Total 3 3 5 6" xfId="15637" xr:uid="{00000000-0005-0000-0000-0000C18F0000}"/>
    <cellStyle name="Total 3 3 5 7" xfId="14542" xr:uid="{00000000-0005-0000-0000-0000C28F0000}"/>
    <cellStyle name="Total 3 3 5 8" xfId="14786" xr:uid="{00000000-0005-0000-0000-0000C38F0000}"/>
    <cellStyle name="Total 3 3 5 9" xfId="18884" xr:uid="{00000000-0005-0000-0000-0000C48F0000}"/>
    <cellStyle name="Total 3 3 6" xfId="13312" xr:uid="{00000000-0005-0000-0000-0000C58F0000}"/>
    <cellStyle name="Total 3 3 6 10" xfId="15450" xr:uid="{00000000-0005-0000-0000-0000C68F0000}"/>
    <cellStyle name="Total 3 3 6 11" xfId="27146" xr:uid="{00000000-0005-0000-0000-0000C78F0000}"/>
    <cellStyle name="Total 3 3 6 12" xfId="26715" xr:uid="{00000000-0005-0000-0000-0000C88F0000}"/>
    <cellStyle name="Total 3 3 6 13" xfId="27488" xr:uid="{00000000-0005-0000-0000-0000C98F0000}"/>
    <cellStyle name="Total 3 3 6 14" xfId="26891" xr:uid="{00000000-0005-0000-0000-0000CA8F0000}"/>
    <cellStyle name="Total 3 3 6 15" xfId="26010" xr:uid="{00000000-0005-0000-0000-0000CB8F0000}"/>
    <cellStyle name="Total 3 3 6 16" xfId="34841" xr:uid="{00000000-0005-0000-0000-0000CC8F0000}"/>
    <cellStyle name="Total 3 3 6 2" xfId="14899" xr:uid="{00000000-0005-0000-0000-0000CD8F0000}"/>
    <cellStyle name="Total 3 3 6 3" xfId="13754" xr:uid="{00000000-0005-0000-0000-0000CE8F0000}"/>
    <cellStyle name="Total 3 3 6 4" xfId="15287" xr:uid="{00000000-0005-0000-0000-0000CF8F0000}"/>
    <cellStyle name="Total 3 3 6 5" xfId="14736" xr:uid="{00000000-0005-0000-0000-0000D08F0000}"/>
    <cellStyle name="Total 3 3 6 6" xfId="15264" xr:uid="{00000000-0005-0000-0000-0000D18F0000}"/>
    <cellStyle name="Total 3 3 6 7" xfId="15098" xr:uid="{00000000-0005-0000-0000-0000D28F0000}"/>
    <cellStyle name="Total 3 3 6 8" xfId="14597" xr:uid="{00000000-0005-0000-0000-0000D38F0000}"/>
    <cellStyle name="Total 3 3 6 9" xfId="13661" xr:uid="{00000000-0005-0000-0000-0000D48F0000}"/>
    <cellStyle name="Total 3 3 7" xfId="13864" xr:uid="{00000000-0005-0000-0000-0000D58F0000}"/>
    <cellStyle name="Total 3 3 8" xfId="15376" xr:uid="{00000000-0005-0000-0000-0000D68F0000}"/>
    <cellStyle name="Total 3 3 9" xfId="15088" xr:uid="{00000000-0005-0000-0000-0000D78F0000}"/>
    <cellStyle name="Total 3 4" xfId="13313" xr:uid="{00000000-0005-0000-0000-0000D88F0000}"/>
    <cellStyle name="Total 3 4 10" xfId="13568" xr:uid="{00000000-0005-0000-0000-0000D98F0000}"/>
    <cellStyle name="Total 3 4 11" xfId="14277" xr:uid="{00000000-0005-0000-0000-0000DA8F0000}"/>
    <cellStyle name="Total 3 4 12" xfId="15526" xr:uid="{00000000-0005-0000-0000-0000DB8F0000}"/>
    <cellStyle name="Total 3 4 13" xfId="14350" xr:uid="{00000000-0005-0000-0000-0000DC8F0000}"/>
    <cellStyle name="Total 3 4 14" xfId="14332" xr:uid="{00000000-0005-0000-0000-0000DD8F0000}"/>
    <cellStyle name="Total 3 4 15" xfId="26291" xr:uid="{00000000-0005-0000-0000-0000DE8F0000}"/>
    <cellStyle name="Total 3 4 16" xfId="27744" xr:uid="{00000000-0005-0000-0000-0000DF8F0000}"/>
    <cellStyle name="Total 3 4 17" xfId="27660" xr:uid="{00000000-0005-0000-0000-0000E08F0000}"/>
    <cellStyle name="Total 3 4 18" xfId="27560" xr:uid="{00000000-0005-0000-0000-0000E18F0000}"/>
    <cellStyle name="Total 3 4 19" xfId="27248" xr:uid="{00000000-0005-0000-0000-0000E28F0000}"/>
    <cellStyle name="Total 3 4 2" xfId="13314" xr:uid="{00000000-0005-0000-0000-0000E38F0000}"/>
    <cellStyle name="Total 3 4 2 10" xfId="15518" xr:uid="{00000000-0005-0000-0000-0000E48F0000}"/>
    <cellStyle name="Total 3 4 2 11" xfId="26344" xr:uid="{00000000-0005-0000-0000-0000E58F0000}"/>
    <cellStyle name="Total 3 4 2 12" xfId="27723" xr:uid="{00000000-0005-0000-0000-0000E68F0000}"/>
    <cellStyle name="Total 3 4 2 13" xfId="26919" xr:uid="{00000000-0005-0000-0000-0000E78F0000}"/>
    <cellStyle name="Total 3 4 2 14" xfId="26740" xr:uid="{00000000-0005-0000-0000-0000E88F0000}"/>
    <cellStyle name="Total 3 4 2 15" xfId="29819" xr:uid="{00000000-0005-0000-0000-0000E98F0000}"/>
    <cellStyle name="Total 3 4 2 16" xfId="27825" xr:uid="{00000000-0005-0000-0000-0000EA8F0000}"/>
    <cellStyle name="Total 3 4 2 17" xfId="35039" xr:uid="{00000000-0005-0000-0000-0000EB8F0000}"/>
    <cellStyle name="Total 3 4 2 18" xfId="35311" xr:uid="{00000000-0005-0000-0000-0000EC8F0000}"/>
    <cellStyle name="Total 3 4 2 2" xfId="14909" xr:uid="{00000000-0005-0000-0000-0000ED8F0000}"/>
    <cellStyle name="Total 3 4 2 3" xfId="14044" xr:uid="{00000000-0005-0000-0000-0000EE8F0000}"/>
    <cellStyle name="Total 3 4 2 4" xfId="14304" xr:uid="{00000000-0005-0000-0000-0000EF8F0000}"/>
    <cellStyle name="Total 3 4 2 5" xfId="14470" xr:uid="{00000000-0005-0000-0000-0000F08F0000}"/>
    <cellStyle name="Total 3 4 2 6" xfId="13449" xr:uid="{00000000-0005-0000-0000-0000F18F0000}"/>
    <cellStyle name="Total 3 4 2 7" xfId="15476" xr:uid="{00000000-0005-0000-0000-0000F28F0000}"/>
    <cellStyle name="Total 3 4 2 8" xfId="15268" xr:uid="{00000000-0005-0000-0000-0000F38F0000}"/>
    <cellStyle name="Total 3 4 2 9" xfId="20949" xr:uid="{00000000-0005-0000-0000-0000F48F0000}"/>
    <cellStyle name="Total 3 4 20" xfId="26565" xr:uid="{00000000-0005-0000-0000-0000F58F0000}"/>
    <cellStyle name="Total 3 4 21" xfId="34987" xr:uid="{00000000-0005-0000-0000-0000F68F0000}"/>
    <cellStyle name="Total 3 4 22" xfId="35469" xr:uid="{00000000-0005-0000-0000-0000F78F0000}"/>
    <cellStyle name="Total 3 4 3" xfId="13315" xr:uid="{00000000-0005-0000-0000-0000F88F0000}"/>
    <cellStyle name="Total 3 4 3 10" xfId="14613" xr:uid="{00000000-0005-0000-0000-0000F98F0000}"/>
    <cellStyle name="Total 3 4 3 11" xfId="26483" xr:uid="{00000000-0005-0000-0000-0000FA8F0000}"/>
    <cellStyle name="Total 3 4 3 12" xfId="27068" xr:uid="{00000000-0005-0000-0000-0000FB8F0000}"/>
    <cellStyle name="Total 3 4 3 13" xfId="27236" xr:uid="{00000000-0005-0000-0000-0000FC8F0000}"/>
    <cellStyle name="Total 3 4 3 14" xfId="27503" xr:uid="{00000000-0005-0000-0000-0000FD8F0000}"/>
    <cellStyle name="Total 3 4 3 15" xfId="29810" xr:uid="{00000000-0005-0000-0000-0000FE8F0000}"/>
    <cellStyle name="Total 3 4 3 16" xfId="26976" xr:uid="{00000000-0005-0000-0000-0000FF8F0000}"/>
    <cellStyle name="Total 3 4 3 17" xfId="35166" xr:uid="{00000000-0005-0000-0000-000000900000}"/>
    <cellStyle name="Total 3 4 3 18" xfId="35398" xr:uid="{00000000-0005-0000-0000-000001900000}"/>
    <cellStyle name="Total 3 4 3 2" xfId="15658" xr:uid="{00000000-0005-0000-0000-000002900000}"/>
    <cellStyle name="Total 3 4 3 3" xfId="14441" xr:uid="{00000000-0005-0000-0000-000003900000}"/>
    <cellStyle name="Total 3 4 3 4" xfId="15531" xr:uid="{00000000-0005-0000-0000-000004900000}"/>
    <cellStyle name="Total 3 4 3 5" xfId="14564" xr:uid="{00000000-0005-0000-0000-000005900000}"/>
    <cellStyle name="Total 3 4 3 6" xfId="15847" xr:uid="{00000000-0005-0000-0000-000006900000}"/>
    <cellStyle name="Total 3 4 3 7" xfId="13970" xr:uid="{00000000-0005-0000-0000-000007900000}"/>
    <cellStyle name="Total 3 4 3 8" xfId="13794" xr:uid="{00000000-0005-0000-0000-000008900000}"/>
    <cellStyle name="Total 3 4 3 9" xfId="14495" xr:uid="{00000000-0005-0000-0000-000009900000}"/>
    <cellStyle name="Total 3 4 4" xfId="13316" xr:uid="{00000000-0005-0000-0000-00000A900000}"/>
    <cellStyle name="Total 3 4 4 10" xfId="13663" xr:uid="{00000000-0005-0000-0000-00000B900000}"/>
    <cellStyle name="Total 3 4 4 11" xfId="26377" xr:uid="{00000000-0005-0000-0000-00000C900000}"/>
    <cellStyle name="Total 3 4 4 12" xfId="27713" xr:uid="{00000000-0005-0000-0000-00000D900000}"/>
    <cellStyle name="Total 3 4 4 13" xfId="27025" xr:uid="{00000000-0005-0000-0000-00000E900000}"/>
    <cellStyle name="Total 3 4 4 14" xfId="27490" xr:uid="{00000000-0005-0000-0000-00000F900000}"/>
    <cellStyle name="Total 3 4 4 15" xfId="26945" xr:uid="{00000000-0005-0000-0000-000010900000}"/>
    <cellStyle name="Total 3 4 4 16" xfId="26622" xr:uid="{00000000-0005-0000-0000-000011900000}"/>
    <cellStyle name="Total 3 4 4 17" xfId="35068" xr:uid="{00000000-0005-0000-0000-000012900000}"/>
    <cellStyle name="Total 3 4 4 18" xfId="35437" xr:uid="{00000000-0005-0000-0000-000013900000}"/>
    <cellStyle name="Total 3 4 4 2" xfId="14887" xr:uid="{00000000-0005-0000-0000-000014900000}"/>
    <cellStyle name="Total 3 4 4 3" xfId="13769" xr:uid="{00000000-0005-0000-0000-000015900000}"/>
    <cellStyle name="Total 3 4 4 4" xfId="14191" xr:uid="{00000000-0005-0000-0000-000016900000}"/>
    <cellStyle name="Total 3 4 4 5" xfId="14739" xr:uid="{00000000-0005-0000-0000-000017900000}"/>
    <cellStyle name="Total 3 4 4 6" xfId="15717" xr:uid="{00000000-0005-0000-0000-000018900000}"/>
    <cellStyle name="Total 3 4 4 7" xfId="14606" xr:uid="{00000000-0005-0000-0000-000019900000}"/>
    <cellStyle name="Total 3 4 4 8" xfId="14118" xr:uid="{00000000-0005-0000-0000-00001A900000}"/>
    <cellStyle name="Total 3 4 4 9" xfId="14487" xr:uid="{00000000-0005-0000-0000-00001B900000}"/>
    <cellStyle name="Total 3 4 5" xfId="13317" xr:uid="{00000000-0005-0000-0000-00001C900000}"/>
    <cellStyle name="Total 3 4 5 10" xfId="15185" xr:uid="{00000000-0005-0000-0000-00001D900000}"/>
    <cellStyle name="Total 3 4 5 11" xfId="26497" xr:uid="{00000000-0005-0000-0000-00001E900000}"/>
    <cellStyle name="Total 3 4 5 12" xfId="27058" xr:uid="{00000000-0005-0000-0000-00001F900000}"/>
    <cellStyle name="Total 3 4 5 13" xfId="26638" xr:uid="{00000000-0005-0000-0000-000020900000}"/>
    <cellStyle name="Total 3 4 5 14" xfId="26837" xr:uid="{00000000-0005-0000-0000-000021900000}"/>
    <cellStyle name="Total 3 4 5 15" xfId="27251" xr:uid="{00000000-0005-0000-0000-000022900000}"/>
    <cellStyle name="Total 3 4 5 16" xfId="26752" xr:uid="{00000000-0005-0000-0000-000023900000}"/>
    <cellStyle name="Total 3 4 5 17" xfId="35180" xr:uid="{00000000-0005-0000-0000-000024900000}"/>
    <cellStyle name="Total 3 4 5 18" xfId="35214" xr:uid="{00000000-0005-0000-0000-000025900000}"/>
    <cellStyle name="Total 3 4 5 2" xfId="14832" xr:uid="{00000000-0005-0000-0000-000026900000}"/>
    <cellStyle name="Total 3 4 5 3" xfId="14078" xr:uid="{00000000-0005-0000-0000-000027900000}"/>
    <cellStyle name="Total 3 4 5 4" xfId="15828" xr:uid="{00000000-0005-0000-0000-000028900000}"/>
    <cellStyle name="Total 3 4 5 5" xfId="15719" xr:uid="{00000000-0005-0000-0000-000029900000}"/>
    <cellStyle name="Total 3 4 5 6" xfId="14661" xr:uid="{00000000-0005-0000-0000-00002A900000}"/>
    <cellStyle name="Total 3 4 5 7" xfId="14536" xr:uid="{00000000-0005-0000-0000-00002B900000}"/>
    <cellStyle name="Total 3 4 5 8" xfId="14769" xr:uid="{00000000-0005-0000-0000-00002C900000}"/>
    <cellStyle name="Total 3 4 5 9" xfId="15855" xr:uid="{00000000-0005-0000-0000-00002D900000}"/>
    <cellStyle name="Total 3 4 6" xfId="14937" xr:uid="{00000000-0005-0000-0000-00002E900000}"/>
    <cellStyle name="Total 3 4 7" xfId="13710" xr:uid="{00000000-0005-0000-0000-00002F900000}"/>
    <cellStyle name="Total 3 4 8" xfId="13631" xr:uid="{00000000-0005-0000-0000-000030900000}"/>
    <cellStyle name="Total 3 4 9" xfId="15798" xr:uid="{00000000-0005-0000-0000-000031900000}"/>
    <cellStyle name="Total 3 5" xfId="13318" xr:uid="{00000000-0005-0000-0000-000032900000}"/>
    <cellStyle name="Total 3 5 10" xfId="13537" xr:uid="{00000000-0005-0000-0000-000033900000}"/>
    <cellStyle name="Total 3 5 11" xfId="14456" xr:uid="{00000000-0005-0000-0000-000034900000}"/>
    <cellStyle name="Total 3 5 12" xfId="21859" xr:uid="{00000000-0005-0000-0000-000035900000}"/>
    <cellStyle name="Total 3 5 13" xfId="14151" xr:uid="{00000000-0005-0000-0000-000036900000}"/>
    <cellStyle name="Total 3 5 14" xfId="14751" xr:uid="{00000000-0005-0000-0000-000037900000}"/>
    <cellStyle name="Total 3 5 15" xfId="26091" xr:uid="{00000000-0005-0000-0000-000038900000}"/>
    <cellStyle name="Total 3 5 16" xfId="27267" xr:uid="{00000000-0005-0000-0000-000039900000}"/>
    <cellStyle name="Total 3 5 17" xfId="25917" xr:uid="{00000000-0005-0000-0000-00003A900000}"/>
    <cellStyle name="Total 3 5 18" xfId="26733" xr:uid="{00000000-0005-0000-0000-00003B900000}"/>
    <cellStyle name="Total 3 5 19" xfId="29806" xr:uid="{00000000-0005-0000-0000-00003C900000}"/>
    <cellStyle name="Total 3 5 2" xfId="13319" xr:uid="{00000000-0005-0000-0000-00003D900000}"/>
    <cellStyle name="Total 3 5 2 10" xfId="14676" xr:uid="{00000000-0005-0000-0000-00003E900000}"/>
    <cellStyle name="Total 3 5 2 11" xfId="26312" xr:uid="{00000000-0005-0000-0000-00003F900000}"/>
    <cellStyle name="Total 3 5 2 12" xfId="27180" xr:uid="{00000000-0005-0000-0000-000040900000}"/>
    <cellStyle name="Total 3 5 2 13" xfId="27658" xr:uid="{00000000-0005-0000-0000-000041900000}"/>
    <cellStyle name="Total 3 5 2 14" xfId="26737" xr:uid="{00000000-0005-0000-0000-000042900000}"/>
    <cellStyle name="Total 3 5 2 15" xfId="27547" xr:uid="{00000000-0005-0000-0000-000043900000}"/>
    <cellStyle name="Total 3 5 2 16" xfId="26810" xr:uid="{00000000-0005-0000-0000-000044900000}"/>
    <cellStyle name="Total 3 5 2 17" xfId="35008" xr:uid="{00000000-0005-0000-0000-000045900000}"/>
    <cellStyle name="Total 3 5 2 18" xfId="35334" xr:uid="{00000000-0005-0000-0000-000046900000}"/>
    <cellStyle name="Total 3 5 2 2" xfId="15708" xr:uid="{00000000-0005-0000-0000-000047900000}"/>
    <cellStyle name="Total 3 5 2 3" xfId="15196" xr:uid="{00000000-0005-0000-0000-000048900000}"/>
    <cellStyle name="Total 3 5 2 4" xfId="15632" xr:uid="{00000000-0005-0000-0000-000049900000}"/>
    <cellStyle name="Total 3 5 2 5" xfId="14468" xr:uid="{00000000-0005-0000-0000-00004A900000}"/>
    <cellStyle name="Total 3 5 2 6" xfId="13400" xr:uid="{00000000-0005-0000-0000-00004B900000}"/>
    <cellStyle name="Total 3 5 2 7" xfId="14374" xr:uid="{00000000-0005-0000-0000-00004C900000}"/>
    <cellStyle name="Total 3 5 2 8" xfId="13581" xr:uid="{00000000-0005-0000-0000-00004D900000}"/>
    <cellStyle name="Total 3 5 2 9" xfId="20936" xr:uid="{00000000-0005-0000-0000-00004E900000}"/>
    <cellStyle name="Total 3 5 20" xfId="27553" xr:uid="{00000000-0005-0000-0000-00004F900000}"/>
    <cellStyle name="Total 3 5 21" xfId="34951" xr:uid="{00000000-0005-0000-0000-000050900000}"/>
    <cellStyle name="Total 3 5 22" xfId="34989" xr:uid="{00000000-0005-0000-0000-000051900000}"/>
    <cellStyle name="Total 3 5 3" xfId="13320" xr:uid="{00000000-0005-0000-0000-000052900000}"/>
    <cellStyle name="Total 3 5 3 10" xfId="14646" xr:uid="{00000000-0005-0000-0000-000053900000}"/>
    <cellStyle name="Total 3 5 3 11" xfId="26392" xr:uid="{00000000-0005-0000-0000-000054900000}"/>
    <cellStyle name="Total 3 5 3 12" xfId="27708" xr:uid="{00000000-0005-0000-0000-000055900000}"/>
    <cellStyle name="Total 3 5 3 13" xfId="27585" xr:uid="{00000000-0005-0000-0000-000056900000}"/>
    <cellStyle name="Total 3 5 3 14" xfId="26552" xr:uid="{00000000-0005-0000-0000-000057900000}"/>
    <cellStyle name="Total 3 5 3 15" xfId="27304" xr:uid="{00000000-0005-0000-0000-000058900000}"/>
    <cellStyle name="Total 3 5 3 16" xfId="27644" xr:uid="{00000000-0005-0000-0000-000059900000}"/>
    <cellStyle name="Total 3 5 3 17" xfId="35083" xr:uid="{00000000-0005-0000-0000-00005A900000}"/>
    <cellStyle name="Total 3 5 3 18" xfId="35283" xr:uid="{00000000-0005-0000-0000-00005B900000}"/>
    <cellStyle name="Total 3 5 3 2" xfId="14880" xr:uid="{00000000-0005-0000-0000-00005C900000}"/>
    <cellStyle name="Total 3 5 3 3" xfId="15414" xr:uid="{00000000-0005-0000-0000-00005D900000}"/>
    <cellStyle name="Total 3 5 3 4" xfId="15030" xr:uid="{00000000-0005-0000-0000-00005E900000}"/>
    <cellStyle name="Total 3 5 3 5" xfId="15390" xr:uid="{00000000-0005-0000-0000-00005F900000}"/>
    <cellStyle name="Total 3 5 3 6" xfId="14783" xr:uid="{00000000-0005-0000-0000-000060900000}"/>
    <cellStyle name="Total 3 5 3 7" xfId="13579" xr:uid="{00000000-0005-0000-0000-000061900000}"/>
    <cellStyle name="Total 3 5 3 8" xfId="15731" xr:uid="{00000000-0005-0000-0000-000062900000}"/>
    <cellStyle name="Total 3 5 3 9" xfId="14349" xr:uid="{00000000-0005-0000-0000-000063900000}"/>
    <cellStyle name="Total 3 5 4" xfId="13321" xr:uid="{00000000-0005-0000-0000-000064900000}"/>
    <cellStyle name="Total 3 5 4 10" xfId="15277" xr:uid="{00000000-0005-0000-0000-000065900000}"/>
    <cellStyle name="Total 3 5 4 11" xfId="26368" xr:uid="{00000000-0005-0000-0000-000066900000}"/>
    <cellStyle name="Total 3 5 4 12" xfId="25906" xr:uid="{00000000-0005-0000-0000-000067900000}"/>
    <cellStyle name="Total 3 5 4 13" xfId="27816" xr:uid="{00000000-0005-0000-0000-000068900000}"/>
    <cellStyle name="Total 3 5 4 14" xfId="25952" xr:uid="{00000000-0005-0000-0000-000069900000}"/>
    <cellStyle name="Total 3 5 4 15" xfId="26852" xr:uid="{00000000-0005-0000-0000-00006A900000}"/>
    <cellStyle name="Total 3 5 4 16" xfId="26130" xr:uid="{00000000-0005-0000-0000-00006B900000}"/>
    <cellStyle name="Total 3 5 4 17" xfId="35060" xr:uid="{00000000-0005-0000-0000-00006C900000}"/>
    <cellStyle name="Total 3 5 4 18" xfId="34844" xr:uid="{00000000-0005-0000-0000-00006D900000}"/>
    <cellStyle name="Total 3 5 4 2" xfId="14895" xr:uid="{00000000-0005-0000-0000-00006E900000}"/>
    <cellStyle name="Total 3 5 4 3" xfId="15203" xr:uid="{00000000-0005-0000-0000-00006F900000}"/>
    <cellStyle name="Total 3 5 4 4" xfId="15115" xr:uid="{00000000-0005-0000-0000-000070900000}"/>
    <cellStyle name="Total 3 5 4 5" xfId="13440" xr:uid="{00000000-0005-0000-0000-000071900000}"/>
    <cellStyle name="Total 3 5 4 6" xfId="14505" xr:uid="{00000000-0005-0000-0000-000072900000}"/>
    <cellStyle name="Total 3 5 4 7" xfId="14375" xr:uid="{00000000-0005-0000-0000-000073900000}"/>
    <cellStyle name="Total 3 5 4 8" xfId="14831" xr:uid="{00000000-0005-0000-0000-000074900000}"/>
    <cellStyle name="Total 3 5 4 9" xfId="15103" xr:uid="{00000000-0005-0000-0000-000075900000}"/>
    <cellStyle name="Total 3 5 5" xfId="13322" xr:uid="{00000000-0005-0000-0000-000076900000}"/>
    <cellStyle name="Total 3 5 5 10" xfId="14025" xr:uid="{00000000-0005-0000-0000-000077900000}"/>
    <cellStyle name="Total 3 5 5 11" xfId="26447" xr:uid="{00000000-0005-0000-0000-000078900000}"/>
    <cellStyle name="Total 3 5 5 12" xfId="27093" xr:uid="{00000000-0005-0000-0000-000079900000}"/>
    <cellStyle name="Total 3 5 5 13" xfId="27581" xr:uid="{00000000-0005-0000-0000-00007A900000}"/>
    <cellStyle name="Total 3 5 5 14" xfId="27201" xr:uid="{00000000-0005-0000-0000-00007B900000}"/>
    <cellStyle name="Total 3 5 5 15" xfId="27426" xr:uid="{00000000-0005-0000-0000-00007C900000}"/>
    <cellStyle name="Total 3 5 5 16" xfId="27048" xr:uid="{00000000-0005-0000-0000-00007D900000}"/>
    <cellStyle name="Total 3 5 5 17" xfId="35130" xr:uid="{00000000-0005-0000-0000-00007E900000}"/>
    <cellStyle name="Total 3 5 5 18" xfId="35248" xr:uid="{00000000-0005-0000-0000-00007F900000}"/>
    <cellStyle name="Total 3 5 5 2" xfId="14854" xr:uid="{00000000-0005-0000-0000-000080900000}"/>
    <cellStyle name="Total 3 5 5 3" xfId="14066" xr:uid="{00000000-0005-0000-0000-000081900000}"/>
    <cellStyle name="Total 3 5 5 4" xfId="15047" xr:uid="{00000000-0005-0000-0000-000082900000}"/>
    <cellStyle name="Total 3 5 5 5" xfId="13822" xr:uid="{00000000-0005-0000-0000-000083900000}"/>
    <cellStyle name="Total 3 5 5 6" xfId="13862" xr:uid="{00000000-0005-0000-0000-000084900000}"/>
    <cellStyle name="Total 3 5 5 7" xfId="19886" xr:uid="{00000000-0005-0000-0000-000085900000}"/>
    <cellStyle name="Total 3 5 5 8" xfId="20909" xr:uid="{00000000-0005-0000-0000-000086900000}"/>
    <cellStyle name="Total 3 5 5 9" xfId="14587" xr:uid="{00000000-0005-0000-0000-000087900000}"/>
    <cellStyle name="Total 3 5 6" xfId="13849" xr:uid="{00000000-0005-0000-0000-000088900000}"/>
    <cellStyle name="Total 3 5 7" xfId="13993" xr:uid="{00000000-0005-0000-0000-000089900000}"/>
    <cellStyle name="Total 3 5 8" xfId="15835" xr:uid="{00000000-0005-0000-0000-00008A900000}"/>
    <cellStyle name="Total 3 5 9" xfId="13875" xr:uid="{00000000-0005-0000-0000-00008B900000}"/>
    <cellStyle name="Total 3 6" xfId="13323" xr:uid="{00000000-0005-0000-0000-00008C900000}"/>
    <cellStyle name="Total 3 6 10" xfId="24871" xr:uid="{00000000-0005-0000-0000-00008D900000}"/>
    <cellStyle name="Total 3 6 11" xfId="25870" xr:uid="{00000000-0005-0000-0000-00008E900000}"/>
    <cellStyle name="Total 3 6 12" xfId="28776" xr:uid="{00000000-0005-0000-0000-00008F900000}"/>
    <cellStyle name="Total 3 6 13" xfId="29793" xr:uid="{00000000-0005-0000-0000-000090900000}"/>
    <cellStyle name="Total 3 6 14" xfId="30826" xr:uid="{00000000-0005-0000-0000-000091900000}"/>
    <cellStyle name="Total 3 6 15" xfId="31821" xr:uid="{00000000-0005-0000-0000-000092900000}"/>
    <cellStyle name="Total 3 6 16" xfId="32825" xr:uid="{00000000-0005-0000-0000-000093900000}"/>
    <cellStyle name="Total 3 6 17" xfId="33828" xr:uid="{00000000-0005-0000-0000-000094900000}"/>
    <cellStyle name="Total 3 6 18" xfId="34827" xr:uid="{00000000-0005-0000-0000-000095900000}"/>
    <cellStyle name="Total 3 6 19" xfId="36388" xr:uid="{00000000-0005-0000-0000-000096900000}"/>
    <cellStyle name="Total 3 6 2" xfId="16860" xr:uid="{00000000-0005-0000-0000-000097900000}"/>
    <cellStyle name="Total 3 6 20" xfId="37387" xr:uid="{00000000-0005-0000-0000-000098900000}"/>
    <cellStyle name="Total 3 6 3" xfId="17840" xr:uid="{00000000-0005-0000-0000-000099900000}"/>
    <cellStyle name="Total 3 6 4" xfId="18865" xr:uid="{00000000-0005-0000-0000-00009A900000}"/>
    <cellStyle name="Total 3 6 5" xfId="19899" xr:uid="{00000000-0005-0000-0000-00009B900000}"/>
    <cellStyle name="Total 3 6 6" xfId="20924" xr:uid="{00000000-0005-0000-0000-00009C900000}"/>
    <cellStyle name="Total 3 6 7" xfId="21884" xr:uid="{00000000-0005-0000-0000-00009D900000}"/>
    <cellStyle name="Total 3 6 8" xfId="22896" xr:uid="{00000000-0005-0000-0000-00009E900000}"/>
    <cellStyle name="Total 3 6 9" xfId="23899" xr:uid="{00000000-0005-0000-0000-00009F900000}"/>
    <cellStyle name="Total 3 7" xfId="13324" xr:uid="{00000000-0005-0000-0000-0000A0900000}"/>
    <cellStyle name="Total 3 7 10" xfId="24864" xr:uid="{00000000-0005-0000-0000-0000A1900000}"/>
    <cellStyle name="Total 3 7 11" xfId="25863" xr:uid="{00000000-0005-0000-0000-0000A2900000}"/>
    <cellStyle name="Total 3 7 12" xfId="28769" xr:uid="{00000000-0005-0000-0000-0000A3900000}"/>
    <cellStyle name="Total 3 7 13" xfId="29786" xr:uid="{00000000-0005-0000-0000-0000A4900000}"/>
    <cellStyle name="Total 3 7 14" xfId="30819" xr:uid="{00000000-0005-0000-0000-0000A5900000}"/>
    <cellStyle name="Total 3 7 15" xfId="31814" xr:uid="{00000000-0005-0000-0000-0000A6900000}"/>
    <cellStyle name="Total 3 7 16" xfId="32818" xr:uid="{00000000-0005-0000-0000-0000A7900000}"/>
    <cellStyle name="Total 3 7 17" xfId="33821" xr:uid="{00000000-0005-0000-0000-0000A8900000}"/>
    <cellStyle name="Total 3 7 18" xfId="34820" xr:uid="{00000000-0005-0000-0000-0000A9900000}"/>
    <cellStyle name="Total 3 7 19" xfId="36381" xr:uid="{00000000-0005-0000-0000-0000AA900000}"/>
    <cellStyle name="Total 3 7 2" xfId="16853" xr:uid="{00000000-0005-0000-0000-0000AB900000}"/>
    <cellStyle name="Total 3 7 20" xfId="37380" xr:uid="{00000000-0005-0000-0000-0000AC900000}"/>
    <cellStyle name="Total 3 7 3" xfId="17833" xr:uid="{00000000-0005-0000-0000-0000AD900000}"/>
    <cellStyle name="Total 3 7 4" xfId="18858" xr:uid="{00000000-0005-0000-0000-0000AE900000}"/>
    <cellStyle name="Total 3 7 5" xfId="19892" xr:uid="{00000000-0005-0000-0000-0000AF900000}"/>
    <cellStyle name="Total 3 7 6" xfId="20917" xr:uid="{00000000-0005-0000-0000-0000B0900000}"/>
    <cellStyle name="Total 3 7 7" xfId="21877" xr:uid="{00000000-0005-0000-0000-0000B1900000}"/>
    <cellStyle name="Total 3 7 8" xfId="22889" xr:uid="{00000000-0005-0000-0000-0000B2900000}"/>
    <cellStyle name="Total 3 7 9" xfId="23892" xr:uid="{00000000-0005-0000-0000-0000B3900000}"/>
    <cellStyle name="Total 4" xfId="13325" xr:uid="{00000000-0005-0000-0000-0000B4900000}"/>
    <cellStyle name="Total 4 10" xfId="15843" xr:uid="{00000000-0005-0000-0000-0000B5900000}"/>
    <cellStyle name="Total 4 11" xfId="15175" xr:uid="{00000000-0005-0000-0000-0000B6900000}"/>
    <cellStyle name="Total 4 12" xfId="14255" xr:uid="{00000000-0005-0000-0000-0000B7900000}"/>
    <cellStyle name="Total 4 13" xfId="15332" xr:uid="{00000000-0005-0000-0000-0000B8900000}"/>
    <cellStyle name="Total 4 14" xfId="13949" xr:uid="{00000000-0005-0000-0000-0000B9900000}"/>
    <cellStyle name="Total 4 15" xfId="13682" xr:uid="{00000000-0005-0000-0000-0000BA900000}"/>
    <cellStyle name="Total 4 16" xfId="18879" xr:uid="{00000000-0005-0000-0000-0000BB900000}"/>
    <cellStyle name="Total 4 17" xfId="27269" xr:uid="{00000000-0005-0000-0000-0000BC900000}"/>
    <cellStyle name="Total 4 18" xfId="27322" xr:uid="{00000000-0005-0000-0000-0000BD900000}"/>
    <cellStyle name="Total 4 19" xfId="27039" xr:uid="{00000000-0005-0000-0000-0000BE900000}"/>
    <cellStyle name="Total 4 2" xfId="13326" xr:uid="{00000000-0005-0000-0000-0000BF900000}"/>
    <cellStyle name="Total 4 20" xfId="26608" xr:uid="{00000000-0005-0000-0000-0000C0900000}"/>
    <cellStyle name="Total 4 21" xfId="30842" xr:uid="{00000000-0005-0000-0000-0000C1900000}"/>
    <cellStyle name="Total 4 22" xfId="35375" xr:uid="{00000000-0005-0000-0000-0000C2900000}"/>
    <cellStyle name="Total 4 3" xfId="13327" xr:uid="{00000000-0005-0000-0000-0000C3900000}"/>
    <cellStyle name="Total 4 3 10" xfId="14309" xr:uid="{00000000-0005-0000-0000-0000C4900000}"/>
    <cellStyle name="Total 4 3 11" xfId="18902" xr:uid="{00000000-0005-0000-0000-0000C5900000}"/>
    <cellStyle name="Total 4 3 12" xfId="21870" xr:uid="{00000000-0005-0000-0000-0000C6900000}"/>
    <cellStyle name="Total 4 3 13" xfId="15142" xr:uid="{00000000-0005-0000-0000-0000C7900000}"/>
    <cellStyle name="Total 4 3 14" xfId="14711" xr:uid="{00000000-0005-0000-0000-0000C8900000}"/>
    <cellStyle name="Total 4 3 15" xfId="27253" xr:uid="{00000000-0005-0000-0000-0000C9900000}"/>
    <cellStyle name="Total 4 3 16" xfId="27339" xr:uid="{00000000-0005-0000-0000-0000CA900000}"/>
    <cellStyle name="Total 4 3 17" xfId="27443" xr:uid="{00000000-0005-0000-0000-0000CB900000}"/>
    <cellStyle name="Total 4 3 18" xfId="26927" xr:uid="{00000000-0005-0000-0000-0000CC900000}"/>
    <cellStyle name="Total 4 3 19" xfId="26727" xr:uid="{00000000-0005-0000-0000-0000CD900000}"/>
    <cellStyle name="Total 4 3 2" xfId="13328" xr:uid="{00000000-0005-0000-0000-0000CE900000}"/>
    <cellStyle name="Total 4 3 2 10" xfId="13535" xr:uid="{00000000-0005-0000-0000-0000CF900000}"/>
    <cellStyle name="Total 4 3 2 11" xfId="27166" xr:uid="{00000000-0005-0000-0000-0000D0900000}"/>
    <cellStyle name="Total 4 3 2 12" xfId="27030" xr:uid="{00000000-0005-0000-0000-0000D1900000}"/>
    <cellStyle name="Total 4 3 2 13" xfId="27836" xr:uid="{00000000-0005-0000-0000-0000D2900000}"/>
    <cellStyle name="Total 4 3 2 14" xfId="27606" xr:uid="{00000000-0005-0000-0000-0000D3900000}"/>
    <cellStyle name="Total 4 3 2 15" xfId="29816" xr:uid="{00000000-0005-0000-0000-0000D4900000}"/>
    <cellStyle name="Total 4 3 2 16" xfId="35320" xr:uid="{00000000-0005-0000-0000-0000D5900000}"/>
    <cellStyle name="Total 4 3 2 2" xfId="15702" xr:uid="{00000000-0005-0000-0000-0000D6900000}"/>
    <cellStyle name="Total 4 3 2 3" xfId="15199" xr:uid="{00000000-0005-0000-0000-0000D7900000}"/>
    <cellStyle name="Total 4 3 2 4" xfId="14791" xr:uid="{00000000-0005-0000-0000-0000D8900000}"/>
    <cellStyle name="Total 4 3 2 5" xfId="13442" xr:uid="{00000000-0005-0000-0000-0000D9900000}"/>
    <cellStyle name="Total 4 3 2 6" xfId="15372" xr:uid="{00000000-0005-0000-0000-0000DA900000}"/>
    <cellStyle name="Total 4 3 2 7" xfId="14822" xr:uid="{00000000-0005-0000-0000-0000DB900000}"/>
    <cellStyle name="Total 4 3 2 8" xfId="14771" xr:uid="{00000000-0005-0000-0000-0000DC900000}"/>
    <cellStyle name="Total 4 3 2 9" xfId="15751" xr:uid="{00000000-0005-0000-0000-0000DD900000}"/>
    <cellStyle name="Total 4 3 20" xfId="34895" xr:uid="{00000000-0005-0000-0000-0000DE900000}"/>
    <cellStyle name="Total 4 3 3" xfId="13329" xr:uid="{00000000-0005-0000-0000-0000DF900000}"/>
    <cellStyle name="Total 4 3 3 10" xfId="13623" xr:uid="{00000000-0005-0000-0000-0000E0900000}"/>
    <cellStyle name="Total 4 3 3 11" xfId="27114" xr:uid="{00000000-0005-0000-0000-0000E1900000}"/>
    <cellStyle name="Total 4 3 3 12" xfId="27239" xr:uid="{00000000-0005-0000-0000-0000E2900000}"/>
    <cellStyle name="Total 4 3 3 13" xfId="28748" xr:uid="{00000000-0005-0000-0000-0000E3900000}"/>
    <cellStyle name="Total 4 3 3 14" xfId="27247" xr:uid="{00000000-0005-0000-0000-0000E4900000}"/>
    <cellStyle name="Total 4 3 3 15" xfId="26376" xr:uid="{00000000-0005-0000-0000-0000E5900000}"/>
    <cellStyle name="Total 4 3 3 16" xfId="35269" xr:uid="{00000000-0005-0000-0000-0000E6900000}"/>
    <cellStyle name="Total 4 3 3 2" xfId="14869" xr:uid="{00000000-0005-0000-0000-0000E7900000}"/>
    <cellStyle name="Total 4 3 3 3" xfId="15080" xr:uid="{00000000-0005-0000-0000-0000E8900000}"/>
    <cellStyle name="Total 4 3 3 4" xfId="14963" xr:uid="{00000000-0005-0000-0000-0000E9900000}"/>
    <cellStyle name="Total 4 3 3 5" xfId="15409" xr:uid="{00000000-0005-0000-0000-0000EA900000}"/>
    <cellStyle name="Total 4 3 3 6" xfId="14502" xr:uid="{00000000-0005-0000-0000-0000EB900000}"/>
    <cellStyle name="Total 4 3 3 7" xfId="14675" xr:uid="{00000000-0005-0000-0000-0000EC900000}"/>
    <cellStyle name="Total 4 3 3 8" xfId="14147" xr:uid="{00000000-0005-0000-0000-0000ED900000}"/>
    <cellStyle name="Total 4 3 3 9" xfId="14569" xr:uid="{00000000-0005-0000-0000-0000EE900000}"/>
    <cellStyle name="Total 4 3 4" xfId="13330" xr:uid="{00000000-0005-0000-0000-0000EF900000}"/>
    <cellStyle name="Total 4 3 4 10" xfId="15463" xr:uid="{00000000-0005-0000-0000-0000F0900000}"/>
    <cellStyle name="Total 4 3 4 11" xfId="27147" xr:uid="{00000000-0005-0000-0000-0000F1900000}"/>
    <cellStyle name="Total 4 3 4 12" xfId="26650" xr:uid="{00000000-0005-0000-0000-0000F2900000}"/>
    <cellStyle name="Total 4 3 4 13" xfId="26546" xr:uid="{00000000-0005-0000-0000-0000F3900000}"/>
    <cellStyle name="Total 4 3 4 14" xfId="26271" xr:uid="{00000000-0005-0000-0000-0000F4900000}"/>
    <cellStyle name="Total 4 3 4 15" xfId="27402" xr:uid="{00000000-0005-0000-0000-0000F5900000}"/>
    <cellStyle name="Total 4 3 4 16" xfId="34839" xr:uid="{00000000-0005-0000-0000-0000F6900000}"/>
    <cellStyle name="Total 4 3 4 2" xfId="15693" xr:uid="{00000000-0005-0000-0000-0000F7900000}"/>
    <cellStyle name="Total 4 3 4 3" xfId="13752" xr:uid="{00000000-0005-0000-0000-0000F8900000}"/>
    <cellStyle name="Total 4 3 4 4" xfId="14195" xr:uid="{00000000-0005-0000-0000-0000F9900000}"/>
    <cellStyle name="Total 4 3 4 5" xfId="14266" xr:uid="{00000000-0005-0000-0000-0000FA900000}"/>
    <cellStyle name="Total 4 3 4 6" xfId="15616" xr:uid="{00000000-0005-0000-0000-0000FB900000}"/>
    <cellStyle name="Total 4 3 4 7" xfId="15727" xr:uid="{00000000-0005-0000-0000-0000FC900000}"/>
    <cellStyle name="Total 4 3 4 8" xfId="13628" xr:uid="{00000000-0005-0000-0000-0000FD900000}"/>
    <cellStyle name="Total 4 3 4 9" xfId="14981" xr:uid="{00000000-0005-0000-0000-0000FE900000}"/>
    <cellStyle name="Total 4 3 5" xfId="13331" xr:uid="{00000000-0005-0000-0000-0000FF900000}"/>
    <cellStyle name="Total 4 3 5 10" xfId="14813" xr:uid="{00000000-0005-0000-0000-000000910000}"/>
    <cellStyle name="Total 4 3 5 11" xfId="27101" xr:uid="{00000000-0005-0000-0000-000001910000}"/>
    <cellStyle name="Total 4 3 5 12" xfId="26725" xr:uid="{00000000-0005-0000-0000-000002910000}"/>
    <cellStyle name="Total 4 3 5 13" xfId="27356" xr:uid="{00000000-0005-0000-0000-000003910000}"/>
    <cellStyle name="Total 4 3 5 14" xfId="26847" xr:uid="{00000000-0005-0000-0000-000004910000}"/>
    <cellStyle name="Total 4 3 5 15" xfId="26874" xr:uid="{00000000-0005-0000-0000-000005910000}"/>
    <cellStyle name="Total 4 3 5 16" xfId="34902" xr:uid="{00000000-0005-0000-0000-000006910000}"/>
    <cellStyle name="Total 4 3 5 2" xfId="15672" xr:uid="{00000000-0005-0000-0000-000007910000}"/>
    <cellStyle name="Total 4 3 5 3" xfId="14065" xr:uid="{00000000-0005-0000-0000-000008910000}"/>
    <cellStyle name="Total 4 3 5 4" xfId="15111" xr:uid="{00000000-0005-0000-0000-000009910000}"/>
    <cellStyle name="Total 4 3 5 5" xfId="14478" xr:uid="{00000000-0005-0000-0000-00000A910000}"/>
    <cellStyle name="Total 4 3 5 6" xfId="15455" xr:uid="{00000000-0005-0000-0000-00000B910000}"/>
    <cellStyle name="Total 4 3 5 7" xfId="15127" xr:uid="{00000000-0005-0000-0000-00000C910000}"/>
    <cellStyle name="Total 4 3 5 8" xfId="14250" xr:uid="{00000000-0005-0000-0000-00000D910000}"/>
    <cellStyle name="Total 4 3 5 9" xfId="15323" xr:uid="{00000000-0005-0000-0000-00000E910000}"/>
    <cellStyle name="Total 4 3 6" xfId="15788" xr:uid="{00000000-0005-0000-0000-00000F910000}"/>
    <cellStyle name="Total 4 3 7" xfId="14365" xr:uid="{00000000-0005-0000-0000-000010910000}"/>
    <cellStyle name="Total 4 3 8" xfId="14877" xr:uid="{00000000-0005-0000-0000-000011910000}"/>
    <cellStyle name="Total 4 3 9" xfId="13464" xr:uid="{00000000-0005-0000-0000-000012910000}"/>
    <cellStyle name="Total 4 4" xfId="13332" xr:uid="{00000000-0005-0000-0000-000013910000}"/>
    <cellStyle name="Total 4 4 10" xfId="14544" xr:uid="{00000000-0005-0000-0000-000014910000}"/>
    <cellStyle name="Total 4 4 11" xfId="26047" xr:uid="{00000000-0005-0000-0000-000015910000}"/>
    <cellStyle name="Total 4 4 12" xfId="27461" xr:uid="{00000000-0005-0000-0000-000016910000}"/>
    <cellStyle name="Total 4 4 13" xfId="29832" xr:uid="{00000000-0005-0000-0000-000017910000}"/>
    <cellStyle name="Total 4 4 14" xfId="26971" xr:uid="{00000000-0005-0000-0000-000018910000}"/>
    <cellStyle name="Total 4 4 15" xfId="27798" xr:uid="{00000000-0005-0000-0000-000019910000}"/>
    <cellStyle name="Total 4 4 16" xfId="35465" xr:uid="{00000000-0005-0000-0000-00001A910000}"/>
    <cellStyle name="Total 4 4 2" xfId="15712" xr:uid="{00000000-0005-0000-0000-00001B910000}"/>
    <cellStyle name="Total 4 4 3" xfId="14033" xr:uid="{00000000-0005-0000-0000-00001C910000}"/>
    <cellStyle name="Total 4 4 4" xfId="15339" xr:uid="{00000000-0005-0000-0000-00001D910000}"/>
    <cellStyle name="Total 4 4 5" xfId="13478" xr:uid="{00000000-0005-0000-0000-00001E910000}"/>
    <cellStyle name="Total 4 4 6" xfId="14110" xr:uid="{00000000-0005-0000-0000-00001F910000}"/>
    <cellStyle name="Total 4 4 7" xfId="13426" xr:uid="{00000000-0005-0000-0000-000020910000}"/>
    <cellStyle name="Total 4 4 8" xfId="15060" xr:uid="{00000000-0005-0000-0000-000021910000}"/>
    <cellStyle name="Total 4 4 9" xfId="15636" xr:uid="{00000000-0005-0000-0000-000022910000}"/>
    <cellStyle name="Total 4 5" xfId="13333" xr:uid="{00000000-0005-0000-0000-000023910000}"/>
    <cellStyle name="Total 4 5 10" xfId="14570" xr:uid="{00000000-0005-0000-0000-000024910000}"/>
    <cellStyle name="Total 4 5 11" xfId="27138" xr:uid="{00000000-0005-0000-0000-000025910000}"/>
    <cellStyle name="Total 4 5 12" xfId="27586" xr:uid="{00000000-0005-0000-0000-000026910000}"/>
    <cellStyle name="Total 4 5 13" xfId="27475" xr:uid="{00000000-0005-0000-0000-000027910000}"/>
    <cellStyle name="Total 4 5 14" xfId="27545" xr:uid="{00000000-0005-0000-0000-000028910000}"/>
    <cellStyle name="Total 4 5 15" xfId="27577" xr:uid="{00000000-0005-0000-0000-000029910000}"/>
    <cellStyle name="Total 4 5 16" xfId="35293" xr:uid="{00000000-0005-0000-0000-00002A910000}"/>
    <cellStyle name="Total 4 5 2" xfId="15686" xr:uid="{00000000-0005-0000-0000-00002B910000}"/>
    <cellStyle name="Total 4 5 3" xfId="14051" xr:uid="{00000000-0005-0000-0000-00002C910000}"/>
    <cellStyle name="Total 4 5 4" xfId="14789" xr:uid="{00000000-0005-0000-0000-00002D910000}"/>
    <cellStyle name="Total 4 5 5" xfId="13817" xr:uid="{00000000-0005-0000-0000-00002E910000}"/>
    <cellStyle name="Total 4 5 6" xfId="14504" xr:uid="{00000000-0005-0000-0000-00002F910000}"/>
    <cellStyle name="Total 4 5 7" xfId="15308" xr:uid="{00000000-0005-0000-0000-000030910000}"/>
    <cellStyle name="Total 4 5 8" xfId="15776" xr:uid="{00000000-0005-0000-0000-000031910000}"/>
    <cellStyle name="Total 4 5 9" xfId="14984" xr:uid="{00000000-0005-0000-0000-000032910000}"/>
    <cellStyle name="Total 4 6" xfId="13334" xr:uid="{00000000-0005-0000-0000-000033910000}"/>
    <cellStyle name="Total 4 6 10" xfId="13503" xr:uid="{00000000-0005-0000-0000-000034910000}"/>
    <cellStyle name="Total 4 6 11" xfId="27149" xr:uid="{00000000-0005-0000-0000-000035910000}"/>
    <cellStyle name="Total 4 6 12" xfId="27459" xr:uid="{00000000-0005-0000-0000-000036910000}"/>
    <cellStyle name="Total 4 6 13" xfId="26950" xr:uid="{00000000-0005-0000-0000-000037910000}"/>
    <cellStyle name="Total 4 6 14" xfId="27641" xr:uid="{00000000-0005-0000-0000-000038910000}"/>
    <cellStyle name="Total 4 6 15" xfId="26224" xr:uid="{00000000-0005-0000-0000-000039910000}"/>
    <cellStyle name="Total 4 6 16" xfId="35304" xr:uid="{00000000-0005-0000-0000-00003A910000}"/>
    <cellStyle name="Total 4 6 2" xfId="15695" xr:uid="{00000000-0005-0000-0000-00003B910000}"/>
    <cellStyle name="Total 4 6 3" xfId="15809" xr:uid="{00000000-0005-0000-0000-00003C910000}"/>
    <cellStyle name="Total 4 6 4" xfId="14965" xr:uid="{00000000-0005-0000-0000-00003D910000}"/>
    <cellStyle name="Total 4 6 5" xfId="14420" xr:uid="{00000000-0005-0000-0000-00003E910000}"/>
    <cellStyle name="Total 4 6 6" xfId="13587" xr:uid="{00000000-0005-0000-0000-00003F910000}"/>
    <cellStyle name="Total 4 6 7" xfId="15351" xr:uid="{00000000-0005-0000-0000-000040910000}"/>
    <cellStyle name="Total 4 6 8" xfId="13835" xr:uid="{00000000-0005-0000-0000-000041910000}"/>
    <cellStyle name="Total 4 6 9" xfId="18851" xr:uid="{00000000-0005-0000-0000-000042910000}"/>
    <cellStyle name="Total 4 7" xfId="13335" xr:uid="{00000000-0005-0000-0000-000043910000}"/>
    <cellStyle name="Total 4 7 10" xfId="19881" xr:uid="{00000000-0005-0000-0000-000044910000}"/>
    <cellStyle name="Total 4 7 11" xfId="27719" xr:uid="{00000000-0005-0000-0000-000045910000}"/>
    <cellStyle name="Total 4 7 12" xfId="26651" xr:uid="{00000000-0005-0000-0000-000046910000}"/>
    <cellStyle name="Total 4 7 13" xfId="26809" xr:uid="{00000000-0005-0000-0000-000047910000}"/>
    <cellStyle name="Total 4 7 14" xfId="26629" xr:uid="{00000000-0005-0000-0000-000048910000}"/>
    <cellStyle name="Total 4 7 15" xfId="26591" xr:uid="{00000000-0005-0000-0000-000049910000}"/>
    <cellStyle name="Total 4 7 16" xfId="35443" xr:uid="{00000000-0005-0000-0000-00004A910000}"/>
    <cellStyle name="Total 4 7 2" xfId="14903" xr:uid="{00000000-0005-0000-0000-00004B910000}"/>
    <cellStyle name="Total 4 7 3" xfId="15077" xr:uid="{00000000-0005-0000-0000-00004C910000}"/>
    <cellStyle name="Total 4 7 4" xfId="14966" xr:uid="{00000000-0005-0000-0000-00004D910000}"/>
    <cellStyle name="Total 4 7 5" xfId="14419" xr:uid="{00000000-0005-0000-0000-00004E910000}"/>
    <cellStyle name="Total 4 7 6" xfId="13930" xr:uid="{00000000-0005-0000-0000-00004F910000}"/>
    <cellStyle name="Total 4 7 7" xfId="15816" xr:uid="{00000000-0005-0000-0000-000050910000}"/>
    <cellStyle name="Total 4 7 8" xfId="15314" xr:uid="{00000000-0005-0000-0000-000051910000}"/>
    <cellStyle name="Total 4 7 9" xfId="13939" xr:uid="{00000000-0005-0000-0000-000052910000}"/>
    <cellStyle name="Total 4 8" xfId="13863" xr:uid="{00000000-0005-0000-0000-000053910000}"/>
    <cellStyle name="Total 4 9" xfId="13989" xr:uid="{00000000-0005-0000-0000-000054910000}"/>
    <cellStyle name="Total 5" xfId="13336" xr:uid="{00000000-0005-0000-0000-000055910000}"/>
    <cellStyle name="TotCol - Style5" xfId="13337" xr:uid="{00000000-0005-0000-0000-000056910000}"/>
    <cellStyle name="TotCol - Style7" xfId="13338" xr:uid="{00000000-0005-0000-0000-000057910000}"/>
    <cellStyle name="TotRow - Style4" xfId="13339" xr:uid="{00000000-0005-0000-0000-000058910000}"/>
    <cellStyle name="TotRow - Style4 10" xfId="14352" xr:uid="{00000000-0005-0000-0000-000059910000}"/>
    <cellStyle name="TotRow - Style4 11" xfId="14175" xr:uid="{00000000-0005-0000-0000-00005A910000}"/>
    <cellStyle name="TotRow - Style4 12" xfId="15606" xr:uid="{00000000-0005-0000-0000-00005B910000}"/>
    <cellStyle name="TotRow - Style4 13" xfId="15479" xr:uid="{00000000-0005-0000-0000-00005C910000}"/>
    <cellStyle name="TotRow - Style4 14" xfId="14411" xr:uid="{00000000-0005-0000-0000-00005D910000}"/>
    <cellStyle name="TotRow - Style4 15" xfId="26285" xr:uid="{00000000-0005-0000-0000-00005E910000}"/>
    <cellStyle name="TotRow - Style4 16" xfId="27198" xr:uid="{00000000-0005-0000-0000-00005F910000}"/>
    <cellStyle name="TotRow - Style4 17" xfId="27515" xr:uid="{00000000-0005-0000-0000-000060910000}"/>
    <cellStyle name="TotRow - Style4 18" xfId="26658" xr:uid="{00000000-0005-0000-0000-000061910000}"/>
    <cellStyle name="TotRow - Style4 19" xfId="26754" xr:uid="{00000000-0005-0000-0000-000062910000}"/>
    <cellStyle name="TotRow - Style4 2" xfId="13340" xr:uid="{00000000-0005-0000-0000-000063910000}"/>
    <cellStyle name="TotRow - Style4 2 10" xfId="22885" xr:uid="{00000000-0005-0000-0000-000064910000}"/>
    <cellStyle name="TotRow - Style4 2 11" xfId="26338" xr:uid="{00000000-0005-0000-0000-000065910000}"/>
    <cellStyle name="TotRow - Style4 2 12" xfId="27161" xr:uid="{00000000-0005-0000-0000-000066910000}"/>
    <cellStyle name="TotRow - Style4 2 13" xfId="25973" xr:uid="{00000000-0005-0000-0000-000067910000}"/>
    <cellStyle name="TotRow - Style4 2 14" xfId="27656" xr:uid="{00000000-0005-0000-0000-000068910000}"/>
    <cellStyle name="TotRow - Style4 2 15" xfId="26671" xr:uid="{00000000-0005-0000-0000-000069910000}"/>
    <cellStyle name="TotRow - Style4 2 16" xfId="26978" xr:uid="{00000000-0005-0000-0000-00006A910000}"/>
    <cellStyle name="TotRow - Style4 2 17" xfId="25965" xr:uid="{00000000-0005-0000-0000-00006B910000}"/>
    <cellStyle name="TotRow - Style4 2 18" xfId="35033" xr:uid="{00000000-0005-0000-0000-00006C910000}"/>
    <cellStyle name="TotRow - Style4 2 19" xfId="35315" xr:uid="{00000000-0005-0000-0000-00006D910000}"/>
    <cellStyle name="TotRow - Style4 2 2" xfId="14911" xr:uid="{00000000-0005-0000-0000-00006E910000}"/>
    <cellStyle name="TotRow - Style4 2 3" xfId="15074" xr:uid="{00000000-0005-0000-0000-00006F910000}"/>
    <cellStyle name="TotRow - Style4 2 4" xfId="13619" xr:uid="{00000000-0005-0000-0000-000070910000}"/>
    <cellStyle name="TotRow - Style4 2 5" xfId="15406" xr:uid="{00000000-0005-0000-0000-000071910000}"/>
    <cellStyle name="TotRow - Style4 2 6" xfId="14987" xr:uid="{00000000-0005-0000-0000-000072910000}"/>
    <cellStyle name="TotRow - Style4 2 7" xfId="13652" xr:uid="{00000000-0005-0000-0000-000073910000}"/>
    <cellStyle name="TotRow - Style4 2 8" xfId="14466" xr:uid="{00000000-0005-0000-0000-000074910000}"/>
    <cellStyle name="TotRow - Style4 2 9" xfId="21896" xr:uid="{00000000-0005-0000-0000-000075910000}"/>
    <cellStyle name="TotRow - Style4 20" xfId="26952" xr:uid="{00000000-0005-0000-0000-000076910000}"/>
    <cellStyle name="TotRow - Style4 21" xfId="27438" xr:uid="{00000000-0005-0000-0000-000077910000}"/>
    <cellStyle name="TotRow - Style4 22" xfId="34981" xr:uid="{00000000-0005-0000-0000-000078910000}"/>
    <cellStyle name="TotRow - Style4 23" xfId="35353" xr:uid="{00000000-0005-0000-0000-000079910000}"/>
    <cellStyle name="TotRow - Style4 3" xfId="13341" xr:uid="{00000000-0005-0000-0000-00007A910000}"/>
    <cellStyle name="TotRow - Style4 3 10" xfId="22884" xr:uid="{00000000-0005-0000-0000-00007B910000}"/>
    <cellStyle name="TotRow - Style4 3 11" xfId="26477" xr:uid="{00000000-0005-0000-0000-00007C910000}"/>
    <cellStyle name="TotRow - Style4 3 12" xfId="27072" xr:uid="{00000000-0005-0000-0000-00007D910000}"/>
    <cellStyle name="TotRow - Style4 3 13" xfId="26181" xr:uid="{00000000-0005-0000-0000-00007E910000}"/>
    <cellStyle name="TotRow - Style4 3 14" xfId="27455" xr:uid="{00000000-0005-0000-0000-00007F910000}"/>
    <cellStyle name="TotRow - Style4 3 15" xfId="26793" xr:uid="{00000000-0005-0000-0000-000080910000}"/>
    <cellStyle name="TotRow - Style4 3 16" xfId="26884" xr:uid="{00000000-0005-0000-0000-000081910000}"/>
    <cellStyle name="TotRow - Style4 3 17" xfId="26568" xr:uid="{00000000-0005-0000-0000-000082910000}"/>
    <cellStyle name="TotRow - Style4 3 18" xfId="35160" xr:uid="{00000000-0005-0000-0000-000083910000}"/>
    <cellStyle name="TotRow - Style4 3 19" xfId="35227" xr:uid="{00000000-0005-0000-0000-000084910000}"/>
    <cellStyle name="TotRow - Style4 3 2" xfId="14839" xr:uid="{00000000-0005-0000-0000-000085910000}"/>
    <cellStyle name="TotRow - Style4 3 3" xfId="14438" xr:uid="{00000000-0005-0000-0000-000086910000}"/>
    <cellStyle name="TotRow - Style4 3 4" xfId="15016" xr:uid="{00000000-0005-0000-0000-000087910000}"/>
    <cellStyle name="TotRow - Style4 3 5" xfId="13878" xr:uid="{00000000-0005-0000-0000-000088910000}"/>
    <cellStyle name="TotRow - Style4 3 6" xfId="13833" xr:uid="{00000000-0005-0000-0000-000089910000}"/>
    <cellStyle name="TotRow - Style4 3 7" xfId="15590" xr:uid="{00000000-0005-0000-0000-00008A910000}"/>
    <cellStyle name="TotRow - Style4 3 8" xfId="13921" xr:uid="{00000000-0005-0000-0000-00008B910000}"/>
    <cellStyle name="TotRow - Style4 3 9" xfId="14289" xr:uid="{00000000-0005-0000-0000-00008C910000}"/>
    <cellStyle name="TotRow - Style4 4" xfId="13342" xr:uid="{00000000-0005-0000-0000-00008D910000}"/>
    <cellStyle name="TotRow - Style4 4 10" xfId="14298" xr:uid="{00000000-0005-0000-0000-00008E910000}"/>
    <cellStyle name="TotRow - Style4 4 11" xfId="26476" xr:uid="{00000000-0005-0000-0000-00008F910000}"/>
    <cellStyle name="TotRow - Style4 4 12" xfId="27073" xr:uid="{00000000-0005-0000-0000-000090910000}"/>
    <cellStyle name="TotRow - Style4 4 13" xfId="26180" xr:uid="{00000000-0005-0000-0000-000091910000}"/>
    <cellStyle name="TotRow - Style4 4 14" xfId="26911" xr:uid="{00000000-0005-0000-0000-000092910000}"/>
    <cellStyle name="TotRow - Style4 4 15" xfId="27469" xr:uid="{00000000-0005-0000-0000-000093910000}"/>
    <cellStyle name="TotRow - Style4 4 16" xfId="28793" xr:uid="{00000000-0005-0000-0000-000094910000}"/>
    <cellStyle name="TotRow - Style4 4 17" xfId="27556" xr:uid="{00000000-0005-0000-0000-000095910000}"/>
    <cellStyle name="TotRow - Style4 4 18" xfId="35159" xr:uid="{00000000-0005-0000-0000-000096910000}"/>
    <cellStyle name="TotRow - Style4 4 19" xfId="35228" xr:uid="{00000000-0005-0000-0000-000097910000}"/>
    <cellStyle name="TotRow - Style4 4 2" xfId="14840" xr:uid="{00000000-0005-0000-0000-000098910000}"/>
    <cellStyle name="TotRow - Style4 4 3" xfId="14073" xr:uid="{00000000-0005-0000-0000-000099910000}"/>
    <cellStyle name="TotRow - Style4 4 4" xfId="15109" xr:uid="{00000000-0005-0000-0000-00009A910000}"/>
    <cellStyle name="TotRow - Style4 4 5" xfId="14481" xr:uid="{00000000-0005-0000-0000-00009B910000}"/>
    <cellStyle name="TotRow - Style4 4 6" xfId="15834" xr:uid="{00000000-0005-0000-0000-00009C910000}"/>
    <cellStyle name="TotRow - Style4 4 7" xfId="15242" xr:uid="{00000000-0005-0000-0000-00009D910000}"/>
    <cellStyle name="TotRow - Style4 4 8" xfId="15844" xr:uid="{00000000-0005-0000-0000-00009E910000}"/>
    <cellStyle name="TotRow - Style4 4 9" xfId="15123" xr:uid="{00000000-0005-0000-0000-00009F910000}"/>
    <cellStyle name="TotRow - Style4 5" xfId="13343" xr:uid="{00000000-0005-0000-0000-0000A0910000}"/>
    <cellStyle name="TotRow - Style4 5 10" xfId="14423" xr:uid="{00000000-0005-0000-0000-0000A1910000}"/>
    <cellStyle name="TotRow - Style4 5 11" xfId="26491" xr:uid="{00000000-0005-0000-0000-0000A2910000}"/>
    <cellStyle name="TotRow - Style4 5 12" xfId="27671" xr:uid="{00000000-0005-0000-0000-0000A3910000}"/>
    <cellStyle name="TotRow - Style4 5 13" xfId="26126" xr:uid="{00000000-0005-0000-0000-0000A4910000}"/>
    <cellStyle name="TotRow - Style4 5 14" xfId="26709" xr:uid="{00000000-0005-0000-0000-0000A5910000}"/>
    <cellStyle name="TotRow - Style4 5 15" xfId="26564" xr:uid="{00000000-0005-0000-0000-0000A6910000}"/>
    <cellStyle name="TotRow - Style4 5 16" xfId="26956" xr:uid="{00000000-0005-0000-0000-0000A7910000}"/>
    <cellStyle name="TotRow - Style4 5 17" xfId="26537" xr:uid="{00000000-0005-0000-0000-0000A8910000}"/>
    <cellStyle name="TotRow - Style4 5 18" xfId="35174" xr:uid="{00000000-0005-0000-0000-0000A9910000}"/>
    <cellStyle name="TotRow - Style4 5 19" xfId="35395" xr:uid="{00000000-0005-0000-0000-0000AA910000}"/>
    <cellStyle name="TotRow - Style4 5 2" xfId="14834" xr:uid="{00000000-0005-0000-0000-0000AB910000}"/>
    <cellStyle name="TotRow - Style4 5 3" xfId="14445" xr:uid="{00000000-0005-0000-0000-0000AC910000}"/>
    <cellStyle name="TotRow - Style4 5 4" xfId="15763" xr:uid="{00000000-0005-0000-0000-0000AD910000}"/>
    <cellStyle name="TotRow - Style4 5 5" xfId="15181" xr:uid="{00000000-0005-0000-0000-0000AE910000}"/>
    <cellStyle name="TotRow - Style4 5 6" xfId="14677" xr:uid="{00000000-0005-0000-0000-0000AF910000}"/>
    <cellStyle name="TotRow - Style4 5 7" xfId="15061" xr:uid="{00000000-0005-0000-0000-0000B0910000}"/>
    <cellStyle name="TotRow - Style4 5 8" xfId="13964" xr:uid="{00000000-0005-0000-0000-0000B1910000}"/>
    <cellStyle name="TotRow - Style4 5 9" xfId="14957" xr:uid="{00000000-0005-0000-0000-0000B2910000}"/>
    <cellStyle name="TotRow - Style4 6" xfId="14940" xr:uid="{00000000-0005-0000-0000-0000B3910000}"/>
    <cellStyle name="TotRow - Style4 7" xfId="13706" xr:uid="{00000000-0005-0000-0000-0000B4910000}"/>
    <cellStyle name="TotRow - Style4 8" xfId="13418" xr:uid="{00000000-0005-0000-0000-0000B5910000}"/>
    <cellStyle name="TotRow - Style4 9" xfId="13576" xr:uid="{00000000-0005-0000-0000-0000B6910000}"/>
    <cellStyle name="TotRow - Style8" xfId="13344" xr:uid="{00000000-0005-0000-0000-0000B7910000}"/>
    <cellStyle name="TotRow - Style8 10" xfId="15280" xr:uid="{00000000-0005-0000-0000-0000B8910000}"/>
    <cellStyle name="TotRow - Style8 11" xfId="18883" xr:uid="{00000000-0005-0000-0000-0000B9910000}"/>
    <cellStyle name="TotRow - Style8 12" xfId="15508" xr:uid="{00000000-0005-0000-0000-0000BA910000}"/>
    <cellStyle name="TotRow - Style8 13" xfId="15229" xr:uid="{00000000-0005-0000-0000-0000BB910000}"/>
    <cellStyle name="TotRow - Style8 14" xfId="14247" xr:uid="{00000000-0005-0000-0000-0000BC910000}"/>
    <cellStyle name="TotRow - Style8 15" xfId="26286" xr:uid="{00000000-0005-0000-0000-0000BD910000}"/>
    <cellStyle name="TotRow - Style8 16" xfId="27746" xr:uid="{00000000-0005-0000-0000-0000BE910000}"/>
    <cellStyle name="TotRow - Style8 17" xfId="25885" xr:uid="{00000000-0005-0000-0000-0000BF910000}"/>
    <cellStyle name="TotRow - Style8 18" xfId="25911" xr:uid="{00000000-0005-0000-0000-0000C0910000}"/>
    <cellStyle name="TotRow - Style8 19" xfId="26616" xr:uid="{00000000-0005-0000-0000-0000C1910000}"/>
    <cellStyle name="TotRow - Style8 2" xfId="13345" xr:uid="{00000000-0005-0000-0000-0000C2910000}"/>
    <cellStyle name="TotRow - Style8 2 10" xfId="14496" xr:uid="{00000000-0005-0000-0000-0000C3910000}"/>
    <cellStyle name="TotRow - Style8 2 11" xfId="26339" xr:uid="{00000000-0005-0000-0000-0000C4910000}"/>
    <cellStyle name="TotRow - Style8 2 12" xfId="27160" xr:uid="{00000000-0005-0000-0000-0000C5910000}"/>
    <cellStyle name="TotRow - Style8 2 13" xfId="26824" xr:uid="{00000000-0005-0000-0000-0000C6910000}"/>
    <cellStyle name="TotRow - Style8 2 14" xfId="26920" xr:uid="{00000000-0005-0000-0000-0000C7910000}"/>
    <cellStyle name="TotRow - Style8 2 15" xfId="26115" xr:uid="{00000000-0005-0000-0000-0000C8910000}"/>
    <cellStyle name="TotRow - Style8 2 16" xfId="26704" xr:uid="{00000000-0005-0000-0000-0000C9910000}"/>
    <cellStyle name="TotRow - Style8 2 17" xfId="27643" xr:uid="{00000000-0005-0000-0000-0000CA910000}"/>
    <cellStyle name="TotRow - Style8 2 18" xfId="35034" xr:uid="{00000000-0005-0000-0000-0000CB910000}"/>
    <cellStyle name="TotRow - Style8 2 19" xfId="35314" xr:uid="{00000000-0005-0000-0000-0000CC910000}"/>
    <cellStyle name="TotRow - Style8 2 2" xfId="14910" xr:uid="{00000000-0005-0000-0000-0000CD910000}"/>
    <cellStyle name="TotRow - Style8 2 3" xfId="14043" xr:uid="{00000000-0005-0000-0000-0000CE910000}"/>
    <cellStyle name="TotRow - Style8 2 4" xfId="15337" xr:uid="{00000000-0005-0000-0000-0000CF910000}"/>
    <cellStyle name="TotRow - Style8 2 5" xfId="13567" xr:uid="{00000000-0005-0000-0000-0000D0910000}"/>
    <cellStyle name="TotRow - Style8 2 6" xfId="14161" xr:uid="{00000000-0005-0000-0000-0000D1910000}"/>
    <cellStyle name="TotRow - Style8 2 7" xfId="14237" xr:uid="{00000000-0005-0000-0000-0000D2910000}"/>
    <cellStyle name="TotRow - Style8 2 8" xfId="13870" xr:uid="{00000000-0005-0000-0000-0000D3910000}"/>
    <cellStyle name="TotRow - Style8 2 9" xfId="13629" xr:uid="{00000000-0005-0000-0000-0000D4910000}"/>
    <cellStyle name="TotRow - Style8 20" xfId="27831" xr:uid="{00000000-0005-0000-0000-0000D5910000}"/>
    <cellStyle name="TotRow - Style8 21" xfId="26212" xr:uid="{00000000-0005-0000-0000-0000D6910000}"/>
    <cellStyle name="TotRow - Style8 22" xfId="34982" xr:uid="{00000000-0005-0000-0000-0000D7910000}"/>
    <cellStyle name="TotRow - Style8 23" xfId="35352" xr:uid="{00000000-0005-0000-0000-0000D8910000}"/>
    <cellStyle name="TotRow - Style8 3" xfId="13346" xr:uid="{00000000-0005-0000-0000-0000D9910000}"/>
    <cellStyle name="TotRow - Style8 3 10" xfId="13806" xr:uid="{00000000-0005-0000-0000-0000DA910000}"/>
    <cellStyle name="TotRow - Style8 3 11" xfId="26478" xr:uid="{00000000-0005-0000-0000-0000DB910000}"/>
    <cellStyle name="TotRow - Style8 3 12" xfId="27676" xr:uid="{00000000-0005-0000-0000-0000DC910000}"/>
    <cellStyle name="TotRow - Style8 3 13" xfId="25894" xr:uid="{00000000-0005-0000-0000-0000DD910000}"/>
    <cellStyle name="TotRow - Style8 3 14" xfId="27413" xr:uid="{00000000-0005-0000-0000-0000DE910000}"/>
    <cellStyle name="TotRow - Style8 3 15" xfId="27791" xr:uid="{00000000-0005-0000-0000-0000DF910000}"/>
    <cellStyle name="TotRow - Style8 3 16" xfId="31334" xr:uid="{00000000-0005-0000-0000-0000E0910000}"/>
    <cellStyle name="TotRow - Style8 3 17" xfId="26578" xr:uid="{00000000-0005-0000-0000-0000E1910000}"/>
    <cellStyle name="TotRow - Style8 3 18" xfId="35161" xr:uid="{00000000-0005-0000-0000-0000E2910000}"/>
    <cellStyle name="TotRow - Style8 3 19" xfId="35400" xr:uid="{00000000-0005-0000-0000-0000E3910000}"/>
    <cellStyle name="TotRow - Style8 3 2" xfId="15659" xr:uid="{00000000-0005-0000-0000-0000E4910000}"/>
    <cellStyle name="TotRow - Style8 3 3" xfId="15217" xr:uid="{00000000-0005-0000-0000-0000E5910000}"/>
    <cellStyle name="TotRow - Style8 3 4" xfId="13604" xr:uid="{00000000-0005-0000-0000-0000E6910000}"/>
    <cellStyle name="TotRow - Style8 3 5" xfId="14096" xr:uid="{00000000-0005-0000-0000-0000E7910000}"/>
    <cellStyle name="TotRow - Style8 3 6" xfId="19407" xr:uid="{00000000-0005-0000-0000-0000E8910000}"/>
    <cellStyle name="TotRow - Style8 3 7" xfId="15583" xr:uid="{00000000-0005-0000-0000-0000E9910000}"/>
    <cellStyle name="TotRow - Style8 3 8" xfId="14712" xr:uid="{00000000-0005-0000-0000-0000EA910000}"/>
    <cellStyle name="TotRow - Style8 3 9" xfId="15359" xr:uid="{00000000-0005-0000-0000-0000EB910000}"/>
    <cellStyle name="TotRow - Style8 4" xfId="13347" xr:uid="{00000000-0005-0000-0000-0000EC910000}"/>
    <cellStyle name="TotRow - Style8 4 10" xfId="13458" xr:uid="{00000000-0005-0000-0000-0000ED910000}"/>
    <cellStyle name="TotRow - Style8 4 11" xfId="26431" xr:uid="{00000000-0005-0000-0000-0000EE910000}"/>
    <cellStyle name="TotRow - Style8 4 12" xfId="26526" xr:uid="{00000000-0005-0000-0000-0000EF910000}"/>
    <cellStyle name="TotRow - Style8 4 13" xfId="26160" xr:uid="{00000000-0005-0000-0000-0000F0910000}"/>
    <cellStyle name="TotRow - Style8 4 14" xfId="27210" xr:uid="{00000000-0005-0000-0000-0000F1910000}"/>
    <cellStyle name="TotRow - Style8 4 15" xfId="27281" xr:uid="{00000000-0005-0000-0000-0000F2910000}"/>
    <cellStyle name="TotRow - Style8 4 16" xfId="27390" xr:uid="{00000000-0005-0000-0000-0000F3910000}"/>
    <cellStyle name="TotRow - Style8 4 17" xfId="27347" xr:uid="{00000000-0005-0000-0000-0000F4910000}"/>
    <cellStyle name="TotRow - Style8 4 18" xfId="35119" xr:uid="{00000000-0005-0000-0000-0000F5910000}"/>
    <cellStyle name="TotRow - Style8 4 19" xfId="35257" xr:uid="{00000000-0005-0000-0000-0000F6910000}"/>
    <cellStyle name="TotRow - Style8 4 2" xfId="14860" xr:uid="{00000000-0005-0000-0000-0000F7910000}"/>
    <cellStyle name="TotRow - Style8 4 3" xfId="13548" xr:uid="{00000000-0005-0000-0000-0000F8910000}"/>
    <cellStyle name="TotRow - Style8 4 4" xfId="15533" xr:uid="{00000000-0005-0000-0000-0000F9910000}"/>
    <cellStyle name="TotRow - Style8 4 5" xfId="14563" xr:uid="{00000000-0005-0000-0000-0000FA910000}"/>
    <cellStyle name="TotRow - Style8 4 6" xfId="13497" xr:uid="{00000000-0005-0000-0000-0000FB910000}"/>
    <cellStyle name="TotRow - Style8 4 7" xfId="15355" xr:uid="{00000000-0005-0000-0000-0000FC910000}"/>
    <cellStyle name="TotRow - Style8 4 8" xfId="14314" xr:uid="{00000000-0005-0000-0000-0000FD910000}"/>
    <cellStyle name="TotRow - Style8 4 9" xfId="14700" xr:uid="{00000000-0005-0000-0000-0000FE910000}"/>
    <cellStyle name="TotRow - Style8 5" xfId="13348" xr:uid="{00000000-0005-0000-0000-0000FF910000}"/>
    <cellStyle name="TotRow - Style8 5 10" xfId="15778" xr:uid="{00000000-0005-0000-0000-000000920000}"/>
    <cellStyle name="TotRow - Style8 5 11" xfId="26492" xr:uid="{00000000-0005-0000-0000-000001920000}"/>
    <cellStyle name="TotRow - Style8 5 12" xfId="27062" xr:uid="{00000000-0005-0000-0000-000002920000}"/>
    <cellStyle name="TotRow - Style8 5 13" xfId="26187" xr:uid="{00000000-0005-0000-0000-000003920000}"/>
    <cellStyle name="TotRow - Style8 5 14" xfId="26234" xr:uid="{00000000-0005-0000-0000-000004920000}"/>
    <cellStyle name="TotRow - Style8 5 15" xfId="27300" xr:uid="{00000000-0005-0000-0000-000005920000}"/>
    <cellStyle name="TotRow - Style8 5 16" xfId="26935" xr:uid="{00000000-0005-0000-0000-000006920000}"/>
    <cellStyle name="TotRow - Style8 5 17" xfId="25985" xr:uid="{00000000-0005-0000-0000-000007920000}"/>
    <cellStyle name="TotRow - Style8 5 18" xfId="35175" xr:uid="{00000000-0005-0000-0000-000008920000}"/>
    <cellStyle name="TotRow - Style8 5 19" xfId="35217" xr:uid="{00000000-0005-0000-0000-000009920000}"/>
    <cellStyle name="TotRow - Style8 5 2" xfId="13447" xr:uid="{00000000-0005-0000-0000-00000A920000}"/>
    <cellStyle name="TotRow - Style8 5 3" xfId="15219" xr:uid="{00000000-0005-0000-0000-00000B920000}"/>
    <cellStyle name="TotRow - Style8 5 4" xfId="13922" xr:uid="{00000000-0005-0000-0000-00000C920000}"/>
    <cellStyle name="TotRow - Style8 5 5" xfId="15226" xr:uid="{00000000-0005-0000-0000-00000D920000}"/>
    <cellStyle name="TotRow - Style8 5 6" xfId="15083" xr:uid="{00000000-0005-0000-0000-00000E920000}"/>
    <cellStyle name="TotRow - Style8 5 7" xfId="15483" xr:uid="{00000000-0005-0000-0000-00000F920000}"/>
    <cellStyle name="TotRow - Style8 5 8" xfId="13877" xr:uid="{00000000-0005-0000-0000-000010920000}"/>
    <cellStyle name="TotRow - Style8 5 9" xfId="15227" xr:uid="{00000000-0005-0000-0000-000011920000}"/>
    <cellStyle name="TotRow - Style8 6" xfId="14939" xr:uid="{00000000-0005-0000-0000-000012920000}"/>
    <cellStyle name="TotRow - Style8 7" xfId="13707" xr:uid="{00000000-0005-0000-0000-000013920000}"/>
    <cellStyle name="TotRow - Style8 8" xfId="14203" xr:uid="{00000000-0005-0000-0000-000014920000}"/>
    <cellStyle name="TotRow - Style8 9" xfId="15594" xr:uid="{00000000-0005-0000-0000-000015920000}"/>
    <cellStyle name="Transcript_Date" xfId="13349" xr:uid="{00000000-0005-0000-0000-000016920000}"/>
    <cellStyle name="Warning Text" xfId="13365" builtinId="11" customBuiltin="1"/>
    <cellStyle name="Warning Text 2" xfId="266" xr:uid="{00000000-0005-0000-0000-000018920000}"/>
    <cellStyle name="Warning Text 3" xfId="265" xr:uid="{00000000-0005-0000-0000-000019920000}"/>
    <cellStyle name="Warning Text 4" xfId="13350" xr:uid="{00000000-0005-0000-0000-00001A920000}"/>
    <cellStyle name="Warning Text 5" xfId="13351" xr:uid="{00000000-0005-0000-0000-00001B920000}"/>
    <cellStyle name="WM_STANDARD" xfId="37" xr:uid="{00000000-0005-0000-0000-00001C920000}"/>
  </cellStyles>
  <dxfs count="5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000FF"/>
      <color rgb="FFFF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9" Type="http://schemas.openxmlformats.org/officeDocument/2006/relationships/externalLink" Target="externalLinks/externalLink31.xml"/><Relationship Id="rId21" Type="http://schemas.openxmlformats.org/officeDocument/2006/relationships/externalLink" Target="externalLinks/externalLink13.xml"/><Relationship Id="rId34" Type="http://schemas.openxmlformats.org/officeDocument/2006/relationships/externalLink" Target="externalLinks/externalLink26.xml"/><Relationship Id="rId42" Type="http://schemas.openxmlformats.org/officeDocument/2006/relationships/externalLink" Target="externalLinks/externalLink34.xml"/><Relationship Id="rId47" Type="http://schemas.openxmlformats.org/officeDocument/2006/relationships/externalLink" Target="externalLinks/externalLink39.xml"/><Relationship Id="rId50" Type="http://schemas.openxmlformats.org/officeDocument/2006/relationships/externalLink" Target="externalLinks/externalLink42.xml"/><Relationship Id="rId55" Type="http://schemas.openxmlformats.org/officeDocument/2006/relationships/externalLink" Target="externalLinks/externalLink47.xml"/><Relationship Id="rId63" Type="http://schemas.openxmlformats.org/officeDocument/2006/relationships/styles" Target="styles.xml"/><Relationship Id="rId68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9" Type="http://schemas.openxmlformats.org/officeDocument/2006/relationships/externalLink" Target="externalLinks/externalLink2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32" Type="http://schemas.openxmlformats.org/officeDocument/2006/relationships/externalLink" Target="externalLinks/externalLink24.xml"/><Relationship Id="rId37" Type="http://schemas.openxmlformats.org/officeDocument/2006/relationships/externalLink" Target="externalLinks/externalLink29.xml"/><Relationship Id="rId40" Type="http://schemas.openxmlformats.org/officeDocument/2006/relationships/externalLink" Target="externalLinks/externalLink32.xml"/><Relationship Id="rId45" Type="http://schemas.openxmlformats.org/officeDocument/2006/relationships/externalLink" Target="externalLinks/externalLink37.xml"/><Relationship Id="rId53" Type="http://schemas.openxmlformats.org/officeDocument/2006/relationships/externalLink" Target="externalLinks/externalLink45.xml"/><Relationship Id="rId58" Type="http://schemas.openxmlformats.org/officeDocument/2006/relationships/externalLink" Target="externalLinks/externalLink50.xml"/><Relationship Id="rId66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externalLink" Target="externalLinks/externalLink20.xml"/><Relationship Id="rId36" Type="http://schemas.openxmlformats.org/officeDocument/2006/relationships/externalLink" Target="externalLinks/externalLink28.xml"/><Relationship Id="rId49" Type="http://schemas.openxmlformats.org/officeDocument/2006/relationships/externalLink" Target="externalLinks/externalLink41.xml"/><Relationship Id="rId57" Type="http://schemas.openxmlformats.org/officeDocument/2006/relationships/externalLink" Target="externalLinks/externalLink49.xml"/><Relationship Id="rId61" Type="http://schemas.openxmlformats.org/officeDocument/2006/relationships/externalLink" Target="externalLinks/externalLink53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externalLink" Target="externalLinks/externalLink23.xml"/><Relationship Id="rId44" Type="http://schemas.openxmlformats.org/officeDocument/2006/relationships/externalLink" Target="externalLinks/externalLink36.xml"/><Relationship Id="rId52" Type="http://schemas.openxmlformats.org/officeDocument/2006/relationships/externalLink" Target="externalLinks/externalLink44.xml"/><Relationship Id="rId60" Type="http://schemas.openxmlformats.org/officeDocument/2006/relationships/externalLink" Target="externalLinks/externalLink52.xml"/><Relationship Id="rId65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externalLink" Target="externalLinks/externalLink22.xml"/><Relationship Id="rId35" Type="http://schemas.openxmlformats.org/officeDocument/2006/relationships/externalLink" Target="externalLinks/externalLink27.xml"/><Relationship Id="rId43" Type="http://schemas.openxmlformats.org/officeDocument/2006/relationships/externalLink" Target="externalLinks/externalLink35.xml"/><Relationship Id="rId48" Type="http://schemas.openxmlformats.org/officeDocument/2006/relationships/externalLink" Target="externalLinks/externalLink40.xml"/><Relationship Id="rId56" Type="http://schemas.openxmlformats.org/officeDocument/2006/relationships/externalLink" Target="externalLinks/externalLink48.xml"/><Relationship Id="rId64" Type="http://schemas.openxmlformats.org/officeDocument/2006/relationships/sharedStrings" Target="sharedStrings.xml"/><Relationship Id="rId69" Type="http://schemas.openxmlformats.org/officeDocument/2006/relationships/customXml" Target="../customXml/item4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43.xml"/><Relationship Id="rId3" Type="http://schemas.openxmlformats.org/officeDocument/2006/relationships/worksheet" Target="worksheets/sheet3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33" Type="http://schemas.openxmlformats.org/officeDocument/2006/relationships/externalLink" Target="externalLinks/externalLink25.xml"/><Relationship Id="rId38" Type="http://schemas.openxmlformats.org/officeDocument/2006/relationships/externalLink" Target="externalLinks/externalLink30.xml"/><Relationship Id="rId46" Type="http://schemas.openxmlformats.org/officeDocument/2006/relationships/externalLink" Target="externalLinks/externalLink38.xml"/><Relationship Id="rId59" Type="http://schemas.openxmlformats.org/officeDocument/2006/relationships/externalLink" Target="externalLinks/externalLink51.xml"/><Relationship Id="rId67" Type="http://schemas.openxmlformats.org/officeDocument/2006/relationships/customXml" Target="../customXml/item2.xml"/><Relationship Id="rId20" Type="http://schemas.openxmlformats.org/officeDocument/2006/relationships/externalLink" Target="externalLinks/externalLink12.xml"/><Relationship Id="rId41" Type="http://schemas.openxmlformats.org/officeDocument/2006/relationships/externalLink" Target="externalLinks/externalLink33.xml"/><Relationship Id="rId54" Type="http://schemas.openxmlformats.org/officeDocument/2006/relationships/externalLink" Target="externalLinks/externalLink46.xml"/><Relationship Id="rId6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AL_WASTE\SYS\ACCOUNT\CV2000\022000\2000_FEBRUARY_%20GL%20RECON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V:\SLO\2012_Division\Accounting\xx%20Budgets%20xx\2013%20Budget\4105\4105%20Budget%20Workbook%2012_07_2012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home.utc.wa.gov/UTIL/TRANS/Chris%20M/Solid%20Waste/Waste%20Management/Sno-King/Year%202009/TG-091933/Staff/TG-091933%20WM%20of%20SnoKing%20GRC%20(Workpapers)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Users\JohnSpe\AppData\Local\Microsoft\Windows\Temporary%20Internet%20Files\Content.IE5\ELL0D4Y3\Proj-2184_2015-12_57281429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LeMay\2183-1%20Pacific%20Disp,%20Butlers%20Cove\Filing%20Possibly%202012\Filing\Audit\Final%20Outcome%208-14-2012\Pro%20Forma%20Pacific%20Disposal_Staff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Western%20Region/2000%20Western%20Region%20Office/WUTC/WIP%20Files/LeMay%20Companies/2022/General%20Rate%20Filings/PCR%202022/2180_Price%20Out%20by%20Bill%20Area_June.21%20to%20May%2022%20-%20Deliverable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Mason\Rate%20Increase%201-1-2013\1%20Filing%2011-14-2012\Revised%202-21-2013\staff%20Mason%20Proforma%209-30-2012-Linked%20Cust%20Count%20Fix%2012-27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Western%20Region\ControllerDir\JoeW\My%20Local%20Documents\OPF\Rate%20Reviews\2010\Clackamas%20County\Clackamas%20DCR%20WCI%202010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c_opf_joew\JoeW%20C%20Drive\Documents%20and%20Settings\joew\My%20Documents\OPF\Rate%20Reviews\2001\Gresham\Arrow\Gresham%202001%20DCR%202nd%20submit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estfile01\DistShares\Western%20Region\ControllerDir\KevinJ\South%20LeMay\Budget%20History\Budget%202019\2149%20Mason\2019%202149%20Budget%20Template%201.5%20pre%20division.xlsm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utcfs2\grp_data\District\Joe_Garza\mark%20gregg\WUTC%20Files\Eastside\Eastside%20Rate%20Case%202006\Eastside%20RC%202006%20Filing%20Docs\Proforma%20Eastside%202005%204.17.06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odisnap\accounting\MODEST~1\20320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Users\JeffHons\AppData\Local\Interject\FileCache\YYYY-MM_DDDD_BSReconBook_v2.0.3_Blank.xlsx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acinf05\DistShares\WCNX%20Stuff\Excel\Financials\Excel%20Financials\ExcelFinancials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2004%20Planning%20Requirements\5-20%20Submission\6%20Report%20Requirements\Reports%20Master%20List%20and%20Mockups%20V2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estfile01\Distshares\Western%20Region\ControllerDir\Brent_Blair_Kortney\PO%20Report%20by%20Division\PO%20Report_v3b%202013-08-26.xlsm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Western%20Region\ControllerDir\Brent_Blair_Kortney\PO%20Report%20by%20Division\PO%20Report_v3b%202013-08-26.xlsm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Vashon\Rate%20Incr%201-1-2012\Vashon%20Pro%20Forma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Reports\Budget%20Reports\2011%20Budget%20Report%20Book%20v2J.xlsm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/Western%20Region/ControllerDir/JoeW/My%20Local%20Documents/OPF/Rate%20Reviews/2016/2016%20OPF%20Master%20DCR%20V2.xlsx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home.utc.wa.gov/Documents%20and%20Settings/cmickels/Desktop/Example%20of%20WM%20of%20SnoKing.xlsx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estfile01\Distshares\Western%20Region\WUTC\WUTC-Murrey%20%202111\General%20Rate%20Filings\Rate%20Filing%201-1-2019\Fuel%20Stat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ac_db5_srv\SRC\User\REPORTS\STANDARD%20REPORTS\CUSTOM%20REPORTS\PL_RollingTrend1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Users\heatherg\AppData\Local\Microsoft\Windows\Temporary%20Internet%20Files\Content.Outlook\KNDSOALF\Fuel%20Stats.xlsx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Western%20Region\ControllerDir\Northern_Washington\Month%20End\2017\Tacoma%20Hauling\03-2017\Revenue\Revenue%20Subledger\RM_MM001_Query_v4e%20-%20Murreys%20Updated%20for%20dist%20change%20(adjusted%20for%20DMR).xlsm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acinf06\sacshare\Data_Automation\DMS\RouteManagerReports\RM_MM001_Query_v4c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estfile01\Distshares\Western%20Region\WUTC\WIP%20Files\2010%20Clark%20County-%202009%20Vancouver\12.31.2010%20Test%20Year\Proforma%20Clark%20County%20101231%20Filing-Draft-FINAL%20VERSION.xlsx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Western%20Region\WUTC\WIP%20Files\2010%20Clark%20County-%202009%20Vancouver\12.31.2010%20Test%20Year\Proforma%20Clark%20County%20101231%20Filing-Draft-FINAL%20VERSION.xlsx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microsoft.com/office/2006/relationships/xlExternalLinkPath/xlPathMissing" Target="ExcelFinancials_v3b1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Annual%20Reports\2180%20LeMay\2009\LeMay%20Annual%20Report%2009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estern%20Region\ControllerDir\JoeW\Budgets\Budgets%202009\2012\2009%202012%20Review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UTIL\Migrated-TRANS\Company%20Filings%20-%20Solid%20Waste\Pullman%20Disposal%20Service,%20Inc.%20%20(G-42)\Rate%20Case\TG-130759%20GRC\Staff%20workpapers\STAFF%20TG-130759%20PDS_rop_Dec_12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Users\nealjohnson\Downloads\SolidWaste-NonPublic%20LG%202018%20V5.0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AC_DB5_SRV\SRC\User\REPORTS\2009%20BUDGET%20REPORTS\2009%20Budget%20Report%20without%20insurance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LeMay\Master%20Truck%20Schedule\South_LeMay%20Master%20Truck%20Schedule-Shared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leffler\AppData\Local\Interject\FileCache\Budget%20Capital%20Input%20v2.20.xlsx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o111\share\frsx\D0536y00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microsoft.com/office/2006/relationships/xlExternalLinkPath/xlPathMissing" Target="ExcelFinancials_v3c1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9B63C24E\staff%20WCI%20Pro%20forma%2010-11-2013%20cos%20from%20melissa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home.utc.wa.gov/UTIL/TRANS/Chris%20M/Solid%20Waste/San%20Juan%20Sanitation%20Co/Year%202010/Staff/W_COMP/Rosario/2007%20rate%20case/Worksheets/070944%20Loan%20Recalculation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/Western%20Region/WUTC/WIP%20Files/2112%20Olympic%20Disposal/Misc%20Analysis/2018%20Budget%20Pro%20forma/Olympic%20Pro%20forma%20180731.xlsx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/Western%20Region/WUTC/WIP%20Files/2149%20Mason%20County/2021/General%20Rate%20Filing/.Mason%20Pro%20forma11.30.20.xlsx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udget.wm.com/plan07/F2_24_Month_Condensed_Ops_PnL_07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est-file01\DistShare$\2000%20Western%20Region%20Office\WUTC\WUTC-Murrey%20%202111\Dump%20Fee%20Filings\DF%202022\Murrey's%20Disposal%20Fee%20Calc%203-1-2022%20-%20AML%20version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RC%20Reports\SRC%20Format\Bonus%20Schedule\PNWR%20SRC%20Bonus%20Schedule%202003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/Western%20Region/2000%20Western%20Region%20Office/WUTC/WUTC-Murrey%20%202111/General%20Rate%20Filings/Rate%20Filing%201-1-2023/Confidential/.Murrey's%20Proforma%205.31.2022%20(C).xlsx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/Western%20Region/2000%20Western%20Region%20Office/WUTC/WIP%20Files/2111%20Murrey's/2022/Rate%20Case%205.31.2022/Dump%20Fee%20Schedule.xlsx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/Western%20Region/2000%20Western%20Region%20Office/WUTC/WUTC-Murrey%20%202111/General%20Rate%20Filings/Rate%20Filing%201-1-2023/Non%20Confidential/TacomaH%20Price%20Out%20June%202021%20-%20May%202022%20Deliverable.xlsx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/Western%20Region/2000%20Western%20Region%20Office/WUTC/WIP%20Files/2111%20Murrey's/2022/Rate%20Case%205.31.2022/TacomaH%20DF%20Allocation%20Calculation%2005.2022%20-%20Updated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ac_db5_srv\SRC\User\REPORTS\STANDARD%20REPORTS\CUSTOM%20REPORTS\PL_RollingTrend2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microsoft.com/office/2006/relationships/xlExternalLinkPath/xlPathMissing" Target="Recons-2674%20Kenn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SRC%20Reports\SRC%20Format\Bonus%20Schedule\PNWR%20SRC%20Bonus%20Schedule%202003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home.utc.wa.gov/UTIL/TRANS/Waste%20Management%20-%20Filings/Ellensburg/Year%202009/TG-091472%20(GRC)/Staff/TG-091472%20WM%20of%20Ellensburg%20(Workpapers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ettyCash-10110"/>
      <sheetName val="10200"/>
      <sheetName val="10210"/>
      <sheetName val="10250_RECON"/>
      <sheetName val="10250_MVPSS"/>
      <sheetName val="10250_Recy Chkg"/>
      <sheetName val="10250_Reimb Accts"/>
      <sheetName val="10250_Rollfwd"/>
      <sheetName val="10410_Rollfwd"/>
      <sheetName val="10410_Recon"/>
      <sheetName val="10410_Trade"/>
      <sheetName val="10410_Lodi"/>
      <sheetName val="10410_Sac Co"/>
      <sheetName val="10410_Brokered"/>
      <sheetName val="10420_Rollfwd"/>
      <sheetName val="10420 RECON"/>
      <sheetName val="Rollfwd_10550"/>
      <sheetName val="Recon_10550"/>
      <sheetName val="Recon_10555"/>
      <sheetName val="Recon_10610"/>
      <sheetName val="A170XX-October"/>
      <sheetName val="Recon_10760"/>
      <sheetName val="Rollfwd_10820"/>
      <sheetName val="PPXXC_10830"/>
      <sheetName val="Schedule_10830"/>
      <sheetName val="Recon_10830"/>
      <sheetName val="Rollfwd_10850"/>
      <sheetName val="Recon_10850"/>
      <sheetName val="ReconSumm_10890"/>
      <sheetName val="ASSETS 11XXX"/>
      <sheetName val="ACC DEP 12XXX"/>
      <sheetName val="GOODWILL_15120"/>
      <sheetName val="Rollfwd_15450"/>
      <sheetName val="15450_92 bond"/>
      <sheetName val="15450_94 Bond "/>
      <sheetName val="Recon_15450"/>
      <sheetName val="Rollfwd_15320_15500"/>
      <sheetName val="16100_Rollfwd"/>
      <sheetName val="A180543"/>
      <sheetName val="A20110"/>
      <sheetName val="Rollfwd_20120"/>
      <sheetName val="Recon_20120"/>
      <sheetName val="Recon_20130"/>
      <sheetName val="Recon_20133"/>
      <sheetName val="Recon_20135"/>
      <sheetName val="Recon_20137"/>
      <sheetName val="A20140"/>
      <sheetName val="SALES TAX RETURN_20140"/>
      <sheetName val="Rollfwd_20170"/>
      <sheetName val="Recon_20170"/>
      <sheetName val="Recon_20175"/>
      <sheetName val="Recon_20177"/>
      <sheetName val="Detail_20320"/>
      <sheetName val="Rollfwd_20325"/>
      <sheetName val="Recon_20325"/>
      <sheetName val="A20330"/>
      <sheetName val="RECON 20335"/>
      <sheetName val="RECON_20340"/>
      <sheetName val="DETAILED 20360"/>
      <sheetName val="recon 20365"/>
      <sheetName val="recon 20375"/>
      <sheetName val="A21100 &amp; A21250"/>
      <sheetName val="21250_92 Bond"/>
      <sheetName val="21250_94 Bond"/>
      <sheetName val="21250_R. Vaccarezza"/>
      <sheetName val="21250_BOND DIS AMORT"/>
      <sheetName val="A21390"/>
      <sheetName val="Recon 22104"/>
      <sheetName val="Recon 22105"/>
      <sheetName val="Recon 22109"/>
      <sheetName val="Recon 22205 "/>
      <sheetName val="Recon 22206"/>
      <sheetName val="Recon_30XXXX"/>
      <sheetName val="Recon 150543 Revised"/>
      <sheetName val="170001 DL 121999"/>
      <sheetName val="Rollfwd_170001"/>
      <sheetName val="A170001"/>
      <sheetName val="Rollfwd_170050"/>
      <sheetName val="A170050"/>
      <sheetName val="Rollfwd_171170"/>
      <sheetName val="A171170"/>
      <sheetName val="Rollfwd_171500"/>
      <sheetName val="A171500"/>
      <sheetName val="A171504"/>
      <sheetName val="A171531"/>
      <sheetName val="A172216"/>
      <sheetName val="A172220"/>
      <sheetName val="A172355"/>
      <sheetName val="Dec_99 DL_RAW"/>
      <sheetName val="Dec_99 DL_"/>
      <sheetName val="DEC_98 DL RAW"/>
      <sheetName val="DEC_98 DL "/>
      <sheetName val="Sheet4"/>
      <sheetName val="Sheet4 (2)"/>
      <sheetName val="XXXXXX"/>
      <sheetName val="BU NAMES"/>
      <sheetName val="PS BS ACCOUNTS"/>
      <sheetName val="Sch 4 Ca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 refreshError="1">
        <row r="1">
          <cell r="A1" t="str">
            <v>Fixed Assets Reconciliations - Lodi - 0543</v>
          </cell>
        </row>
        <row r="2">
          <cell r="A2" t="str">
            <v>February</v>
          </cell>
        </row>
        <row r="3">
          <cell r="B3" t="str">
            <v>Trucks</v>
          </cell>
          <cell r="C3" t="str">
            <v>Landfill PE</v>
          </cell>
          <cell r="D3" t="str">
            <v>Support Trucks</v>
          </cell>
          <cell r="E3" t="str">
            <v xml:space="preserve">Containers </v>
          </cell>
          <cell r="F3" t="str">
            <v>M&amp;E</v>
          </cell>
          <cell r="G3" t="str">
            <v>OfficeEquip</v>
          </cell>
          <cell r="H3" t="str">
            <v>Building</v>
          </cell>
          <cell r="I3" t="str">
            <v>Leashold Improv</v>
          </cell>
          <cell r="J3" t="str">
            <v>Autos</v>
          </cell>
          <cell r="K3" t="str">
            <v>Land</v>
          </cell>
          <cell r="L3" t="str">
            <v>Total Assets</v>
          </cell>
        </row>
        <row r="4">
          <cell r="A4" t="str">
            <v>Description/A/C</v>
          </cell>
          <cell r="B4" t="str">
            <v>11110 &amp;120</v>
          </cell>
          <cell r="C4">
            <v>11210</v>
          </cell>
          <cell r="D4">
            <v>11310</v>
          </cell>
          <cell r="E4" t="str">
            <v>11410 &amp; 20</v>
          </cell>
          <cell r="F4" t="str">
            <v>11510 &amp; 20</v>
          </cell>
          <cell r="G4" t="str">
            <v>11610 &amp; 20</v>
          </cell>
          <cell r="H4" t="str">
            <v>11710 &amp; 20</v>
          </cell>
          <cell r="I4">
            <v>11810</v>
          </cell>
          <cell r="J4">
            <v>11910</v>
          </cell>
          <cell r="K4">
            <v>13110</v>
          </cell>
        </row>
        <row r="6">
          <cell r="A6" t="str">
            <v>GL Beginning Bal</v>
          </cell>
          <cell r="B6">
            <v>6370279.0000000009</v>
          </cell>
          <cell r="C6">
            <v>1152675.96</v>
          </cell>
          <cell r="D6">
            <v>230167.72999999998</v>
          </cell>
          <cell r="E6">
            <v>9808085.1799999997</v>
          </cell>
          <cell r="F6">
            <v>3002548.89</v>
          </cell>
          <cell r="G6">
            <v>1058753.53</v>
          </cell>
          <cell r="H6">
            <v>5945538.0099999998</v>
          </cell>
          <cell r="I6">
            <v>2233939.7999999998</v>
          </cell>
          <cell r="J6">
            <v>47342.04</v>
          </cell>
          <cell r="K6">
            <v>987725.13</v>
          </cell>
          <cell r="L6">
            <v>30837055.270000003</v>
          </cell>
        </row>
        <row r="8">
          <cell r="A8" t="str">
            <v>Additions:</v>
          </cell>
          <cell r="B8">
            <v>0</v>
          </cell>
          <cell r="E8">
            <v>0</v>
          </cell>
          <cell r="F8">
            <v>0</v>
          </cell>
          <cell r="G8">
            <v>0</v>
          </cell>
        </row>
        <row r="11">
          <cell r="A11" t="str">
            <v>Accruals:</v>
          </cell>
        </row>
        <row r="13">
          <cell r="A13" t="str">
            <v>Deletions:</v>
          </cell>
        </row>
        <row r="15">
          <cell r="A15" t="str">
            <v>Adjusted GL Bal:</v>
          </cell>
          <cell r="B15">
            <v>6370279.0000000009</v>
          </cell>
          <cell r="C15">
            <v>1152675.96</v>
          </cell>
          <cell r="D15">
            <v>230167.72999999998</v>
          </cell>
          <cell r="E15">
            <v>9808085.1799999997</v>
          </cell>
          <cell r="F15">
            <v>3002548.89</v>
          </cell>
          <cell r="G15">
            <v>1058753.53</v>
          </cell>
          <cell r="H15">
            <v>5945538.0099999998</v>
          </cell>
          <cell r="I15">
            <v>2233939.7999999998</v>
          </cell>
          <cell r="J15">
            <v>47342.04</v>
          </cell>
          <cell r="K15">
            <v>987725.13</v>
          </cell>
          <cell r="L15">
            <v>30837055.270000003</v>
          </cell>
        </row>
        <row r="17">
          <cell r="A17" t="str">
            <v>GBA Balances</v>
          </cell>
          <cell r="B17">
            <v>6486957.9000000004</v>
          </cell>
          <cell r="C17">
            <v>1191195.51</v>
          </cell>
          <cell r="D17">
            <v>230167.73</v>
          </cell>
          <cell r="E17">
            <v>9808085.1799999997</v>
          </cell>
          <cell r="F17">
            <v>2783580.08</v>
          </cell>
          <cell r="G17">
            <v>1058752.1299999999</v>
          </cell>
          <cell r="H17">
            <v>5945538.0099999998</v>
          </cell>
          <cell r="I17">
            <v>2233939.7999999998</v>
          </cell>
          <cell r="J17">
            <v>47342.04</v>
          </cell>
          <cell r="K17">
            <v>988191.66</v>
          </cell>
          <cell r="L17">
            <v>30773750.039999999</v>
          </cell>
        </row>
        <row r="19">
          <cell r="A19" t="str">
            <v>Variance</v>
          </cell>
          <cell r="B19">
            <v>-116678.89999999944</v>
          </cell>
          <cell r="C19">
            <v>-38519.550000000047</v>
          </cell>
          <cell r="D19">
            <v>0</v>
          </cell>
          <cell r="E19">
            <v>0</v>
          </cell>
          <cell r="F19">
            <v>218968.81000000006</v>
          </cell>
          <cell r="G19">
            <v>1.4000000001396984</v>
          </cell>
          <cell r="H19">
            <v>0</v>
          </cell>
          <cell r="I19">
            <v>0</v>
          </cell>
          <cell r="J19">
            <v>0</v>
          </cell>
          <cell r="K19">
            <v>-466.53000000002794</v>
          </cell>
          <cell r="L19">
            <v>63305.230000004172</v>
          </cell>
        </row>
      </sheetData>
      <sheetData sheetId="30" refreshError="1">
        <row r="4">
          <cell r="A4" t="str">
            <v>Accumulated Depreciation:</v>
          </cell>
          <cell r="D4">
            <v>65920</v>
          </cell>
          <cell r="F4">
            <v>60925</v>
          </cell>
          <cell r="G4">
            <v>70905</v>
          </cell>
          <cell r="H4">
            <v>90910</v>
          </cell>
        </row>
        <row r="5">
          <cell r="A5" t="str">
            <v>February</v>
          </cell>
          <cell r="B5">
            <v>52930</v>
          </cell>
          <cell r="C5">
            <v>52935</v>
          </cell>
          <cell r="D5">
            <v>60920</v>
          </cell>
          <cell r="E5">
            <v>54935</v>
          </cell>
          <cell r="F5">
            <v>54925</v>
          </cell>
          <cell r="G5">
            <v>60905</v>
          </cell>
          <cell r="H5">
            <v>65910</v>
          </cell>
          <cell r="I5">
            <v>90915</v>
          </cell>
          <cell r="J5">
            <v>90900</v>
          </cell>
        </row>
        <row r="6">
          <cell r="B6" t="str">
            <v>Trucks</v>
          </cell>
          <cell r="C6" t="str">
            <v>Landfill PE</v>
          </cell>
          <cell r="D6" t="str">
            <v>Support Trucks</v>
          </cell>
          <cell r="E6" t="str">
            <v xml:space="preserve">Containers </v>
          </cell>
          <cell r="F6" t="str">
            <v>M&amp;E</v>
          </cell>
          <cell r="G6" t="str">
            <v>OfficeEquip</v>
          </cell>
          <cell r="H6" t="str">
            <v>Building</v>
          </cell>
          <cell r="I6" t="str">
            <v>Leashold Improv</v>
          </cell>
          <cell r="J6" t="str">
            <v>Autos</v>
          </cell>
          <cell r="K6" t="str">
            <v>Land</v>
          </cell>
          <cell r="L6" t="str">
            <v>Total Accumulated</v>
          </cell>
        </row>
        <row r="7">
          <cell r="A7" t="str">
            <v>Description/A/C</v>
          </cell>
          <cell r="B7" t="str">
            <v>121XX</v>
          </cell>
          <cell r="C7" t="str">
            <v>122XX</v>
          </cell>
          <cell r="D7" t="str">
            <v>123XX</v>
          </cell>
          <cell r="E7" t="str">
            <v>124XX</v>
          </cell>
          <cell r="F7" t="str">
            <v>125XX</v>
          </cell>
          <cell r="G7" t="str">
            <v>126XX</v>
          </cell>
          <cell r="H7" t="str">
            <v>127XX</v>
          </cell>
          <cell r="I7" t="str">
            <v>128XX</v>
          </cell>
          <cell r="J7" t="str">
            <v>129XX</v>
          </cell>
          <cell r="K7">
            <v>13250</v>
          </cell>
          <cell r="L7" t="str">
            <v>Depreciation</v>
          </cell>
        </row>
        <row r="9">
          <cell r="A9" t="str">
            <v>GL Beginning Bal</v>
          </cell>
          <cell r="B9">
            <v>-4345139.9400000004</v>
          </cell>
          <cell r="C9">
            <v>-631095.49999999988</v>
          </cell>
          <cell r="D9">
            <v>-197525.75999999998</v>
          </cell>
          <cell r="E9">
            <v>-6570378.0800000001</v>
          </cell>
          <cell r="F9">
            <v>-2358947.5299999998</v>
          </cell>
          <cell r="G9">
            <v>-645903.84000000008</v>
          </cell>
          <cell r="H9">
            <v>-2171023.04</v>
          </cell>
          <cell r="I9">
            <v>-726384.56</v>
          </cell>
          <cell r="J9">
            <v>-36395.379999999997</v>
          </cell>
          <cell r="K9">
            <v>-466.76</v>
          </cell>
          <cell r="L9">
            <v>-17683260.390000001</v>
          </cell>
        </row>
        <row r="11">
          <cell r="A11" t="str">
            <v>Additions:</v>
          </cell>
          <cell r="B11">
            <v>-65915.709999999992</v>
          </cell>
          <cell r="C11">
            <v>-22490.11</v>
          </cell>
          <cell r="D11">
            <v>-2297.98</v>
          </cell>
          <cell r="E11">
            <v>-89579.91</v>
          </cell>
          <cell r="F11">
            <v>-55942.879999999997</v>
          </cell>
          <cell r="G11">
            <v>-29722.478000000003</v>
          </cell>
          <cell r="H11">
            <v>-41958.92</v>
          </cell>
          <cell r="I11">
            <v>-20345.439999999999</v>
          </cell>
          <cell r="J11">
            <v>-729.78</v>
          </cell>
          <cell r="L11">
            <v>-328983.20799999998</v>
          </cell>
        </row>
        <row r="13">
          <cell r="B13">
            <v>5502.79</v>
          </cell>
          <cell r="C13">
            <v>-5502.79</v>
          </cell>
        </row>
        <row r="14">
          <cell r="A14" t="str">
            <v>Accruals:</v>
          </cell>
        </row>
        <row r="16">
          <cell r="A16" t="str">
            <v>Deletions:</v>
          </cell>
        </row>
        <row r="18">
          <cell r="A18" t="str">
            <v>Adjusted GL Bal:</v>
          </cell>
          <cell r="B18">
            <v>-4405552.8600000003</v>
          </cell>
          <cell r="C18">
            <v>-659088.39999999991</v>
          </cell>
          <cell r="D18">
            <v>-199823.74</v>
          </cell>
          <cell r="E18">
            <v>-6659957.9900000002</v>
          </cell>
          <cell r="F18">
            <v>-2414890.4099999997</v>
          </cell>
          <cell r="G18">
            <v>-675626.31800000009</v>
          </cell>
          <cell r="H18">
            <v>-2212981.96</v>
          </cell>
          <cell r="I18">
            <v>-746730</v>
          </cell>
          <cell r="J18">
            <v>-37125.159999999996</v>
          </cell>
          <cell r="K18">
            <v>0</v>
          </cell>
          <cell r="L18">
            <v>-18011776.838</v>
          </cell>
        </row>
        <row r="20">
          <cell r="A20" t="str">
            <v>GBA Balances</v>
          </cell>
          <cell r="B20">
            <v>-4438805.79</v>
          </cell>
          <cell r="C20">
            <v>-659088.4</v>
          </cell>
          <cell r="D20">
            <v>-199823.74</v>
          </cell>
          <cell r="E20">
            <v>-6659957.9900000002</v>
          </cell>
          <cell r="F20">
            <v>-2243545.98</v>
          </cell>
          <cell r="G20">
            <v>-675626.34</v>
          </cell>
          <cell r="H20">
            <v>-2212981.96</v>
          </cell>
          <cell r="I20">
            <v>-746730</v>
          </cell>
          <cell r="J20">
            <v>-37125.160000000003</v>
          </cell>
          <cell r="K20">
            <v>-466.76</v>
          </cell>
          <cell r="L20">
            <v>-17874152.120000005</v>
          </cell>
        </row>
        <row r="22">
          <cell r="A22" t="str">
            <v>Variance</v>
          </cell>
          <cell r="B22">
            <v>33252.929999999702</v>
          </cell>
          <cell r="C22">
            <v>0</v>
          </cell>
          <cell r="D22">
            <v>0</v>
          </cell>
          <cell r="E22">
            <v>0</v>
          </cell>
          <cell r="F22">
            <v>-171344.4299999997</v>
          </cell>
          <cell r="G22">
            <v>2.199999988079071E-2</v>
          </cell>
          <cell r="H22">
            <v>0</v>
          </cell>
          <cell r="I22">
            <v>0</v>
          </cell>
          <cell r="J22">
            <v>0</v>
          </cell>
          <cell r="K22">
            <v>466.76</v>
          </cell>
          <cell r="L22">
            <v>-137624.71799999475</v>
          </cell>
        </row>
      </sheetData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>
        <row r="1">
          <cell r="A1" t="str">
            <v>CWRS</v>
          </cell>
        </row>
        <row r="2">
          <cell r="A2" t="str">
            <v>COPMPST AND OTHER SALES</v>
          </cell>
        </row>
        <row r="3">
          <cell r="A3" t="str">
            <v>SALES &amp; USE TAX</v>
          </cell>
        </row>
        <row r="5">
          <cell r="C5" t="str">
            <v>TAXABLE</v>
          </cell>
          <cell r="D5" t="str">
            <v>NONTAXABLE</v>
          </cell>
          <cell r="E5" t="str">
            <v>TOTAL</v>
          </cell>
        </row>
        <row r="7">
          <cell r="A7" t="str">
            <v>OCT 1999:</v>
          </cell>
        </row>
        <row r="8">
          <cell r="A8" t="str">
            <v>T/S SALES</v>
          </cell>
          <cell r="C8">
            <v>0</v>
          </cell>
          <cell r="D8">
            <v>0</v>
          </cell>
          <cell r="E8">
            <v>0</v>
          </cell>
        </row>
        <row r="9">
          <cell r="A9" t="str">
            <v>CASH SALES</v>
          </cell>
          <cell r="E9">
            <v>0</v>
          </cell>
        </row>
        <row r="10">
          <cell r="A10" t="str">
            <v>CHARGE SALES</v>
          </cell>
          <cell r="E10">
            <v>0</v>
          </cell>
        </row>
        <row r="11">
          <cell r="A11" t="str">
            <v>RECYCLING SALES</v>
          </cell>
          <cell r="E11">
            <v>0</v>
          </cell>
        </row>
        <row r="12">
          <cell r="A12" t="str">
            <v>OTHER SALES:</v>
          </cell>
        </row>
        <row r="13">
          <cell r="A13" t="str">
            <v xml:space="preserve"> WASTE CARTS</v>
          </cell>
          <cell r="C13">
            <v>645</v>
          </cell>
          <cell r="E13">
            <v>645</v>
          </cell>
        </row>
        <row r="14">
          <cell r="A14" t="str">
            <v xml:space="preserve"> MISC T/S</v>
          </cell>
          <cell r="C14">
            <v>0</v>
          </cell>
          <cell r="E14">
            <v>0</v>
          </cell>
        </row>
        <row r="16">
          <cell r="B16" t="str">
            <v>TOTAL</v>
          </cell>
          <cell r="C16">
            <v>645</v>
          </cell>
          <cell r="D16">
            <v>0</v>
          </cell>
          <cell r="E16">
            <v>645</v>
          </cell>
        </row>
        <row r="18">
          <cell r="A18" t="str">
            <v>NOV 1999:</v>
          </cell>
        </row>
        <row r="19">
          <cell r="A19" t="str">
            <v>T/S SALES</v>
          </cell>
          <cell r="E19">
            <v>0</v>
          </cell>
        </row>
        <row r="20">
          <cell r="A20" t="str">
            <v>CASH SALES</v>
          </cell>
          <cell r="E20">
            <v>0</v>
          </cell>
        </row>
        <row r="21">
          <cell r="A21" t="str">
            <v>CHARGE SALES</v>
          </cell>
          <cell r="E21">
            <v>0</v>
          </cell>
        </row>
        <row r="22">
          <cell r="A22" t="str">
            <v>RECYCLING SALES</v>
          </cell>
          <cell r="E22">
            <v>0</v>
          </cell>
        </row>
        <row r="23">
          <cell r="A23" t="str">
            <v>OTHER SALES:</v>
          </cell>
        </row>
        <row r="24">
          <cell r="A24" t="str">
            <v xml:space="preserve"> WASTE CARTS</v>
          </cell>
          <cell r="C24">
            <v>0</v>
          </cell>
          <cell r="E24">
            <v>0</v>
          </cell>
        </row>
        <row r="25">
          <cell r="A25" t="str">
            <v xml:space="preserve"> MISC T/S</v>
          </cell>
          <cell r="C25">
            <v>0</v>
          </cell>
          <cell r="E25">
            <v>0</v>
          </cell>
        </row>
        <row r="27">
          <cell r="B27" t="str">
            <v>TOTAL</v>
          </cell>
          <cell r="C27">
            <v>0</v>
          </cell>
          <cell r="D27">
            <v>0</v>
          </cell>
          <cell r="E27">
            <v>0</v>
          </cell>
        </row>
        <row r="29">
          <cell r="A29" t="str">
            <v>DEC 1999:</v>
          </cell>
        </row>
        <row r="30">
          <cell r="A30" t="str">
            <v>T/S SALES</v>
          </cell>
          <cell r="E30">
            <v>0</v>
          </cell>
        </row>
        <row r="31">
          <cell r="A31" t="str">
            <v>CASH SALES</v>
          </cell>
          <cell r="E31">
            <v>0</v>
          </cell>
        </row>
        <row r="32">
          <cell r="A32" t="str">
            <v>CHARGE SALES</v>
          </cell>
          <cell r="E32">
            <v>0</v>
          </cell>
        </row>
        <row r="33">
          <cell r="A33" t="str">
            <v>RECYCLING SALES</v>
          </cell>
          <cell r="E33">
            <v>0</v>
          </cell>
        </row>
        <row r="34">
          <cell r="A34" t="str">
            <v>OTHER SALES:</v>
          </cell>
        </row>
        <row r="35">
          <cell r="A35" t="str">
            <v xml:space="preserve"> WASTE CARTS</v>
          </cell>
          <cell r="C35">
            <v>0</v>
          </cell>
          <cell r="D35">
            <v>0</v>
          </cell>
          <cell r="E35">
            <v>0</v>
          </cell>
        </row>
        <row r="36">
          <cell r="A36" t="str">
            <v xml:space="preserve"> MISC T/S</v>
          </cell>
          <cell r="C36">
            <v>0</v>
          </cell>
          <cell r="D36">
            <v>0</v>
          </cell>
          <cell r="E36">
            <v>0</v>
          </cell>
        </row>
        <row r="38">
          <cell r="B38" t="str">
            <v>TOTAL</v>
          </cell>
          <cell r="C38">
            <v>0</v>
          </cell>
          <cell r="D38">
            <v>0</v>
          </cell>
          <cell r="E38">
            <v>0</v>
          </cell>
        </row>
        <row r="40">
          <cell r="A40" t="str">
            <v>QUARTER TOTAL - 12/31/99:</v>
          </cell>
        </row>
        <row r="41">
          <cell r="A41" t="str">
            <v>T/S SALES</v>
          </cell>
          <cell r="C41">
            <v>0</v>
          </cell>
          <cell r="D41">
            <v>0</v>
          </cell>
          <cell r="E41">
            <v>0</v>
          </cell>
        </row>
        <row r="42">
          <cell r="A42" t="str">
            <v>CASH SALES</v>
          </cell>
          <cell r="C42">
            <v>0</v>
          </cell>
          <cell r="D42">
            <v>0</v>
          </cell>
          <cell r="E42">
            <v>0</v>
          </cell>
        </row>
        <row r="43">
          <cell r="A43" t="str">
            <v>CHARGE SALES</v>
          </cell>
          <cell r="C43">
            <v>0</v>
          </cell>
          <cell r="D43">
            <v>0</v>
          </cell>
          <cell r="E43">
            <v>0</v>
          </cell>
        </row>
        <row r="44">
          <cell r="A44" t="str">
            <v>RECYCLING SALES</v>
          </cell>
          <cell r="C44">
            <v>0</v>
          </cell>
          <cell r="D44">
            <v>0</v>
          </cell>
          <cell r="E44">
            <v>0</v>
          </cell>
        </row>
        <row r="45">
          <cell r="A45" t="str">
            <v>OTHER SALES:</v>
          </cell>
          <cell r="C45">
            <v>0</v>
          </cell>
          <cell r="D45">
            <v>0</v>
          </cell>
        </row>
        <row r="46">
          <cell r="A46" t="str">
            <v xml:space="preserve"> WASTE CARTS</v>
          </cell>
          <cell r="C46">
            <v>645</v>
          </cell>
          <cell r="D46">
            <v>0</v>
          </cell>
          <cell r="E46">
            <v>645</v>
          </cell>
        </row>
        <row r="47">
          <cell r="A47" t="str">
            <v xml:space="preserve"> MISC T/S</v>
          </cell>
          <cell r="C47">
            <v>0</v>
          </cell>
          <cell r="D47">
            <v>0</v>
          </cell>
          <cell r="E47">
            <v>0</v>
          </cell>
        </row>
        <row r="49">
          <cell r="B49" t="str">
            <v>TOTAL</v>
          </cell>
          <cell r="C49">
            <v>645</v>
          </cell>
          <cell r="D49">
            <v>0</v>
          </cell>
          <cell r="E49">
            <v>645</v>
          </cell>
        </row>
      </sheetData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12 Act-Fcast P&amp;L"/>
      <sheetName val="9+3"/>
      <sheetName val="2013 Budget"/>
      <sheetName val="Main"/>
      <sheetName val="4105"/>
      <sheetName val="Pricing From Corp as of Dec"/>
      <sheetName val="Qrtly Pricing"/>
      <sheetName val="Intercompany Tonnage"/>
      <sheetName val="Transfer and MRF Bridge"/>
      <sheetName val="Recycle Rev Bridge"/>
      <sheetName val="Rev Reduction Bridge"/>
      <sheetName val="Direct Labor Bridge"/>
      <sheetName val="Truck Variable Bridge"/>
      <sheetName val="Supervisor Exp Bridge"/>
      <sheetName val="Other Op Exp Bridge"/>
      <sheetName val="Ins Exp Bridge"/>
      <sheetName val="G&amp;A Exp Bridg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come Statement (WMofWA)"/>
      <sheetName val="Balance Sheet (WMofWA)"/>
      <sheetName val="Rev. Sum. - Confidential"/>
      <sheetName val="WTB-Confidential"/>
      <sheetName val="Priceout"/>
      <sheetName val="Monthly IS (SnoKing)"/>
      <sheetName val="Total Lurito"/>
      <sheetName val="Lurito - Garbage"/>
      <sheetName val="Lurito - Recycling"/>
      <sheetName val="Lurito - YW"/>
      <sheetName val="Lurito-Garbage"/>
      <sheetName val="Lurito-Recycling"/>
      <sheetName val="Lurito-YW"/>
      <sheetName val="PC 230"/>
      <sheetName val="PC 220"/>
      <sheetName val="PC 160 - Confidential"/>
      <sheetName val="PC 260-Confidential"/>
      <sheetName val="WUTC Customer Counts"/>
      <sheetName val="Processing Fees"/>
      <sheetName val="YW Processing Fees"/>
      <sheetName val="PR Register-Confidential"/>
      <sheetName val="PR Detail -confidential"/>
      <sheetName val="Wage scale-CONFIDENTIAL"/>
      <sheetName val="Fuel"/>
      <sheetName val="Balance Sheet (SnoKing)"/>
      <sheetName val="DEPN"/>
      <sheetName val="DEPN Summary"/>
      <sheetName val="Fixed Asset Summary"/>
      <sheetName val="Fixed Asset Detail"/>
      <sheetName val="Facility Costs"/>
      <sheetName val="Legal Fees"/>
      <sheetName val="MA Office OH"/>
      <sheetName val="MA Stats"/>
      <sheetName val="OH Analysis"/>
      <sheetName val="Corp. Office OH"/>
      <sheetName val="2008 West Group IS"/>
      <sheetName val="2008 Group Office TB"/>
      <sheetName val="2008 Group Office IS"/>
      <sheetName val="500500"/>
      <sheetName val="AP-500500"/>
      <sheetName val="500800"/>
      <sheetName val="509000"/>
      <sheetName val="AP-509500"/>
      <sheetName val="509500"/>
      <sheetName val="531200"/>
      <sheetName val="Income Statement (2)"/>
      <sheetName val="Lurito"/>
      <sheetName val="Fixed Assets"/>
      <sheetName val="unprocessed SS"/>
      <sheetName val="Tonnage"/>
      <sheetName val="Outbound Tons"/>
      <sheetName val="Inbound Tons"/>
      <sheetName val="Labor"/>
      <sheetName val="CDL Pricing"/>
      <sheetName val="CRC Commodity Prices"/>
      <sheetName val="Commodity Mix"/>
      <sheetName val="502500"/>
      <sheetName val="Summary"/>
      <sheetName val="Com'l FL"/>
      <sheetName val="Res'l RL"/>
      <sheetName val="Roll Off"/>
      <sheetName val="Res'l YW"/>
      <sheetName val="Res'l Rec."/>
      <sheetName val="Com'l Rec."/>
      <sheetName val="Summary (2)"/>
      <sheetName val="Customer Counts"/>
      <sheetName val="Com'l FL-2009"/>
      <sheetName val="Res'l RL (2)"/>
      <sheetName val="Res'l YW (2)"/>
      <sheetName val="Res'l Rec. (2)"/>
      <sheetName val="Roll Off (2)"/>
      <sheetName val="Haul Summary"/>
      <sheetName val="Com'l Rec. (2)"/>
      <sheetName val="Hauls Onl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croCheck"/>
      <sheetName val="Opening"/>
      <sheetName val="Main"/>
      <sheetName val="CopyImport"/>
      <sheetName val="SupportFiles"/>
      <sheetName val="Settings"/>
      <sheetName val="Todo"/>
      <sheetName val="DDLs"/>
      <sheetName val="AutoSupport"/>
      <sheetName val="DetailExamp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lass A IS"/>
      <sheetName val="2183 IS"/>
      <sheetName val="2184 IS"/>
      <sheetName val="2185 IS"/>
      <sheetName val="Consolidated IS"/>
      <sheetName val="Ratios Thurston"/>
      <sheetName val="2183 Pro forma"/>
      <sheetName val="2183 Ratios"/>
      <sheetName val="Restating Expl"/>
      <sheetName val="Pro forma Expl"/>
      <sheetName val="Pacific Regulated - Price Out"/>
      <sheetName val="Total Matrix"/>
      <sheetName val="Packer_RO Matrix"/>
      <sheetName val="COS Packer_RO"/>
      <sheetName val="Res YW Matix"/>
      <sheetName val="Res Recy Matrix"/>
      <sheetName val="MF Recy Matrix"/>
      <sheetName val="COS RR YW MFR"/>
      <sheetName val="Total Pac,Rural"/>
      <sheetName val="Rural"/>
      <sheetName val="LG-Pacific Pckr Rts"/>
      <sheetName val="LG-RO"/>
      <sheetName val="Res Recycl"/>
      <sheetName val="MF Recycl"/>
      <sheetName val="YW"/>
      <sheetName val="Depr Summary 2183"/>
      <sheetName val="Trucks 2183"/>
      <sheetName val="Containers 2183"/>
      <sheetName val="OTHER EQUIP 2183"/>
      <sheetName val="LeMay Global"/>
      <sheetName val="Fuel"/>
      <sheetName val="DF Schedule"/>
      <sheetName val="2183 Payroll"/>
      <sheetName val="2184 Payroll"/>
      <sheetName val="2185 Payroll"/>
      <sheetName val="Cust Cnt"/>
      <sheetName val="Unit Cnt"/>
      <sheetName val="70148 Summary"/>
      <sheetName val="Time Study"/>
      <sheetName val="Corp OH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49">
          <cell r="M49">
            <v>8000432.4617248299</v>
          </cell>
        </row>
        <row r="50">
          <cell r="F50">
            <v>8158680.0299999993</v>
          </cell>
        </row>
        <row r="58">
          <cell r="M58">
            <v>2625393.5068796892</v>
          </cell>
        </row>
        <row r="59">
          <cell r="F59">
            <v>2119461.4499999997</v>
          </cell>
        </row>
        <row r="69">
          <cell r="M69">
            <v>1361744.4391882615</v>
          </cell>
        </row>
        <row r="70">
          <cell r="F70">
            <v>1347163.92</v>
          </cell>
        </row>
        <row r="213">
          <cell r="M213">
            <v>4757117.5866496488</v>
          </cell>
        </row>
        <row r="214">
          <cell r="F214">
            <v>4859462.2200000007</v>
          </cell>
        </row>
        <row r="221">
          <cell r="M221">
            <v>395543.82663328515</v>
          </cell>
        </row>
        <row r="222">
          <cell r="F222">
            <v>332798.89999999997</v>
          </cell>
        </row>
        <row r="281">
          <cell r="M281">
            <v>1187221.5155152699</v>
          </cell>
        </row>
        <row r="282">
          <cell r="F282">
            <v>744277.47999999975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enue Summary"/>
      <sheetName val="Customer Count Summary"/>
      <sheetName val="Container Count"/>
      <sheetName val="JBLM Container Count"/>
      <sheetName val="2180 IS"/>
      <sheetName val="2180 (Reg.) - Price Out "/>
      <sheetName val="2180 (Roy) - Price Out"/>
      <sheetName val="2180 (Reg EA.) - Price Out"/>
      <sheetName val="2180 (JBLM Housing) - Price Out"/>
      <sheetName val="2180 (FtL) - Price Out"/>
      <sheetName val="2180 (Lkwd) - Price Out"/>
      <sheetName val="2180 (Dpt) - Price Out"/>
      <sheetName val="2180 (Etv) - Price Out"/>
      <sheetName val="2180 (Stcm) - Price Out"/>
      <sheetName val="2180 (UP) - Price Out"/>
      <sheetName val="2180 Comm Recycle"/>
      <sheetName val="JBLM"/>
      <sheetName val="RM Pivot"/>
      <sheetName val=" GW PIVOT"/>
      <sheetName val="RM Data"/>
      <sheetName val="Interject_LastPulledValues"/>
      <sheetName val="P&amp;L"/>
      <sheetName val="YTD Act-Proj (by mo.) vs. Bud"/>
      <sheetName val="C-Rec Cus"/>
      <sheetName val="MF Recy"/>
      <sheetName val="Finance Charges"/>
      <sheetName val="N Lemay Rolloff Count"/>
      <sheetName val="Def Rev. Pivot"/>
      <sheetName val="Recycle Counts Link"/>
      <sheetName val="PI default bill area pricing"/>
      <sheetName val="RMO - Default Bill Area Pricing"/>
      <sheetName val="Cust Counts for Budgets"/>
      <sheetName val="Comm True up"/>
      <sheetName val="RO Man Adj"/>
    </sheetNames>
    <sheetDataSet>
      <sheetData sheetId="0"/>
      <sheetData sheetId="1"/>
      <sheetData sheetId="2"/>
      <sheetData sheetId="3"/>
      <sheetData sheetId="4"/>
      <sheetData sheetId="5">
        <row r="11">
          <cell r="B11" t="str">
            <v>SL035.0G1M001NOREC</v>
          </cell>
        </row>
      </sheetData>
      <sheetData sheetId="6"/>
      <sheetData sheetId="7">
        <row r="11">
          <cell r="B11" t="str">
            <v>SL035.0G1M001WREC</v>
          </cell>
        </row>
      </sheetData>
      <sheetData sheetId="8">
        <row r="11">
          <cell r="B11" t="str">
            <v>SL065.0G1W001WREC</v>
          </cell>
        </row>
      </sheetData>
      <sheetData sheetId="9">
        <row r="11">
          <cell r="B11" t="str">
            <v>BULKY-RES</v>
          </cell>
        </row>
      </sheetData>
      <sheetData sheetId="10">
        <row r="11">
          <cell r="B11" t="str">
            <v>RL020.0G1W001</v>
          </cell>
        </row>
      </sheetData>
      <sheetData sheetId="11">
        <row r="11">
          <cell r="B11" t="str">
            <v>SL020.0G1W001</v>
          </cell>
        </row>
      </sheetData>
      <sheetData sheetId="12">
        <row r="11">
          <cell r="B11" t="str">
            <v>SL035.0G1M001WREC</v>
          </cell>
        </row>
      </sheetData>
      <sheetData sheetId="13">
        <row r="11">
          <cell r="B11" t="str">
            <v>RL010.0G1W001WREC</v>
          </cell>
        </row>
      </sheetData>
      <sheetData sheetId="14">
        <row r="11">
          <cell r="B11" t="str">
            <v>SL035.0GEO001WREC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>
        <row r="8">
          <cell r="H8" t="str">
            <v>2022-07</v>
          </cell>
        </row>
      </sheetData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f Rate Sheet"/>
      <sheetName val="Class A IS"/>
      <sheetName val="2149 BS"/>
      <sheetName val="9-30-11 BS"/>
      <sheetName val="2149 IS"/>
      <sheetName val="Consolidated IS"/>
      <sheetName val="Ratios"/>
      <sheetName val="Restating Adj"/>
      <sheetName val="Restating Expl"/>
      <sheetName val="Pro forma Adj"/>
      <sheetName val="Pro-forma"/>
      <sheetName val="LG-Combined"/>
      <sheetName val="LG-Pckr,RO"/>
      <sheetName val="LG-Recycl"/>
      <sheetName val="Price Out"/>
      <sheetName val="Rate Sheet"/>
      <sheetName val="Pckr, RO, Matrix"/>
      <sheetName val="COS Packer,RO "/>
      <sheetName val="Recycl Matrix"/>
      <sheetName val="COS Recycle"/>
      <sheetName val="Disposal Calc"/>
      <sheetName val="Disposal Schedule"/>
      <sheetName val="Fuel"/>
      <sheetName val="PR Summary"/>
      <sheetName val="Depr Summary"/>
      <sheetName val="Depreciation"/>
      <sheetName val="Cust Count"/>
      <sheetName val="Rt Study Summary"/>
      <sheetName val="Recycl Tons, Commodity Value"/>
      <sheetName val="Tribal Cnts"/>
      <sheetName val="Corp OH"/>
      <sheetName val="Corp Debt Equity"/>
      <sheetName val="Balance Sheet"/>
      <sheetName val="P&amp;L"/>
      <sheetName val="70195 JE-WRRA Dues"/>
      <sheetName val="56095 JE"/>
      <sheetName val="Non-Reg Price Out"/>
      <sheetName val="30% Commodity Justification"/>
      <sheetName val="TRC Processing Justfication"/>
      <sheetName val="Orig Price Out"/>
      <sheetName val="Rate Sheet Dec 2012"/>
      <sheetName val="Orig COS Packer,RO "/>
      <sheetName val="LG-Pckr w DF"/>
      <sheetName val="LG-Pckr w-out DF"/>
      <sheetName val="LG-RO"/>
    </sheetNames>
    <sheetDataSet>
      <sheetData sheetId="0">
        <row r="107">
          <cell r="L107">
            <v>1755086.2007667283</v>
          </cell>
        </row>
        <row r="214">
          <cell r="L214">
            <v>861493.18580596044</v>
          </cell>
        </row>
        <row r="278">
          <cell r="L278">
            <v>840474.49671344017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>
        <row r="23">
          <cell r="L23">
            <v>2329.3388396454475</v>
          </cell>
        </row>
      </sheetData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le Inputs"/>
      <sheetName val="AllocationMethods"/>
      <sheetName val="Gen'l Info"/>
      <sheetName val="AccrualExpense"/>
      <sheetName val="AccrualRevenue"/>
      <sheetName val="TypeSUMM"/>
      <sheetName val="ServiceSUMM"/>
      <sheetName val="SUMM"/>
      <sheetName val="Rev Summary"/>
      <sheetName val="Dir_Costs"/>
      <sheetName val="G and A Costs"/>
      <sheetName val="Itemize"/>
      <sheetName val="Cust_Count1"/>
      <sheetName val="Cust_Count2"/>
      <sheetName val="DropBoxPullsbyType"/>
      <sheetName val="Rev_Breakdown"/>
      <sheetName val="Truck Hours"/>
      <sheetName val="NoDB_TkHr"/>
      <sheetName val="Labor Hours"/>
      <sheetName val="NoDB_LbrHr"/>
      <sheetName val="Container Breakdown"/>
      <sheetName val="Cart Breakdown"/>
      <sheetName val="Gross Yardage Worksheet"/>
      <sheetName val="RecycleContainerYds"/>
      <sheetName val="CartYardage"/>
      <sheetName val="TonnageAllocation"/>
      <sheetName val="ContainerTonsAllocation"/>
      <sheetName val="CanCartTonsAllocate"/>
      <sheetName val="TONWKSHT"/>
      <sheetName val="TONWKSHT_DropBox"/>
      <sheetName val="PrintInstructions"/>
      <sheetName val="grphResiCust"/>
      <sheetName val="grhpMFcancarts"/>
      <sheetName val="grphCMcancarts"/>
      <sheetName val="grphJuris1ResiCrt"/>
      <sheetName val="grphJuris2ResiCrt"/>
      <sheetName val="grphJuris3ResiCrt"/>
      <sheetName val="grphJuris4ResiCrt"/>
      <sheetName val="Juris5ResiCrt"/>
      <sheetName val="Juris1MFcancarts"/>
      <sheetName val="Juris2MFcancarts"/>
      <sheetName val="Juris3MFcancarts"/>
      <sheetName val="Juris4MFcancarts"/>
      <sheetName val="Juris5MFcancarts"/>
      <sheetName val="Juris1CMcarts"/>
      <sheetName val="Juris2CMcarts"/>
      <sheetName val="Juris3CMcarts"/>
      <sheetName val="Juris4CMcarts"/>
      <sheetName val="Juris5CMcarts"/>
      <sheetName val="grphCollect_TkHr"/>
      <sheetName val="grphRecycleRevPerCust"/>
      <sheetName val="grphDirCst per TkHr"/>
      <sheetName val="grphCompareDirCostPerTrkHr "/>
      <sheetName val="grphG_A CostperTkHr"/>
      <sheetName val="grphDBxDirCst per Pull"/>
      <sheetName val="grphDBxTkHrs per Pull"/>
      <sheetName val="grphLbr Csts per TkHr"/>
      <sheetName val="Grph AdminSal per TkHr"/>
      <sheetName val="Program data"/>
      <sheetName val="Census Data"/>
      <sheetName val="Financial Data"/>
    </sheetNames>
    <sheetDataSet>
      <sheetData sheetId="0">
        <row r="3">
          <cell r="C3">
            <v>2010</v>
          </cell>
        </row>
        <row r="4">
          <cell r="C4" t="str">
            <v>Clackamas County</v>
          </cell>
        </row>
        <row r="5">
          <cell r="C5" t="str">
            <v>Arrow</v>
          </cell>
        </row>
        <row r="6">
          <cell r="C6" t="str">
            <v>American</v>
          </cell>
        </row>
        <row r="7">
          <cell r="C7" t="str">
            <v>Other</v>
          </cell>
        </row>
        <row r="8">
          <cell r="C8" t="str">
            <v>Other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7">
          <cell r="C7">
            <v>155</v>
          </cell>
        </row>
        <row r="30">
          <cell r="C30">
            <v>459.2632034958001</v>
          </cell>
          <cell r="D30">
            <v>1119.4009262496004</v>
          </cell>
          <cell r="E30">
            <v>16017.642352085402</v>
          </cell>
          <cell r="F30">
            <v>0</v>
          </cell>
          <cell r="G30">
            <v>0</v>
          </cell>
        </row>
        <row r="60">
          <cell r="C60" t="e">
            <v>#REF!</v>
          </cell>
          <cell r="D60" t="e">
            <v>#REF!</v>
          </cell>
          <cell r="E60" t="e">
            <v>#REF!</v>
          </cell>
          <cell r="F60" t="e">
            <v>#REF!</v>
          </cell>
          <cell r="G60" t="e">
            <v>#REF!</v>
          </cell>
        </row>
      </sheetData>
      <sheetData sheetId="13">
        <row r="15">
          <cell r="E15">
            <v>3586.96</v>
          </cell>
        </row>
        <row r="28">
          <cell r="E28">
            <v>5</v>
          </cell>
          <cell r="F28">
            <v>2</v>
          </cell>
          <cell r="G28">
            <v>2125.58</v>
          </cell>
        </row>
        <row r="39">
          <cell r="E39">
            <v>0.02</v>
          </cell>
          <cell r="F39">
            <v>0.05</v>
          </cell>
          <cell r="G39">
            <v>0.93</v>
          </cell>
          <cell r="H39">
            <v>0</v>
          </cell>
          <cell r="I39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16">
          <cell r="L16">
            <v>3586.96</v>
          </cell>
          <cell r="X16">
            <v>0</v>
          </cell>
        </row>
        <row r="33">
          <cell r="L33">
            <v>3476.46</v>
          </cell>
          <cell r="X33">
            <v>546</v>
          </cell>
        </row>
        <row r="51">
          <cell r="L51">
            <v>256944.47999999998</v>
          </cell>
          <cell r="X51">
            <v>126700.08</v>
          </cell>
        </row>
        <row r="68">
          <cell r="L68">
            <v>0</v>
          </cell>
          <cell r="X68">
            <v>0</v>
          </cell>
        </row>
        <row r="85">
          <cell r="L85">
            <v>0</v>
          </cell>
          <cell r="X85">
            <v>0</v>
          </cell>
        </row>
      </sheetData>
      <sheetData sheetId="23"/>
      <sheetData sheetId="24"/>
      <sheetData sheetId="25"/>
      <sheetData sheetId="26"/>
      <sheetData sheetId="27">
        <row r="3">
          <cell r="E3">
            <v>0</v>
          </cell>
        </row>
      </sheetData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/>
      <sheetData sheetId="59"/>
      <sheetData sheetId="60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"/>
      <sheetName val="Revenue"/>
      <sheetName val="Dir_Costs"/>
      <sheetName val="G and A Costs"/>
      <sheetName val="Itemize"/>
      <sheetName val="Cust_Count1"/>
      <sheetName val="Cust_Count2"/>
      <sheetName val="DropBoxPullsbyType "/>
      <sheetName val="Rev_Breakdown"/>
      <sheetName val="TruckHours"/>
      <sheetName val="NoDB_TkHr"/>
      <sheetName val="LaborHours"/>
      <sheetName val="NoDB_LbrHr"/>
      <sheetName val="Container Breakdown"/>
      <sheetName val="Cart Breakdown"/>
      <sheetName val="Gross Yardage Worksheet"/>
      <sheetName val="Tonnage Allocation "/>
      <sheetName val="TONWKSHT"/>
      <sheetName val="TONWKSHT_DropBox"/>
      <sheetName val="PoundsPerReceptacle"/>
      <sheetName val="PrintInstructions"/>
    </sheetNames>
    <sheetDataSet>
      <sheetData sheetId="0"/>
      <sheetData sheetId="1"/>
      <sheetData sheetId="2"/>
      <sheetData sheetId="3"/>
      <sheetData sheetId="4"/>
      <sheetData sheetId="5" refreshError="1">
        <row r="28">
          <cell r="M28">
            <v>403.64620554239997</v>
          </cell>
          <cell r="N28">
            <v>4560.3873359231993</v>
          </cell>
          <cell r="O28" t="e">
            <v>#REF!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>
        <row r="16">
          <cell r="L16">
            <v>7280</v>
          </cell>
        </row>
        <row r="31">
          <cell r="L31">
            <v>3848</v>
          </cell>
        </row>
        <row r="49">
          <cell r="L49">
            <v>249236</v>
          </cell>
        </row>
        <row r="64">
          <cell r="L64">
            <v>0</v>
          </cell>
        </row>
        <row r="82">
          <cell r="L82">
            <v>0</v>
          </cell>
        </row>
        <row r="98">
          <cell r="L98">
            <v>0</v>
          </cell>
        </row>
        <row r="101">
          <cell r="N101">
            <v>260364</v>
          </cell>
        </row>
      </sheetData>
      <sheetData sheetId="16"/>
      <sheetData sheetId="17"/>
      <sheetData sheetId="18"/>
      <sheetData sheetId="19"/>
      <sheetData sheetId="20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Lookups"/>
      <sheetName val="Budget Upload"/>
      <sheetName val="Stats"/>
      <sheetName val="RO Rev"/>
      <sheetName val="Labor Analysis"/>
      <sheetName val="Route Rev"/>
      <sheetName val="Commodities"/>
      <sheetName val="Interject_LastPulledValues"/>
      <sheetName val="Commodity Checker"/>
      <sheetName val="Disposal"/>
      <sheetName val="Auto Calcs Help"/>
      <sheetName val="Fuel "/>
      <sheetName val="G&amp;A Salaries"/>
      <sheetName val="Region Allo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LG Garbage"/>
      <sheetName val=" LG recycle"/>
      <sheetName val="LG Yardwaste"/>
      <sheetName val="LG MF Recycle"/>
      <sheetName val="Proforma"/>
      <sheetName val="matrix"/>
      <sheetName val="COS"/>
      <sheetName val="Price Out-Reg EASTSIDE-Resi"/>
      <sheetName val="Price Out-Comm MSW"/>
      <sheetName val="Price Out-Drop Box"/>
      <sheetName val="Price Out-MF Recycle 200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320"/>
      <sheetName val="#REF"/>
    </sheetNames>
    <sheetDataSet>
      <sheetData sheetId="0" refreshError="1"/>
      <sheetData sheetId="1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Epicor"/>
      <sheetName val="Blank Recon"/>
      <sheetName val="Consolidated"/>
      <sheetName val="2140"/>
      <sheetName val="2150"/>
      <sheetName val="2150 Sales Tax"/>
      <sheetName val="2150 Sales Tax(OLD)"/>
      <sheetName val="2160"/>
      <sheetName val="2160 Sales Tax"/>
      <sheetName val="2140 Sales Tax"/>
      <sheetName val="Sales Tax"/>
      <sheetName val="Sales Tax Report"/>
      <sheetName val="Table for Reporting"/>
      <sheetName val="Sales Tax for DOR input"/>
      <sheetName val="Tax Exempt Mthly"/>
      <sheetName val="Interject_LastPulledValues"/>
      <sheetName val="2140_P&amp;L"/>
      <sheetName val="2150_P&amp;L"/>
      <sheetName val="2160_P&amp;L"/>
      <sheetName val="State &amp;Local Tax JE 2020-08"/>
      <sheetName val="Sheet1"/>
    </sheetNames>
    <sheetDataSet>
      <sheetData sheetId="0">
        <row r="8">
          <cell r="J8" t="str">
            <v>ReconBook</v>
          </cell>
        </row>
        <row r="21">
          <cell r="U21">
            <v>0.1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rrorNote"/>
      <sheetName val="ControlPanel"/>
      <sheetName val="PL_ActReview"/>
      <sheetName val="BS_Close"/>
      <sheetName val="PL_ActTranx"/>
      <sheetName val="JE_Review"/>
      <sheetName val="PL_CloseByDay"/>
      <sheetName val="PL_IS200"/>
      <sheetName val="PL_IS210"/>
      <sheetName val="PL_ActByDistrict"/>
      <sheetName val="PL_ProjReview"/>
    </sheetNames>
    <sheetDataSet>
      <sheetData sheetId="0"/>
      <sheetData sheetId="1" refreshError="1">
        <row r="2">
          <cell r="X2" t="str">
            <v>P&amp;L Close Report</v>
          </cell>
          <cell r="Z2" t="str">
            <v>Consolidated</v>
          </cell>
        </row>
        <row r="3">
          <cell r="Z3" t="str">
            <v>Region</v>
          </cell>
        </row>
        <row r="4">
          <cell r="Z4" t="str">
            <v>District</v>
          </cell>
        </row>
        <row r="5">
          <cell r="Z5" t="str">
            <v>Multiple Districts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trix"/>
      <sheetName val="F-1"/>
      <sheetName val="F-2"/>
      <sheetName val="F-3"/>
      <sheetName val="F-4"/>
      <sheetName val="F-5"/>
      <sheetName val="F-6"/>
      <sheetName val="F-7"/>
      <sheetName val="F-8"/>
      <sheetName val="F-9"/>
      <sheetName val="F-10"/>
      <sheetName val="F-11"/>
      <sheetName val="F-12"/>
      <sheetName val="F-13"/>
      <sheetName val="F-14"/>
      <sheetName val="F-15"/>
      <sheetName val="F-16"/>
      <sheetName val="F-17"/>
      <sheetName val="F-18"/>
      <sheetName val="F-19"/>
      <sheetName val="O-1"/>
      <sheetName val="O-2"/>
      <sheetName val="O-3"/>
      <sheetName val="O-4"/>
      <sheetName val="O-5"/>
      <sheetName val="O-6"/>
      <sheetName val="O-7"/>
      <sheetName val="O-8"/>
      <sheetName val="O-9"/>
      <sheetName val="O-10"/>
      <sheetName val="O-12"/>
      <sheetName val="O-13"/>
      <sheetName val="O-14"/>
      <sheetName val="O-15"/>
      <sheetName val="O-16"/>
      <sheetName val="O-17"/>
      <sheetName val="O-18"/>
      <sheetName val="O-19"/>
      <sheetName val="O-20"/>
      <sheetName val="O-21"/>
      <sheetName val="O-22"/>
      <sheetName val="O-23"/>
      <sheetName val="O-24"/>
      <sheetName val="O-25"/>
      <sheetName val="O-26"/>
      <sheetName val="R-1"/>
      <sheetName val="R-2"/>
      <sheetName val="R-3"/>
      <sheetName val="R-4"/>
      <sheetName val="R-5"/>
      <sheetName val="R-6"/>
      <sheetName val="R-7"/>
      <sheetName val="R-8"/>
      <sheetName val="R-9"/>
      <sheetName val="I-1"/>
      <sheetName val="I-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ookup Tables"/>
      <sheetName val="Data"/>
      <sheetName val="By Division"/>
      <sheetName val="&quot;Invioced&quot;"/>
      <sheetName val="Invoice_Drill"/>
      <sheetName val="PO_Drill"/>
      <sheetName val="District-Division Listing"/>
    </sheetNames>
    <sheetDataSet>
      <sheetData sheetId="0">
        <row r="1">
          <cell r="A1" t="str">
            <v>All</v>
          </cell>
        </row>
        <row r="2">
          <cell r="A2" t="str">
            <v>2008-01</v>
          </cell>
        </row>
        <row r="3">
          <cell r="A3" t="str">
            <v>2008-02</v>
          </cell>
        </row>
        <row r="4">
          <cell r="A4" t="str">
            <v>2008-03</v>
          </cell>
        </row>
        <row r="5">
          <cell r="A5" t="str">
            <v>2008-04</v>
          </cell>
        </row>
        <row r="6">
          <cell r="A6" t="str">
            <v>2008-05</v>
          </cell>
        </row>
        <row r="7">
          <cell r="A7" t="str">
            <v>2008-06</v>
          </cell>
        </row>
        <row r="8">
          <cell r="A8" t="str">
            <v>2008-07</v>
          </cell>
        </row>
        <row r="9">
          <cell r="A9" t="str">
            <v>2008-08</v>
          </cell>
        </row>
        <row r="10">
          <cell r="A10" t="str">
            <v>2008-09</v>
          </cell>
        </row>
        <row r="11">
          <cell r="A11" t="str">
            <v>2008-10</v>
          </cell>
        </row>
        <row r="12">
          <cell r="A12" t="str">
            <v>2008-11</v>
          </cell>
        </row>
        <row r="13">
          <cell r="A13" t="str">
            <v>2008-12</v>
          </cell>
        </row>
      </sheetData>
      <sheetData sheetId="1">
        <row r="3">
          <cell r="E3" t="str">
            <v>Western</v>
          </cell>
        </row>
      </sheetData>
      <sheetData sheetId="2" refreshError="1"/>
      <sheetData sheetId="3" refreshError="1"/>
      <sheetData sheetId="4"/>
      <sheetData sheetId="5" refreshError="1"/>
      <sheetData sheetId="6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ookup Tables"/>
      <sheetName val="Data"/>
      <sheetName val="By Division"/>
      <sheetName val="&quot;Invioced&quot;"/>
      <sheetName val="Invoice_Drill"/>
      <sheetName val="PO_Drill"/>
      <sheetName val="District-Division Listing"/>
    </sheetNames>
    <sheetDataSet>
      <sheetData sheetId="0">
        <row r="1">
          <cell r="A1" t="str">
            <v>All</v>
          </cell>
        </row>
        <row r="2">
          <cell r="A2" t="str">
            <v>2008-01</v>
          </cell>
        </row>
        <row r="3">
          <cell r="A3" t="str">
            <v>2008-02</v>
          </cell>
        </row>
        <row r="4">
          <cell r="A4" t="str">
            <v>2008-03</v>
          </cell>
        </row>
        <row r="5">
          <cell r="A5" t="str">
            <v>2008-04</v>
          </cell>
        </row>
        <row r="6">
          <cell r="A6" t="str">
            <v>2008-05</v>
          </cell>
        </row>
        <row r="7">
          <cell r="A7" t="str">
            <v>2008-06</v>
          </cell>
        </row>
        <row r="8">
          <cell r="A8" t="str">
            <v>2008-07</v>
          </cell>
        </row>
        <row r="9">
          <cell r="A9" t="str">
            <v>2008-08</v>
          </cell>
        </row>
        <row r="10">
          <cell r="A10" t="str">
            <v>2008-09</v>
          </cell>
        </row>
        <row r="11">
          <cell r="A11" t="str">
            <v>2008-10</v>
          </cell>
        </row>
        <row r="12">
          <cell r="A12" t="str">
            <v>2008-11</v>
          </cell>
        </row>
        <row r="13">
          <cell r="A13" t="str">
            <v>2008-12</v>
          </cell>
        </row>
      </sheetData>
      <sheetData sheetId="1">
        <row r="3">
          <cell r="E3" t="str">
            <v>Western</v>
          </cell>
        </row>
      </sheetData>
      <sheetData sheetId="2" refreshError="1"/>
      <sheetData sheetId="3" refreshError="1"/>
      <sheetData sheetId="4"/>
      <sheetData sheetId="5" refreshError="1"/>
      <sheetData sheetId="6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lass A, IS "/>
      <sheetName val="Vashon BS"/>
      <sheetName val="Vashon IS"/>
      <sheetName val="Consolidated IS"/>
      <sheetName val="Restating Adj"/>
      <sheetName val="Prof Adj"/>
      <sheetName val="Price-out"/>
      <sheetName val="LG-Total Comp"/>
      <sheetName val="LG-Packer Rts"/>
      <sheetName val="LG-RO Rts"/>
      <sheetName val="LG-Recycl"/>
      <sheetName val="DF Schedule"/>
      <sheetName val="Depr-Summary"/>
      <sheetName val="2132 Trks"/>
      <sheetName val="2132 Cont, DB"/>
      <sheetName val="2132 Oth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BinderSetup"/>
      <sheetName val="1_Guidelines"/>
      <sheetName val="2_PLTrend"/>
      <sheetName val="3_BudSum"/>
      <sheetName val="4_BudSumByMth"/>
      <sheetName val="5_Capital"/>
      <sheetName val="6_RevenueBridge"/>
      <sheetName val="7_Contracts"/>
      <sheetName val="8_BudSumDetail"/>
      <sheetName val="9_IS210"/>
      <sheetName val="10_BudSumDetailwith$"/>
      <sheetName val="11_BudSum_WO_Ins"/>
      <sheetName val="Region Capital adj."/>
    </sheetNames>
    <sheetDataSet>
      <sheetData sheetId="0">
        <row r="6">
          <cell r="C6" t="str">
            <v>region western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 Sum"/>
      <sheetName val="Cust Count"/>
      <sheetName val="Disposal"/>
      <sheetName val="Taxes &amp; Fees"/>
      <sheetName val="Ton Alloc"/>
      <sheetName val="2011_IS210 170306"/>
      <sheetName val="Sorted Master"/>
      <sheetName val="EBITDA by Area"/>
      <sheetName val="Vital Metrics"/>
      <sheetName val="Gresham"/>
      <sheetName val="Clackamas Rural"/>
      <sheetName val="Clackamas Dist Rural"/>
      <sheetName val="PDX Arrow"/>
      <sheetName val="All Areas"/>
      <sheetName val="Interject_LastPulledValues"/>
      <sheetName val="Debt"/>
      <sheetName val="Capex"/>
      <sheetName val="3rd Party Disposal-39"/>
      <sheetName val="TRF Disposal-39"/>
      <sheetName val="Interco Disposal-39"/>
      <sheetName val="Rent-43"/>
      <sheetName val="Co Op &amp; Sub-54"/>
      <sheetName val="Advertising-69"/>
      <sheetName val="Dues-78"/>
      <sheetName val="Contributions-70"/>
      <sheetName val="Prof Fees-71"/>
      <sheetName val="Misc Exp-86"/>
      <sheetName val="Travel-87"/>
      <sheetName val="Shop Allocation"/>
      <sheetName val="Mgmt Reclasses"/>
      <sheetName val="Proceeds- 35518"/>
      <sheetName val="Estacada-not used"/>
    </sheetNames>
    <sheetDataSet>
      <sheetData sheetId="0"/>
      <sheetData sheetId="1"/>
      <sheetData sheetId="2"/>
      <sheetData sheetId="3"/>
      <sheetData sheetId="4"/>
      <sheetData sheetId="5"/>
      <sheetData sheetId="6">
        <row r="8">
          <cell r="Z8">
            <v>22770.134694115299</v>
          </cell>
          <cell r="AD8">
            <v>16658.304514730477</v>
          </cell>
        </row>
        <row r="9">
          <cell r="K9">
            <v>78561.19</v>
          </cell>
          <cell r="Z9">
            <v>1372.6699999999998</v>
          </cell>
        </row>
      </sheetData>
      <sheetData sheetId="7"/>
      <sheetData sheetId="8"/>
      <sheetData sheetId="9">
        <row r="12">
          <cell r="E12" t="str">
            <v>Rate Code</v>
          </cell>
          <cell r="F12" t="str">
            <v>Base</v>
          </cell>
          <cell r="G12" t="str">
            <v>Franchise Percent of Total Company</v>
          </cell>
          <cell r="H12" t="str">
            <v>Reverse Mt View Sanitary</v>
          </cell>
          <cell r="I12" t="str">
            <v xml:space="preserve">Adjust In/Out </v>
          </cell>
          <cell r="J12" t="str">
            <v>Same Line Reclass</v>
          </cell>
          <cell r="K12">
            <v>0</v>
          </cell>
          <cell r="L12" t="str">
            <v>Base Allocation</v>
          </cell>
          <cell r="M12" t="str">
            <v>Adjust</v>
          </cell>
          <cell r="N12" t="str">
            <v>Descrip</v>
          </cell>
          <cell r="O12" t="str">
            <v>Res SW Adjusted</v>
          </cell>
          <cell r="P12" t="str">
            <v>Base Allocation</v>
          </cell>
          <cell r="Q12" t="str">
            <v>Adjust</v>
          </cell>
          <cell r="R12" t="str">
            <v>Descrip</v>
          </cell>
          <cell r="S12" t="str">
            <v>FEL SW Adjusted</v>
          </cell>
          <cell r="T12" t="str">
            <v>Base Allocation</v>
          </cell>
          <cell r="U12" t="str">
            <v>Adjust</v>
          </cell>
          <cell r="V12" t="str">
            <v>Descrip</v>
          </cell>
          <cell r="W12" t="str">
            <v>Res Rec Adjusted</v>
          </cell>
          <cell r="X12" t="str">
            <v>Base Allocation</v>
          </cell>
          <cell r="Y12" t="str">
            <v>Adjust</v>
          </cell>
          <cell r="Z12" t="str">
            <v>Descrip</v>
          </cell>
          <cell r="AA12" t="str">
            <v>Com Rec Adjusted</v>
          </cell>
          <cell r="AB12" t="str">
            <v>Base Allocation</v>
          </cell>
          <cell r="AC12" t="str">
            <v>Adjust</v>
          </cell>
          <cell r="AD12" t="str">
            <v>Descrip</v>
          </cell>
          <cell r="AE12" t="str">
            <v>Debris Adjusted</v>
          </cell>
          <cell r="AF12" t="str">
            <v>Base Allocation</v>
          </cell>
          <cell r="AG12" t="str">
            <v>Adjust</v>
          </cell>
          <cell r="AH12" t="str">
            <v>Descrip</v>
          </cell>
          <cell r="AI12" t="str">
            <v>Drop Box Adjusted</v>
          </cell>
        </row>
        <row r="13">
          <cell r="E13">
            <v>18</v>
          </cell>
          <cell r="F13" t="str">
            <v>ACT</v>
          </cell>
          <cell r="G13">
            <v>3.7309466339435216E-2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132534.08000000002</v>
          </cell>
          <cell r="AH13">
            <v>0</v>
          </cell>
          <cell r="AI13">
            <v>132534.08000000002</v>
          </cell>
        </row>
        <row r="14">
          <cell r="E14">
            <v>18</v>
          </cell>
          <cell r="F14" t="str">
            <v>ACT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</row>
        <row r="15">
          <cell r="E15">
            <v>18</v>
          </cell>
          <cell r="F15" t="str">
            <v>ACT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</row>
        <row r="16">
          <cell r="E16">
            <v>18</v>
          </cell>
          <cell r="F16" t="str">
            <v>ACT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</row>
        <row r="17">
          <cell r="E17">
            <v>18</v>
          </cell>
          <cell r="F17" t="str">
            <v>ACT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</row>
        <row r="18">
          <cell r="E18">
            <v>18</v>
          </cell>
          <cell r="F18" t="str">
            <v>ACT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</row>
        <row r="19">
          <cell r="E19">
            <v>18</v>
          </cell>
          <cell r="F19" t="str">
            <v>ACT</v>
          </cell>
          <cell r="G19">
            <v>0.18043182976003175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1853120.12</v>
          </cell>
          <cell r="N19" t="str">
            <v>Res Can</v>
          </cell>
          <cell r="O19">
            <v>1853120.12</v>
          </cell>
          <cell r="P19">
            <v>0</v>
          </cell>
          <cell r="Q19">
            <v>27865.999999999996</v>
          </cell>
          <cell r="R19" t="str">
            <v>Res Cont</v>
          </cell>
          <cell r="S19">
            <v>27865.999999999996</v>
          </cell>
          <cell r="T19">
            <v>0</v>
          </cell>
          <cell r="U19">
            <v>1448.5700000000002</v>
          </cell>
          <cell r="V19" t="str">
            <v>Res Rec Can</v>
          </cell>
          <cell r="W19">
            <v>1448.5700000000002</v>
          </cell>
          <cell r="X19">
            <v>0</v>
          </cell>
          <cell r="Y19">
            <v>537.6</v>
          </cell>
          <cell r="Z19" t="str">
            <v>Comm Rec Can</v>
          </cell>
          <cell r="AA19">
            <v>537.6</v>
          </cell>
          <cell r="AB19">
            <v>0</v>
          </cell>
          <cell r="AC19">
            <v>5464.8999999999987</v>
          </cell>
          <cell r="AD19" t="str">
            <v>Res Can</v>
          </cell>
          <cell r="AE19">
            <v>5464.8999999999987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</row>
        <row r="20">
          <cell r="E20">
            <v>18</v>
          </cell>
          <cell r="F20" t="str">
            <v>ACT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10975.320000000002</v>
          </cell>
          <cell r="AD20" t="str">
            <v>Comm Can</v>
          </cell>
          <cell r="AE20">
            <v>10975.320000000002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</row>
        <row r="21">
          <cell r="E21">
            <v>18</v>
          </cell>
          <cell r="F21" t="str">
            <v>ACT</v>
          </cell>
          <cell r="G21">
            <v>7.9848082741454565E-2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57863.759999999995</v>
          </cell>
          <cell r="N21" t="str">
            <v>Comm Can</v>
          </cell>
          <cell r="O21">
            <v>57863.759999999995</v>
          </cell>
          <cell r="P21">
            <v>0</v>
          </cell>
          <cell r="Q21">
            <v>617570.07999999984</v>
          </cell>
          <cell r="R21" t="str">
            <v>Comm Cont</v>
          </cell>
          <cell r="S21">
            <v>617570.07999999984</v>
          </cell>
          <cell r="T21">
            <v>0</v>
          </cell>
          <cell r="U21">
            <v>0</v>
          </cell>
          <cell r="V21" t="str">
            <v>Res Rec Cont</v>
          </cell>
          <cell r="W21">
            <v>0</v>
          </cell>
          <cell r="X21">
            <v>0</v>
          </cell>
          <cell r="Y21">
            <v>5536.83</v>
          </cell>
          <cell r="Z21" t="str">
            <v>Comm Rec Cont</v>
          </cell>
          <cell r="AA21">
            <v>5536.83</v>
          </cell>
          <cell r="AB21">
            <v>0</v>
          </cell>
          <cell r="AC21">
            <v>1230.4000000000001</v>
          </cell>
          <cell r="AD21" t="str">
            <v>Comm Cont</v>
          </cell>
          <cell r="AE21">
            <v>1230.4000000000001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</row>
        <row r="22">
          <cell r="E22">
            <v>18</v>
          </cell>
          <cell r="F22" t="str">
            <v>ACT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1602.7800000000002</v>
          </cell>
          <cell r="Z22" t="str">
            <v>Food Cont</v>
          </cell>
          <cell r="AA22">
            <v>1602.7800000000002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</row>
        <row r="23">
          <cell r="E23">
            <v>18</v>
          </cell>
          <cell r="F23" t="str">
            <v>ACT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  <cell r="T23">
            <v>0</v>
          </cell>
          <cell r="U23">
            <v>0</v>
          </cell>
          <cell r="W23">
            <v>0</v>
          </cell>
          <cell r="X23">
            <v>0</v>
          </cell>
          <cell r="Y23">
            <v>3007.32</v>
          </cell>
          <cell r="Z23" t="str">
            <v>Food Can</v>
          </cell>
          <cell r="AA23">
            <v>3007.32</v>
          </cell>
          <cell r="AB23">
            <v>0</v>
          </cell>
          <cell r="AE23">
            <v>0</v>
          </cell>
          <cell r="AF23">
            <v>0</v>
          </cell>
          <cell r="AG23">
            <v>0</v>
          </cell>
          <cell r="AI23">
            <v>0</v>
          </cell>
        </row>
        <row r="24">
          <cell r="E24">
            <v>19</v>
          </cell>
          <cell r="F24" t="str">
            <v>ACT</v>
          </cell>
          <cell r="G24">
            <v>1.3062872838081262E-2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O24">
            <v>0</v>
          </cell>
          <cell r="P24">
            <v>0</v>
          </cell>
          <cell r="S24">
            <v>0</v>
          </cell>
          <cell r="T24">
            <v>0</v>
          </cell>
          <cell r="U24">
            <v>10336.727432729604</v>
          </cell>
          <cell r="W24">
            <v>10336.727432729604</v>
          </cell>
          <cell r="X24">
            <v>0</v>
          </cell>
          <cell r="Y24">
            <v>120.21500674709182</v>
          </cell>
          <cell r="AA24">
            <v>120.21500674709182</v>
          </cell>
          <cell r="AB24">
            <v>0</v>
          </cell>
          <cell r="AC24">
            <v>0</v>
          </cell>
          <cell r="AE24">
            <v>0</v>
          </cell>
          <cell r="AF24">
            <v>0</v>
          </cell>
          <cell r="AG24">
            <v>0</v>
          </cell>
          <cell r="AI24">
            <v>0</v>
          </cell>
        </row>
        <row r="25">
          <cell r="E25">
            <v>19</v>
          </cell>
          <cell r="F25" t="str">
            <v>ACT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O25">
            <v>0</v>
          </cell>
          <cell r="P25">
            <v>0</v>
          </cell>
          <cell r="S25">
            <v>0</v>
          </cell>
          <cell r="T25">
            <v>0</v>
          </cell>
          <cell r="U25">
            <v>0</v>
          </cell>
          <cell r="W25">
            <v>0</v>
          </cell>
          <cell r="X25">
            <v>0</v>
          </cell>
          <cell r="Y25">
            <v>0</v>
          </cell>
          <cell r="AA25">
            <v>0</v>
          </cell>
          <cell r="AB25">
            <v>0</v>
          </cell>
          <cell r="AE25">
            <v>0</v>
          </cell>
          <cell r="AF25">
            <v>0</v>
          </cell>
          <cell r="AG25">
            <v>0</v>
          </cell>
          <cell r="AI25">
            <v>0</v>
          </cell>
        </row>
        <row r="26">
          <cell r="E26">
            <v>19</v>
          </cell>
          <cell r="F26" t="str">
            <v>ACT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O26">
            <v>0</v>
          </cell>
          <cell r="P26">
            <v>0</v>
          </cell>
          <cell r="S26">
            <v>0</v>
          </cell>
          <cell r="T26">
            <v>0</v>
          </cell>
          <cell r="U26">
            <v>0</v>
          </cell>
          <cell r="W26">
            <v>0</v>
          </cell>
          <cell r="X26">
            <v>0</v>
          </cell>
          <cell r="Y26">
            <v>0</v>
          </cell>
          <cell r="AA26">
            <v>0</v>
          </cell>
          <cell r="AB26">
            <v>0</v>
          </cell>
          <cell r="AE26">
            <v>0</v>
          </cell>
          <cell r="AF26">
            <v>0</v>
          </cell>
          <cell r="AG26">
            <v>0</v>
          </cell>
          <cell r="AI26">
            <v>0</v>
          </cell>
        </row>
        <row r="27">
          <cell r="E27">
            <v>19</v>
          </cell>
          <cell r="F27" t="str">
            <v>ACT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O27">
            <v>0</v>
          </cell>
          <cell r="P27">
            <v>0</v>
          </cell>
          <cell r="S27">
            <v>0</v>
          </cell>
          <cell r="T27">
            <v>0</v>
          </cell>
          <cell r="U27">
            <v>0</v>
          </cell>
          <cell r="W27">
            <v>0</v>
          </cell>
          <cell r="X27">
            <v>0</v>
          </cell>
          <cell r="Y27">
            <v>0</v>
          </cell>
          <cell r="AA27">
            <v>0</v>
          </cell>
          <cell r="AB27">
            <v>0</v>
          </cell>
          <cell r="AE27">
            <v>0</v>
          </cell>
          <cell r="AF27">
            <v>0</v>
          </cell>
          <cell r="AG27">
            <v>0</v>
          </cell>
          <cell r="AI27">
            <v>0</v>
          </cell>
        </row>
        <row r="28">
          <cell r="E28">
            <v>19</v>
          </cell>
          <cell r="F28" t="str">
            <v>ACT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O28">
            <v>0</v>
          </cell>
          <cell r="P28">
            <v>0</v>
          </cell>
          <cell r="S28">
            <v>0</v>
          </cell>
          <cell r="T28">
            <v>0</v>
          </cell>
          <cell r="U28">
            <v>0</v>
          </cell>
          <cell r="W28">
            <v>0</v>
          </cell>
          <cell r="X28">
            <v>0</v>
          </cell>
          <cell r="Y28">
            <v>0</v>
          </cell>
          <cell r="AA28">
            <v>0</v>
          </cell>
          <cell r="AB28">
            <v>0</v>
          </cell>
          <cell r="AE28">
            <v>0</v>
          </cell>
          <cell r="AF28">
            <v>0</v>
          </cell>
          <cell r="AG28">
            <v>0</v>
          </cell>
          <cell r="AI28">
            <v>0</v>
          </cell>
        </row>
        <row r="29">
          <cell r="E29">
            <v>19</v>
          </cell>
          <cell r="F29" t="str">
            <v>ACT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O29">
            <v>0</v>
          </cell>
          <cell r="P29">
            <v>0</v>
          </cell>
          <cell r="S29">
            <v>0</v>
          </cell>
          <cell r="T29">
            <v>0</v>
          </cell>
          <cell r="U29">
            <v>0</v>
          </cell>
          <cell r="W29">
            <v>0</v>
          </cell>
          <cell r="X29">
            <v>0</v>
          </cell>
          <cell r="Y29">
            <v>0</v>
          </cell>
          <cell r="AA29">
            <v>0</v>
          </cell>
          <cell r="AB29">
            <v>0</v>
          </cell>
          <cell r="AE29">
            <v>0</v>
          </cell>
          <cell r="AF29">
            <v>0</v>
          </cell>
          <cell r="AG29">
            <v>0</v>
          </cell>
          <cell r="AI29">
            <v>0</v>
          </cell>
        </row>
        <row r="30">
          <cell r="E30">
            <v>19</v>
          </cell>
          <cell r="F30" t="str">
            <v>ACT</v>
          </cell>
          <cell r="G30">
            <v>0</v>
          </cell>
          <cell r="H30">
            <v>0</v>
          </cell>
          <cell r="I30">
            <v>0</v>
          </cell>
          <cell r="K30">
            <v>0</v>
          </cell>
          <cell r="L30">
            <v>0</v>
          </cell>
          <cell r="O30">
            <v>0</v>
          </cell>
          <cell r="P30">
            <v>0</v>
          </cell>
          <cell r="S30">
            <v>0</v>
          </cell>
          <cell r="T30">
            <v>0</v>
          </cell>
          <cell r="U30">
            <v>0</v>
          </cell>
          <cell r="W30">
            <v>0</v>
          </cell>
          <cell r="X30">
            <v>0</v>
          </cell>
          <cell r="AA30">
            <v>0</v>
          </cell>
          <cell r="AB30">
            <v>0</v>
          </cell>
          <cell r="AE30">
            <v>0</v>
          </cell>
          <cell r="AF30">
            <v>0</v>
          </cell>
          <cell r="AI30">
            <v>0</v>
          </cell>
        </row>
        <row r="31">
          <cell r="E31">
            <v>19</v>
          </cell>
          <cell r="F31" t="str">
            <v>ACT</v>
          </cell>
          <cell r="G31">
            <v>0</v>
          </cell>
          <cell r="H31">
            <v>0</v>
          </cell>
          <cell r="I31">
            <v>0</v>
          </cell>
          <cell r="K31">
            <v>0</v>
          </cell>
          <cell r="L31">
            <v>0</v>
          </cell>
          <cell r="O31">
            <v>0</v>
          </cell>
          <cell r="P31">
            <v>0</v>
          </cell>
          <cell r="S31">
            <v>0</v>
          </cell>
          <cell r="T31">
            <v>0</v>
          </cell>
          <cell r="U31">
            <v>0</v>
          </cell>
          <cell r="W31">
            <v>0</v>
          </cell>
          <cell r="X31">
            <v>0</v>
          </cell>
          <cell r="AA31">
            <v>0</v>
          </cell>
          <cell r="AB31">
            <v>0</v>
          </cell>
          <cell r="AE31">
            <v>0</v>
          </cell>
          <cell r="AF31">
            <v>0</v>
          </cell>
          <cell r="AI31">
            <v>0</v>
          </cell>
        </row>
        <row r="32">
          <cell r="E32">
            <v>19</v>
          </cell>
          <cell r="F32" t="str">
            <v>ACT</v>
          </cell>
          <cell r="G32">
            <v>0</v>
          </cell>
          <cell r="H32">
            <v>0</v>
          </cell>
          <cell r="I32">
            <v>0</v>
          </cell>
          <cell r="K32">
            <v>0</v>
          </cell>
          <cell r="L32">
            <v>0</v>
          </cell>
          <cell r="O32">
            <v>0</v>
          </cell>
          <cell r="P32">
            <v>0</v>
          </cell>
          <cell r="S32">
            <v>0</v>
          </cell>
          <cell r="T32">
            <v>0</v>
          </cell>
          <cell r="U32">
            <v>0</v>
          </cell>
          <cell r="W32">
            <v>0</v>
          </cell>
          <cell r="X32">
            <v>0</v>
          </cell>
          <cell r="AA32">
            <v>0</v>
          </cell>
          <cell r="AB32">
            <v>0</v>
          </cell>
          <cell r="AE32">
            <v>0</v>
          </cell>
          <cell r="AF32">
            <v>0</v>
          </cell>
          <cell r="AI32">
            <v>0</v>
          </cell>
        </row>
        <row r="33">
          <cell r="E33">
            <v>19</v>
          </cell>
          <cell r="F33" t="str">
            <v>ACT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O33">
            <v>0</v>
          </cell>
          <cell r="P33">
            <v>0</v>
          </cell>
          <cell r="S33">
            <v>0</v>
          </cell>
          <cell r="T33">
            <v>0</v>
          </cell>
          <cell r="U33">
            <v>0</v>
          </cell>
          <cell r="W33">
            <v>0</v>
          </cell>
          <cell r="X33">
            <v>0</v>
          </cell>
          <cell r="Y33">
            <v>0</v>
          </cell>
          <cell r="AA33">
            <v>0</v>
          </cell>
          <cell r="AB33">
            <v>0</v>
          </cell>
          <cell r="AE33">
            <v>0</v>
          </cell>
          <cell r="AF33">
            <v>0</v>
          </cell>
          <cell r="AG33">
            <v>0</v>
          </cell>
          <cell r="AI33">
            <v>0</v>
          </cell>
        </row>
        <row r="34">
          <cell r="E34">
            <v>20</v>
          </cell>
          <cell r="F34" t="str">
            <v>ACT</v>
          </cell>
          <cell r="G34">
            <v>0</v>
          </cell>
          <cell r="H34">
            <v>0</v>
          </cell>
          <cell r="I34">
            <v>0</v>
          </cell>
          <cell r="K34">
            <v>0</v>
          </cell>
          <cell r="L34">
            <v>0</v>
          </cell>
          <cell r="O34">
            <v>0</v>
          </cell>
          <cell r="P34">
            <v>0</v>
          </cell>
          <cell r="S34">
            <v>0</v>
          </cell>
          <cell r="T34">
            <v>0</v>
          </cell>
          <cell r="W34">
            <v>0</v>
          </cell>
          <cell r="X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I34">
            <v>0</v>
          </cell>
        </row>
        <row r="35">
          <cell r="E35">
            <v>20</v>
          </cell>
          <cell r="F35" t="str">
            <v>REV</v>
          </cell>
          <cell r="G35">
            <v>0.12050036179656672</v>
          </cell>
          <cell r="H35">
            <v>0</v>
          </cell>
          <cell r="I35">
            <v>0</v>
          </cell>
          <cell r="K35">
            <v>0</v>
          </cell>
          <cell r="L35">
            <v>669.859631661192</v>
          </cell>
          <cell r="O35">
            <v>669.859631661192</v>
          </cell>
          <cell r="P35">
            <v>226.2455373562039</v>
          </cell>
          <cell r="S35">
            <v>226.2455373562039</v>
          </cell>
          <cell r="T35">
            <v>0.50776910092797478</v>
          </cell>
          <cell r="W35">
            <v>0.50776910092797478</v>
          </cell>
          <cell r="X35">
            <v>3.7452620114581792</v>
          </cell>
          <cell r="AA35">
            <v>3.7452620114581792</v>
          </cell>
          <cell r="AB35">
            <v>6.1941051038195543</v>
          </cell>
          <cell r="AC35">
            <v>0</v>
          </cell>
          <cell r="AD35">
            <v>0</v>
          </cell>
          <cell r="AE35">
            <v>6.1941051038195543</v>
          </cell>
          <cell r="AF35">
            <v>46.457341132231299</v>
          </cell>
          <cell r="AI35">
            <v>46.457341132231299</v>
          </cell>
        </row>
        <row r="36">
          <cell r="E36">
            <v>20</v>
          </cell>
          <cell r="F36" t="str">
            <v>REV</v>
          </cell>
          <cell r="G36">
            <v>0.12050036179656672</v>
          </cell>
          <cell r="H36">
            <v>0</v>
          </cell>
          <cell r="I36">
            <v>0</v>
          </cell>
          <cell r="K36">
            <v>0</v>
          </cell>
          <cell r="L36">
            <v>4496.2719671540799</v>
          </cell>
          <cell r="O36">
            <v>4496.2719671540799</v>
          </cell>
          <cell r="P36">
            <v>1518.6188556932343</v>
          </cell>
          <cell r="S36">
            <v>1518.6188556932343</v>
          </cell>
          <cell r="T36">
            <v>3.4082781919962537</v>
          </cell>
          <cell r="W36">
            <v>3.4082781919962537</v>
          </cell>
          <cell r="X36">
            <v>25.139172142685357</v>
          </cell>
          <cell r="AA36">
            <v>25.139172142685357</v>
          </cell>
          <cell r="AB36">
            <v>41.576443516746068</v>
          </cell>
          <cell r="AC36">
            <v>0</v>
          </cell>
          <cell r="AD36">
            <v>0</v>
          </cell>
          <cell r="AE36">
            <v>41.576443516746068</v>
          </cell>
          <cell r="AF36">
            <v>311.8337495324954</v>
          </cell>
          <cell r="AI36">
            <v>311.8337495324954</v>
          </cell>
        </row>
        <row r="37">
          <cell r="E37">
            <v>20</v>
          </cell>
          <cell r="F37" t="str">
            <v>REV</v>
          </cell>
          <cell r="G37">
            <v>0.1205003617965667</v>
          </cell>
          <cell r="H37">
            <v>0</v>
          </cell>
          <cell r="I37">
            <v>0</v>
          </cell>
          <cell r="K37">
            <v>0</v>
          </cell>
          <cell r="L37">
            <v>48.701541226408828</v>
          </cell>
          <cell r="O37">
            <v>48.701541226408828</v>
          </cell>
          <cell r="P37">
            <v>16.44897803069469</v>
          </cell>
          <cell r="S37">
            <v>16.44897803069469</v>
          </cell>
          <cell r="T37">
            <v>3.6916895172521835E-2</v>
          </cell>
          <cell r="W37">
            <v>3.6916895172521835E-2</v>
          </cell>
          <cell r="X37">
            <v>0.27229590145982913</v>
          </cell>
          <cell r="AA37">
            <v>0.27229590145982913</v>
          </cell>
          <cell r="AB37">
            <v>0.45033683299631211</v>
          </cell>
          <cell r="AC37">
            <v>0</v>
          </cell>
          <cell r="AD37">
            <v>0</v>
          </cell>
          <cell r="AE37">
            <v>0.45033683299631211</v>
          </cell>
          <cell r="AF37">
            <v>3.3776391462936703</v>
          </cell>
          <cell r="AI37">
            <v>3.3776391462936703</v>
          </cell>
        </row>
        <row r="38">
          <cell r="E38">
            <v>20</v>
          </cell>
          <cell r="F38" t="str">
            <v>REV</v>
          </cell>
          <cell r="G38">
            <v>0</v>
          </cell>
          <cell r="H38">
            <v>0</v>
          </cell>
          <cell r="I38">
            <v>0</v>
          </cell>
          <cell r="K38">
            <v>0</v>
          </cell>
          <cell r="L38">
            <v>0</v>
          </cell>
          <cell r="O38">
            <v>0</v>
          </cell>
          <cell r="P38">
            <v>0</v>
          </cell>
          <cell r="S38">
            <v>0</v>
          </cell>
          <cell r="T38">
            <v>0</v>
          </cell>
          <cell r="W38">
            <v>0</v>
          </cell>
          <cell r="X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I38">
            <v>0</v>
          </cell>
        </row>
        <row r="39">
          <cell r="E39">
            <v>20</v>
          </cell>
          <cell r="F39" t="str">
            <v>REV</v>
          </cell>
          <cell r="G39">
            <v>0</v>
          </cell>
          <cell r="H39">
            <v>0</v>
          </cell>
          <cell r="I39">
            <v>0</v>
          </cell>
          <cell r="K39">
            <v>0</v>
          </cell>
          <cell r="L39">
            <v>0</v>
          </cell>
          <cell r="O39">
            <v>0</v>
          </cell>
          <cell r="P39">
            <v>0</v>
          </cell>
          <cell r="S39">
            <v>0</v>
          </cell>
          <cell r="T39">
            <v>0</v>
          </cell>
          <cell r="W39">
            <v>0</v>
          </cell>
          <cell r="X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I39">
            <v>0</v>
          </cell>
        </row>
        <row r="40"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K40">
            <v>0</v>
          </cell>
          <cell r="L40">
            <v>0</v>
          </cell>
          <cell r="O40">
            <v>0</v>
          </cell>
          <cell r="P40">
            <v>0</v>
          </cell>
          <cell r="S40">
            <v>0</v>
          </cell>
          <cell r="T40">
            <v>0</v>
          </cell>
          <cell r="W40">
            <v>0</v>
          </cell>
          <cell r="X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I40">
            <v>0</v>
          </cell>
        </row>
        <row r="41">
          <cell r="E41">
            <v>0</v>
          </cell>
          <cell r="F41">
            <v>0</v>
          </cell>
          <cell r="G41">
            <v>0.11682876518931071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5214.833140041681</v>
          </cell>
          <cell r="M41">
            <v>1910983.8800000001</v>
          </cell>
          <cell r="N41">
            <v>0</v>
          </cell>
          <cell r="O41">
            <v>1916198.7131400416</v>
          </cell>
          <cell r="P41">
            <v>1761.3133710801328</v>
          </cell>
          <cell r="Q41">
            <v>645436.07999999984</v>
          </cell>
          <cell r="R41">
            <v>0</v>
          </cell>
          <cell r="S41">
            <v>647197.39337108005</v>
          </cell>
          <cell r="T41">
            <v>3.9529641880967503</v>
          </cell>
          <cell r="U41">
            <v>11785.297432729603</v>
          </cell>
          <cell r="V41">
            <v>0</v>
          </cell>
          <cell r="W41">
            <v>11789.250396917701</v>
          </cell>
          <cell r="X41">
            <v>29.156730055603365</v>
          </cell>
          <cell r="Y41">
            <v>10804.745006747093</v>
          </cell>
          <cell r="Z41">
            <v>0</v>
          </cell>
          <cell r="AA41">
            <v>10833.901736802696</v>
          </cell>
          <cell r="AB41">
            <v>48.220885453561934</v>
          </cell>
          <cell r="AC41">
            <v>17670.620000000003</v>
          </cell>
          <cell r="AD41">
            <v>0</v>
          </cell>
          <cell r="AE41">
            <v>17718.840885453566</v>
          </cell>
          <cell r="AF41">
            <v>361.6687298110204</v>
          </cell>
          <cell r="AG41">
            <v>132534.08000000002</v>
          </cell>
          <cell r="AH41">
            <v>0</v>
          </cell>
          <cell r="AI41">
            <v>132895.74872981102</v>
          </cell>
        </row>
        <row r="42"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K42">
            <v>0</v>
          </cell>
        </row>
        <row r="43"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M45" t="str">
            <v>NEED TO CHECK PERCENTS AGAINST THE BLACK BOX!</v>
          </cell>
          <cell r="N45">
            <v>0</v>
          </cell>
          <cell r="O45">
            <v>0</v>
          </cell>
          <cell r="P45">
            <v>0</v>
          </cell>
          <cell r="Q45" t="str">
            <v>NEED TO CHECK PERCENTS AGAINST THE BLACK BOX!</v>
          </cell>
        </row>
        <row r="46">
          <cell r="E46">
            <v>39</v>
          </cell>
          <cell r="F46" t="str">
            <v>Act</v>
          </cell>
          <cell r="G46">
            <v>9.5772165128849479E-2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295020.6315689031</v>
          </cell>
          <cell r="N46">
            <v>0</v>
          </cell>
          <cell r="O46">
            <v>295020.6315689031</v>
          </cell>
          <cell r="P46">
            <v>0</v>
          </cell>
          <cell r="Q46">
            <v>263307.58865990676</v>
          </cell>
          <cell r="S46">
            <v>263307.58865990676</v>
          </cell>
          <cell r="T46">
            <v>0</v>
          </cell>
          <cell r="W46">
            <v>0</v>
          </cell>
          <cell r="X46">
            <v>0</v>
          </cell>
          <cell r="Y46">
            <v>3874.1574784596964</v>
          </cell>
          <cell r="Z46" t="str">
            <v>Food Waste</v>
          </cell>
          <cell r="AA46">
            <v>3874.1574784596964</v>
          </cell>
          <cell r="AB46">
            <v>0</v>
          </cell>
          <cell r="AC46">
            <v>55800.366266949328</v>
          </cell>
          <cell r="AD46" t="str">
            <v>Yard Deb</v>
          </cell>
          <cell r="AE46">
            <v>55800.366266949328</v>
          </cell>
          <cell r="AF46">
            <v>0</v>
          </cell>
          <cell r="AG46">
            <v>73418.010941884408</v>
          </cell>
          <cell r="AI46">
            <v>73418.010941884408</v>
          </cell>
        </row>
        <row r="47">
          <cell r="E47">
            <v>39</v>
          </cell>
          <cell r="F47" t="str">
            <v>Act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  <cell r="T47">
            <v>0</v>
          </cell>
          <cell r="W47">
            <v>0</v>
          </cell>
          <cell r="X47">
            <v>0</v>
          </cell>
          <cell r="AA47">
            <v>0</v>
          </cell>
          <cell r="AB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I47">
            <v>0</v>
          </cell>
        </row>
        <row r="48">
          <cell r="E48">
            <v>54</v>
          </cell>
          <cell r="F48" t="str">
            <v>Act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  <cell r="T48">
            <v>0</v>
          </cell>
          <cell r="W48">
            <v>0</v>
          </cell>
          <cell r="X48">
            <v>0</v>
          </cell>
          <cell r="AA48">
            <v>0</v>
          </cell>
          <cell r="AB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I48">
            <v>0</v>
          </cell>
        </row>
        <row r="49">
          <cell r="E49">
            <v>39</v>
          </cell>
          <cell r="F49" t="str">
            <v>Act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S49">
            <v>0</v>
          </cell>
          <cell r="T49">
            <v>0</v>
          </cell>
          <cell r="W49">
            <v>0</v>
          </cell>
          <cell r="X49">
            <v>0</v>
          </cell>
          <cell r="AA49">
            <v>0</v>
          </cell>
          <cell r="AB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I49">
            <v>0</v>
          </cell>
        </row>
        <row r="50">
          <cell r="E50">
            <v>39</v>
          </cell>
          <cell r="F50" t="str">
            <v>Act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  <cell r="T50">
            <v>0</v>
          </cell>
          <cell r="W50">
            <v>0</v>
          </cell>
          <cell r="X50">
            <v>0</v>
          </cell>
          <cell r="AA50">
            <v>0</v>
          </cell>
          <cell r="AB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I50">
            <v>0</v>
          </cell>
        </row>
        <row r="51">
          <cell r="E51">
            <v>54</v>
          </cell>
          <cell r="F51" t="str">
            <v>Act</v>
          </cell>
          <cell r="G51">
            <v>0</v>
          </cell>
          <cell r="H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S51">
            <v>0</v>
          </cell>
          <cell r="T51">
            <v>0</v>
          </cell>
          <cell r="W51">
            <v>0</v>
          </cell>
          <cell r="X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I51">
            <v>0</v>
          </cell>
        </row>
        <row r="52">
          <cell r="E52">
            <v>54</v>
          </cell>
          <cell r="F52" t="str">
            <v>Act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O52">
            <v>0</v>
          </cell>
          <cell r="P52">
            <v>0</v>
          </cell>
          <cell r="S52">
            <v>0</v>
          </cell>
          <cell r="T52">
            <v>0</v>
          </cell>
          <cell r="U52">
            <v>0</v>
          </cell>
          <cell r="W52">
            <v>0</v>
          </cell>
          <cell r="X52">
            <v>0</v>
          </cell>
          <cell r="Y52">
            <v>0</v>
          </cell>
          <cell r="AA52">
            <v>0</v>
          </cell>
          <cell r="AB52">
            <v>0</v>
          </cell>
          <cell r="AE52">
            <v>0</v>
          </cell>
          <cell r="AF52">
            <v>0</v>
          </cell>
          <cell r="AG52">
            <v>0</v>
          </cell>
          <cell r="AI52">
            <v>0</v>
          </cell>
        </row>
        <row r="53">
          <cell r="E53">
            <v>48</v>
          </cell>
          <cell r="F53" t="str">
            <v>Act</v>
          </cell>
          <cell r="G53">
            <v>0.21335384186549883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164934.89010562061</v>
          </cell>
          <cell r="O53">
            <v>164934.89010562061</v>
          </cell>
          <cell r="P53">
            <v>0</v>
          </cell>
          <cell r="Q53">
            <v>60225.333011235838</v>
          </cell>
          <cell r="R53">
            <v>0</v>
          </cell>
          <cell r="S53">
            <v>60225.333011235838</v>
          </cell>
          <cell r="T53">
            <v>0</v>
          </cell>
          <cell r="U53">
            <v>0</v>
          </cell>
          <cell r="W53">
            <v>0</v>
          </cell>
          <cell r="X53">
            <v>0</v>
          </cell>
          <cell r="AA53">
            <v>0</v>
          </cell>
          <cell r="AB53">
            <v>0</v>
          </cell>
          <cell r="AC53">
            <v>0</v>
          </cell>
          <cell r="AE53">
            <v>0</v>
          </cell>
          <cell r="AF53">
            <v>0</v>
          </cell>
          <cell r="AG53">
            <v>7481.8268831435735</v>
          </cell>
          <cell r="AI53">
            <v>7481.8268831435735</v>
          </cell>
        </row>
        <row r="54">
          <cell r="E54">
            <v>54</v>
          </cell>
          <cell r="F54" t="str">
            <v>Act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O54">
            <v>0</v>
          </cell>
          <cell r="P54">
            <v>0</v>
          </cell>
          <cell r="R54">
            <v>0</v>
          </cell>
          <cell r="S54">
            <v>0</v>
          </cell>
          <cell r="T54">
            <v>0</v>
          </cell>
          <cell r="W54">
            <v>0</v>
          </cell>
          <cell r="X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I54">
            <v>0</v>
          </cell>
        </row>
        <row r="55">
          <cell r="E55">
            <v>39</v>
          </cell>
          <cell r="F55" t="str">
            <v>Act</v>
          </cell>
          <cell r="G55">
            <v>5.5405754530033581E-2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O55">
            <v>0</v>
          </cell>
          <cell r="P55">
            <v>0</v>
          </cell>
          <cell r="R55">
            <v>0</v>
          </cell>
          <cell r="S55">
            <v>0</v>
          </cell>
          <cell r="T55">
            <v>0</v>
          </cell>
          <cell r="U55">
            <v>6302.445557525336</v>
          </cell>
          <cell r="W55">
            <v>6302.445557525336</v>
          </cell>
          <cell r="X55">
            <v>0</v>
          </cell>
          <cell r="Y55">
            <v>4359.7126272290916</v>
          </cell>
          <cell r="AA55">
            <v>4359.7126272290916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I55">
            <v>0</v>
          </cell>
        </row>
        <row r="56">
          <cell r="E56">
            <v>54</v>
          </cell>
          <cell r="F56" t="str">
            <v>Act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O56">
            <v>0</v>
          </cell>
          <cell r="P56">
            <v>0</v>
          </cell>
          <cell r="S56">
            <v>0</v>
          </cell>
          <cell r="T56">
            <v>0</v>
          </cell>
          <cell r="W56">
            <v>0</v>
          </cell>
          <cell r="X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I56">
            <v>0</v>
          </cell>
        </row>
        <row r="57">
          <cell r="E57">
            <v>54</v>
          </cell>
          <cell r="F57" t="str">
            <v>Act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O57">
            <v>0</v>
          </cell>
          <cell r="P57">
            <v>0</v>
          </cell>
          <cell r="S57">
            <v>0</v>
          </cell>
          <cell r="T57">
            <v>0</v>
          </cell>
          <cell r="W57">
            <v>0</v>
          </cell>
          <cell r="X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I57">
            <v>0</v>
          </cell>
        </row>
        <row r="58">
          <cell r="E58">
            <v>54</v>
          </cell>
          <cell r="F58" t="str">
            <v>Act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O58">
            <v>0</v>
          </cell>
          <cell r="P58">
            <v>0</v>
          </cell>
          <cell r="S58">
            <v>0</v>
          </cell>
          <cell r="T58">
            <v>0</v>
          </cell>
          <cell r="W58">
            <v>0</v>
          </cell>
          <cell r="X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I58">
            <v>0</v>
          </cell>
        </row>
        <row r="59">
          <cell r="E59">
            <v>22</v>
          </cell>
          <cell r="F59" t="str">
            <v>DH</v>
          </cell>
          <cell r="G59">
            <v>0.10951493477640761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109907.81996125523</v>
          </cell>
          <cell r="M59">
            <v>0</v>
          </cell>
          <cell r="O59">
            <v>109907.81996125523</v>
          </cell>
          <cell r="P59">
            <v>48391.065282337433</v>
          </cell>
          <cell r="S59">
            <v>48391.065282337433</v>
          </cell>
          <cell r="T59">
            <v>89980.477135606416</v>
          </cell>
          <cell r="W59">
            <v>89980.477135606416</v>
          </cell>
          <cell r="X59">
            <v>41326.49360727099</v>
          </cell>
          <cell r="AA59">
            <v>41326.49360727099</v>
          </cell>
          <cell r="AB59">
            <v>87632.456329744018</v>
          </cell>
          <cell r="AC59">
            <v>0</v>
          </cell>
          <cell r="AD59">
            <v>0</v>
          </cell>
          <cell r="AE59">
            <v>87632.456329744018</v>
          </cell>
          <cell r="AF59">
            <v>19743.786478955604</v>
          </cell>
          <cell r="AI59">
            <v>19743.786478955604</v>
          </cell>
        </row>
        <row r="60">
          <cell r="E60">
            <v>22</v>
          </cell>
          <cell r="F60" t="str">
            <v>DH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O60">
            <v>0</v>
          </cell>
          <cell r="P60">
            <v>0</v>
          </cell>
          <cell r="S60">
            <v>0</v>
          </cell>
          <cell r="T60">
            <v>0</v>
          </cell>
          <cell r="W60">
            <v>0</v>
          </cell>
          <cell r="X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I60">
            <v>0</v>
          </cell>
        </row>
        <row r="61">
          <cell r="E61">
            <v>22</v>
          </cell>
          <cell r="F61" t="str">
            <v>DH</v>
          </cell>
          <cell r="G61">
            <v>0.11021083809358594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1482.5598048577583</v>
          </cell>
          <cell r="O61">
            <v>1482.5598048577583</v>
          </cell>
          <cell r="P61">
            <v>652.44766278053555</v>
          </cell>
          <cell r="S61">
            <v>652.44766278053555</v>
          </cell>
          <cell r="T61">
            <v>1292.9312994140553</v>
          </cell>
          <cell r="W61">
            <v>1292.9312994140553</v>
          </cell>
          <cell r="X61">
            <v>567.20793216437187</v>
          </cell>
          <cell r="AA61">
            <v>567.20793216437187</v>
          </cell>
          <cell r="AB61">
            <v>1216.6125299274947</v>
          </cell>
          <cell r="AC61">
            <v>0</v>
          </cell>
          <cell r="AD61">
            <v>0</v>
          </cell>
          <cell r="AE61">
            <v>1216.6125299274947</v>
          </cell>
          <cell r="AF61">
            <v>265.35352412453517</v>
          </cell>
          <cell r="AI61">
            <v>265.35352412453517</v>
          </cell>
        </row>
        <row r="62">
          <cell r="E62">
            <v>22</v>
          </cell>
          <cell r="F62" t="str">
            <v>DH</v>
          </cell>
          <cell r="G62">
            <v>0.11021083809358595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177.50141133982515</v>
          </cell>
          <cell r="O62">
            <v>177.50141133982515</v>
          </cell>
          <cell r="P62">
            <v>78.115149614505171</v>
          </cell>
          <cell r="S62">
            <v>78.115149614505171</v>
          </cell>
          <cell r="T62">
            <v>154.79789055352649</v>
          </cell>
          <cell r="W62">
            <v>154.79789055352649</v>
          </cell>
          <cell r="X62">
            <v>67.909711400802081</v>
          </cell>
          <cell r="AA62">
            <v>67.909711400802081</v>
          </cell>
          <cell r="AB62">
            <v>145.66052607676394</v>
          </cell>
          <cell r="AC62">
            <v>0</v>
          </cell>
          <cell r="AD62">
            <v>0</v>
          </cell>
          <cell r="AE62">
            <v>145.66052607676394</v>
          </cell>
          <cell r="AF62">
            <v>31.769797671413549</v>
          </cell>
          <cell r="AI62">
            <v>31.769797671413549</v>
          </cell>
        </row>
        <row r="63">
          <cell r="E63">
            <v>22</v>
          </cell>
          <cell r="F63" t="str">
            <v>DH</v>
          </cell>
          <cell r="G63">
            <v>0.11021083809358595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596.78927877276556</v>
          </cell>
          <cell r="O63">
            <v>596.78927877276556</v>
          </cell>
          <cell r="P63">
            <v>262.63613031457453</v>
          </cell>
          <cell r="S63">
            <v>262.63613031457453</v>
          </cell>
          <cell r="T63">
            <v>520.45626432862798</v>
          </cell>
          <cell r="W63">
            <v>520.45626432862798</v>
          </cell>
          <cell r="X63">
            <v>228.32374899240193</v>
          </cell>
          <cell r="AA63">
            <v>228.32374899240193</v>
          </cell>
          <cell r="AB63">
            <v>489.73492462315869</v>
          </cell>
          <cell r="AC63">
            <v>0</v>
          </cell>
          <cell r="AD63">
            <v>0</v>
          </cell>
          <cell r="AE63">
            <v>489.73492462315869</v>
          </cell>
          <cell r="AF63">
            <v>106.81534583846792</v>
          </cell>
          <cell r="AI63">
            <v>106.81534583846792</v>
          </cell>
        </row>
        <row r="64">
          <cell r="E64">
            <v>24</v>
          </cell>
          <cell r="F64" t="str">
            <v>DH</v>
          </cell>
          <cell r="G64">
            <v>0.1095159744420213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10652.264468431229</v>
          </cell>
          <cell r="O64">
            <v>10652.264468431229</v>
          </cell>
          <cell r="P64">
            <v>4690.0581883060158</v>
          </cell>
          <cell r="S64">
            <v>4690.0581883060158</v>
          </cell>
          <cell r="T64">
            <v>8721.7428828797492</v>
          </cell>
          <cell r="W64">
            <v>8721.7428828797492</v>
          </cell>
          <cell r="X64">
            <v>4005.4661946963706</v>
          </cell>
          <cell r="AA64">
            <v>4005.4661946963706</v>
          </cell>
          <cell r="AB64">
            <v>8493.7011938091073</v>
          </cell>
          <cell r="AC64">
            <v>0</v>
          </cell>
          <cell r="AD64">
            <v>0</v>
          </cell>
          <cell r="AE64">
            <v>8493.7011938091073</v>
          </cell>
          <cell r="AF64">
            <v>1913.5572520630421</v>
          </cell>
          <cell r="AI64">
            <v>1913.5572520630421</v>
          </cell>
        </row>
        <row r="65">
          <cell r="E65">
            <v>25</v>
          </cell>
          <cell r="F65" t="str">
            <v>DH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O65">
            <v>0</v>
          </cell>
          <cell r="P65">
            <v>0</v>
          </cell>
          <cell r="S65">
            <v>0</v>
          </cell>
          <cell r="T65">
            <v>0</v>
          </cell>
          <cell r="W65">
            <v>0</v>
          </cell>
          <cell r="X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I65">
            <v>0</v>
          </cell>
        </row>
        <row r="66">
          <cell r="E66">
            <v>22</v>
          </cell>
          <cell r="F66" t="str">
            <v>DH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O66">
            <v>0</v>
          </cell>
          <cell r="P66">
            <v>0</v>
          </cell>
          <cell r="S66">
            <v>0</v>
          </cell>
          <cell r="T66">
            <v>0</v>
          </cell>
          <cell r="W66">
            <v>0</v>
          </cell>
          <cell r="X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I66">
            <v>0</v>
          </cell>
        </row>
        <row r="67">
          <cell r="E67">
            <v>22</v>
          </cell>
          <cell r="F67" t="str">
            <v>DH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O67">
            <v>0</v>
          </cell>
          <cell r="P67">
            <v>0</v>
          </cell>
          <cell r="S67">
            <v>0</v>
          </cell>
          <cell r="T67">
            <v>0</v>
          </cell>
          <cell r="W67">
            <v>0</v>
          </cell>
          <cell r="X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I67">
            <v>0</v>
          </cell>
        </row>
        <row r="68">
          <cell r="E68">
            <v>29</v>
          </cell>
          <cell r="F68" t="str">
            <v>DH</v>
          </cell>
          <cell r="G68">
            <v>0.11021083809358595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1335.5098793396542</v>
          </cell>
          <cell r="O68">
            <v>1335.5098793396542</v>
          </cell>
          <cell r="P68">
            <v>587.73365940477038</v>
          </cell>
          <cell r="S68">
            <v>587.73365940477038</v>
          </cell>
          <cell r="T68">
            <v>1164.6899626019435</v>
          </cell>
          <cell r="W68">
            <v>1164.6899626019435</v>
          </cell>
          <cell r="X68">
            <v>510.94855975676012</v>
          </cell>
          <cell r="AA68">
            <v>510.94855975676012</v>
          </cell>
          <cell r="AB68">
            <v>1095.9409851277253</v>
          </cell>
          <cell r="AC68">
            <v>0</v>
          </cell>
          <cell r="AD68">
            <v>0</v>
          </cell>
          <cell r="AE68">
            <v>1095.9409851277253</v>
          </cell>
          <cell r="AF68">
            <v>239.03403547346988</v>
          </cell>
          <cell r="AI68">
            <v>239.03403547346988</v>
          </cell>
        </row>
        <row r="69">
          <cell r="E69">
            <v>29</v>
          </cell>
          <cell r="F69" t="str">
            <v>DH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O69">
            <v>0</v>
          </cell>
          <cell r="P69">
            <v>0</v>
          </cell>
          <cell r="S69">
            <v>0</v>
          </cell>
          <cell r="T69">
            <v>0</v>
          </cell>
          <cell r="W69">
            <v>0</v>
          </cell>
          <cell r="X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I69">
            <v>0</v>
          </cell>
        </row>
        <row r="70">
          <cell r="E70">
            <v>28</v>
          </cell>
          <cell r="F70" t="str">
            <v>DH</v>
          </cell>
          <cell r="G70">
            <v>0.11021083809358598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1591.4138132291298</v>
          </cell>
          <cell r="O70">
            <v>1591.4138132291298</v>
          </cell>
          <cell r="P70">
            <v>700.35233624698526</v>
          </cell>
          <cell r="S70">
            <v>700.35233624698526</v>
          </cell>
          <cell r="T70">
            <v>1387.8622114952236</v>
          </cell>
          <cell r="W70">
            <v>1387.8622114952236</v>
          </cell>
          <cell r="X70">
            <v>608.85404775028087</v>
          </cell>
          <cell r="AA70">
            <v>608.85404775028087</v>
          </cell>
          <cell r="AB70">
            <v>1305.9398879763992</v>
          </cell>
          <cell r="AC70">
            <v>0</v>
          </cell>
          <cell r="AD70">
            <v>0</v>
          </cell>
          <cell r="AE70">
            <v>1305.9398879763992</v>
          </cell>
          <cell r="AF70">
            <v>284.83657947365572</v>
          </cell>
          <cell r="AI70">
            <v>284.83657947365572</v>
          </cell>
        </row>
        <row r="71">
          <cell r="E71">
            <v>26</v>
          </cell>
          <cell r="F71" t="str">
            <v>DH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O71">
            <v>0</v>
          </cell>
          <cell r="P71">
            <v>0</v>
          </cell>
          <cell r="S71">
            <v>0</v>
          </cell>
          <cell r="T71">
            <v>0</v>
          </cell>
          <cell r="W71">
            <v>0</v>
          </cell>
          <cell r="X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I71">
            <v>0</v>
          </cell>
        </row>
        <row r="72">
          <cell r="E72">
            <v>25</v>
          </cell>
          <cell r="F72" t="str">
            <v>DH</v>
          </cell>
          <cell r="G72">
            <v>0.11021083809358592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25651.866155037507</v>
          </cell>
          <cell r="O72">
            <v>25651.866155037507</v>
          </cell>
          <cell r="P72">
            <v>11288.920732893537</v>
          </cell>
          <cell r="S72">
            <v>11288.920732893537</v>
          </cell>
          <cell r="T72">
            <v>22370.834911047743</v>
          </cell>
          <cell r="W72">
            <v>22370.834911047743</v>
          </cell>
          <cell r="X72">
            <v>9814.0674732187472</v>
          </cell>
          <cell r="AA72">
            <v>9814.0674732187472</v>
          </cell>
          <cell r="AB72">
            <v>21050.335829950476</v>
          </cell>
          <cell r="AC72">
            <v>0</v>
          </cell>
          <cell r="AD72">
            <v>0</v>
          </cell>
          <cell r="AE72">
            <v>21050.335829950476</v>
          </cell>
          <cell r="AF72">
            <v>4591.2570017795406</v>
          </cell>
          <cell r="AI72">
            <v>4591.2570017795406</v>
          </cell>
        </row>
        <row r="73">
          <cell r="E73">
            <v>26</v>
          </cell>
          <cell r="F73" t="str">
            <v>DH</v>
          </cell>
          <cell r="G73">
            <v>0.11021083809358595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9433.5493730845938</v>
          </cell>
          <cell r="O73">
            <v>9433.5493730845938</v>
          </cell>
          <cell r="P73">
            <v>4151.5338673196738</v>
          </cell>
          <cell r="S73">
            <v>4151.5338673196738</v>
          </cell>
          <cell r="T73">
            <v>8226.9404640975845</v>
          </cell>
          <cell r="W73">
            <v>8226.9404640975845</v>
          </cell>
          <cell r="X73">
            <v>3609.1522347668065</v>
          </cell>
          <cell r="AA73">
            <v>3609.1522347668065</v>
          </cell>
          <cell r="AB73">
            <v>7741.3230355894602</v>
          </cell>
          <cell r="AC73">
            <v>0</v>
          </cell>
          <cell r="AD73">
            <v>0</v>
          </cell>
          <cell r="AE73">
            <v>7741.3230355894602</v>
          </cell>
          <cell r="AF73">
            <v>1688.4482925739135</v>
          </cell>
          <cell r="AI73">
            <v>1688.4482925739135</v>
          </cell>
        </row>
        <row r="74">
          <cell r="E74">
            <v>22</v>
          </cell>
          <cell r="F74" t="str">
            <v>DH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O74">
            <v>0</v>
          </cell>
          <cell r="P74">
            <v>0</v>
          </cell>
          <cell r="S74">
            <v>0</v>
          </cell>
          <cell r="T74">
            <v>0</v>
          </cell>
          <cell r="W74">
            <v>0</v>
          </cell>
          <cell r="X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I74">
            <v>0</v>
          </cell>
        </row>
        <row r="75">
          <cell r="E75">
            <v>22</v>
          </cell>
          <cell r="F75" t="str">
            <v>DH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O75">
            <v>0</v>
          </cell>
          <cell r="P75">
            <v>0</v>
          </cell>
          <cell r="S75">
            <v>0</v>
          </cell>
          <cell r="T75">
            <v>0</v>
          </cell>
          <cell r="W75">
            <v>0</v>
          </cell>
          <cell r="X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I75">
            <v>0</v>
          </cell>
        </row>
        <row r="76">
          <cell r="E76">
            <v>54</v>
          </cell>
          <cell r="F76" t="str">
            <v>DH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W76">
            <v>0</v>
          </cell>
          <cell r="X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I76">
            <v>0</v>
          </cell>
        </row>
        <row r="77">
          <cell r="E77">
            <v>35</v>
          </cell>
          <cell r="F77" t="str">
            <v>TH</v>
          </cell>
          <cell r="G77">
            <v>0.12882804907631315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28308.571266994888</v>
          </cell>
          <cell r="O77">
            <v>28308.571266994888</v>
          </cell>
          <cell r="P77">
            <v>17720.604324025688</v>
          </cell>
          <cell r="Q77">
            <v>0</v>
          </cell>
          <cell r="R77">
            <v>0</v>
          </cell>
          <cell r="S77">
            <v>17720.604324025688</v>
          </cell>
          <cell r="T77">
            <v>62453.897148033037</v>
          </cell>
          <cell r="W77">
            <v>62453.897148033037</v>
          </cell>
          <cell r="X77">
            <v>3554.3353707004512</v>
          </cell>
          <cell r="AA77">
            <v>3554.3353707004512</v>
          </cell>
          <cell r="AB77">
            <v>17887.560807564998</v>
          </cell>
          <cell r="AC77">
            <v>0</v>
          </cell>
          <cell r="AD77">
            <v>0</v>
          </cell>
          <cell r="AE77">
            <v>17887.560807564998</v>
          </cell>
          <cell r="AF77">
            <v>3805.7526649593115</v>
          </cell>
          <cell r="AI77">
            <v>3805.7526649593115</v>
          </cell>
        </row>
        <row r="78">
          <cell r="E78">
            <v>47</v>
          </cell>
          <cell r="F78" t="str">
            <v>TH</v>
          </cell>
          <cell r="G78">
            <v>0.10792364863995128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1693.6444886329532</v>
          </cell>
          <cell r="O78">
            <v>1693.6444886329532</v>
          </cell>
          <cell r="P78">
            <v>857.52611642594184</v>
          </cell>
          <cell r="Q78">
            <v>0</v>
          </cell>
          <cell r="R78">
            <v>0</v>
          </cell>
          <cell r="S78">
            <v>857.52611642594184</v>
          </cell>
          <cell r="T78">
            <v>1536.5797541106647</v>
          </cell>
          <cell r="W78">
            <v>1536.5797541106647</v>
          </cell>
          <cell r="X78">
            <v>738.44928901078606</v>
          </cell>
          <cell r="AA78">
            <v>738.44928901078606</v>
          </cell>
          <cell r="AB78">
            <v>1376.0454654445682</v>
          </cell>
          <cell r="AC78">
            <v>0</v>
          </cell>
          <cell r="AD78">
            <v>0</v>
          </cell>
          <cell r="AE78">
            <v>1376.0454654445682</v>
          </cell>
          <cell r="AF78">
            <v>370.68929673727695</v>
          </cell>
          <cell r="AI78">
            <v>370.68929673727695</v>
          </cell>
        </row>
        <row r="79">
          <cell r="E79">
            <v>23</v>
          </cell>
          <cell r="F79" t="str">
            <v>TH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W79">
            <v>0</v>
          </cell>
          <cell r="X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I79">
            <v>0</v>
          </cell>
        </row>
        <row r="80">
          <cell r="E80">
            <v>23</v>
          </cell>
          <cell r="F80" t="str">
            <v>TH</v>
          </cell>
          <cell r="G80">
            <v>0.10792364863995127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8534.5623532853224</v>
          </cell>
          <cell r="O80">
            <v>8534.5623532853224</v>
          </cell>
          <cell r="P80">
            <v>4321.219806947277</v>
          </cell>
          <cell r="Q80">
            <v>0</v>
          </cell>
          <cell r="R80">
            <v>0</v>
          </cell>
          <cell r="S80">
            <v>4321.219806947277</v>
          </cell>
          <cell r="T80">
            <v>7743.0864684231665</v>
          </cell>
          <cell r="W80">
            <v>7743.0864684231665</v>
          </cell>
          <cell r="X80">
            <v>3721.1714407011009</v>
          </cell>
          <cell r="AA80">
            <v>3721.1714407011009</v>
          </cell>
          <cell r="AB80">
            <v>6934.1269107021772</v>
          </cell>
          <cell r="AC80">
            <v>0</v>
          </cell>
          <cell r="AD80">
            <v>0</v>
          </cell>
          <cell r="AE80">
            <v>6934.1269107021772</v>
          </cell>
          <cell r="AF80">
            <v>1867.9663518129312</v>
          </cell>
          <cell r="AI80">
            <v>1867.9663518129312</v>
          </cell>
        </row>
        <row r="81">
          <cell r="E81">
            <v>23</v>
          </cell>
          <cell r="F81" t="str">
            <v>TH</v>
          </cell>
          <cell r="G81">
            <v>0.10792364863995128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1395.9778677125855</v>
          </cell>
          <cell r="O81">
            <v>1395.9778677125855</v>
          </cell>
          <cell r="P81">
            <v>706.81154607740905</v>
          </cell>
          <cell r="Q81">
            <v>0</v>
          </cell>
          <cell r="R81">
            <v>0</v>
          </cell>
          <cell r="S81">
            <v>706.81154607740905</v>
          </cell>
          <cell r="T81">
            <v>1266.5180580164872</v>
          </cell>
          <cell r="W81">
            <v>1266.5180580164872</v>
          </cell>
          <cell r="X81">
            <v>608.66307587327401</v>
          </cell>
          <cell r="AA81">
            <v>608.66307587327401</v>
          </cell>
          <cell r="AB81">
            <v>1134.1984859392674</v>
          </cell>
          <cell r="AC81">
            <v>0</v>
          </cell>
          <cell r="AD81">
            <v>0</v>
          </cell>
          <cell r="AE81">
            <v>1134.1984859392674</v>
          </cell>
          <cell r="AF81">
            <v>305.53877009977901</v>
          </cell>
          <cell r="AI81">
            <v>305.53877009977901</v>
          </cell>
        </row>
        <row r="82">
          <cell r="E82">
            <v>23</v>
          </cell>
          <cell r="F82" t="str">
            <v>TH</v>
          </cell>
          <cell r="G82">
            <v>0.10792364863995128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161.71473786331126</v>
          </cell>
          <cell r="O82">
            <v>161.71473786331126</v>
          </cell>
          <cell r="P82">
            <v>81.879409793195435</v>
          </cell>
          <cell r="S82">
            <v>81.879409793195435</v>
          </cell>
          <cell r="T82">
            <v>146.71768119568429</v>
          </cell>
          <cell r="W82">
            <v>146.71768119568429</v>
          </cell>
          <cell r="X82">
            <v>70.509563252036259</v>
          </cell>
          <cell r="AA82">
            <v>70.509563252036259</v>
          </cell>
          <cell r="AB82">
            <v>131.38934010406268</v>
          </cell>
          <cell r="AC82">
            <v>0</v>
          </cell>
          <cell r="AD82">
            <v>0</v>
          </cell>
          <cell r="AE82">
            <v>131.38934010406268</v>
          </cell>
          <cell r="AF82">
            <v>35.394631431174815</v>
          </cell>
          <cell r="AI82">
            <v>35.394631431174815</v>
          </cell>
        </row>
        <row r="83">
          <cell r="E83">
            <v>23</v>
          </cell>
          <cell r="F83" t="str">
            <v>TH</v>
          </cell>
          <cell r="G83">
            <v>0.10792364863995126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8.3425886202692592</v>
          </cell>
          <cell r="O83">
            <v>8.3425886202692592</v>
          </cell>
          <cell r="P83">
            <v>4.2240196620326067</v>
          </cell>
          <cell r="S83">
            <v>4.2240196620326067</v>
          </cell>
          <cell r="T83">
            <v>7.5689159424046704</v>
          </cell>
          <cell r="W83">
            <v>7.5689159424046704</v>
          </cell>
          <cell r="X83">
            <v>3.6374685930220796</v>
          </cell>
          <cell r="AA83">
            <v>3.6374685930220796</v>
          </cell>
          <cell r="AB83">
            <v>6.7781528638616599</v>
          </cell>
          <cell r="AC83">
            <v>0</v>
          </cell>
          <cell r="AD83">
            <v>0</v>
          </cell>
          <cell r="AE83">
            <v>6.7781528638616599</v>
          </cell>
          <cell r="AF83">
            <v>1.8259489103951079</v>
          </cell>
          <cell r="AI83">
            <v>1.8259489103951079</v>
          </cell>
        </row>
        <row r="84">
          <cell r="E84">
            <v>23</v>
          </cell>
          <cell r="F84" t="str">
            <v>TH</v>
          </cell>
          <cell r="G84">
            <v>0.10792364863995128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-26.362580040050855</v>
          </cell>
          <cell r="O84">
            <v>-26.362580040050855</v>
          </cell>
          <cell r="P84">
            <v>-13.347902132023036</v>
          </cell>
          <cell r="S84">
            <v>-13.347902132023036</v>
          </cell>
          <cell r="T84">
            <v>-23.917774377998761</v>
          </cell>
          <cell r="W84">
            <v>-23.917774377998761</v>
          </cell>
          <cell r="X84">
            <v>-11.494400753949771</v>
          </cell>
          <cell r="AA84">
            <v>-11.494400753949771</v>
          </cell>
          <cell r="AB84">
            <v>-21.418963049802848</v>
          </cell>
          <cell r="AC84">
            <v>0</v>
          </cell>
          <cell r="AD84">
            <v>0</v>
          </cell>
          <cell r="AE84">
            <v>-21.418963049802848</v>
          </cell>
          <cell r="AF84">
            <v>-5.7699985568485408</v>
          </cell>
          <cell r="AI84">
            <v>-5.7699985568485408</v>
          </cell>
        </row>
        <row r="85">
          <cell r="E85">
            <v>24</v>
          </cell>
          <cell r="F85" t="str">
            <v>TH</v>
          </cell>
          <cell r="G85">
            <v>0.10792364863995127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934.41212542913149</v>
          </cell>
          <cell r="O85">
            <v>934.41212542913149</v>
          </cell>
          <cell r="P85">
            <v>473.11156883185015</v>
          </cell>
          <cell r="S85">
            <v>473.11156883185015</v>
          </cell>
          <cell r="T85">
            <v>847.75687198016487</v>
          </cell>
          <cell r="W85">
            <v>847.75687198016487</v>
          </cell>
          <cell r="X85">
            <v>407.41488210619377</v>
          </cell>
          <cell r="AA85">
            <v>407.41488210619377</v>
          </cell>
          <cell r="AB85">
            <v>759.18740720552387</v>
          </cell>
          <cell r="AC85">
            <v>0</v>
          </cell>
          <cell r="AD85">
            <v>0</v>
          </cell>
          <cell r="AE85">
            <v>759.18740720552387</v>
          </cell>
          <cell r="AF85">
            <v>204.51551430234994</v>
          </cell>
          <cell r="AI85">
            <v>204.51551430234994</v>
          </cell>
        </row>
        <row r="86">
          <cell r="E86">
            <v>25</v>
          </cell>
          <cell r="F86" t="str">
            <v>TH</v>
          </cell>
          <cell r="G86">
            <v>0.10792364863995127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1984.9132433137609</v>
          </cell>
          <cell r="O86">
            <v>1984.9132433137609</v>
          </cell>
          <cell r="P86">
            <v>1005.001318992957</v>
          </cell>
          <cell r="S86">
            <v>1005.001318992957</v>
          </cell>
          <cell r="T86">
            <v>1800.836907516458</v>
          </cell>
          <cell r="W86">
            <v>1800.836907516458</v>
          </cell>
          <cell r="X86">
            <v>865.44595581345709</v>
          </cell>
          <cell r="AA86">
            <v>865.44595581345709</v>
          </cell>
          <cell r="AB86">
            <v>1612.6943323078385</v>
          </cell>
          <cell r="AC86">
            <v>0</v>
          </cell>
          <cell r="AD86">
            <v>0</v>
          </cell>
          <cell r="AE86">
            <v>1612.6943323078385</v>
          </cell>
          <cell r="AF86">
            <v>434.43951737615521</v>
          </cell>
          <cell r="AI86">
            <v>434.43951737615521</v>
          </cell>
        </row>
        <row r="87">
          <cell r="E87">
            <v>23</v>
          </cell>
          <cell r="F87" t="str">
            <v>TH</v>
          </cell>
          <cell r="G87">
            <v>0.10792364863995127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602.61659979251829</v>
          </cell>
          <cell r="O87">
            <v>602.61659979251829</v>
          </cell>
          <cell r="P87">
            <v>305.11685066267552</v>
          </cell>
          <cell r="S87">
            <v>305.11685066267552</v>
          </cell>
          <cell r="T87">
            <v>546.73130810327245</v>
          </cell>
          <cell r="W87">
            <v>546.73130810327245</v>
          </cell>
          <cell r="X87">
            <v>262.74805760568518</v>
          </cell>
          <cell r="AA87">
            <v>262.74805760568518</v>
          </cell>
          <cell r="AB87">
            <v>489.61151239918161</v>
          </cell>
          <cell r="AC87">
            <v>0</v>
          </cell>
          <cell r="AD87">
            <v>0</v>
          </cell>
          <cell r="AE87">
            <v>489.61151239918161</v>
          </cell>
          <cell r="AF87">
            <v>131.89516753873448</v>
          </cell>
          <cell r="AI87">
            <v>131.89516753873448</v>
          </cell>
        </row>
        <row r="88">
          <cell r="E88">
            <v>23</v>
          </cell>
          <cell r="F88" t="str">
            <v>TH</v>
          </cell>
          <cell r="G88">
            <v>0.10792364863995128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212.52160528932521</v>
          </cell>
          <cell r="O88">
            <v>212.52160528932521</v>
          </cell>
          <cell r="P88">
            <v>107.60394407651722</v>
          </cell>
          <cell r="S88">
            <v>107.60394407651722</v>
          </cell>
          <cell r="T88">
            <v>192.81283539159932</v>
          </cell>
          <cell r="W88">
            <v>192.81283539159932</v>
          </cell>
          <cell r="X88">
            <v>92.661966179222361</v>
          </cell>
          <cell r="AA88">
            <v>92.661966179222361</v>
          </cell>
          <cell r="AB88">
            <v>172.66869949987108</v>
          </cell>
          <cell r="AC88">
            <v>0</v>
          </cell>
          <cell r="AD88">
            <v>0</v>
          </cell>
          <cell r="AE88">
            <v>172.66869949987108</v>
          </cell>
          <cell r="AF88">
            <v>46.514770328078093</v>
          </cell>
          <cell r="AI88">
            <v>46.514770328078093</v>
          </cell>
        </row>
        <row r="89">
          <cell r="E89">
            <v>29</v>
          </cell>
          <cell r="F89" t="str">
            <v>TH</v>
          </cell>
          <cell r="G89">
            <v>0.10792364863995128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7.6540469728097031</v>
          </cell>
          <cell r="O89">
            <v>7.6540469728097031</v>
          </cell>
          <cell r="P89">
            <v>3.8753972392595157</v>
          </cell>
          <cell r="S89">
            <v>3.8753972392595157</v>
          </cell>
          <cell r="T89">
            <v>6.9442280799582052</v>
          </cell>
          <cell r="W89">
            <v>6.9442280799582052</v>
          </cell>
          <cell r="X89">
            <v>3.3372561851446574</v>
          </cell>
          <cell r="AA89">
            <v>3.3372561851446574</v>
          </cell>
          <cell r="AB89">
            <v>6.2187293141642783</v>
          </cell>
          <cell r="AC89">
            <v>0</v>
          </cell>
          <cell r="AD89">
            <v>0</v>
          </cell>
          <cell r="AE89">
            <v>6.2187293141642783</v>
          </cell>
          <cell r="AF89">
            <v>1.6752472603238318</v>
          </cell>
          <cell r="AI89">
            <v>1.6752472603238318</v>
          </cell>
        </row>
        <row r="90">
          <cell r="E90">
            <v>28</v>
          </cell>
          <cell r="F90" t="str">
            <v>TH</v>
          </cell>
          <cell r="G90">
            <v>0.10792364863995128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72.904491521096347</v>
          </cell>
          <cell r="O90">
            <v>72.904491521096347</v>
          </cell>
          <cell r="P90">
            <v>36.913003823225942</v>
          </cell>
          <cell r="S90">
            <v>36.913003823225942</v>
          </cell>
          <cell r="T90">
            <v>66.143494934684014</v>
          </cell>
          <cell r="W90">
            <v>66.143494934684014</v>
          </cell>
          <cell r="X90">
            <v>31.787231789654452</v>
          </cell>
          <cell r="AA90">
            <v>31.787231789654452</v>
          </cell>
          <cell r="AB90">
            <v>59.233148185143065</v>
          </cell>
          <cell r="AC90">
            <v>0</v>
          </cell>
          <cell r="AD90">
            <v>0</v>
          </cell>
          <cell r="AE90">
            <v>59.233148185143065</v>
          </cell>
          <cell r="AF90">
            <v>15.956663203124448</v>
          </cell>
          <cell r="AI90">
            <v>15.956663203124448</v>
          </cell>
        </row>
        <row r="91">
          <cell r="E91">
            <v>26</v>
          </cell>
          <cell r="F91" t="str">
            <v>TH</v>
          </cell>
          <cell r="G91">
            <v>0.10792364863995127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207.04720204629956</v>
          </cell>
          <cell r="O91">
            <v>207.04720204629956</v>
          </cell>
          <cell r="P91">
            <v>104.83214410063768</v>
          </cell>
          <cell r="S91">
            <v>104.83214410063768</v>
          </cell>
          <cell r="T91">
            <v>187.84611584359033</v>
          </cell>
          <cell r="W91">
            <v>187.84611584359033</v>
          </cell>
          <cell r="X91">
            <v>90.275060775105572</v>
          </cell>
          <cell r="AA91">
            <v>90.275060775105572</v>
          </cell>
          <cell r="AB91">
            <v>168.22087836081911</v>
          </cell>
          <cell r="AC91">
            <v>0</v>
          </cell>
          <cell r="AD91">
            <v>0</v>
          </cell>
          <cell r="AE91">
            <v>168.22087836081911</v>
          </cell>
          <cell r="AF91">
            <v>45.316583399337567</v>
          </cell>
          <cell r="AI91">
            <v>45.316583399337567</v>
          </cell>
        </row>
        <row r="92">
          <cell r="E92">
            <v>31</v>
          </cell>
          <cell r="F92" t="str">
            <v>TH</v>
          </cell>
          <cell r="G92">
            <v>0.10792364863995128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9337.6753495451612</v>
          </cell>
          <cell r="O92">
            <v>9337.6753495451612</v>
          </cell>
          <cell r="P92">
            <v>4727.8519976792213</v>
          </cell>
          <cell r="S92">
            <v>4727.8519976792213</v>
          </cell>
          <cell r="T92">
            <v>8471.7205935884194</v>
          </cell>
          <cell r="W92">
            <v>8471.7205935884194</v>
          </cell>
          <cell r="X92">
            <v>4071.3383293626612</v>
          </cell>
          <cell r="AA92">
            <v>4071.3383293626612</v>
          </cell>
          <cell r="AB92">
            <v>7586.636929280493</v>
          </cell>
          <cell r="AC92">
            <v>0</v>
          </cell>
          <cell r="AD92">
            <v>0</v>
          </cell>
          <cell r="AE92">
            <v>7586.636929280493</v>
          </cell>
          <cell r="AF92">
            <v>2043.7443227992885</v>
          </cell>
          <cell r="AI92">
            <v>2043.7443227992885</v>
          </cell>
        </row>
        <row r="93">
          <cell r="E93">
            <v>31</v>
          </cell>
          <cell r="F93" t="str">
            <v>TH</v>
          </cell>
          <cell r="G93">
            <v>0.10792364863995128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228.49349120283068</v>
          </cell>
          <cell r="O93">
            <v>228.49349120283068</v>
          </cell>
          <cell r="P93">
            <v>115.69082971947864</v>
          </cell>
          <cell r="S93">
            <v>115.69082971947864</v>
          </cell>
          <cell r="T93">
            <v>207.30352496333305</v>
          </cell>
          <cell r="W93">
            <v>207.30352496333305</v>
          </cell>
          <cell r="X93">
            <v>99.625899800563133</v>
          </cell>
          <cell r="AA93">
            <v>99.625899800563133</v>
          </cell>
          <cell r="AB93">
            <v>185.64547315773422</v>
          </cell>
          <cell r="AC93">
            <v>0</v>
          </cell>
          <cell r="AD93">
            <v>0</v>
          </cell>
          <cell r="AE93">
            <v>185.64547315773422</v>
          </cell>
          <cell r="AF93">
            <v>50.010549517029531</v>
          </cell>
          <cell r="AI93">
            <v>50.010549517029531</v>
          </cell>
        </row>
        <row r="94">
          <cell r="E94">
            <v>31</v>
          </cell>
          <cell r="F94" t="str">
            <v>TH</v>
          </cell>
          <cell r="G94">
            <v>0.10792364863995128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871.74294695665776</v>
          </cell>
          <cell r="O94">
            <v>871.74294695665776</v>
          </cell>
          <cell r="P94">
            <v>441.38090894673934</v>
          </cell>
          <cell r="S94">
            <v>441.38090894673934</v>
          </cell>
          <cell r="T94">
            <v>790.89949046128561</v>
          </cell>
          <cell r="W94">
            <v>790.89949046128561</v>
          </cell>
          <cell r="X94">
            <v>380.09036943751545</v>
          </cell>
          <cell r="AA94">
            <v>380.09036943751545</v>
          </cell>
          <cell r="AB94">
            <v>708.27020501878269</v>
          </cell>
          <cell r="AC94">
            <v>0</v>
          </cell>
          <cell r="AD94">
            <v>0</v>
          </cell>
          <cell r="AE94">
            <v>708.27020501878269</v>
          </cell>
          <cell r="AF94">
            <v>190.79906208880706</v>
          </cell>
          <cell r="AI94">
            <v>190.79906208880706</v>
          </cell>
        </row>
        <row r="95">
          <cell r="E95">
            <v>31</v>
          </cell>
          <cell r="F95" t="str">
            <v>TH</v>
          </cell>
          <cell r="G95">
            <v>0.10792364863995126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4167.2386997200292</v>
          </cell>
          <cell r="O95">
            <v>4167.2386997200292</v>
          </cell>
          <cell r="P95">
            <v>2109.9563942579339</v>
          </cell>
          <cell r="S95">
            <v>2109.9563942579339</v>
          </cell>
          <cell r="T95">
            <v>3780.7784688655347</v>
          </cell>
          <cell r="W95">
            <v>3780.7784688655347</v>
          </cell>
          <cell r="X95">
            <v>1816.9660017790186</v>
          </cell>
          <cell r="AA95">
            <v>1816.9660017790186</v>
          </cell>
          <cell r="AB95">
            <v>3385.7813458852779</v>
          </cell>
          <cell r="AC95">
            <v>0</v>
          </cell>
          <cell r="AD95">
            <v>0</v>
          </cell>
          <cell r="AE95">
            <v>3385.7813458852779</v>
          </cell>
          <cell r="AF95">
            <v>912.08680056724722</v>
          </cell>
          <cell r="AI95">
            <v>912.08680056724722</v>
          </cell>
        </row>
        <row r="96">
          <cell r="E96">
            <v>30</v>
          </cell>
          <cell r="F96" t="str">
            <v>TH</v>
          </cell>
          <cell r="G96">
            <v>0.10792364863995128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18913.777154390733</v>
          </cell>
          <cell r="O96">
            <v>18913.777154390733</v>
          </cell>
          <cell r="P96">
            <v>9576.4240836881909</v>
          </cell>
          <cell r="S96">
            <v>9576.4240836881909</v>
          </cell>
          <cell r="T96">
            <v>17159.756515758396</v>
          </cell>
          <cell r="W96">
            <v>17159.756515758396</v>
          </cell>
          <cell r="X96">
            <v>8246.6334498816905</v>
          </cell>
          <cell r="AA96">
            <v>8246.6334498816905</v>
          </cell>
          <cell r="AB96">
            <v>15366.989626456862</v>
          </cell>
          <cell r="AC96">
            <v>0</v>
          </cell>
          <cell r="AD96">
            <v>0</v>
          </cell>
          <cell r="AE96">
            <v>15366.989626456862</v>
          </cell>
          <cell r="AF96">
            <v>4139.6732307532857</v>
          </cell>
          <cell r="AI96">
            <v>4139.6732307532857</v>
          </cell>
        </row>
        <row r="97">
          <cell r="E97">
            <v>30</v>
          </cell>
          <cell r="F97" t="str">
            <v>TH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O97">
            <v>0</v>
          </cell>
          <cell r="P97">
            <v>0</v>
          </cell>
          <cell r="S97">
            <v>0</v>
          </cell>
          <cell r="T97">
            <v>0</v>
          </cell>
          <cell r="W97">
            <v>0</v>
          </cell>
          <cell r="X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I97">
            <v>0</v>
          </cell>
        </row>
        <row r="98">
          <cell r="E98">
            <v>30</v>
          </cell>
          <cell r="F98" t="str">
            <v>TH</v>
          </cell>
          <cell r="G98">
            <v>0.10792364863995126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1778.0136435223112</v>
          </cell>
          <cell r="O98">
            <v>1778.0136435223112</v>
          </cell>
          <cell r="P98">
            <v>900.24390886938852</v>
          </cell>
          <cell r="S98">
            <v>900.24390886938852</v>
          </cell>
          <cell r="T98">
            <v>1613.1247056305992</v>
          </cell>
          <cell r="W98">
            <v>1613.1247056305992</v>
          </cell>
          <cell r="X98">
            <v>775.23525138992454</v>
          </cell>
          <cell r="AA98">
            <v>775.23525138992454</v>
          </cell>
          <cell r="AB98">
            <v>1444.5933772336587</v>
          </cell>
          <cell r="AC98">
            <v>0</v>
          </cell>
          <cell r="AD98">
            <v>0</v>
          </cell>
          <cell r="AE98">
            <v>1444.5933772336587</v>
          </cell>
          <cell r="AF98">
            <v>389.15523979803004</v>
          </cell>
          <cell r="AI98">
            <v>389.15523979803004</v>
          </cell>
        </row>
        <row r="99">
          <cell r="E99">
            <v>31</v>
          </cell>
          <cell r="F99" t="str">
            <v>TH</v>
          </cell>
          <cell r="G99">
            <v>0.10792364863995127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969.17659562535721</v>
          </cell>
          <cell r="O99">
            <v>969.17659562535721</v>
          </cell>
          <cell r="P99">
            <v>490.71351618092899</v>
          </cell>
          <cell r="S99">
            <v>490.71351618092899</v>
          </cell>
          <cell r="T99">
            <v>879.29736434702579</v>
          </cell>
          <cell r="W99">
            <v>879.29736434702579</v>
          </cell>
          <cell r="X99">
            <v>422.57260763332658</v>
          </cell>
          <cell r="AA99">
            <v>422.57260763332658</v>
          </cell>
          <cell r="AB99">
            <v>787.43270419268072</v>
          </cell>
          <cell r="AC99">
            <v>0</v>
          </cell>
          <cell r="AD99">
            <v>0</v>
          </cell>
          <cell r="AE99">
            <v>787.43270419268072</v>
          </cell>
          <cell r="AF99">
            <v>212.1244411432389</v>
          </cell>
          <cell r="AI99">
            <v>212.1244411432389</v>
          </cell>
        </row>
        <row r="100">
          <cell r="E100">
            <v>23</v>
          </cell>
          <cell r="F100" t="str">
            <v>TH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O100">
            <v>0</v>
          </cell>
          <cell r="P100">
            <v>0</v>
          </cell>
          <cell r="S100">
            <v>0</v>
          </cell>
          <cell r="T100">
            <v>0</v>
          </cell>
          <cell r="W100">
            <v>0</v>
          </cell>
          <cell r="X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I100">
            <v>0</v>
          </cell>
        </row>
        <row r="101">
          <cell r="E101">
            <v>31</v>
          </cell>
          <cell r="F101" t="str">
            <v>TH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O101">
            <v>0</v>
          </cell>
          <cell r="P101">
            <v>0</v>
          </cell>
          <cell r="S101">
            <v>0</v>
          </cell>
          <cell r="T101">
            <v>0</v>
          </cell>
          <cell r="W101">
            <v>0</v>
          </cell>
          <cell r="X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I101">
            <v>0</v>
          </cell>
        </row>
        <row r="102">
          <cell r="E102">
            <v>31</v>
          </cell>
          <cell r="F102" t="str">
            <v>TH</v>
          </cell>
          <cell r="G102">
            <v>0.10792364863995127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18.392627044820294</v>
          </cell>
          <cell r="O102">
            <v>18.392627044820294</v>
          </cell>
          <cell r="P102">
            <v>9.3125553482278853</v>
          </cell>
          <cell r="S102">
            <v>9.3125553482278853</v>
          </cell>
          <cell r="T102">
            <v>16.686936681021496</v>
          </cell>
          <cell r="W102">
            <v>16.686936681021496</v>
          </cell>
          <cell r="X102">
            <v>8.0194057580826783</v>
          </cell>
          <cell r="AA102">
            <v>8.0194057580826783</v>
          </cell>
          <cell r="AB102">
            <v>14.943567680527005</v>
          </cell>
          <cell r="AC102">
            <v>0</v>
          </cell>
          <cell r="AD102">
            <v>0</v>
          </cell>
          <cell r="AE102">
            <v>14.943567680527005</v>
          </cell>
          <cell r="AF102">
            <v>4.0256086977844143</v>
          </cell>
          <cell r="AI102">
            <v>4.0256086977844143</v>
          </cell>
        </row>
        <row r="103">
          <cell r="E103">
            <v>31</v>
          </cell>
          <cell r="F103" t="str">
            <v>TH</v>
          </cell>
          <cell r="G103">
            <v>0.10792364863995128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1.9466040113961602</v>
          </cell>
          <cell r="O103">
            <v>1.9466040113961602</v>
          </cell>
          <cell r="P103">
            <v>0.98560458780760818</v>
          </cell>
          <cell r="S103">
            <v>0.98560458780760818</v>
          </cell>
          <cell r="T103">
            <v>1.7660803865610899</v>
          </cell>
          <cell r="W103">
            <v>1.7660803865610899</v>
          </cell>
          <cell r="X103">
            <v>0.84874267170515183</v>
          </cell>
          <cell r="AA103">
            <v>0.84874267170515183</v>
          </cell>
          <cell r="AB103">
            <v>1.5815690015677206</v>
          </cell>
          <cell r="AC103">
            <v>0</v>
          </cell>
          <cell r="AD103">
            <v>0</v>
          </cell>
          <cell r="AE103">
            <v>1.5815690015677206</v>
          </cell>
          <cell r="AF103">
            <v>0.42605474575885854</v>
          </cell>
          <cell r="AI103">
            <v>0.42605474575885854</v>
          </cell>
        </row>
        <row r="104">
          <cell r="E104">
            <v>31</v>
          </cell>
          <cell r="F104" t="str">
            <v>TH</v>
          </cell>
          <cell r="G104">
            <v>0.10792364863995127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165.74498898176279</v>
          </cell>
          <cell r="O104">
            <v>165.74498898176279</v>
          </cell>
          <cell r="P104">
            <v>83.920006632155804</v>
          </cell>
          <cell r="S104">
            <v>83.920006632155804</v>
          </cell>
          <cell r="T104">
            <v>150.3741759997344</v>
          </cell>
          <cell r="W104">
            <v>150.3741759997344</v>
          </cell>
          <cell r="X104">
            <v>72.266801027100655</v>
          </cell>
          <cell r="AA104">
            <v>72.266801027100655</v>
          </cell>
          <cell r="AB104">
            <v>134.66382233062754</v>
          </cell>
          <cell r="AC104">
            <v>0</v>
          </cell>
          <cell r="AD104">
            <v>0</v>
          </cell>
          <cell r="AE104">
            <v>134.66382233062754</v>
          </cell>
          <cell r="AF104">
            <v>36.276735652456409</v>
          </cell>
          <cell r="AI104">
            <v>36.276735652456409</v>
          </cell>
        </row>
        <row r="105">
          <cell r="E105">
            <v>31</v>
          </cell>
          <cell r="F105" t="str">
            <v>TH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O105">
            <v>0</v>
          </cell>
          <cell r="P105">
            <v>0</v>
          </cell>
          <cell r="S105">
            <v>0</v>
          </cell>
          <cell r="T105">
            <v>0</v>
          </cell>
          <cell r="W105">
            <v>0</v>
          </cell>
          <cell r="X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I105">
            <v>0</v>
          </cell>
        </row>
        <row r="106">
          <cell r="E106">
            <v>31</v>
          </cell>
          <cell r="F106" t="str">
            <v>TH</v>
          </cell>
          <cell r="G106">
            <v>0.10792364863995128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16.608147338944701</v>
          </cell>
          <cell r="O106">
            <v>16.608147338944701</v>
          </cell>
          <cell r="P106">
            <v>8.409037542519112</v>
          </cell>
          <cell r="S106">
            <v>8.409037542519112</v>
          </cell>
          <cell r="T106">
            <v>15.067945560941139</v>
          </cell>
          <cell r="W106">
            <v>15.067945560941139</v>
          </cell>
          <cell r="X106">
            <v>7.2413512260352562</v>
          </cell>
          <cell r="AA106">
            <v>7.2413512260352562</v>
          </cell>
          <cell r="AB106">
            <v>13.493720782946996</v>
          </cell>
          <cell r="AC106">
            <v>0</v>
          </cell>
          <cell r="AD106">
            <v>0</v>
          </cell>
          <cell r="AE106">
            <v>13.493720782946996</v>
          </cell>
          <cell r="AF106">
            <v>3.6350382258509009</v>
          </cell>
          <cell r="AI106">
            <v>3.6350382258509009</v>
          </cell>
        </row>
        <row r="107">
          <cell r="E107">
            <v>31</v>
          </cell>
          <cell r="F107" t="str">
            <v>TH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O107">
            <v>0</v>
          </cell>
          <cell r="P107">
            <v>0</v>
          </cell>
          <cell r="S107">
            <v>0</v>
          </cell>
          <cell r="T107">
            <v>0</v>
          </cell>
          <cell r="W107">
            <v>0</v>
          </cell>
          <cell r="X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I107">
            <v>0</v>
          </cell>
        </row>
        <row r="108">
          <cell r="E108">
            <v>23</v>
          </cell>
          <cell r="F108" t="str">
            <v>TH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O108">
            <v>0</v>
          </cell>
          <cell r="P108">
            <v>0</v>
          </cell>
          <cell r="S108">
            <v>0</v>
          </cell>
          <cell r="T108">
            <v>0</v>
          </cell>
          <cell r="W108">
            <v>0</v>
          </cell>
          <cell r="X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</row>
        <row r="109">
          <cell r="E109">
            <v>23</v>
          </cell>
          <cell r="F109" t="str">
            <v>TH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O109">
            <v>0</v>
          </cell>
          <cell r="P109">
            <v>0</v>
          </cell>
          <cell r="S109">
            <v>0</v>
          </cell>
          <cell r="T109">
            <v>0</v>
          </cell>
          <cell r="W109">
            <v>0</v>
          </cell>
          <cell r="X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</row>
        <row r="110">
          <cell r="E110">
            <v>36</v>
          </cell>
          <cell r="F110" t="str">
            <v>Act</v>
          </cell>
          <cell r="G110">
            <v>0.20338583504660807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14716.164445392491</v>
          </cell>
          <cell r="O110">
            <v>14716.164445392491</v>
          </cell>
          <cell r="P110">
            <v>0</v>
          </cell>
          <cell r="Q110">
            <v>3719.6306371549163</v>
          </cell>
          <cell r="S110">
            <v>3719.6306371549163</v>
          </cell>
          <cell r="T110">
            <v>0</v>
          </cell>
          <cell r="U110">
            <v>5720.5636080203649</v>
          </cell>
          <cell r="W110">
            <v>5720.5636080203649</v>
          </cell>
          <cell r="X110">
            <v>0</v>
          </cell>
          <cell r="Y110">
            <v>1761.9498309671424</v>
          </cell>
          <cell r="AA110">
            <v>1761.9498309671424</v>
          </cell>
          <cell r="AB110">
            <v>0</v>
          </cell>
          <cell r="AC110">
            <v>21102.903194076753</v>
          </cell>
          <cell r="AD110">
            <v>0</v>
          </cell>
          <cell r="AE110">
            <v>21102.903194076753</v>
          </cell>
          <cell r="AF110">
            <v>0</v>
          </cell>
          <cell r="AG110">
            <v>899.90180182292522</v>
          </cell>
          <cell r="AI110">
            <v>899.90180182292522</v>
          </cell>
        </row>
        <row r="111">
          <cell r="E111">
            <v>36</v>
          </cell>
          <cell r="F111" t="str">
            <v>Cont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O111">
            <v>0</v>
          </cell>
          <cell r="P111">
            <v>0</v>
          </cell>
          <cell r="S111">
            <v>0</v>
          </cell>
          <cell r="T111">
            <v>0</v>
          </cell>
          <cell r="W111">
            <v>0</v>
          </cell>
          <cell r="X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I111">
            <v>0</v>
          </cell>
        </row>
        <row r="112">
          <cell r="E112">
            <v>23</v>
          </cell>
          <cell r="F112" t="str">
            <v>Cont</v>
          </cell>
          <cell r="G112">
            <v>8.1252907606838676E-2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879.94748755281762</v>
          </cell>
          <cell r="O112">
            <v>879.94748755281762</v>
          </cell>
          <cell r="P112">
            <v>2912.3787952388561</v>
          </cell>
          <cell r="S112">
            <v>2912.3787952388561</v>
          </cell>
          <cell r="T112">
            <v>1365.6390202525579</v>
          </cell>
          <cell r="W112">
            <v>1365.6390202525579</v>
          </cell>
          <cell r="X112">
            <v>1379.5631412231742</v>
          </cell>
          <cell r="AA112">
            <v>1379.5631412231742</v>
          </cell>
          <cell r="AB112">
            <v>576.59697146760948</v>
          </cell>
          <cell r="AC112">
            <v>0</v>
          </cell>
          <cell r="AD112">
            <v>0</v>
          </cell>
          <cell r="AE112">
            <v>576.59697146760948</v>
          </cell>
          <cell r="AF112">
            <v>205.47804824864178</v>
          </cell>
          <cell r="AI112">
            <v>205.47804824864178</v>
          </cell>
        </row>
        <row r="113">
          <cell r="E113">
            <v>23</v>
          </cell>
          <cell r="F113" t="str">
            <v>Cont</v>
          </cell>
          <cell r="G113">
            <v>8.1252907606838648E-2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334.80517711295226</v>
          </cell>
          <cell r="O113">
            <v>334.80517711295226</v>
          </cell>
          <cell r="P113">
            <v>1108.1110090690772</v>
          </cell>
          <cell r="S113">
            <v>1108.1110090690772</v>
          </cell>
          <cell r="T113">
            <v>519.60261324181806</v>
          </cell>
          <cell r="W113">
            <v>519.60261324181806</v>
          </cell>
          <cell r="X113">
            <v>524.90050641573271</v>
          </cell>
          <cell r="AA113">
            <v>524.90050641573271</v>
          </cell>
          <cell r="AB113">
            <v>219.38542229591567</v>
          </cell>
          <cell r="AC113">
            <v>0</v>
          </cell>
          <cell r="AD113">
            <v>0</v>
          </cell>
          <cell r="AE113">
            <v>219.38542229591567</v>
          </cell>
          <cell r="AF113">
            <v>78.180931600854123</v>
          </cell>
          <cell r="AI113">
            <v>78.180931600854123</v>
          </cell>
        </row>
        <row r="114">
          <cell r="E114">
            <v>23</v>
          </cell>
          <cell r="F114" t="str">
            <v>Cont</v>
          </cell>
          <cell r="G114">
            <v>8.1252907606838662E-2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34.84133338277492</v>
          </cell>
          <cell r="O114">
            <v>34.84133338277492</v>
          </cell>
          <cell r="P114">
            <v>115.31501819959536</v>
          </cell>
          <cell r="S114">
            <v>115.31501819959536</v>
          </cell>
          <cell r="T114">
            <v>54.072186190871442</v>
          </cell>
          <cell r="W114">
            <v>54.072186190871442</v>
          </cell>
          <cell r="X114">
            <v>54.623508795528814</v>
          </cell>
          <cell r="AA114">
            <v>54.623508795528814</v>
          </cell>
          <cell r="AB114">
            <v>22.830234297584155</v>
          </cell>
          <cell r="AC114">
            <v>0</v>
          </cell>
          <cell r="AD114">
            <v>0</v>
          </cell>
          <cell r="AE114">
            <v>22.830234297584155</v>
          </cell>
          <cell r="AF114">
            <v>8.1358595633732325</v>
          </cell>
          <cell r="AI114">
            <v>8.1358595633732325</v>
          </cell>
        </row>
        <row r="115">
          <cell r="E115">
            <v>23</v>
          </cell>
          <cell r="F115" t="str">
            <v>Cont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O115">
            <v>0</v>
          </cell>
          <cell r="P115">
            <v>0</v>
          </cell>
          <cell r="S115">
            <v>0</v>
          </cell>
          <cell r="T115">
            <v>0</v>
          </cell>
          <cell r="W115">
            <v>0</v>
          </cell>
          <cell r="X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I115">
            <v>0</v>
          </cell>
        </row>
        <row r="116">
          <cell r="E116">
            <v>23</v>
          </cell>
          <cell r="F116" t="str">
            <v>Cont</v>
          </cell>
          <cell r="G116">
            <v>8.5711859435757487E-2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307.99026612627989</v>
          </cell>
          <cell r="O116">
            <v>307.99026612627989</v>
          </cell>
          <cell r="P116">
            <v>754.23319948014591</v>
          </cell>
          <cell r="S116">
            <v>754.23319948014591</v>
          </cell>
          <cell r="T116">
            <v>477.98707448979593</v>
          </cell>
          <cell r="W116">
            <v>477.98707448979593</v>
          </cell>
          <cell r="X116">
            <v>357.2723175950394</v>
          </cell>
          <cell r="AA116">
            <v>357.2723175950394</v>
          </cell>
          <cell r="AB116">
            <v>201.81460507807483</v>
          </cell>
          <cell r="AC116">
            <v>0</v>
          </cell>
          <cell r="AD116">
            <v>0</v>
          </cell>
          <cell r="AE116">
            <v>201.81460507807483</v>
          </cell>
          <cell r="AF116">
            <v>47.749474234020788</v>
          </cell>
          <cell r="AI116">
            <v>47.749474234020788</v>
          </cell>
        </row>
        <row r="117">
          <cell r="E117">
            <v>24</v>
          </cell>
          <cell r="F117" t="str">
            <v>Cont</v>
          </cell>
          <cell r="G117">
            <v>8.1252907606838676E-2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136.02235317814308</v>
          </cell>
          <cell r="O117">
            <v>136.02235317814308</v>
          </cell>
          <cell r="P117">
            <v>450.19574767606389</v>
          </cell>
          <cell r="S117">
            <v>450.19574767606389</v>
          </cell>
          <cell r="T117">
            <v>211.10058924453364</v>
          </cell>
          <cell r="W117">
            <v>211.10058924453364</v>
          </cell>
          <cell r="X117">
            <v>213.2529809805765</v>
          </cell>
          <cell r="AA117">
            <v>213.2529809805765</v>
          </cell>
          <cell r="AB117">
            <v>89.130406079723272</v>
          </cell>
          <cell r="AC117">
            <v>0</v>
          </cell>
          <cell r="AD117">
            <v>0</v>
          </cell>
          <cell r="AE117">
            <v>89.130406079723272</v>
          </cell>
          <cell r="AF117">
            <v>31.762813173047036</v>
          </cell>
          <cell r="AI117">
            <v>31.762813173047036</v>
          </cell>
        </row>
        <row r="118">
          <cell r="E118">
            <v>25</v>
          </cell>
          <cell r="F118" t="str">
            <v>Cont</v>
          </cell>
          <cell r="G118">
            <v>8.1252907606838662E-2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278.94010834588977</v>
          </cell>
          <cell r="O118">
            <v>278.94010834588977</v>
          </cell>
          <cell r="P118">
            <v>923.21333736342604</v>
          </cell>
          <cell r="S118">
            <v>923.21333736342604</v>
          </cell>
          <cell r="T118">
            <v>432.90253300229847</v>
          </cell>
          <cell r="W118">
            <v>432.90253300229847</v>
          </cell>
          <cell r="X118">
            <v>437.31642799842666</v>
          </cell>
          <cell r="AA118">
            <v>437.31642799842666</v>
          </cell>
          <cell r="AB118">
            <v>182.77911349048878</v>
          </cell>
          <cell r="AC118">
            <v>0</v>
          </cell>
          <cell r="AD118">
            <v>0</v>
          </cell>
          <cell r="AE118">
            <v>182.77911349048878</v>
          </cell>
          <cell r="AF118">
            <v>65.13578350064644</v>
          </cell>
          <cell r="AI118">
            <v>65.13578350064644</v>
          </cell>
        </row>
        <row r="119">
          <cell r="E119">
            <v>23</v>
          </cell>
          <cell r="F119" t="str">
            <v>Cont</v>
          </cell>
          <cell r="G119">
            <v>8.1252907606838676E-2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90.012239490130867</v>
          </cell>
          <cell r="O119">
            <v>90.012239490130867</v>
          </cell>
          <cell r="P119">
            <v>297.915206658606</v>
          </cell>
          <cell r="S119">
            <v>297.915206658606</v>
          </cell>
          <cell r="T119">
            <v>139.69495712738492</v>
          </cell>
          <cell r="W119">
            <v>139.69495712738492</v>
          </cell>
          <cell r="X119">
            <v>141.11929361248846</v>
          </cell>
          <cell r="AA119">
            <v>141.11929361248846</v>
          </cell>
          <cell r="AB119">
            <v>58.981684042721191</v>
          </cell>
          <cell r="AC119">
            <v>0</v>
          </cell>
          <cell r="AD119">
            <v>0</v>
          </cell>
          <cell r="AE119">
            <v>58.981684042721191</v>
          </cell>
          <cell r="AF119">
            <v>21.018912549382375</v>
          </cell>
          <cell r="AI119">
            <v>21.018912549382375</v>
          </cell>
        </row>
        <row r="120">
          <cell r="E120">
            <v>23</v>
          </cell>
          <cell r="F120" t="str">
            <v>Cont</v>
          </cell>
          <cell r="G120">
            <v>8.1252907606838662E-2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37.953583769665173</v>
          </cell>
          <cell r="O120">
            <v>37.953583769665173</v>
          </cell>
          <cell r="P120">
            <v>125.61569200168863</v>
          </cell>
          <cell r="S120">
            <v>125.61569200168863</v>
          </cell>
          <cell r="T120">
            <v>58.902259154604209</v>
          </cell>
          <cell r="W120">
            <v>58.902259154604209</v>
          </cell>
          <cell r="X120">
            <v>59.502829414935242</v>
          </cell>
          <cell r="AA120">
            <v>59.502829414935242</v>
          </cell>
          <cell r="AB120">
            <v>24.869576613931301</v>
          </cell>
          <cell r="AC120">
            <v>0</v>
          </cell>
          <cell r="AD120">
            <v>0</v>
          </cell>
          <cell r="AE120">
            <v>24.869576613931301</v>
          </cell>
          <cell r="AF120">
            <v>8.8626064933948978</v>
          </cell>
          <cell r="AI120">
            <v>8.8626064933948978</v>
          </cell>
        </row>
        <row r="121">
          <cell r="E121">
            <v>29</v>
          </cell>
          <cell r="F121" t="str">
            <v>Cont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O121">
            <v>0</v>
          </cell>
          <cell r="P121">
            <v>0</v>
          </cell>
          <cell r="S121">
            <v>0</v>
          </cell>
          <cell r="T121">
            <v>0</v>
          </cell>
          <cell r="W121">
            <v>0</v>
          </cell>
          <cell r="X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I121">
            <v>0</v>
          </cell>
        </row>
        <row r="122">
          <cell r="E122">
            <v>28</v>
          </cell>
          <cell r="F122" t="str">
            <v>Cont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O122">
            <v>0</v>
          </cell>
          <cell r="P122">
            <v>0</v>
          </cell>
          <cell r="S122">
            <v>0</v>
          </cell>
          <cell r="T122">
            <v>0</v>
          </cell>
          <cell r="W122">
            <v>0</v>
          </cell>
          <cell r="X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I122">
            <v>0</v>
          </cell>
        </row>
        <row r="123">
          <cell r="E123">
            <v>26</v>
          </cell>
          <cell r="F123" t="str">
            <v>Cont</v>
          </cell>
          <cell r="G123">
            <v>8.1252907606838662E-2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13.204311180016864</v>
          </cell>
          <cell r="O123">
            <v>13.204311180016864</v>
          </cell>
          <cell r="P123">
            <v>43.702557743945164</v>
          </cell>
          <cell r="S123">
            <v>43.702557743945164</v>
          </cell>
          <cell r="T123">
            <v>20.492498516175107</v>
          </cell>
          <cell r="W123">
            <v>20.492498516175107</v>
          </cell>
          <cell r="X123">
            <v>20.701441014227505</v>
          </cell>
          <cell r="AA123">
            <v>20.701441014227505</v>
          </cell>
          <cell r="AB123">
            <v>8.6522956703784306</v>
          </cell>
          <cell r="AC123">
            <v>0</v>
          </cell>
          <cell r="AD123">
            <v>0</v>
          </cell>
          <cell r="AE123">
            <v>8.6522956703784306</v>
          </cell>
          <cell r="AF123">
            <v>3.0833613688506949</v>
          </cell>
          <cell r="AI123">
            <v>3.0833613688506949</v>
          </cell>
        </row>
        <row r="124">
          <cell r="E124">
            <v>32</v>
          </cell>
          <cell r="F124" t="str">
            <v>Cont</v>
          </cell>
          <cell r="G124">
            <v>6.3544208719584716E-2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O124">
            <v>0</v>
          </cell>
          <cell r="P124">
            <v>1535.0979023714008</v>
          </cell>
          <cell r="S124">
            <v>1535.0979023714008</v>
          </cell>
          <cell r="T124">
            <v>0</v>
          </cell>
          <cell r="W124">
            <v>0</v>
          </cell>
          <cell r="X124">
            <v>727.15969768173943</v>
          </cell>
          <cell r="AA124">
            <v>727.15969768173943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144.38907242474826</v>
          </cell>
          <cell r="AI124">
            <v>144.38907242474826</v>
          </cell>
        </row>
        <row r="125">
          <cell r="E125">
            <v>32</v>
          </cell>
          <cell r="F125" t="str">
            <v>Cont</v>
          </cell>
          <cell r="G125">
            <v>6.3544208719584716E-2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O125">
            <v>0</v>
          </cell>
          <cell r="P125">
            <v>1736.4174798253289</v>
          </cell>
          <cell r="S125">
            <v>1736.4174798253289</v>
          </cell>
          <cell r="T125">
            <v>0</v>
          </cell>
          <cell r="W125">
            <v>0</v>
          </cell>
          <cell r="X125">
            <v>822.52265977859975</v>
          </cell>
          <cell r="AA125">
            <v>822.52265977859975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163.32489860535242</v>
          </cell>
          <cell r="AI125">
            <v>163.32489860535242</v>
          </cell>
        </row>
        <row r="126">
          <cell r="E126">
            <v>32</v>
          </cell>
          <cell r="F126" t="str">
            <v>Cont</v>
          </cell>
          <cell r="G126">
            <v>6.3544208719584716E-2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O126">
            <v>0</v>
          </cell>
          <cell r="P126">
            <v>32.369791469194311</v>
          </cell>
          <cell r="S126">
            <v>32.369791469194311</v>
          </cell>
          <cell r="T126">
            <v>0</v>
          </cell>
          <cell r="W126">
            <v>0</v>
          </cell>
          <cell r="X126">
            <v>15.333229067930489</v>
          </cell>
          <cell r="AA126">
            <v>15.333229067930489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3.0446554305099349</v>
          </cell>
          <cell r="AI126">
            <v>3.0446554305099349</v>
          </cell>
        </row>
        <row r="127">
          <cell r="E127">
            <v>32</v>
          </cell>
          <cell r="F127" t="str">
            <v>Cont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O127">
            <v>0</v>
          </cell>
          <cell r="P127">
            <v>0</v>
          </cell>
          <cell r="S127">
            <v>0</v>
          </cell>
          <cell r="T127">
            <v>0</v>
          </cell>
          <cell r="W127">
            <v>0</v>
          </cell>
          <cell r="X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I127">
            <v>0</v>
          </cell>
        </row>
        <row r="128">
          <cell r="E128">
            <v>32</v>
          </cell>
          <cell r="F128" t="str">
            <v>Cont</v>
          </cell>
          <cell r="G128">
            <v>6.3544208719584702E-2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O128">
            <v>0</v>
          </cell>
          <cell r="P128">
            <v>2.371131202509162</v>
          </cell>
          <cell r="S128">
            <v>2.371131202509162</v>
          </cell>
          <cell r="T128">
            <v>0</v>
          </cell>
          <cell r="W128">
            <v>0</v>
          </cell>
          <cell r="X128">
            <v>1.1231798608523873</v>
          </cell>
          <cell r="AA128">
            <v>1.1231798608523873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0.22302514673415544</v>
          </cell>
          <cell r="AI128">
            <v>0.22302514673415544</v>
          </cell>
        </row>
        <row r="129">
          <cell r="E129">
            <v>32</v>
          </cell>
          <cell r="F129" t="str">
            <v>Cont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O129">
            <v>0</v>
          </cell>
          <cell r="P129">
            <v>0</v>
          </cell>
          <cell r="S129">
            <v>0</v>
          </cell>
          <cell r="T129">
            <v>0</v>
          </cell>
          <cell r="W129">
            <v>0</v>
          </cell>
          <cell r="X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I129">
            <v>0</v>
          </cell>
        </row>
        <row r="130">
          <cell r="E130">
            <v>32</v>
          </cell>
          <cell r="F130" t="str">
            <v>ACT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O130">
            <v>0</v>
          </cell>
          <cell r="P130">
            <v>0</v>
          </cell>
          <cell r="S130">
            <v>0</v>
          </cell>
          <cell r="T130">
            <v>0</v>
          </cell>
          <cell r="W130">
            <v>0</v>
          </cell>
          <cell r="X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I130">
            <v>0</v>
          </cell>
        </row>
        <row r="131">
          <cell r="E131">
            <v>32</v>
          </cell>
          <cell r="F131" t="str">
            <v>Cont</v>
          </cell>
          <cell r="G131">
            <v>6.3544208719584716E-2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O131">
            <v>0</v>
          </cell>
          <cell r="P131">
            <v>10.43662518519802</v>
          </cell>
          <cell r="S131">
            <v>10.43662518519802</v>
          </cell>
          <cell r="T131">
            <v>0</v>
          </cell>
          <cell r="W131">
            <v>0</v>
          </cell>
          <cell r="X131">
            <v>4.9437193567671995</v>
          </cell>
          <cell r="AA131">
            <v>4.9437193567671995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0.98165376124064407</v>
          </cell>
          <cell r="AI131">
            <v>0.98165376124064407</v>
          </cell>
        </row>
        <row r="132">
          <cell r="E132">
            <v>56</v>
          </cell>
          <cell r="F132" t="str">
            <v>DH</v>
          </cell>
          <cell r="G132">
            <v>0.11021083809358596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18008.821526107193</v>
          </cell>
          <cell r="O132">
            <v>18008.821526107193</v>
          </cell>
          <cell r="P132">
            <v>7925.3555071714309</v>
          </cell>
          <cell r="S132">
            <v>7925.3555071714309</v>
          </cell>
          <cell r="T132">
            <v>15705.382636418868</v>
          </cell>
          <cell r="W132">
            <v>15705.382636418868</v>
          </cell>
          <cell r="X132">
            <v>6889.9388645711497</v>
          </cell>
          <cell r="AA132">
            <v>6889.9388645711497</v>
          </cell>
          <cell r="AB132">
            <v>14778.329917012754</v>
          </cell>
          <cell r="AC132">
            <v>0</v>
          </cell>
          <cell r="AD132">
            <v>0</v>
          </cell>
          <cell r="AE132">
            <v>14778.329917012754</v>
          </cell>
          <cell r="AF132">
            <v>3223.2792509444957</v>
          </cell>
          <cell r="AI132">
            <v>3223.2792509444957</v>
          </cell>
        </row>
        <row r="133">
          <cell r="E133">
            <v>62</v>
          </cell>
          <cell r="F133" t="str">
            <v>CUST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O133">
            <v>0</v>
          </cell>
          <cell r="P133">
            <v>0</v>
          </cell>
          <cell r="S133">
            <v>0</v>
          </cell>
          <cell r="T133">
            <v>0</v>
          </cell>
          <cell r="W133">
            <v>0</v>
          </cell>
          <cell r="X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I133">
            <v>0</v>
          </cell>
        </row>
        <row r="134">
          <cell r="E134">
            <v>62</v>
          </cell>
          <cell r="F134" t="str">
            <v>CUST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O134">
            <v>0</v>
          </cell>
          <cell r="P134">
            <v>0</v>
          </cell>
          <cell r="S134">
            <v>0</v>
          </cell>
          <cell r="T134">
            <v>0</v>
          </cell>
          <cell r="W134">
            <v>0</v>
          </cell>
          <cell r="X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I134">
            <v>0</v>
          </cell>
        </row>
        <row r="135">
          <cell r="E135">
            <v>62</v>
          </cell>
          <cell r="F135" t="str">
            <v>CUST</v>
          </cell>
          <cell r="G135">
            <v>0.1683087563617382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196.05898473182825</v>
          </cell>
          <cell r="O135">
            <v>196.05898473182825</v>
          </cell>
          <cell r="P135">
            <v>5.7940754273783117</v>
          </cell>
          <cell r="S135">
            <v>5.7940754273783117</v>
          </cell>
          <cell r="T135">
            <v>0</v>
          </cell>
          <cell r="W135">
            <v>0</v>
          </cell>
          <cell r="X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0.1174474748792901</v>
          </cell>
          <cell r="AI135">
            <v>0.1174474748792901</v>
          </cell>
        </row>
        <row r="136">
          <cell r="E136">
            <v>56</v>
          </cell>
          <cell r="F136" t="str">
            <v>DH</v>
          </cell>
          <cell r="G136">
            <v>0.11021083809358595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1028.8183552539012</v>
          </cell>
          <cell r="O136">
            <v>1028.8183552539012</v>
          </cell>
          <cell r="P136">
            <v>452.76428587346237</v>
          </cell>
          <cell r="S136">
            <v>452.76428587346237</v>
          </cell>
          <cell r="T136">
            <v>897.22616825368539</v>
          </cell>
          <cell r="W136">
            <v>897.22616825368539</v>
          </cell>
          <cell r="X136">
            <v>393.6124060184564</v>
          </cell>
          <cell r="AA136">
            <v>393.6124060184564</v>
          </cell>
          <cell r="AB136">
            <v>844.26496517716021</v>
          </cell>
          <cell r="AC136">
            <v>0</v>
          </cell>
          <cell r="AD136">
            <v>0</v>
          </cell>
          <cell r="AE136">
            <v>844.26496517716021</v>
          </cell>
          <cell r="AF136">
            <v>184.14135831560822</v>
          </cell>
          <cell r="AI136">
            <v>184.14135831560822</v>
          </cell>
        </row>
        <row r="137">
          <cell r="E137">
            <v>57</v>
          </cell>
          <cell r="F137" t="str">
            <v>DH</v>
          </cell>
          <cell r="G137">
            <v>0.11021083809358595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1208.5194496403387</v>
          </cell>
          <cell r="O137">
            <v>1208.5194496403387</v>
          </cell>
          <cell r="P137">
            <v>531.8474760742007</v>
          </cell>
          <cell r="S137">
            <v>531.8474760742007</v>
          </cell>
          <cell r="T137">
            <v>1053.9423888809374</v>
          </cell>
          <cell r="W137">
            <v>1053.9423888809374</v>
          </cell>
          <cell r="X137">
            <v>462.36368729603367</v>
          </cell>
          <cell r="AA137">
            <v>462.36368729603367</v>
          </cell>
          <cell r="AB137">
            <v>991.73058670276146</v>
          </cell>
          <cell r="AC137">
            <v>0</v>
          </cell>
          <cell r="AD137">
            <v>0</v>
          </cell>
          <cell r="AE137">
            <v>991.73058670276146</v>
          </cell>
          <cell r="AF137">
            <v>216.30486263309641</v>
          </cell>
          <cell r="AI137">
            <v>216.30486263309641</v>
          </cell>
        </row>
        <row r="138">
          <cell r="E138">
            <v>58</v>
          </cell>
          <cell r="F138" t="str">
            <v>DH</v>
          </cell>
          <cell r="G138">
            <v>0.11021083809358594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1295.4175311477331</v>
          </cell>
          <cell r="O138">
            <v>1295.4175311477331</v>
          </cell>
          <cell r="P138">
            <v>570.08974461125422</v>
          </cell>
          <cell r="S138">
            <v>570.08974461125422</v>
          </cell>
          <cell r="T138">
            <v>1129.7256720050361</v>
          </cell>
          <cell r="W138">
            <v>1129.7256720050361</v>
          </cell>
          <cell r="X138">
            <v>495.60975329577207</v>
          </cell>
          <cell r="AA138">
            <v>495.60975329577207</v>
          </cell>
          <cell r="AB138">
            <v>1063.0405564201044</v>
          </cell>
          <cell r="AC138">
            <v>0</v>
          </cell>
          <cell r="AD138">
            <v>0</v>
          </cell>
          <cell r="AE138">
            <v>1063.0405564201044</v>
          </cell>
          <cell r="AF138">
            <v>231.85817258531148</v>
          </cell>
          <cell r="AI138">
            <v>231.85817258531148</v>
          </cell>
        </row>
        <row r="139">
          <cell r="E139">
            <v>56</v>
          </cell>
          <cell r="F139" t="str">
            <v>DH</v>
          </cell>
          <cell r="G139">
            <v>0.11021083809358596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240.69967014099589</v>
          </cell>
          <cell r="O139">
            <v>240.69967014099589</v>
          </cell>
          <cell r="P139">
            <v>105.92755631237821</v>
          </cell>
          <cell r="S139">
            <v>105.92755631237821</v>
          </cell>
          <cell r="T139">
            <v>209.91270386815236</v>
          </cell>
          <cell r="W139">
            <v>209.91270386815236</v>
          </cell>
          <cell r="X139">
            <v>92.088536142674869</v>
          </cell>
          <cell r="AA139">
            <v>92.088536142674869</v>
          </cell>
          <cell r="AB139">
            <v>197.52203835787006</v>
          </cell>
          <cell r="AC139">
            <v>0</v>
          </cell>
          <cell r="AD139">
            <v>0</v>
          </cell>
          <cell r="AE139">
            <v>197.52203835787006</v>
          </cell>
          <cell r="AF139">
            <v>43.081233902503087</v>
          </cell>
          <cell r="AI139">
            <v>43.081233902503087</v>
          </cell>
        </row>
        <row r="140">
          <cell r="E140">
            <v>56</v>
          </cell>
          <cell r="F140" t="str">
            <v>DH</v>
          </cell>
          <cell r="G140">
            <v>0.11021083809358598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10.548655302481038</v>
          </cell>
          <cell r="O140">
            <v>10.548655302481038</v>
          </cell>
          <cell r="P140">
            <v>4.6422717485191649</v>
          </cell>
          <cell r="S140">
            <v>4.6422717485191649</v>
          </cell>
          <cell r="T140">
            <v>9.1994174957524333</v>
          </cell>
          <cell r="W140">
            <v>9.1994174957524333</v>
          </cell>
          <cell r="X140">
            <v>4.0357771346762377</v>
          </cell>
          <cell r="AA140">
            <v>4.0357771346762377</v>
          </cell>
          <cell r="AB140">
            <v>8.6563969782762591</v>
          </cell>
          <cell r="AC140">
            <v>0</v>
          </cell>
          <cell r="AD140">
            <v>0</v>
          </cell>
          <cell r="AE140">
            <v>8.6563969782762591</v>
          </cell>
          <cell r="AF140">
            <v>1.8880336901868624</v>
          </cell>
          <cell r="AI140">
            <v>1.8880336901868624</v>
          </cell>
        </row>
        <row r="141">
          <cell r="E141">
            <v>29</v>
          </cell>
          <cell r="F141" t="str">
            <v>DH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O141">
            <v>0</v>
          </cell>
          <cell r="P141">
            <v>0</v>
          </cell>
          <cell r="S141">
            <v>0</v>
          </cell>
          <cell r="T141">
            <v>0</v>
          </cell>
          <cell r="W141">
            <v>0</v>
          </cell>
          <cell r="X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I141">
            <v>0</v>
          </cell>
        </row>
        <row r="142">
          <cell r="E142">
            <v>28</v>
          </cell>
          <cell r="F142" t="str">
            <v>DH</v>
          </cell>
          <cell r="G142">
            <v>0.11021083809358598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48.120185131677005</v>
          </cell>
          <cell r="O142">
            <v>48.120185131677005</v>
          </cell>
          <cell r="P142">
            <v>21.176820131543742</v>
          </cell>
          <cell r="S142">
            <v>21.176820131543742</v>
          </cell>
          <cell r="T142">
            <v>41.965317882278129</v>
          </cell>
          <cell r="W142">
            <v>41.965317882278129</v>
          </cell>
          <cell r="X142">
            <v>18.41015155980433</v>
          </cell>
          <cell r="AA142">
            <v>18.41015155980433</v>
          </cell>
          <cell r="AB142">
            <v>39.488201408000428</v>
          </cell>
          <cell r="AC142">
            <v>0</v>
          </cell>
          <cell r="AD142">
            <v>0</v>
          </cell>
          <cell r="AE142">
            <v>39.488201408000428</v>
          </cell>
          <cell r="AF142">
            <v>8.6127120567933098</v>
          </cell>
          <cell r="AI142">
            <v>8.6127120567933098</v>
          </cell>
        </row>
        <row r="143">
          <cell r="E143">
            <v>86</v>
          </cell>
          <cell r="F143" t="str">
            <v>DH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O143">
            <v>0</v>
          </cell>
          <cell r="P143">
            <v>0</v>
          </cell>
          <cell r="S143">
            <v>0</v>
          </cell>
          <cell r="T143">
            <v>0</v>
          </cell>
          <cell r="W143">
            <v>0</v>
          </cell>
          <cell r="X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I143">
            <v>0</v>
          </cell>
        </row>
        <row r="144">
          <cell r="E144">
            <v>60</v>
          </cell>
          <cell r="F144" t="str">
            <v>DH</v>
          </cell>
          <cell r="G144">
            <v>0.11021083809358595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266.00779153765819</v>
          </cell>
          <cell r="O144">
            <v>266.00779153765819</v>
          </cell>
          <cell r="P144">
            <v>117.06520121581779</v>
          </cell>
          <cell r="S144">
            <v>117.06520121581779</v>
          </cell>
          <cell r="T144">
            <v>231.98376108682194</v>
          </cell>
          <cell r="W144">
            <v>231.98376108682194</v>
          </cell>
          <cell r="X144">
            <v>101.77109138080436</v>
          </cell>
          <cell r="AA144">
            <v>101.77109138080436</v>
          </cell>
          <cell r="AB144">
            <v>218.29029168513438</v>
          </cell>
          <cell r="AC144">
            <v>0</v>
          </cell>
          <cell r="AD144">
            <v>0</v>
          </cell>
          <cell r="AE144">
            <v>218.29029168513438</v>
          </cell>
          <cell r="AF144">
            <v>47.610966315031433</v>
          </cell>
          <cell r="AI144">
            <v>47.610966315031433</v>
          </cell>
        </row>
        <row r="145">
          <cell r="E145">
            <v>84</v>
          </cell>
          <cell r="F145" t="str">
            <v>CUST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O145">
            <v>0</v>
          </cell>
          <cell r="P145">
            <v>0</v>
          </cell>
          <cell r="S145">
            <v>0</v>
          </cell>
          <cell r="T145">
            <v>0</v>
          </cell>
          <cell r="W145">
            <v>0</v>
          </cell>
          <cell r="X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I145">
            <v>0</v>
          </cell>
        </row>
        <row r="146">
          <cell r="E146">
            <v>30</v>
          </cell>
          <cell r="F146" t="str">
            <v>TH</v>
          </cell>
          <cell r="G146">
            <v>0.10792364863995128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2.0122323752089453</v>
          </cell>
          <cell r="O146">
            <v>2.0122323752089453</v>
          </cell>
          <cell r="P146">
            <v>1.0188335424822648</v>
          </cell>
          <cell r="S146">
            <v>1.0188335424822648</v>
          </cell>
          <cell r="T146">
            <v>1.8256225253080067</v>
          </cell>
          <cell r="W146">
            <v>1.8256225253080067</v>
          </cell>
          <cell r="X146">
            <v>0.87735742463692556</v>
          </cell>
          <cell r="AA146">
            <v>0.87735742463692556</v>
          </cell>
          <cell r="AB146">
            <v>1.6348904707634324</v>
          </cell>
          <cell r="AC146">
            <v>0</v>
          </cell>
          <cell r="AD146">
            <v>0</v>
          </cell>
          <cell r="AE146">
            <v>1.6348904707634324</v>
          </cell>
          <cell r="AF146">
            <v>0.4404188771873</v>
          </cell>
          <cell r="AI146">
            <v>0.4404188771873</v>
          </cell>
        </row>
        <row r="147">
          <cell r="E147">
            <v>74</v>
          </cell>
          <cell r="F147" t="str">
            <v>CUST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O147">
            <v>0</v>
          </cell>
          <cell r="P147">
            <v>0</v>
          </cell>
          <cell r="S147">
            <v>0</v>
          </cell>
          <cell r="T147">
            <v>0</v>
          </cell>
          <cell r="W147">
            <v>0</v>
          </cell>
          <cell r="X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I147">
            <v>0</v>
          </cell>
        </row>
        <row r="148">
          <cell r="E148">
            <v>87</v>
          </cell>
          <cell r="F148" t="str">
            <v>REV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O148">
            <v>0</v>
          </cell>
          <cell r="P148">
            <v>0</v>
          </cell>
          <cell r="S148">
            <v>0</v>
          </cell>
          <cell r="T148">
            <v>0</v>
          </cell>
          <cell r="W148">
            <v>0</v>
          </cell>
          <cell r="X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I148">
            <v>0</v>
          </cell>
        </row>
        <row r="149">
          <cell r="E149">
            <v>87</v>
          </cell>
          <cell r="F149" t="str">
            <v>REV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O149">
            <v>0</v>
          </cell>
          <cell r="P149">
            <v>0</v>
          </cell>
          <cell r="S149">
            <v>0</v>
          </cell>
          <cell r="T149">
            <v>0</v>
          </cell>
          <cell r="W149">
            <v>0</v>
          </cell>
          <cell r="X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I149">
            <v>0</v>
          </cell>
        </row>
        <row r="150">
          <cell r="E150">
            <v>56</v>
          </cell>
          <cell r="F150" t="str">
            <v>DH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O150">
            <v>0</v>
          </cell>
          <cell r="P150">
            <v>0</v>
          </cell>
          <cell r="S150">
            <v>0</v>
          </cell>
          <cell r="T150">
            <v>0</v>
          </cell>
          <cell r="W150">
            <v>0</v>
          </cell>
          <cell r="X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I150">
            <v>0</v>
          </cell>
        </row>
        <row r="151">
          <cell r="E151">
            <v>42</v>
          </cell>
          <cell r="F151" t="str">
            <v>DH</v>
          </cell>
          <cell r="G151">
            <v>0.11021083809358594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486.50451952948498</v>
          </cell>
          <cell r="O151">
            <v>486.50451952948498</v>
          </cell>
          <cell r="P151">
            <v>214.1018093564422</v>
          </cell>
          <cell r="S151">
            <v>214.1018093564422</v>
          </cell>
          <cell r="T151">
            <v>424.27760320024169</v>
          </cell>
          <cell r="W151">
            <v>424.27760320024169</v>
          </cell>
          <cell r="X151">
            <v>186.1302468924118</v>
          </cell>
          <cell r="AA151">
            <v>186.1302468924118</v>
          </cell>
          <cell r="AB151">
            <v>399.23346929179331</v>
          </cell>
          <cell r="AC151">
            <v>0</v>
          </cell>
          <cell r="AD151">
            <v>0</v>
          </cell>
          <cell r="AE151">
            <v>399.23346929179331</v>
          </cell>
          <cell r="AF151">
            <v>87.076209901730365</v>
          </cell>
          <cell r="AI151">
            <v>87.076209901730365</v>
          </cell>
        </row>
        <row r="152">
          <cell r="E152">
            <v>42</v>
          </cell>
          <cell r="F152" t="str">
            <v>DH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O152">
            <v>0</v>
          </cell>
          <cell r="P152">
            <v>0</v>
          </cell>
          <cell r="S152">
            <v>0</v>
          </cell>
          <cell r="T152">
            <v>0</v>
          </cell>
          <cell r="W152">
            <v>0</v>
          </cell>
          <cell r="X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I152">
            <v>0</v>
          </cell>
        </row>
        <row r="153">
          <cell r="E153">
            <v>34</v>
          </cell>
          <cell r="F153" t="str">
            <v>DH</v>
          </cell>
          <cell r="G153">
            <v>0.11021083809358596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1018.4556651176597</v>
          </cell>
          <cell r="O153">
            <v>1018.4556651176597</v>
          </cell>
          <cell r="P153">
            <v>448.20385401947829</v>
          </cell>
          <cell r="S153">
            <v>448.20385401947829</v>
          </cell>
          <cell r="T153">
            <v>888.18892983714693</v>
          </cell>
          <cell r="W153">
            <v>888.18892983714693</v>
          </cell>
          <cell r="X153">
            <v>389.64777671677257</v>
          </cell>
          <cell r="AA153">
            <v>389.64777671677257</v>
          </cell>
          <cell r="AB153">
            <v>835.76117421898209</v>
          </cell>
          <cell r="AC153">
            <v>0</v>
          </cell>
          <cell r="AD153">
            <v>0</v>
          </cell>
          <cell r="AE153">
            <v>835.76117421898209</v>
          </cell>
          <cell r="AF153">
            <v>182.28660929431925</v>
          </cell>
          <cell r="AI153">
            <v>182.28660929431925</v>
          </cell>
        </row>
        <row r="154">
          <cell r="E154">
            <v>75</v>
          </cell>
          <cell r="F154" t="str">
            <v>CUST</v>
          </cell>
          <cell r="G154">
            <v>0.1683087563617382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4784.3163043194572</v>
          </cell>
          <cell r="O154">
            <v>4784.3163043194572</v>
          </cell>
          <cell r="P154">
            <v>141.38953934490408</v>
          </cell>
          <cell r="S154">
            <v>141.38953934490408</v>
          </cell>
          <cell r="T154">
            <v>0</v>
          </cell>
          <cell r="W154">
            <v>0</v>
          </cell>
          <cell r="X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2.8660041759102182</v>
          </cell>
          <cell r="AI154">
            <v>2.8660041759102182</v>
          </cell>
        </row>
        <row r="155">
          <cell r="E155">
            <v>75</v>
          </cell>
          <cell r="F155" t="str">
            <v>CUST</v>
          </cell>
          <cell r="G155">
            <v>0.1683087563617382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369.60059506720597</v>
          </cell>
          <cell r="O155">
            <v>369.60059506720597</v>
          </cell>
          <cell r="P155">
            <v>10.922701291922222</v>
          </cell>
          <cell r="S155">
            <v>10.922701291922222</v>
          </cell>
          <cell r="T155">
            <v>0</v>
          </cell>
          <cell r="W155">
            <v>0</v>
          </cell>
          <cell r="X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0.22140610726869375</v>
          </cell>
          <cell r="AI155">
            <v>0.22140610726869375</v>
          </cell>
        </row>
        <row r="156">
          <cell r="E156">
            <v>43</v>
          </cell>
          <cell r="F156" t="str">
            <v>DH</v>
          </cell>
          <cell r="G156">
            <v>0.11021083809358594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8224.6681056296711</v>
          </cell>
          <cell r="O156">
            <v>8224.6681056296711</v>
          </cell>
          <cell r="P156">
            <v>3619.5271617919948</v>
          </cell>
          <cell r="S156">
            <v>3619.5271617919948</v>
          </cell>
          <cell r="T156">
            <v>7172.6825361229621</v>
          </cell>
          <cell r="W156">
            <v>7172.6825361229621</v>
          </cell>
          <cell r="X156">
            <v>3146.6501207214724</v>
          </cell>
          <cell r="AA156">
            <v>3146.6501207214724</v>
          </cell>
          <cell r="AB156">
            <v>6749.2955353420784</v>
          </cell>
          <cell r="AC156">
            <v>0</v>
          </cell>
          <cell r="AD156">
            <v>0</v>
          </cell>
          <cell r="AE156">
            <v>6749.2955353420784</v>
          </cell>
          <cell r="AF156">
            <v>1472.0786705753762</v>
          </cell>
          <cell r="AI156">
            <v>1472.0786705753762</v>
          </cell>
        </row>
        <row r="157">
          <cell r="E157">
            <v>43</v>
          </cell>
          <cell r="F157" t="str">
            <v>DH</v>
          </cell>
          <cell r="G157">
            <v>0.11021083809358596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51.609654053428152</v>
          </cell>
          <cell r="O157">
            <v>51.609654053428152</v>
          </cell>
          <cell r="P157">
            <v>22.712472072788898</v>
          </cell>
          <cell r="S157">
            <v>22.712472072788898</v>
          </cell>
          <cell r="T157">
            <v>45.008462295395098</v>
          </cell>
          <cell r="W157">
            <v>45.008462295395098</v>
          </cell>
          <cell r="X157">
            <v>19.745176592165983</v>
          </cell>
          <cell r="AA157">
            <v>19.745176592165983</v>
          </cell>
          <cell r="AB157">
            <v>42.351715985344811</v>
          </cell>
          <cell r="AC157">
            <v>0</v>
          </cell>
          <cell r="AD157">
            <v>0</v>
          </cell>
          <cell r="AE157">
            <v>42.351715985344811</v>
          </cell>
          <cell r="AF157">
            <v>9.2372689027807464</v>
          </cell>
          <cell r="AI157">
            <v>9.2372689027807464</v>
          </cell>
        </row>
        <row r="158">
          <cell r="E158">
            <v>85</v>
          </cell>
          <cell r="F158" t="str">
            <v>DH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O158">
            <v>0</v>
          </cell>
          <cell r="P158">
            <v>0</v>
          </cell>
          <cell r="S158">
            <v>0</v>
          </cell>
          <cell r="T158">
            <v>0</v>
          </cell>
          <cell r="W158">
            <v>0</v>
          </cell>
          <cell r="X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I158">
            <v>0</v>
          </cell>
        </row>
        <row r="159">
          <cell r="E159">
            <v>54</v>
          </cell>
          <cell r="F159" t="str">
            <v>DH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O159">
            <v>0</v>
          </cell>
          <cell r="P159">
            <v>0</v>
          </cell>
          <cell r="S159">
            <v>0</v>
          </cell>
          <cell r="T159">
            <v>0</v>
          </cell>
          <cell r="W159">
            <v>0</v>
          </cell>
          <cell r="X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I159">
            <v>0</v>
          </cell>
        </row>
        <row r="160">
          <cell r="E160">
            <v>54</v>
          </cell>
          <cell r="F160" t="str">
            <v>DH</v>
          </cell>
          <cell r="G160">
            <v>0.11021083809358595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1415.8347869223701</v>
          </cell>
          <cell r="O160">
            <v>1415.8347869223701</v>
          </cell>
          <cell r="P160">
            <v>623.08319339570005</v>
          </cell>
          <cell r="S160">
            <v>623.08319339570005</v>
          </cell>
          <cell r="T160">
            <v>1234.7408211210702</v>
          </cell>
          <cell r="W160">
            <v>1234.7408211210702</v>
          </cell>
          <cell r="X160">
            <v>541.67981564404477</v>
          </cell>
          <cell r="AA160">
            <v>541.67981564404477</v>
          </cell>
          <cell r="AB160">
            <v>1161.8569021181877</v>
          </cell>
          <cell r="AC160">
            <v>0</v>
          </cell>
          <cell r="AD160">
            <v>0</v>
          </cell>
          <cell r="AE160">
            <v>1161.8569021181877</v>
          </cell>
          <cell r="AF160">
            <v>253.41085672021629</v>
          </cell>
          <cell r="AI160">
            <v>253.41085672021629</v>
          </cell>
        </row>
        <row r="161">
          <cell r="E161">
            <v>54</v>
          </cell>
          <cell r="F161" t="str">
            <v>DH</v>
          </cell>
          <cell r="G161">
            <v>0.11021083809358598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205.44132677151256</v>
          </cell>
          <cell r="O161">
            <v>205.44132677151256</v>
          </cell>
          <cell r="P161">
            <v>90.410999307691228</v>
          </cell>
          <cell r="S161">
            <v>90.410999307691228</v>
          </cell>
          <cell r="T161">
            <v>179.16411918473932</v>
          </cell>
          <cell r="W161">
            <v>179.16411918473932</v>
          </cell>
          <cell r="X161">
            <v>78.599156511163287</v>
          </cell>
          <cell r="AA161">
            <v>78.599156511163287</v>
          </cell>
          <cell r="AB161">
            <v>168.58847211167401</v>
          </cell>
          <cell r="AC161">
            <v>0</v>
          </cell>
          <cell r="AD161">
            <v>0</v>
          </cell>
          <cell r="AE161">
            <v>168.58847211167401</v>
          </cell>
          <cell r="AF161">
            <v>36.770577403365778</v>
          </cell>
          <cell r="AI161">
            <v>36.770577403365778</v>
          </cell>
        </row>
        <row r="162">
          <cell r="E162">
            <v>37</v>
          </cell>
          <cell r="F162" t="str">
            <v>DH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O162">
            <v>0</v>
          </cell>
          <cell r="P162">
            <v>0</v>
          </cell>
          <cell r="S162">
            <v>0</v>
          </cell>
          <cell r="T162">
            <v>0</v>
          </cell>
          <cell r="W162">
            <v>0</v>
          </cell>
          <cell r="X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I162">
            <v>0</v>
          </cell>
        </row>
        <row r="163">
          <cell r="E163">
            <v>54</v>
          </cell>
          <cell r="F163" t="str">
            <v>DH</v>
          </cell>
          <cell r="G163">
            <v>0.11021083809358596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2003.17770907316</v>
          </cell>
          <cell r="O163">
            <v>2003.17770907316</v>
          </cell>
          <cell r="P163">
            <v>881.56215360515989</v>
          </cell>
          <cell r="S163">
            <v>881.56215360515989</v>
          </cell>
          <cell r="T163">
            <v>1746.9589758625095</v>
          </cell>
          <cell r="W163">
            <v>1746.9589758625095</v>
          </cell>
          <cell r="X163">
            <v>766.38951251626793</v>
          </cell>
          <cell r="AA163">
            <v>766.38951251626793</v>
          </cell>
          <cell r="AB163">
            <v>1643.8399938703874</v>
          </cell>
          <cell r="AC163">
            <v>0</v>
          </cell>
          <cell r="AD163">
            <v>0</v>
          </cell>
          <cell r="AE163">
            <v>1643.8399938703874</v>
          </cell>
          <cell r="AF163">
            <v>358.53546198176775</v>
          </cell>
          <cell r="AI163">
            <v>358.53546198176775</v>
          </cell>
        </row>
        <row r="164">
          <cell r="E164">
            <v>47</v>
          </cell>
          <cell r="F164" t="str">
            <v>TH</v>
          </cell>
          <cell r="G164">
            <v>0.10792364863995126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2816.2960719836683</v>
          </cell>
          <cell r="O164">
            <v>2816.2960719836683</v>
          </cell>
          <cell r="P164">
            <v>1425.9470919207643</v>
          </cell>
          <cell r="S164">
            <v>1425.9470919207643</v>
          </cell>
          <cell r="T164">
            <v>2555.1191851865342</v>
          </cell>
          <cell r="W164">
            <v>2555.1191851865342</v>
          </cell>
          <cell r="X164">
            <v>1227.9388301135493</v>
          </cell>
          <cell r="AA164">
            <v>1227.9388301135493</v>
          </cell>
          <cell r="AB164">
            <v>2288.1729106741373</v>
          </cell>
          <cell r="AC164">
            <v>0</v>
          </cell>
          <cell r="AD164">
            <v>0</v>
          </cell>
          <cell r="AE164">
            <v>2288.1729106741373</v>
          </cell>
          <cell r="AF164">
            <v>616.40492874052677</v>
          </cell>
          <cell r="AI164">
            <v>616.40492874052677</v>
          </cell>
        </row>
        <row r="165">
          <cell r="E165">
            <v>86</v>
          </cell>
          <cell r="F165" t="str">
            <v>REV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O165">
            <v>0</v>
          </cell>
          <cell r="P165">
            <v>0</v>
          </cell>
          <cell r="S165">
            <v>0</v>
          </cell>
          <cell r="T165">
            <v>0</v>
          </cell>
          <cell r="W165">
            <v>0</v>
          </cell>
          <cell r="X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I165">
            <v>0</v>
          </cell>
        </row>
        <row r="166">
          <cell r="E166">
            <v>54</v>
          </cell>
          <cell r="F166" t="str">
            <v>DH</v>
          </cell>
          <cell r="G166">
            <v>0.11021083809358595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156.0043496572238</v>
          </cell>
          <cell r="O166">
            <v>156.0043496572238</v>
          </cell>
          <cell r="P166">
            <v>68.654682923377024</v>
          </cell>
          <cell r="S166">
            <v>68.654682923377024</v>
          </cell>
          <cell r="T166">
            <v>136.05043510262377</v>
          </cell>
          <cell r="W166">
            <v>136.05043510262377</v>
          </cell>
          <cell r="X166">
            <v>59.685217613336867</v>
          </cell>
          <cell r="AA166">
            <v>59.685217613336867</v>
          </cell>
          <cell r="AB166">
            <v>128.01968992703016</v>
          </cell>
          <cell r="AC166">
            <v>0</v>
          </cell>
          <cell r="AD166">
            <v>0</v>
          </cell>
          <cell r="AE166">
            <v>128.01968992703016</v>
          </cell>
          <cell r="AF166">
            <v>27.922181503006723</v>
          </cell>
          <cell r="AI166">
            <v>27.922181503006723</v>
          </cell>
        </row>
        <row r="167">
          <cell r="E167">
            <v>34</v>
          </cell>
          <cell r="F167" t="str">
            <v>DH</v>
          </cell>
          <cell r="G167">
            <v>0.11021083809358595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45.065967569833091</v>
          </cell>
          <cell r="O167">
            <v>45.065967569833091</v>
          </cell>
          <cell r="P167">
            <v>19.832714414311301</v>
          </cell>
          <cell r="S167">
            <v>19.832714414311301</v>
          </cell>
          <cell r="T167">
            <v>39.301753506669719</v>
          </cell>
          <cell r="W167">
            <v>39.301753506669719</v>
          </cell>
          <cell r="X167">
            <v>17.241647987835574</v>
          </cell>
          <cell r="AA167">
            <v>17.241647987835574</v>
          </cell>
          <cell r="AB167">
            <v>36.981861129052682</v>
          </cell>
          <cell r="AC167">
            <v>0</v>
          </cell>
          <cell r="AD167">
            <v>0</v>
          </cell>
          <cell r="AE167">
            <v>36.981861129052682</v>
          </cell>
          <cell r="AF167">
            <v>8.066057958373257</v>
          </cell>
          <cell r="AI167">
            <v>8.066057958373257</v>
          </cell>
        </row>
        <row r="168">
          <cell r="E168">
            <v>47</v>
          </cell>
          <cell r="F168" t="str">
            <v>TH</v>
          </cell>
          <cell r="G168">
            <v>0.10792364863995128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226.53631991251552</v>
          </cell>
          <cell r="O168">
            <v>226.53631991251552</v>
          </cell>
          <cell r="P168">
            <v>114.69987470676581</v>
          </cell>
          <cell r="S168">
            <v>114.69987470676581</v>
          </cell>
          <cell r="T168">
            <v>205.52785728324491</v>
          </cell>
          <cell r="W168">
            <v>205.52785728324491</v>
          </cell>
          <cell r="X168">
            <v>98.772549668640167</v>
          </cell>
          <cell r="AA168">
            <v>98.772549668640167</v>
          </cell>
          <cell r="AB168">
            <v>184.05531849587229</v>
          </cell>
          <cell r="AC168">
            <v>0</v>
          </cell>
          <cell r="AD168">
            <v>0</v>
          </cell>
          <cell r="AE168">
            <v>184.05531849587229</v>
          </cell>
          <cell r="AF168">
            <v>49.582181902650838</v>
          </cell>
          <cell r="AI168">
            <v>49.582181902650838</v>
          </cell>
        </row>
        <row r="169">
          <cell r="E169">
            <v>46</v>
          </cell>
          <cell r="F169" t="str">
            <v>DH</v>
          </cell>
          <cell r="G169">
            <v>0.11021083809358598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4.6239863458273778</v>
          </cell>
          <cell r="O169">
            <v>4.6239863458273778</v>
          </cell>
          <cell r="P169">
            <v>2.0349324689492945</v>
          </cell>
          <cell r="S169">
            <v>2.0349324689492945</v>
          </cell>
          <cell r="T169">
            <v>4.0325500900498499</v>
          </cell>
          <cell r="W169">
            <v>4.0325500900498499</v>
          </cell>
          <cell r="X169">
            <v>1.7690765154830794</v>
          </cell>
          <cell r="AA169">
            <v>1.7690765154830794</v>
          </cell>
          <cell r="AB169">
            <v>3.7945179062014138</v>
          </cell>
          <cell r="AC169">
            <v>0</v>
          </cell>
          <cell r="AD169">
            <v>0</v>
          </cell>
          <cell r="AE169">
            <v>3.7945179062014138</v>
          </cell>
          <cell r="AF169">
            <v>0.8276165779948067</v>
          </cell>
          <cell r="AI169">
            <v>0.8276165779948067</v>
          </cell>
        </row>
        <row r="170">
          <cell r="E170">
            <v>46</v>
          </cell>
          <cell r="F170" t="str">
            <v>DH</v>
          </cell>
          <cell r="G170">
            <v>0.11021083809358595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2571.5103792303044</v>
          </cell>
          <cell r="O170">
            <v>2571.5103792303044</v>
          </cell>
          <cell r="P170">
            <v>1131.675046933889</v>
          </cell>
          <cell r="S170">
            <v>1131.675046933889</v>
          </cell>
          <cell r="T170">
            <v>2242.5984066079268</v>
          </cell>
          <cell r="W170">
            <v>2242.5984066079268</v>
          </cell>
          <cell r="X170">
            <v>983.82613636444955</v>
          </cell>
          <cell r="AA170">
            <v>983.82613636444955</v>
          </cell>
          <cell r="AB170">
            <v>2110.2229656835689</v>
          </cell>
          <cell r="AC170">
            <v>0</v>
          </cell>
          <cell r="AD170">
            <v>0</v>
          </cell>
          <cell r="AE170">
            <v>2110.2229656835689</v>
          </cell>
          <cell r="AF170">
            <v>460.2575486100198</v>
          </cell>
          <cell r="AI170">
            <v>460.2575486100198</v>
          </cell>
        </row>
        <row r="171">
          <cell r="E171">
            <v>46</v>
          </cell>
          <cell r="F171" t="str">
            <v>DH</v>
          </cell>
          <cell r="G171">
            <v>0.11021083809358595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1554.1307604835738</v>
          </cell>
          <cell r="O171">
            <v>1554.1307604835738</v>
          </cell>
          <cell r="P171">
            <v>683.94474139283</v>
          </cell>
          <cell r="S171">
            <v>683.94474139283</v>
          </cell>
          <cell r="T171">
            <v>1355.3478902014128</v>
          </cell>
          <cell r="W171">
            <v>1355.3478902014128</v>
          </cell>
          <cell r="X171">
            <v>594.59004087292521</v>
          </cell>
          <cell r="AA171">
            <v>594.59004087292521</v>
          </cell>
          <cell r="AB171">
            <v>1275.3448125025009</v>
          </cell>
          <cell r="AC171">
            <v>0</v>
          </cell>
          <cell r="AD171">
            <v>0</v>
          </cell>
          <cell r="AE171">
            <v>1275.3448125025009</v>
          </cell>
          <cell r="AF171">
            <v>278.16353370259259</v>
          </cell>
          <cell r="AI171">
            <v>278.16353370259259</v>
          </cell>
        </row>
        <row r="172">
          <cell r="E172">
            <v>46</v>
          </cell>
          <cell r="F172" t="str">
            <v>DH</v>
          </cell>
          <cell r="G172">
            <v>0.11021083809358595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274.96579553717464</v>
          </cell>
          <cell r="O172">
            <v>274.96579553717464</v>
          </cell>
          <cell r="P172">
            <v>121.00745619501841</v>
          </cell>
          <cell r="S172">
            <v>121.00745619501841</v>
          </cell>
          <cell r="T172">
            <v>239.79598135159725</v>
          </cell>
          <cell r="W172">
            <v>239.79598135159725</v>
          </cell>
          <cell r="X172">
            <v>105.19830619415443</v>
          </cell>
          <cell r="AA172">
            <v>105.19830619415443</v>
          </cell>
          <cell r="AB172">
            <v>225.64137450367735</v>
          </cell>
          <cell r="AC172">
            <v>0</v>
          </cell>
          <cell r="AD172">
            <v>0</v>
          </cell>
          <cell r="AE172">
            <v>225.64137450367735</v>
          </cell>
          <cell r="AF172">
            <v>49.214299902388085</v>
          </cell>
          <cell r="AI172">
            <v>49.214299902388085</v>
          </cell>
        </row>
        <row r="173">
          <cell r="E173">
            <v>27</v>
          </cell>
          <cell r="F173" t="str">
            <v>DH</v>
          </cell>
          <cell r="G173">
            <v>0.11021083809358596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746.50470867796435</v>
          </cell>
          <cell r="O173">
            <v>746.50470867796435</v>
          </cell>
          <cell r="P173">
            <v>328.52317379421476</v>
          </cell>
          <cell r="S173">
            <v>328.52317379421476</v>
          </cell>
          <cell r="T173">
            <v>651.02217114426207</v>
          </cell>
          <cell r="W173">
            <v>651.02217114426207</v>
          </cell>
          <cell r="X173">
            <v>285.60290841071304</v>
          </cell>
          <cell r="AA173">
            <v>285.60290841071304</v>
          </cell>
          <cell r="AB173">
            <v>612.59382539014814</v>
          </cell>
          <cell r="AC173">
            <v>0</v>
          </cell>
          <cell r="AD173">
            <v>0</v>
          </cell>
          <cell r="AE173">
            <v>612.59382539014814</v>
          </cell>
          <cell r="AF173">
            <v>133.61191540078377</v>
          </cell>
          <cell r="AI173">
            <v>133.61191540078377</v>
          </cell>
        </row>
        <row r="174">
          <cell r="E174">
            <v>27</v>
          </cell>
          <cell r="F174" t="str">
            <v>DH</v>
          </cell>
          <cell r="G174">
            <v>0.11021083809358595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551.57773021346384</v>
          </cell>
          <cell r="O174">
            <v>551.57773021346384</v>
          </cell>
          <cell r="P174">
            <v>242.73934834898273</v>
          </cell>
          <cell r="S174">
            <v>242.73934834898273</v>
          </cell>
          <cell r="T174">
            <v>481.0275505352522</v>
          </cell>
          <cell r="W174">
            <v>481.0275505352522</v>
          </cell>
          <cell r="X174">
            <v>211.02640362782083</v>
          </cell>
          <cell r="AA174">
            <v>211.02640362782083</v>
          </cell>
          <cell r="AB174">
            <v>452.63359738196243</v>
          </cell>
          <cell r="AC174">
            <v>0</v>
          </cell>
          <cell r="AD174">
            <v>0</v>
          </cell>
          <cell r="AE174">
            <v>452.63359738196243</v>
          </cell>
          <cell r="AF174">
            <v>98.723231306542317</v>
          </cell>
          <cell r="AI174">
            <v>98.723231306542317</v>
          </cell>
        </row>
        <row r="175">
          <cell r="E175">
            <v>46</v>
          </cell>
          <cell r="F175" t="str">
            <v>DH</v>
          </cell>
          <cell r="G175">
            <v>0.11021083809358595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1033.0987857489456</v>
          </cell>
          <cell r="O175">
            <v>1033.0987857489456</v>
          </cell>
          <cell r="P175">
            <v>454.64802564776056</v>
          </cell>
          <cell r="S175">
            <v>454.64802564776056</v>
          </cell>
          <cell r="T175">
            <v>900.95910539650799</v>
          </cell>
          <cell r="W175">
            <v>900.95910539650799</v>
          </cell>
          <cell r="X175">
            <v>395.25004257241682</v>
          </cell>
          <cell r="AA175">
            <v>395.25004257241682</v>
          </cell>
          <cell r="AB175">
            <v>847.7775556012981</v>
          </cell>
          <cell r="AC175">
            <v>0</v>
          </cell>
          <cell r="AD175">
            <v>0</v>
          </cell>
          <cell r="AE175">
            <v>847.7775556012981</v>
          </cell>
          <cell r="AF175">
            <v>184.90748411566602</v>
          </cell>
          <cell r="AI175">
            <v>184.90748411566602</v>
          </cell>
        </row>
        <row r="176">
          <cell r="E176">
            <v>46</v>
          </cell>
          <cell r="F176" t="str">
            <v>DH</v>
          </cell>
          <cell r="G176">
            <v>0.11021083809358596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-391.0451554760262</v>
          </cell>
          <cell r="O176">
            <v>-391.0451554760262</v>
          </cell>
          <cell r="P176">
            <v>-172.09187575165853</v>
          </cell>
          <cell r="S176">
            <v>-172.09187575165853</v>
          </cell>
          <cell r="T176">
            <v>-341.02807815412092</v>
          </cell>
          <cell r="W176">
            <v>-341.02807815412092</v>
          </cell>
          <cell r="X176">
            <v>-149.60874650296668</v>
          </cell>
          <cell r="AA176">
            <v>-149.60874650296668</v>
          </cell>
          <cell r="AB176">
            <v>-320.89797279053022</v>
          </cell>
          <cell r="AC176">
            <v>0</v>
          </cell>
          <cell r="AD176">
            <v>0</v>
          </cell>
          <cell r="AE176">
            <v>-320.89797279053022</v>
          </cell>
          <cell r="AF176">
            <v>-69.990572897897977</v>
          </cell>
          <cell r="AI176">
            <v>-69.990572897897977</v>
          </cell>
        </row>
        <row r="177">
          <cell r="E177">
            <v>62</v>
          </cell>
          <cell r="F177" t="str">
            <v>CUST</v>
          </cell>
          <cell r="G177">
            <v>3.3286414346783443E-2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O177">
            <v>0</v>
          </cell>
          <cell r="P177">
            <v>4665.9718695652173</v>
          </cell>
          <cell r="S177">
            <v>4665.9718695652173</v>
          </cell>
          <cell r="T177">
            <v>0</v>
          </cell>
          <cell r="W177">
            <v>0</v>
          </cell>
          <cell r="X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1126.8009064748203</v>
          </cell>
          <cell r="AI177">
            <v>1126.8009064748203</v>
          </cell>
        </row>
        <row r="178">
          <cell r="E178">
            <v>62</v>
          </cell>
          <cell r="F178" t="str">
            <v>CUST</v>
          </cell>
          <cell r="G178">
            <v>0.16830875636173823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81.691243638261781</v>
          </cell>
          <cell r="O178">
            <v>81.691243638261781</v>
          </cell>
          <cell r="P178">
            <v>2.4141980947409629</v>
          </cell>
          <cell r="S178">
            <v>2.4141980947409629</v>
          </cell>
          <cell r="T178">
            <v>0</v>
          </cell>
          <cell r="W178">
            <v>0</v>
          </cell>
          <cell r="X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4.8936447866370879E-2</v>
          </cell>
          <cell r="AI178">
            <v>4.8936447866370879E-2</v>
          </cell>
        </row>
        <row r="179">
          <cell r="E179">
            <v>62</v>
          </cell>
          <cell r="F179" t="str">
            <v>CUST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O179">
            <v>0</v>
          </cell>
          <cell r="P179">
            <v>0</v>
          </cell>
          <cell r="S179">
            <v>0</v>
          </cell>
          <cell r="T179">
            <v>0</v>
          </cell>
          <cell r="W179">
            <v>0</v>
          </cell>
          <cell r="X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I179">
            <v>0</v>
          </cell>
        </row>
        <row r="180">
          <cell r="E180">
            <v>62</v>
          </cell>
          <cell r="F180" t="str">
            <v>CUST</v>
          </cell>
          <cell r="G180">
            <v>3.3286414346783449E-2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O180">
            <v>0</v>
          </cell>
          <cell r="P180">
            <v>2300.8289130434782</v>
          </cell>
          <cell r="S180">
            <v>2300.8289130434782</v>
          </cell>
          <cell r="T180">
            <v>0</v>
          </cell>
          <cell r="W180">
            <v>0</v>
          </cell>
          <cell r="X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555.63474820143892</v>
          </cell>
          <cell r="AI180">
            <v>555.63474820143892</v>
          </cell>
        </row>
        <row r="181">
          <cell r="E181">
            <v>63</v>
          </cell>
          <cell r="F181" t="str">
            <v>CUST</v>
          </cell>
          <cell r="G181">
            <v>3.3286414346783443E-2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O181">
            <v>0</v>
          </cell>
          <cell r="P181">
            <v>620.02481884057966</v>
          </cell>
          <cell r="S181">
            <v>620.02481884057966</v>
          </cell>
          <cell r="T181">
            <v>0</v>
          </cell>
          <cell r="W181">
            <v>0</v>
          </cell>
          <cell r="X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149.73183453237411</v>
          </cell>
          <cell r="AI181">
            <v>149.73183453237411</v>
          </cell>
        </row>
        <row r="182">
          <cell r="E182">
            <v>64</v>
          </cell>
          <cell r="F182" t="str">
            <v>CUST</v>
          </cell>
          <cell r="G182">
            <v>3.3286414346783443E-2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O182">
            <v>0</v>
          </cell>
          <cell r="P182">
            <v>797.544384057971</v>
          </cell>
          <cell r="S182">
            <v>797.544384057971</v>
          </cell>
          <cell r="T182">
            <v>0</v>
          </cell>
          <cell r="W182">
            <v>0</v>
          </cell>
          <cell r="X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192.60161870503597</v>
          </cell>
          <cell r="AI182">
            <v>192.60161870503597</v>
          </cell>
        </row>
        <row r="183">
          <cell r="E183">
            <v>62</v>
          </cell>
          <cell r="F183" t="str">
            <v>CUST</v>
          </cell>
          <cell r="G183">
            <v>3.3286414346783443E-2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O183">
            <v>0</v>
          </cell>
          <cell r="P183">
            <v>-46.133637681159421</v>
          </cell>
          <cell r="S183">
            <v>-46.133637681159421</v>
          </cell>
          <cell r="T183">
            <v>0</v>
          </cell>
          <cell r="W183">
            <v>0</v>
          </cell>
          <cell r="X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-11.140964028776979</v>
          </cell>
          <cell r="AI183">
            <v>-11.140964028776979</v>
          </cell>
        </row>
        <row r="184">
          <cell r="E184">
            <v>62</v>
          </cell>
          <cell r="F184" t="str">
            <v>CUST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O184">
            <v>0</v>
          </cell>
          <cell r="P184">
            <v>0</v>
          </cell>
          <cell r="S184">
            <v>0</v>
          </cell>
          <cell r="T184">
            <v>0</v>
          </cell>
          <cell r="W184">
            <v>0</v>
          </cell>
          <cell r="X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I184">
            <v>0</v>
          </cell>
        </row>
        <row r="185">
          <cell r="E185">
            <v>86</v>
          </cell>
          <cell r="F185" t="str">
            <v>CUST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O185">
            <v>0</v>
          </cell>
          <cell r="P185">
            <v>0</v>
          </cell>
          <cell r="S185">
            <v>0</v>
          </cell>
          <cell r="T185">
            <v>0</v>
          </cell>
          <cell r="W185">
            <v>0</v>
          </cell>
          <cell r="X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I185">
            <v>0</v>
          </cell>
        </row>
        <row r="186">
          <cell r="E186">
            <v>66</v>
          </cell>
          <cell r="F186" t="str">
            <v>CUST</v>
          </cell>
          <cell r="G186">
            <v>3.3286414346783443E-2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O186">
            <v>0</v>
          </cell>
          <cell r="P186">
            <v>71.94569565217391</v>
          </cell>
          <cell r="S186">
            <v>71.94569565217391</v>
          </cell>
          <cell r="T186">
            <v>0</v>
          </cell>
          <cell r="W186">
            <v>0</v>
          </cell>
          <cell r="X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17.374402877697843</v>
          </cell>
          <cell r="AI186">
            <v>17.374402877697843</v>
          </cell>
        </row>
        <row r="187">
          <cell r="E187">
            <v>62</v>
          </cell>
          <cell r="F187" t="str">
            <v>CUST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O187">
            <v>0</v>
          </cell>
          <cell r="P187">
            <v>0</v>
          </cell>
          <cell r="S187">
            <v>0</v>
          </cell>
          <cell r="T187">
            <v>0</v>
          </cell>
          <cell r="W187">
            <v>0</v>
          </cell>
          <cell r="X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I187">
            <v>0</v>
          </cell>
        </row>
        <row r="188">
          <cell r="E188">
            <v>74</v>
          </cell>
          <cell r="F188" t="str">
            <v>CUST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O188">
            <v>0</v>
          </cell>
          <cell r="P188">
            <v>0</v>
          </cell>
          <cell r="S188">
            <v>0</v>
          </cell>
          <cell r="T188">
            <v>0</v>
          </cell>
          <cell r="W188">
            <v>0</v>
          </cell>
          <cell r="X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I188">
            <v>0</v>
          </cell>
        </row>
        <row r="189">
          <cell r="E189">
            <v>78</v>
          </cell>
          <cell r="F189" t="str">
            <v>CUST</v>
          </cell>
          <cell r="G189">
            <v>3.3286414346783443E-2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O189">
            <v>0</v>
          </cell>
          <cell r="P189">
            <v>168.53768115942029</v>
          </cell>
          <cell r="S189">
            <v>168.53768115942029</v>
          </cell>
          <cell r="T189">
            <v>0</v>
          </cell>
          <cell r="W189">
            <v>0</v>
          </cell>
          <cell r="X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40.700719424460431</v>
          </cell>
          <cell r="AI189">
            <v>40.700719424460431</v>
          </cell>
        </row>
        <row r="190">
          <cell r="E190">
            <v>87</v>
          </cell>
          <cell r="F190" t="str">
            <v>ACT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O190">
            <v>0</v>
          </cell>
          <cell r="P190">
            <v>0</v>
          </cell>
          <cell r="S190">
            <v>0</v>
          </cell>
          <cell r="T190">
            <v>0</v>
          </cell>
          <cell r="W190">
            <v>0</v>
          </cell>
          <cell r="X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I190">
            <v>0</v>
          </cell>
        </row>
        <row r="191">
          <cell r="E191">
            <v>87</v>
          </cell>
          <cell r="F191" t="str">
            <v>ACT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O191">
            <v>0</v>
          </cell>
          <cell r="P191">
            <v>0</v>
          </cell>
          <cell r="S191">
            <v>0</v>
          </cell>
          <cell r="T191">
            <v>0</v>
          </cell>
          <cell r="W191">
            <v>0</v>
          </cell>
          <cell r="X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I191">
            <v>0</v>
          </cell>
        </row>
        <row r="192">
          <cell r="E192">
            <v>87</v>
          </cell>
          <cell r="F192" t="str">
            <v>ACT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O192">
            <v>0</v>
          </cell>
          <cell r="P192">
            <v>0</v>
          </cell>
          <cell r="S192">
            <v>0</v>
          </cell>
          <cell r="T192">
            <v>0</v>
          </cell>
          <cell r="W192">
            <v>0</v>
          </cell>
          <cell r="X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I192">
            <v>0</v>
          </cell>
        </row>
        <row r="193">
          <cell r="E193">
            <v>87</v>
          </cell>
          <cell r="F193" t="str">
            <v>ACT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O193">
            <v>0</v>
          </cell>
          <cell r="P193">
            <v>0</v>
          </cell>
          <cell r="S193">
            <v>0</v>
          </cell>
          <cell r="T193">
            <v>0</v>
          </cell>
          <cell r="W193">
            <v>0</v>
          </cell>
          <cell r="X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I193">
            <v>0</v>
          </cell>
        </row>
        <row r="194">
          <cell r="E194">
            <v>84</v>
          </cell>
          <cell r="F194" t="str">
            <v>CUST</v>
          </cell>
          <cell r="G194">
            <v>3.3286414346783443E-2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O194">
            <v>0</v>
          </cell>
          <cell r="P194">
            <v>9.3162246376811595</v>
          </cell>
          <cell r="S194">
            <v>9.3162246376811595</v>
          </cell>
          <cell r="T194">
            <v>0</v>
          </cell>
          <cell r="W194">
            <v>0</v>
          </cell>
          <cell r="X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2.2498057553956836</v>
          </cell>
          <cell r="AI194">
            <v>2.2498057553956836</v>
          </cell>
        </row>
        <row r="195">
          <cell r="E195">
            <v>69</v>
          </cell>
          <cell r="F195" t="str">
            <v>ACT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O195">
            <v>0</v>
          </cell>
          <cell r="P195">
            <v>0</v>
          </cell>
          <cell r="S195">
            <v>0</v>
          </cell>
          <cell r="T195">
            <v>0</v>
          </cell>
          <cell r="W195">
            <v>0</v>
          </cell>
          <cell r="X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I195">
            <v>0</v>
          </cell>
        </row>
        <row r="196">
          <cell r="E196">
            <v>71</v>
          </cell>
          <cell r="F196" t="str">
            <v>ACT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O196">
            <v>0</v>
          </cell>
          <cell r="P196">
            <v>0</v>
          </cell>
          <cell r="S196">
            <v>0</v>
          </cell>
          <cell r="T196">
            <v>0</v>
          </cell>
          <cell r="W196">
            <v>0</v>
          </cell>
          <cell r="X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I196">
            <v>0</v>
          </cell>
        </row>
        <row r="197">
          <cell r="E197">
            <v>62</v>
          </cell>
          <cell r="F197" t="str">
            <v>CUST</v>
          </cell>
          <cell r="G197">
            <v>0.16830875636173823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43522.800839869538</v>
          </cell>
          <cell r="O197">
            <v>43522.800839869538</v>
          </cell>
          <cell r="P197">
            <v>1286.2169577277739</v>
          </cell>
          <cell r="S197">
            <v>1286.2169577277739</v>
          </cell>
          <cell r="T197">
            <v>0</v>
          </cell>
          <cell r="W197">
            <v>0</v>
          </cell>
          <cell r="X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26.07196535934677</v>
          </cell>
          <cell r="AI197">
            <v>26.07196535934677</v>
          </cell>
        </row>
        <row r="198">
          <cell r="E198">
            <v>62</v>
          </cell>
          <cell r="F198" t="str">
            <v>CUST</v>
          </cell>
          <cell r="G198">
            <v>0.16830875636173823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61031.334698520157</v>
          </cell>
          <cell r="O198">
            <v>61031.334698520157</v>
          </cell>
          <cell r="P198">
            <v>1803.6416803875766</v>
          </cell>
          <cell r="S198">
            <v>1803.6416803875766</v>
          </cell>
          <cell r="T198">
            <v>0</v>
          </cell>
          <cell r="W198">
            <v>0</v>
          </cell>
          <cell r="X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36.560304332180607</v>
          </cell>
          <cell r="AI198">
            <v>36.560304332180607</v>
          </cell>
        </row>
        <row r="199">
          <cell r="E199">
            <v>62</v>
          </cell>
          <cell r="F199" t="str">
            <v>CUST</v>
          </cell>
          <cell r="G199">
            <v>0.1683087563617382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5873.4321336291268</v>
          </cell>
          <cell r="O199">
            <v>5873.4321336291268</v>
          </cell>
          <cell r="P199">
            <v>173.57586976380009</v>
          </cell>
          <cell r="S199">
            <v>173.57586976380009</v>
          </cell>
          <cell r="T199">
            <v>0</v>
          </cell>
          <cell r="W199">
            <v>0</v>
          </cell>
          <cell r="X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3.5184297925094619</v>
          </cell>
          <cell r="AI199">
            <v>3.5184297925094619</v>
          </cell>
        </row>
        <row r="200">
          <cell r="E200">
            <v>62</v>
          </cell>
          <cell r="F200" t="str">
            <v>CUST</v>
          </cell>
          <cell r="G200">
            <v>0.1683087563617382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102.22515463917526</v>
          </cell>
          <cell r="O200">
            <v>102.22515463917526</v>
          </cell>
          <cell r="P200">
            <v>3.0210309278350511</v>
          </cell>
          <cell r="S200">
            <v>3.0210309278350511</v>
          </cell>
          <cell r="T200">
            <v>0</v>
          </cell>
          <cell r="W200">
            <v>0</v>
          </cell>
          <cell r="X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6.1237113402061859E-2</v>
          </cell>
          <cell r="AI200">
            <v>6.1237113402061859E-2</v>
          </cell>
        </row>
        <row r="201">
          <cell r="E201">
            <v>62</v>
          </cell>
          <cell r="F201" t="str">
            <v>DH</v>
          </cell>
          <cell r="G201">
            <v>0.11021083809358594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573.97095028205649</v>
          </cell>
          <cell r="O201">
            <v>573.97095028205649</v>
          </cell>
          <cell r="P201">
            <v>252.59419808118983</v>
          </cell>
          <cell r="S201">
            <v>252.59419808118983</v>
          </cell>
          <cell r="T201">
            <v>500.55654021005876</v>
          </cell>
          <cell r="W201">
            <v>500.55654021005876</v>
          </cell>
          <cell r="X201">
            <v>219.59375585738351</v>
          </cell>
          <cell r="AA201">
            <v>219.59375585738351</v>
          </cell>
          <cell r="AB201">
            <v>471.0098355826787</v>
          </cell>
          <cell r="AC201">
            <v>0</v>
          </cell>
          <cell r="AD201">
            <v>0</v>
          </cell>
          <cell r="AE201">
            <v>471.0098355826787</v>
          </cell>
          <cell r="AF201">
            <v>102.73124490722633</v>
          </cell>
          <cell r="AI201">
            <v>102.73124490722633</v>
          </cell>
        </row>
        <row r="202">
          <cell r="E202">
            <v>62</v>
          </cell>
          <cell r="F202" t="str">
            <v>CUST</v>
          </cell>
          <cell r="G202">
            <v>0.1683087563617382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5629.3305285136366</v>
          </cell>
          <cell r="O202">
            <v>5629.3305285136366</v>
          </cell>
          <cell r="P202">
            <v>166.36200443690458</v>
          </cell>
          <cell r="S202">
            <v>166.36200443690458</v>
          </cell>
          <cell r="T202">
            <v>0</v>
          </cell>
          <cell r="W202">
            <v>0</v>
          </cell>
          <cell r="X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3.3722027926399587</v>
          </cell>
          <cell r="AI202">
            <v>3.3722027926399587</v>
          </cell>
        </row>
        <row r="203">
          <cell r="E203">
            <v>63</v>
          </cell>
          <cell r="F203" t="str">
            <v>CUST</v>
          </cell>
          <cell r="G203">
            <v>0.16830875636173823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11430.114914663713</v>
          </cell>
          <cell r="O203">
            <v>11430.114914663713</v>
          </cell>
          <cell r="P203">
            <v>337.79093597648352</v>
          </cell>
          <cell r="S203">
            <v>337.79093597648352</v>
          </cell>
          <cell r="T203">
            <v>0</v>
          </cell>
          <cell r="W203">
            <v>0</v>
          </cell>
          <cell r="X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6.8471135670908829</v>
          </cell>
          <cell r="AI203">
            <v>6.8471135670908829</v>
          </cell>
        </row>
        <row r="204">
          <cell r="E204">
            <v>64</v>
          </cell>
          <cell r="F204" t="str">
            <v>CUST</v>
          </cell>
          <cell r="G204">
            <v>0.1683087563617382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28572.386558788989</v>
          </cell>
          <cell r="O204">
            <v>28572.386558788989</v>
          </cell>
          <cell r="P204">
            <v>844.39161555526562</v>
          </cell>
          <cell r="S204">
            <v>844.39161555526562</v>
          </cell>
          <cell r="T204">
            <v>0</v>
          </cell>
          <cell r="W204">
            <v>0</v>
          </cell>
          <cell r="X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17.116046261255384</v>
          </cell>
          <cell r="AI204">
            <v>17.116046261255384</v>
          </cell>
        </row>
        <row r="205">
          <cell r="E205">
            <v>62</v>
          </cell>
          <cell r="F205" t="str">
            <v>CUST</v>
          </cell>
          <cell r="G205">
            <v>0.16830875636173823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4352.948959937361</v>
          </cell>
          <cell r="O205">
            <v>4352.948959937361</v>
          </cell>
          <cell r="P205">
            <v>128.64146287354822</v>
          </cell>
          <cell r="S205">
            <v>128.64146287354822</v>
          </cell>
          <cell r="T205">
            <v>0</v>
          </cell>
          <cell r="W205">
            <v>0</v>
          </cell>
          <cell r="X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2.6075972204097613</v>
          </cell>
          <cell r="AI205">
            <v>2.6075972204097613</v>
          </cell>
        </row>
        <row r="206">
          <cell r="E206">
            <v>62</v>
          </cell>
          <cell r="F206" t="str">
            <v>CUST</v>
          </cell>
          <cell r="G206">
            <v>0.16830875636173825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1099.4530392796555</v>
          </cell>
          <cell r="O206">
            <v>1099.4530392796555</v>
          </cell>
          <cell r="P206">
            <v>32.491823045804516</v>
          </cell>
          <cell r="S206">
            <v>32.491823045804516</v>
          </cell>
          <cell r="T206">
            <v>0</v>
          </cell>
          <cell r="W206">
            <v>0</v>
          </cell>
          <cell r="X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0.65861803471225377</v>
          </cell>
          <cell r="AI206">
            <v>0.65861803471225377</v>
          </cell>
        </row>
        <row r="207">
          <cell r="E207">
            <v>72</v>
          </cell>
          <cell r="F207" t="str">
            <v>DH</v>
          </cell>
          <cell r="G207">
            <v>0.11021083809358594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67.182046779375838</v>
          </cell>
          <cell r="O207">
            <v>67.182046779375838</v>
          </cell>
          <cell r="P207">
            <v>29.565599484347167</v>
          </cell>
          <cell r="S207">
            <v>29.565599484347167</v>
          </cell>
          <cell r="T207">
            <v>58.589050340595236</v>
          </cell>
          <cell r="W207">
            <v>58.589050340595236</v>
          </cell>
          <cell r="X207">
            <v>25.70296976043803</v>
          </cell>
          <cell r="AA207">
            <v>25.70296976043803</v>
          </cell>
          <cell r="AB207">
            <v>55.130673063003762</v>
          </cell>
          <cell r="AC207">
            <v>0</v>
          </cell>
          <cell r="AD207">
            <v>0</v>
          </cell>
          <cell r="AE207">
            <v>55.130673063003762</v>
          </cell>
          <cell r="AF207">
            <v>12.024467958995515</v>
          </cell>
          <cell r="AI207">
            <v>12.024467958995515</v>
          </cell>
        </row>
        <row r="208">
          <cell r="E208">
            <v>86</v>
          </cell>
          <cell r="F208" t="str">
            <v>CUST</v>
          </cell>
          <cell r="G208">
            <v>0.16830875636173823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10420.773576928095</v>
          </cell>
          <cell r="O208">
            <v>10420.773576928095</v>
          </cell>
          <cell r="P208">
            <v>307.96215842359391</v>
          </cell>
          <cell r="S208">
            <v>307.96215842359391</v>
          </cell>
          <cell r="T208">
            <v>0</v>
          </cell>
          <cell r="W208">
            <v>0</v>
          </cell>
          <cell r="X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6.2424761842620384</v>
          </cell>
          <cell r="AI208">
            <v>6.2424761842620384</v>
          </cell>
        </row>
        <row r="209">
          <cell r="E209">
            <v>61</v>
          </cell>
          <cell r="F209" t="str">
            <v>CUST</v>
          </cell>
          <cell r="G209">
            <v>0.16830875636173823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3586.7651520292316</v>
          </cell>
          <cell r="O209">
            <v>3586.7651520292316</v>
          </cell>
          <cell r="P209">
            <v>105.99865065901082</v>
          </cell>
          <cell r="S209">
            <v>105.99865065901082</v>
          </cell>
          <cell r="T209">
            <v>0</v>
          </cell>
          <cell r="W209">
            <v>0</v>
          </cell>
          <cell r="X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2.1486212971421117</v>
          </cell>
          <cell r="AI209">
            <v>2.1486212971421117</v>
          </cell>
        </row>
        <row r="210">
          <cell r="E210">
            <v>61</v>
          </cell>
          <cell r="F210" t="str">
            <v>CUST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O210">
            <v>0</v>
          </cell>
          <cell r="P210">
            <v>0</v>
          </cell>
          <cell r="S210">
            <v>0</v>
          </cell>
          <cell r="T210">
            <v>0</v>
          </cell>
          <cell r="W210">
            <v>0</v>
          </cell>
          <cell r="X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I210">
            <v>0</v>
          </cell>
        </row>
        <row r="211">
          <cell r="E211">
            <v>70</v>
          </cell>
          <cell r="F211" t="str">
            <v>REV</v>
          </cell>
          <cell r="G211">
            <v>0.12050036179656672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897.68374755168111</v>
          </cell>
          <cell r="O211">
            <v>897.68374755168111</v>
          </cell>
          <cell r="P211">
            <v>303.19328444542742</v>
          </cell>
          <cell r="S211">
            <v>303.19328444542742</v>
          </cell>
          <cell r="T211">
            <v>0.68046505247911293</v>
          </cell>
          <cell r="W211">
            <v>0.68046505247911293</v>
          </cell>
          <cell r="X211">
            <v>5.0190527673254701</v>
          </cell>
          <cell r="AA211">
            <v>5.0190527673254701</v>
          </cell>
          <cell r="AB211">
            <v>8.3007651446864585</v>
          </cell>
          <cell r="AC211">
            <v>0</v>
          </cell>
          <cell r="AD211">
            <v>0</v>
          </cell>
          <cell r="AE211">
            <v>8.3007651446864585</v>
          </cell>
          <cell r="AF211">
            <v>62.257819575492341</v>
          </cell>
          <cell r="AI211">
            <v>62.257819575492341</v>
          </cell>
        </row>
        <row r="212">
          <cell r="E212">
            <v>70</v>
          </cell>
          <cell r="F212" t="str">
            <v>REV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O212">
            <v>0</v>
          </cell>
          <cell r="P212">
            <v>0</v>
          </cell>
          <cell r="S212">
            <v>0</v>
          </cell>
          <cell r="T212">
            <v>0</v>
          </cell>
          <cell r="W212">
            <v>0</v>
          </cell>
          <cell r="X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I212">
            <v>0</v>
          </cell>
        </row>
        <row r="213">
          <cell r="E213">
            <v>66</v>
          </cell>
          <cell r="F213" t="str">
            <v>CUST</v>
          </cell>
          <cell r="G213">
            <v>0.1683087563617382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1633.9996920266215</v>
          </cell>
          <cell r="O213">
            <v>1633.9996920266215</v>
          </cell>
          <cell r="P213">
            <v>48.289128278742005</v>
          </cell>
          <cell r="S213">
            <v>48.289128278742005</v>
          </cell>
          <cell r="T213">
            <v>0</v>
          </cell>
          <cell r="W213">
            <v>0</v>
          </cell>
          <cell r="X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0.97883368132585158</v>
          </cell>
          <cell r="AI213">
            <v>0.97883368132585158</v>
          </cell>
        </row>
        <row r="214">
          <cell r="E214">
            <v>81</v>
          </cell>
          <cell r="F214" t="str">
            <v>CUST</v>
          </cell>
          <cell r="G214">
            <v>0.16830875636173823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1711.8383766149029</v>
          </cell>
          <cell r="O214">
            <v>1711.8383766149029</v>
          </cell>
          <cell r="P214">
            <v>50.589472791334984</v>
          </cell>
          <cell r="S214">
            <v>50.589472791334984</v>
          </cell>
          <cell r="T214">
            <v>0</v>
          </cell>
          <cell r="W214">
            <v>0</v>
          </cell>
          <cell r="X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1.0254622863108445</v>
          </cell>
          <cell r="AI214">
            <v>1.0254622863108445</v>
          </cell>
        </row>
        <row r="215">
          <cell r="E215">
            <v>62</v>
          </cell>
          <cell r="F215" t="str">
            <v>CUST</v>
          </cell>
          <cell r="G215">
            <v>0.1683087563617382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9506.601179694635</v>
          </cell>
          <cell r="O215">
            <v>9506.601179694635</v>
          </cell>
          <cell r="P215">
            <v>280.94588150854759</v>
          </cell>
          <cell r="S215">
            <v>280.94588150854759</v>
          </cell>
          <cell r="T215">
            <v>0</v>
          </cell>
          <cell r="W215">
            <v>0</v>
          </cell>
          <cell r="X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5.6948489494975858</v>
          </cell>
          <cell r="AI215">
            <v>5.6948489494975858</v>
          </cell>
        </row>
        <row r="216">
          <cell r="E216">
            <v>90</v>
          </cell>
          <cell r="F216" t="str">
            <v>DH</v>
          </cell>
          <cell r="G216">
            <v>0.11021083809358596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16383.435456180312</v>
          </cell>
          <cell r="O216">
            <v>16383.435456180312</v>
          </cell>
          <cell r="P216">
            <v>7210.0525973224885</v>
          </cell>
          <cell r="S216">
            <v>7210.0525973224885</v>
          </cell>
          <cell r="T216">
            <v>14287.893428527055</v>
          </cell>
          <cell r="W216">
            <v>14287.893428527055</v>
          </cell>
          <cell r="X216">
            <v>6268.0874770782484</v>
          </cell>
          <cell r="AA216">
            <v>6268.0874770782484</v>
          </cell>
          <cell r="AB216">
            <v>13444.51184629258</v>
          </cell>
          <cell r="AC216">
            <v>0</v>
          </cell>
          <cell r="AD216">
            <v>0</v>
          </cell>
          <cell r="AE216">
            <v>13444.51184629258</v>
          </cell>
          <cell r="AF216">
            <v>2932.3622030757883</v>
          </cell>
          <cell r="AI216">
            <v>2932.3622030757883</v>
          </cell>
        </row>
        <row r="217">
          <cell r="E217">
            <v>75</v>
          </cell>
          <cell r="F217" t="str">
            <v>CUST</v>
          </cell>
          <cell r="G217">
            <v>0.16830875636173823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3283.9357118621951</v>
          </cell>
          <cell r="O217">
            <v>3283.9357118621951</v>
          </cell>
          <cell r="P217">
            <v>97.04921832180608</v>
          </cell>
          <cell r="S217">
            <v>97.04921832180608</v>
          </cell>
          <cell r="T217">
            <v>0</v>
          </cell>
          <cell r="W217">
            <v>0</v>
          </cell>
          <cell r="X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1.9672138849014749</v>
          </cell>
          <cell r="AI217">
            <v>1.9672138849014749</v>
          </cell>
        </row>
        <row r="218">
          <cell r="E218">
            <v>74</v>
          </cell>
          <cell r="F218" t="str">
            <v>CUST</v>
          </cell>
          <cell r="G218">
            <v>0.16830875636173823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7557.2373430771231</v>
          </cell>
          <cell r="O218">
            <v>7557.2373430771231</v>
          </cell>
          <cell r="P218">
            <v>223.33688633694376</v>
          </cell>
          <cell r="S218">
            <v>223.33688633694376</v>
          </cell>
          <cell r="T218">
            <v>0</v>
          </cell>
          <cell r="W218">
            <v>0</v>
          </cell>
          <cell r="X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4.5270990473704815</v>
          </cell>
          <cell r="AI218">
            <v>4.5270990473704815</v>
          </cell>
        </row>
        <row r="219">
          <cell r="E219">
            <v>74</v>
          </cell>
          <cell r="F219" t="str">
            <v>CUST</v>
          </cell>
          <cell r="G219">
            <v>0.16830875636173823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7039.2772804384704</v>
          </cell>
          <cell r="O219">
            <v>7039.2772804384704</v>
          </cell>
          <cell r="P219">
            <v>208.02975988516249</v>
          </cell>
          <cell r="S219">
            <v>208.02975988516249</v>
          </cell>
          <cell r="T219">
            <v>0</v>
          </cell>
          <cell r="W219">
            <v>0</v>
          </cell>
          <cell r="X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4.2168194571316722</v>
          </cell>
          <cell r="AI219">
            <v>4.2168194571316722</v>
          </cell>
        </row>
        <row r="220">
          <cell r="E220">
            <v>74</v>
          </cell>
          <cell r="F220" t="str">
            <v>CUST</v>
          </cell>
          <cell r="G220">
            <v>0.1683087563617382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2240.0621271042673</v>
          </cell>
          <cell r="O220">
            <v>2240.0621271042673</v>
          </cell>
          <cell r="P220">
            <v>66.199919091739531</v>
          </cell>
          <cell r="S220">
            <v>66.199919091739531</v>
          </cell>
          <cell r="T220">
            <v>0</v>
          </cell>
          <cell r="W220">
            <v>0</v>
          </cell>
          <cell r="X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  <cell r="AF220">
            <v>1.3418902518595852</v>
          </cell>
          <cell r="AI220">
            <v>1.3418902518595852</v>
          </cell>
        </row>
        <row r="221">
          <cell r="E221">
            <v>85</v>
          </cell>
          <cell r="F221" t="str">
            <v>CUST</v>
          </cell>
          <cell r="G221">
            <v>0.1683087563617382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1251.1732846143807</v>
          </cell>
          <cell r="O221">
            <v>1251.1732846143807</v>
          </cell>
          <cell r="P221">
            <v>36.975568315281222</v>
          </cell>
          <cell r="S221">
            <v>36.975568315281222</v>
          </cell>
          <cell r="T221">
            <v>0</v>
          </cell>
          <cell r="W221">
            <v>0</v>
          </cell>
          <cell r="X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0.74950476314759229</v>
          </cell>
          <cell r="AI221">
            <v>0.74950476314759229</v>
          </cell>
        </row>
        <row r="222">
          <cell r="E222">
            <v>78</v>
          </cell>
          <cell r="F222" t="str">
            <v>REV</v>
          </cell>
          <cell r="G222">
            <v>0.12050036179656672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1710.8190785843394</v>
          </cell>
          <cell r="O222">
            <v>1710.8190785843394</v>
          </cell>
          <cell r="P222">
            <v>577.83028482201928</v>
          </cell>
          <cell r="S222">
            <v>577.83028482201928</v>
          </cell>
          <cell r="T222">
            <v>1.2968404488398491</v>
          </cell>
          <cell r="W222">
            <v>1.2968404488398491</v>
          </cell>
          <cell r="X222">
            <v>9.5653856429739896</v>
          </cell>
          <cell r="AA222">
            <v>9.5653856429739896</v>
          </cell>
          <cell r="AB222">
            <v>15.81972205145655</v>
          </cell>
          <cell r="AC222">
            <v>0</v>
          </cell>
          <cell r="AD222">
            <v>0</v>
          </cell>
          <cell r="AE222">
            <v>15.81972205145655</v>
          </cell>
          <cell r="AF222">
            <v>118.65188136836775</v>
          </cell>
          <cell r="AI222">
            <v>118.65188136836775</v>
          </cell>
        </row>
        <row r="223">
          <cell r="E223">
            <v>78</v>
          </cell>
          <cell r="F223" t="str">
            <v>ACT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L223">
            <v>0</v>
          </cell>
          <cell r="O223">
            <v>0</v>
          </cell>
          <cell r="P223">
            <v>0</v>
          </cell>
          <cell r="S223">
            <v>0</v>
          </cell>
          <cell r="T223">
            <v>0</v>
          </cell>
          <cell r="W223">
            <v>0</v>
          </cell>
          <cell r="X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I223">
            <v>0</v>
          </cell>
        </row>
        <row r="224">
          <cell r="E224">
            <v>87</v>
          </cell>
          <cell r="F224" t="str">
            <v>REV</v>
          </cell>
          <cell r="G224">
            <v>0.1205003617965667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157.08152757999619</v>
          </cell>
          <cell r="O224">
            <v>157.08152757999619</v>
          </cell>
          <cell r="P224">
            <v>53.054390705611077</v>
          </cell>
          <cell r="S224">
            <v>53.054390705611077</v>
          </cell>
          <cell r="T224">
            <v>0.11907143267297216</v>
          </cell>
          <cell r="W224">
            <v>0.11907143267297216</v>
          </cell>
          <cell r="X224">
            <v>0.87826083277808542</v>
          </cell>
          <cell r="AA224">
            <v>0.87826083277808542</v>
          </cell>
          <cell r="AB224">
            <v>1.4525125051738443</v>
          </cell>
          <cell r="AC224">
            <v>0</v>
          </cell>
          <cell r="AD224">
            <v>0</v>
          </cell>
          <cell r="AE224">
            <v>1.4525125051738443</v>
          </cell>
          <cell r="AF224">
            <v>10.89420793168042</v>
          </cell>
          <cell r="AI224">
            <v>10.89420793168042</v>
          </cell>
        </row>
        <row r="225">
          <cell r="E225">
            <v>87</v>
          </cell>
          <cell r="F225" t="str">
            <v>REV</v>
          </cell>
          <cell r="G225">
            <v>0.12050036179656672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1064.5445446099402</v>
          </cell>
          <cell r="O225">
            <v>1064.5445446099402</v>
          </cell>
          <cell r="P225">
            <v>359.55062993960195</v>
          </cell>
          <cell r="S225">
            <v>359.55062993960195</v>
          </cell>
          <cell r="T225">
            <v>0.80694939770272733</v>
          </cell>
          <cell r="W225">
            <v>0.80694939770272733</v>
          </cell>
          <cell r="X225">
            <v>5.9519906171166896</v>
          </cell>
          <cell r="AA225">
            <v>5.9519906171166896</v>
          </cell>
          <cell r="AB225">
            <v>9.8437052859259619</v>
          </cell>
          <cell r="AC225">
            <v>0</v>
          </cell>
          <cell r="AD225">
            <v>0</v>
          </cell>
          <cell r="AE225">
            <v>9.8437052859259619</v>
          </cell>
          <cell r="AF225">
            <v>73.830257447748536</v>
          </cell>
          <cell r="AI225">
            <v>73.830257447748536</v>
          </cell>
        </row>
        <row r="226">
          <cell r="E226">
            <v>87</v>
          </cell>
          <cell r="F226" t="str">
            <v>REV</v>
          </cell>
          <cell r="G226">
            <v>0.12050036179656672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1467.8458189307973</v>
          </cell>
          <cell r="O226">
            <v>1467.8458189307973</v>
          </cell>
          <cell r="P226">
            <v>495.76590432310877</v>
          </cell>
          <cell r="S226">
            <v>495.76590432310877</v>
          </cell>
          <cell r="T226">
            <v>1.1126610957746985</v>
          </cell>
          <cell r="W226">
            <v>1.1126610957746985</v>
          </cell>
          <cell r="X226">
            <v>8.2068942872195603</v>
          </cell>
          <cell r="AA226">
            <v>8.2068942872195603</v>
          </cell>
          <cell r="AB226">
            <v>13.572979843720567</v>
          </cell>
          <cell r="AC226">
            <v>0</v>
          </cell>
          <cell r="AD226">
            <v>0</v>
          </cell>
          <cell r="AE226">
            <v>13.572979843720567</v>
          </cell>
          <cell r="AF226">
            <v>101.80075155518307</v>
          </cell>
          <cell r="AI226">
            <v>101.80075155518307</v>
          </cell>
        </row>
        <row r="227">
          <cell r="E227">
            <v>87</v>
          </cell>
          <cell r="F227" t="str">
            <v>REV</v>
          </cell>
          <cell r="G227">
            <v>0.12050036179656673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95.425376387362647</v>
          </cell>
          <cell r="O227">
            <v>95.425376387362647</v>
          </cell>
          <cell r="P227">
            <v>32.229984518751607</v>
          </cell>
          <cell r="S227">
            <v>32.229984518751607</v>
          </cell>
          <cell r="T227">
            <v>7.2334643384559527E-2</v>
          </cell>
          <cell r="W227">
            <v>7.2334643384559527E-2</v>
          </cell>
          <cell r="X227">
            <v>0.53353422152994179</v>
          </cell>
          <cell r="AA227">
            <v>0.53353422152994179</v>
          </cell>
          <cell r="AB227">
            <v>0.8823860746005131</v>
          </cell>
          <cell r="AC227">
            <v>0</v>
          </cell>
          <cell r="AD227">
            <v>0</v>
          </cell>
          <cell r="AE227">
            <v>0.8823860746005131</v>
          </cell>
          <cell r="AF227">
            <v>6.618116772472634</v>
          </cell>
          <cell r="AI227">
            <v>6.618116772472634</v>
          </cell>
        </row>
        <row r="228">
          <cell r="E228">
            <v>87</v>
          </cell>
          <cell r="F228" t="str">
            <v>REV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O228">
            <v>0</v>
          </cell>
          <cell r="P228">
            <v>0</v>
          </cell>
          <cell r="S228">
            <v>0</v>
          </cell>
          <cell r="T228">
            <v>0</v>
          </cell>
          <cell r="W228">
            <v>0</v>
          </cell>
          <cell r="X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I228">
            <v>0</v>
          </cell>
        </row>
        <row r="229">
          <cell r="E229">
            <v>87</v>
          </cell>
          <cell r="F229" t="str">
            <v>REV</v>
          </cell>
          <cell r="G229">
            <v>0.1205003617965667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196.6475066556564</v>
          </cell>
          <cell r="O229">
            <v>196.6475066556564</v>
          </cell>
          <cell r="P229">
            <v>66.417826526930583</v>
          </cell>
          <cell r="S229">
            <v>66.417826526930583</v>
          </cell>
          <cell r="T229">
            <v>0.1490633603440884</v>
          </cell>
          <cell r="W229">
            <v>0.1490633603440884</v>
          </cell>
          <cell r="X229">
            <v>1.0994787587049455</v>
          </cell>
          <cell r="AA229">
            <v>1.0994787587049455</v>
          </cell>
          <cell r="AB229">
            <v>1.8183739802449697</v>
          </cell>
          <cell r="AC229">
            <v>0</v>
          </cell>
          <cell r="AD229">
            <v>0</v>
          </cell>
          <cell r="AE229">
            <v>1.8183739802449697</v>
          </cell>
          <cell r="AF229">
            <v>13.638260715679767</v>
          </cell>
          <cell r="AI229">
            <v>13.638260715679767</v>
          </cell>
        </row>
        <row r="230">
          <cell r="E230">
            <v>87</v>
          </cell>
          <cell r="F230" t="str">
            <v>REV</v>
          </cell>
          <cell r="G230">
            <v>0.1205003617965667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50.252367695722818</v>
          </cell>
          <cell r="O230">
            <v>50.252367695722818</v>
          </cell>
          <cell r="P230">
            <v>16.972770705028633</v>
          </cell>
          <cell r="S230">
            <v>16.972770705028633</v>
          </cell>
          <cell r="T230">
            <v>3.8092457521406824E-2</v>
          </cell>
          <cell r="W230">
            <v>3.8092457521406824E-2</v>
          </cell>
          <cell r="X230">
            <v>0.28096675007848909</v>
          </cell>
          <cell r="AA230">
            <v>0.28096675007848909</v>
          </cell>
          <cell r="AB230">
            <v>0.46467712414789897</v>
          </cell>
          <cell r="AC230">
            <v>0</v>
          </cell>
          <cell r="AD230">
            <v>0</v>
          </cell>
          <cell r="AE230">
            <v>0.46467712414789897</v>
          </cell>
          <cell r="AF230">
            <v>3.4851949250217347</v>
          </cell>
          <cell r="AI230">
            <v>3.4851949250217347</v>
          </cell>
        </row>
        <row r="231">
          <cell r="E231">
            <v>87</v>
          </cell>
          <cell r="F231" t="str">
            <v>REV</v>
          </cell>
          <cell r="G231">
            <v>0.1205003617965667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3.0491399724360311</v>
          </cell>
          <cell r="O231">
            <v>3.0491399724360311</v>
          </cell>
          <cell r="P231">
            <v>1.0298490593130589</v>
          </cell>
          <cell r="S231">
            <v>1.0298490593130589</v>
          </cell>
          <cell r="T231">
            <v>2.311318654279628E-3</v>
          </cell>
          <cell r="W231">
            <v>2.311318654279628E-3</v>
          </cell>
          <cell r="X231">
            <v>1.7048091221832779E-2</v>
          </cell>
          <cell r="AA231">
            <v>1.7048091221832779E-2</v>
          </cell>
          <cell r="AB231">
            <v>2.8195001718029973E-2</v>
          </cell>
          <cell r="AC231">
            <v>0</v>
          </cell>
          <cell r="AD231">
            <v>0</v>
          </cell>
          <cell r="AE231">
            <v>2.8195001718029973E-2</v>
          </cell>
          <cell r="AF231">
            <v>0.21146958133316893</v>
          </cell>
          <cell r="AI231">
            <v>0.21146958133316893</v>
          </cell>
        </row>
        <row r="232">
          <cell r="E232">
            <v>84</v>
          </cell>
          <cell r="F232" t="str">
            <v>CUST</v>
          </cell>
          <cell r="G232">
            <v>0.1683087563617382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3515.2542711731703</v>
          </cell>
          <cell r="O232">
            <v>3515.2542711731703</v>
          </cell>
          <cell r="P232">
            <v>103.8853099308365</v>
          </cell>
          <cell r="S232">
            <v>103.8853099308365</v>
          </cell>
          <cell r="T232">
            <v>0</v>
          </cell>
          <cell r="W232">
            <v>0</v>
          </cell>
          <cell r="X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2.1057833094088481</v>
          </cell>
          <cell r="AI232">
            <v>2.1057833094088481</v>
          </cell>
        </row>
        <row r="233">
          <cell r="E233">
            <v>86</v>
          </cell>
          <cell r="F233" t="str">
            <v>REV</v>
          </cell>
          <cell r="G233">
            <v>0.12050036179656673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6038.7971528931157</v>
          </cell>
          <cell r="O233">
            <v>6038.7971528931157</v>
          </cell>
          <cell r="P233">
            <v>2039.6077659632022</v>
          </cell>
          <cell r="S233">
            <v>2039.6077659632022</v>
          </cell>
          <cell r="T233">
            <v>4.5775479758449773</v>
          </cell>
          <cell r="W233">
            <v>4.5775479758449773</v>
          </cell>
          <cell r="X233">
            <v>33.763607332993871</v>
          </cell>
          <cell r="AA233">
            <v>33.763607332993871</v>
          </cell>
          <cell r="AB233">
            <v>55.839973776155638</v>
          </cell>
          <cell r="AC233">
            <v>0</v>
          </cell>
          <cell r="AD233">
            <v>0</v>
          </cell>
          <cell r="AE233">
            <v>55.839973776155638</v>
          </cell>
          <cell r="AF233">
            <v>418.81380232538038</v>
          </cell>
          <cell r="AI233">
            <v>418.81380232538038</v>
          </cell>
        </row>
        <row r="234">
          <cell r="E234">
            <v>69</v>
          </cell>
          <cell r="F234" t="str">
            <v>CUST</v>
          </cell>
          <cell r="G234">
            <v>0.1683087563617382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4094.8438418374008</v>
          </cell>
          <cell r="O234">
            <v>4094.8438418374008</v>
          </cell>
          <cell r="P234">
            <v>121.01375570925225</v>
          </cell>
          <cell r="S234">
            <v>121.01375570925225</v>
          </cell>
          <cell r="T234">
            <v>0</v>
          </cell>
          <cell r="W234">
            <v>0</v>
          </cell>
          <cell r="X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2.4529815346470052</v>
          </cell>
          <cell r="AI234">
            <v>2.4529815346470052</v>
          </cell>
        </row>
        <row r="235">
          <cell r="E235">
            <v>71</v>
          </cell>
          <cell r="F235" t="str">
            <v>REV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O235">
            <v>0</v>
          </cell>
          <cell r="P235">
            <v>0</v>
          </cell>
          <cell r="S235">
            <v>0</v>
          </cell>
          <cell r="T235">
            <v>0</v>
          </cell>
          <cell r="W235">
            <v>0</v>
          </cell>
          <cell r="X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I235">
            <v>0</v>
          </cell>
        </row>
        <row r="236">
          <cell r="E236">
            <v>69</v>
          </cell>
          <cell r="F236" t="str">
            <v>REV</v>
          </cell>
          <cell r="G236">
            <v>0.1205003617965667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29.644416398683635</v>
          </cell>
          <cell r="O236">
            <v>29.644416398683635</v>
          </cell>
          <cell r="P236">
            <v>10.012421409988072</v>
          </cell>
          <cell r="S236">
            <v>10.012421409988072</v>
          </cell>
          <cell r="T236">
            <v>2.2471153583274159E-2</v>
          </cell>
          <cell r="W236">
            <v>2.2471153583274159E-2</v>
          </cell>
          <cell r="X236">
            <v>0.16574533132337427</v>
          </cell>
          <cell r="AA236">
            <v>0.16574533132337427</v>
          </cell>
          <cell r="AB236">
            <v>0.27411807225862478</v>
          </cell>
          <cell r="AC236">
            <v>0</v>
          </cell>
          <cell r="AD236">
            <v>0</v>
          </cell>
          <cell r="AE236">
            <v>0.27411807225862478</v>
          </cell>
          <cell r="AF236">
            <v>2.0559542629613645</v>
          </cell>
          <cell r="AI236">
            <v>2.0559542629613645</v>
          </cell>
        </row>
        <row r="237">
          <cell r="E237">
            <v>71</v>
          </cell>
          <cell r="F237" t="str">
            <v>REV</v>
          </cell>
          <cell r="G237">
            <v>0.12050036179656669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1197.0085018291438</v>
          </cell>
          <cell r="O237">
            <v>1197.0085018291438</v>
          </cell>
          <cell r="P237">
            <v>404.29041983717576</v>
          </cell>
          <cell r="S237">
            <v>404.29041983717576</v>
          </cell>
          <cell r="T237">
            <v>0.90736014240718921</v>
          </cell>
          <cell r="W237">
            <v>0.90736014240718921</v>
          </cell>
          <cell r="X237">
            <v>6.6926117911829506</v>
          </cell>
          <cell r="AA237">
            <v>6.6926117911829506</v>
          </cell>
          <cell r="AB237">
            <v>11.068582311951323</v>
          </cell>
          <cell r="AC237">
            <v>0</v>
          </cell>
          <cell r="AD237">
            <v>0</v>
          </cell>
          <cell r="AE237">
            <v>11.068582311951323</v>
          </cell>
          <cell r="AF237">
            <v>83.017142217915463</v>
          </cell>
          <cell r="AI237">
            <v>83.017142217915463</v>
          </cell>
        </row>
        <row r="238">
          <cell r="E238">
            <v>71</v>
          </cell>
          <cell r="F238" t="str">
            <v>REV</v>
          </cell>
          <cell r="G238">
            <v>0.12050036179656672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318.87990530068578</v>
          </cell>
          <cell r="O238">
            <v>318.87990530068578</v>
          </cell>
          <cell r="P238">
            <v>107.70190069214283</v>
          </cell>
          <cell r="S238">
            <v>107.70190069214283</v>
          </cell>
          <cell r="T238">
            <v>0.241718346897523</v>
          </cell>
          <cell r="W238">
            <v>0.241718346897523</v>
          </cell>
          <cell r="X238">
            <v>1.7828941155601672</v>
          </cell>
          <cell r="AA238">
            <v>1.7828941155601672</v>
          </cell>
          <cell r="AB238">
            <v>2.9486411116164963</v>
          </cell>
          <cell r="AC238">
            <v>0</v>
          </cell>
          <cell r="AD238">
            <v>0</v>
          </cell>
          <cell r="AE238">
            <v>2.9486411116164963</v>
          </cell>
          <cell r="AF238">
            <v>22.11554755737318</v>
          </cell>
          <cell r="AI238">
            <v>22.11554755737318</v>
          </cell>
        </row>
        <row r="239">
          <cell r="E239">
            <v>71</v>
          </cell>
          <cell r="F239" t="str">
            <v>REV</v>
          </cell>
          <cell r="G239">
            <v>0.12050036179656669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431.0806334364006</v>
          </cell>
          <cell r="O239">
            <v>431.0806334364006</v>
          </cell>
          <cell r="P239">
            <v>145.59777145221511</v>
          </cell>
          <cell r="S239">
            <v>145.59777145221511</v>
          </cell>
          <cell r="T239">
            <v>0.32676909507837754</v>
          </cell>
          <cell r="W239">
            <v>0.32676909507837754</v>
          </cell>
          <cell r="X239">
            <v>2.4102212522955586</v>
          </cell>
          <cell r="AA239">
            <v>2.4102212522955586</v>
          </cell>
          <cell r="AB239">
            <v>3.9861466873357041</v>
          </cell>
          <cell r="AC239">
            <v>0</v>
          </cell>
          <cell r="AD239">
            <v>0</v>
          </cell>
          <cell r="AE239">
            <v>3.9861466873357041</v>
          </cell>
          <cell r="AF239">
            <v>29.897099476480459</v>
          </cell>
          <cell r="AI239">
            <v>29.897099476480459</v>
          </cell>
        </row>
        <row r="240">
          <cell r="E240">
            <v>71</v>
          </cell>
          <cell r="F240" t="str">
            <v>ACT</v>
          </cell>
          <cell r="G240">
            <v>0.18106525480033178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877.54</v>
          </cell>
          <cell r="N240" t="str">
            <v>LedgerSource</v>
          </cell>
          <cell r="O240">
            <v>877.54</v>
          </cell>
          <cell r="P240">
            <v>0</v>
          </cell>
          <cell r="S240">
            <v>0</v>
          </cell>
          <cell r="T240">
            <v>0</v>
          </cell>
          <cell r="W240">
            <v>0</v>
          </cell>
          <cell r="X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I240">
            <v>0</v>
          </cell>
        </row>
        <row r="241">
          <cell r="E241">
            <v>76</v>
          </cell>
          <cell r="F241" t="str">
            <v>DH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S241">
            <v>0</v>
          </cell>
          <cell r="T241">
            <v>0</v>
          </cell>
          <cell r="W241">
            <v>0</v>
          </cell>
          <cell r="X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I241">
            <v>0</v>
          </cell>
        </row>
        <row r="242">
          <cell r="E242">
            <v>80</v>
          </cell>
          <cell r="F242" t="str">
            <v>CUST</v>
          </cell>
          <cell r="G242">
            <v>0.16830875636173823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3732.1216494845357</v>
          </cell>
          <cell r="O242">
            <v>3732.1216494845357</v>
          </cell>
          <cell r="P242">
            <v>110.29432989690721</v>
          </cell>
          <cell r="S242">
            <v>110.29432989690721</v>
          </cell>
          <cell r="T242">
            <v>0</v>
          </cell>
          <cell r="W242">
            <v>0</v>
          </cell>
          <cell r="X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  <cell r="AF242">
            <v>2.2356958762886601</v>
          </cell>
          <cell r="AI242">
            <v>2.2356958762886601</v>
          </cell>
        </row>
        <row r="243">
          <cell r="E243">
            <v>91</v>
          </cell>
          <cell r="F243" t="str">
            <v>ACT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O243">
            <v>0</v>
          </cell>
          <cell r="P243">
            <v>0</v>
          </cell>
          <cell r="S243">
            <v>0</v>
          </cell>
          <cell r="T243">
            <v>0</v>
          </cell>
          <cell r="W243">
            <v>0</v>
          </cell>
          <cell r="X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I243">
            <v>0</v>
          </cell>
        </row>
        <row r="244">
          <cell r="E244">
            <v>91</v>
          </cell>
          <cell r="F244" t="str">
            <v>ACT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O244">
            <v>0</v>
          </cell>
          <cell r="P244">
            <v>0</v>
          </cell>
          <cell r="S244">
            <v>0</v>
          </cell>
          <cell r="T244">
            <v>0</v>
          </cell>
          <cell r="W244">
            <v>0</v>
          </cell>
          <cell r="X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I244">
            <v>0</v>
          </cell>
        </row>
        <row r="245">
          <cell r="E245">
            <v>77</v>
          </cell>
          <cell r="F245" t="str">
            <v>ACT</v>
          </cell>
          <cell r="G245">
            <v>5.3629611088429799E-2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2606.8201291311166</v>
          </cell>
          <cell r="N245" t="str">
            <v>Mult Co Tax</v>
          </cell>
          <cell r="O245">
            <v>2606.8201291311166</v>
          </cell>
          <cell r="P245">
            <v>0</v>
          </cell>
          <cell r="Q245">
            <v>964.24900143612444</v>
          </cell>
          <cell r="R245" t="str">
            <v>Mult Co Tax</v>
          </cell>
          <cell r="S245">
            <v>964.24900143612444</v>
          </cell>
          <cell r="T245">
            <v>0</v>
          </cell>
          <cell r="W245">
            <v>0</v>
          </cell>
          <cell r="X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183.00364562284466</v>
          </cell>
          <cell r="AH245" t="str">
            <v>Mult Co Tax</v>
          </cell>
          <cell r="AI245">
            <v>183.00364562284466</v>
          </cell>
        </row>
        <row r="246">
          <cell r="E246">
            <v>84</v>
          </cell>
          <cell r="F246" t="str">
            <v>CUST</v>
          </cell>
          <cell r="G246">
            <v>0.16830875636173823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13648.626616207752</v>
          </cell>
          <cell r="O246">
            <v>13648.626616207752</v>
          </cell>
          <cell r="P246">
            <v>403.35398146939843</v>
          </cell>
          <cell r="S246">
            <v>403.35398146939843</v>
          </cell>
          <cell r="T246">
            <v>0</v>
          </cell>
          <cell r="W246">
            <v>0</v>
          </cell>
          <cell r="X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8.176094218974292</v>
          </cell>
          <cell r="AI246">
            <v>8.176094218974292</v>
          </cell>
        </row>
        <row r="247">
          <cell r="E247">
            <v>84</v>
          </cell>
          <cell r="F247" t="str">
            <v>CUST</v>
          </cell>
          <cell r="G247">
            <v>0.1683087563617382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271.01070076993346</v>
          </cell>
          <cell r="O247">
            <v>271.01070076993346</v>
          </cell>
          <cell r="P247">
            <v>8.0091021793031452</v>
          </cell>
          <cell r="S247">
            <v>8.0091021793031452</v>
          </cell>
          <cell r="T247">
            <v>0</v>
          </cell>
          <cell r="W247">
            <v>0</v>
          </cell>
          <cell r="X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0.16234666579668539</v>
          </cell>
          <cell r="AI247">
            <v>0.16234666579668539</v>
          </cell>
        </row>
        <row r="248">
          <cell r="E248">
            <v>84</v>
          </cell>
          <cell r="F248" t="str">
            <v>CUST</v>
          </cell>
          <cell r="G248">
            <v>0.16830875636173823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650.18224194179822</v>
          </cell>
          <cell r="O248">
            <v>650.18224194179822</v>
          </cell>
          <cell r="P248">
            <v>19.214650920005219</v>
          </cell>
          <cell r="S248">
            <v>19.214650920005219</v>
          </cell>
          <cell r="T248">
            <v>0</v>
          </cell>
          <cell r="W248">
            <v>0</v>
          </cell>
          <cell r="X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0.38948616729740315</v>
          </cell>
          <cell r="AI248">
            <v>0.38948616729740315</v>
          </cell>
        </row>
        <row r="249">
          <cell r="E249">
            <v>89</v>
          </cell>
          <cell r="F249" t="str">
            <v>ACT</v>
          </cell>
          <cell r="G249">
            <v>5.8968756281498613E-2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1610.7677407759197</v>
          </cell>
          <cell r="O249">
            <v>1610.7677407759197</v>
          </cell>
          <cell r="P249">
            <v>0</v>
          </cell>
          <cell r="Q249">
            <v>543.60869987850617</v>
          </cell>
          <cell r="S249">
            <v>543.60869987850617</v>
          </cell>
          <cell r="T249">
            <v>0</v>
          </cell>
          <cell r="W249">
            <v>0</v>
          </cell>
          <cell r="X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110.40355934557408</v>
          </cell>
          <cell r="AI249">
            <v>110.40355934557408</v>
          </cell>
        </row>
        <row r="250">
          <cell r="E250">
            <v>89</v>
          </cell>
          <cell r="F250" t="str">
            <v>ACT</v>
          </cell>
          <cell r="G250">
            <v>5.8968756281498627E-2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763.68707974869699</v>
          </cell>
          <cell r="N250">
            <v>0</v>
          </cell>
          <cell r="O250">
            <v>763.68707974869699</v>
          </cell>
          <cell r="P250">
            <v>0</v>
          </cell>
          <cell r="Q250">
            <v>257.73234093713756</v>
          </cell>
          <cell r="S250">
            <v>257.73234093713756</v>
          </cell>
          <cell r="T250">
            <v>0</v>
          </cell>
          <cell r="U250">
            <v>0</v>
          </cell>
          <cell r="W250">
            <v>0</v>
          </cell>
          <cell r="X250">
            <v>0</v>
          </cell>
          <cell r="Y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52.343841819099758</v>
          </cell>
          <cell r="AI250">
            <v>52.343841819099758</v>
          </cell>
        </row>
        <row r="251">
          <cell r="E251">
            <v>86</v>
          </cell>
          <cell r="F251" t="str">
            <v>REV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O251">
            <v>0</v>
          </cell>
          <cell r="P251">
            <v>0</v>
          </cell>
          <cell r="S251">
            <v>0</v>
          </cell>
          <cell r="T251">
            <v>0</v>
          </cell>
          <cell r="W251">
            <v>0</v>
          </cell>
          <cell r="X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I251">
            <v>0</v>
          </cell>
        </row>
        <row r="252">
          <cell r="E252">
            <v>86</v>
          </cell>
          <cell r="F252" t="str">
            <v>REV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O252">
            <v>0</v>
          </cell>
          <cell r="P252">
            <v>0</v>
          </cell>
          <cell r="S252">
            <v>0</v>
          </cell>
          <cell r="T252">
            <v>0</v>
          </cell>
          <cell r="W252">
            <v>0</v>
          </cell>
          <cell r="X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I252">
            <v>0</v>
          </cell>
        </row>
        <row r="253">
          <cell r="E253">
            <v>86</v>
          </cell>
          <cell r="F253" t="str">
            <v>CUST</v>
          </cell>
          <cell r="G253">
            <v>0.1683087563617382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13.560746443951453</v>
          </cell>
          <cell r="O253">
            <v>13.560746443951453</v>
          </cell>
          <cell r="P253">
            <v>0.40075688372699991</v>
          </cell>
          <cell r="S253">
            <v>0.40075688372699991</v>
          </cell>
          <cell r="T253">
            <v>0</v>
          </cell>
          <cell r="W253">
            <v>0</v>
          </cell>
          <cell r="X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8.1234503458175664E-3</v>
          </cell>
          <cell r="AI253">
            <v>8.1234503458175664E-3</v>
          </cell>
        </row>
        <row r="254">
          <cell r="E254">
            <v>84</v>
          </cell>
          <cell r="F254" t="str">
            <v>CUST</v>
          </cell>
          <cell r="G254">
            <v>0.1683087563617382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3321.0660159206573</v>
          </cell>
          <cell r="O254">
            <v>3321.0660159206573</v>
          </cell>
          <cell r="P254">
            <v>98.14651963982773</v>
          </cell>
          <cell r="S254">
            <v>98.14651963982773</v>
          </cell>
          <cell r="T254">
            <v>0</v>
          </cell>
          <cell r="W254">
            <v>0</v>
          </cell>
          <cell r="X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1.9894564791856975</v>
          </cell>
          <cell r="AI254">
            <v>1.9894564791856975</v>
          </cell>
        </row>
        <row r="255">
          <cell r="E255">
            <v>72</v>
          </cell>
          <cell r="F255" t="str">
            <v>DH</v>
          </cell>
          <cell r="G255">
            <v>0.11021083809358595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16.819377430822421</v>
          </cell>
          <cell r="O255">
            <v>16.819377430822421</v>
          </cell>
          <cell r="P255">
            <v>7.4019027483458846</v>
          </cell>
          <cell r="S255">
            <v>7.4019027483458846</v>
          </cell>
          <cell r="T255">
            <v>14.668075746903906</v>
          </cell>
          <cell r="W255">
            <v>14.668075746903906</v>
          </cell>
          <cell r="X255">
            <v>6.4348731576087745</v>
          </cell>
          <cell r="AA255">
            <v>6.4348731576087745</v>
          </cell>
          <cell r="AB255">
            <v>13.802252874299077</v>
          </cell>
          <cell r="AC255">
            <v>0</v>
          </cell>
          <cell r="AD255">
            <v>0</v>
          </cell>
          <cell r="AE255">
            <v>13.802252874299077</v>
          </cell>
          <cell r="AF255">
            <v>3.0103885591836903</v>
          </cell>
          <cell r="AI255">
            <v>3.0103885591836903</v>
          </cell>
        </row>
        <row r="256">
          <cell r="E256">
            <v>76</v>
          </cell>
          <cell r="F256" t="str">
            <v>DH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O256">
            <v>0</v>
          </cell>
          <cell r="P256">
            <v>0</v>
          </cell>
          <cell r="S256">
            <v>0</v>
          </cell>
          <cell r="T256">
            <v>0</v>
          </cell>
          <cell r="W256">
            <v>0</v>
          </cell>
          <cell r="X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I256">
            <v>0</v>
          </cell>
        </row>
        <row r="257">
          <cell r="E257">
            <v>62</v>
          </cell>
          <cell r="F257" t="str">
            <v>CUST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O257">
            <v>0</v>
          </cell>
          <cell r="P257">
            <v>0</v>
          </cell>
          <cell r="S257">
            <v>0</v>
          </cell>
          <cell r="T257">
            <v>0</v>
          </cell>
          <cell r="W257">
            <v>0</v>
          </cell>
          <cell r="X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I257">
            <v>0</v>
          </cell>
        </row>
        <row r="258">
          <cell r="E258">
            <v>93</v>
          </cell>
          <cell r="F258" t="str">
            <v>DH</v>
          </cell>
          <cell r="G258">
            <v>0.11021083809358592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12916.824683951092</v>
          </cell>
          <cell r="O258">
            <v>12916.824683951092</v>
          </cell>
          <cell r="P258">
            <v>5684.4601128238392</v>
          </cell>
          <cell r="S258">
            <v>5684.4601128238392</v>
          </cell>
          <cell r="T258">
            <v>11264.683467205385</v>
          </cell>
          <cell r="W258">
            <v>11264.683467205385</v>
          </cell>
          <cell r="X258">
            <v>4941.8076728557644</v>
          </cell>
          <cell r="AA258">
            <v>4941.8076728557644</v>
          </cell>
          <cell r="AB258">
            <v>10599.755035770297</v>
          </cell>
          <cell r="AC258">
            <v>0</v>
          </cell>
          <cell r="AD258">
            <v>0</v>
          </cell>
          <cell r="AE258">
            <v>10599.755035770297</v>
          </cell>
          <cell r="AF258">
            <v>2311.8965853212617</v>
          </cell>
          <cell r="AI258">
            <v>2311.8965853212617</v>
          </cell>
        </row>
        <row r="259">
          <cell r="E259">
            <v>93</v>
          </cell>
          <cell r="F259" t="str">
            <v>REV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O259">
            <v>0</v>
          </cell>
          <cell r="P259">
            <v>0</v>
          </cell>
          <cell r="S259">
            <v>0</v>
          </cell>
          <cell r="T259">
            <v>0</v>
          </cell>
          <cell r="W259">
            <v>0</v>
          </cell>
          <cell r="X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I259">
            <v>0</v>
          </cell>
        </row>
        <row r="260">
          <cell r="E260">
            <v>93</v>
          </cell>
          <cell r="F260" t="str">
            <v>DH</v>
          </cell>
          <cell r="G260">
            <v>0.11021083809358596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-2866.5114842802591</v>
          </cell>
          <cell r="O260">
            <v>-2866.5114842802591</v>
          </cell>
          <cell r="P260">
            <v>-1261.4996792197917</v>
          </cell>
          <cell r="S260">
            <v>-1261.4996792197917</v>
          </cell>
          <cell r="T260">
            <v>-2499.8670583217199</v>
          </cell>
          <cell r="W260">
            <v>-2499.8670583217199</v>
          </cell>
          <cell r="X260">
            <v>-1096.6896891421018</v>
          </cell>
          <cell r="AA260">
            <v>-1096.6896891421018</v>
          </cell>
          <cell r="AB260">
            <v>-2352.3056388885575</v>
          </cell>
          <cell r="AC260">
            <v>0</v>
          </cell>
          <cell r="AD260">
            <v>0</v>
          </cell>
          <cell r="AE260">
            <v>-2352.3056388885575</v>
          </cell>
          <cell r="AF260">
            <v>-513.05783537696618</v>
          </cell>
          <cell r="AI260">
            <v>-513.05783537696618</v>
          </cell>
        </row>
        <row r="261">
          <cell r="E261">
            <v>0</v>
          </cell>
          <cell r="F261">
            <v>0</v>
          </cell>
          <cell r="G261">
            <v>0.11167423884376183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573888.75266681588</v>
          </cell>
          <cell r="M261">
            <v>480530.501069572</v>
          </cell>
          <cell r="N261">
            <v>0</v>
          </cell>
          <cell r="O261">
            <v>1054419.2537363875</v>
          </cell>
          <cell r="P261">
            <v>177431.8162779196</v>
          </cell>
          <cell r="Q261">
            <v>329018.14235054923</v>
          </cell>
          <cell r="R261">
            <v>0</v>
          </cell>
          <cell r="S261">
            <v>506449.95862846845</v>
          </cell>
          <cell r="T261">
            <v>310046.24167260336</v>
          </cell>
          <cell r="U261">
            <v>12023.0091655457</v>
          </cell>
          <cell r="V261">
            <v>0</v>
          </cell>
          <cell r="W261">
            <v>322069.25083814905</v>
          </cell>
          <cell r="X261">
            <v>119697.68546582865</v>
          </cell>
          <cell r="Y261">
            <v>9995.8199366559293</v>
          </cell>
          <cell r="Z261">
            <v>0</v>
          </cell>
          <cell r="AA261">
            <v>129693.50540248457</v>
          </cell>
          <cell r="AB261">
            <v>250249.72314694535</v>
          </cell>
          <cell r="AC261">
            <v>76903.269461026081</v>
          </cell>
          <cell r="AD261">
            <v>0</v>
          </cell>
          <cell r="AE261">
            <v>327152.99260797136</v>
          </cell>
          <cell r="AF261">
            <v>61100.888366053172</v>
          </cell>
          <cell r="AG261">
            <v>82145.490673638415</v>
          </cell>
          <cell r="AH261">
            <v>0</v>
          </cell>
          <cell r="AI261">
            <v>143246.37903969144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come Statement (WMofWA)"/>
      <sheetName val="Balance Sheet (WMofWA)"/>
      <sheetName val="Rev. Sum. - Confidential"/>
      <sheetName val="WTB-Confidential"/>
      <sheetName val="Priceout (Staff Method)"/>
      <sheetName val="Priceout (Company Method)"/>
      <sheetName val="Monthly IS"/>
      <sheetName val="Lurito - Garbage"/>
      <sheetName val="Lurito - Recycling (MF)"/>
      <sheetName val="Lurito - Recycling"/>
      <sheetName val="Lurito - YW"/>
      <sheetName val="Total Lurito"/>
      <sheetName val="Lurito-Garbage"/>
      <sheetName val="Lurito-Recycling"/>
      <sheetName val="Lurito-YW"/>
      <sheetName val="Priceout (Proposed)"/>
      <sheetName val="PC 160 - Confidential"/>
      <sheetName val="PC 220"/>
      <sheetName val="PC 230"/>
      <sheetName val="Processing Fees"/>
      <sheetName val="PC 260-Confidential"/>
      <sheetName val="YW Processing Fees"/>
      <sheetName val="WUTC Customer Counts"/>
      <sheetName val="PR Register-Confidential"/>
      <sheetName val="Wage Scale-Confidential"/>
      <sheetName val="PR Detail - Confidential"/>
      <sheetName val="Earn Codes"/>
      <sheetName val="Fuel"/>
      <sheetName val="Legal Fees"/>
      <sheetName val="Facility Costs"/>
      <sheetName val="Sno-King Com'l Recycling"/>
      <sheetName val="City Contract MF Recycling"/>
      <sheetName val="UTC MF Recycling"/>
      <sheetName val="DEPN Summary"/>
      <sheetName val="DEPN"/>
      <sheetName val="Fixed Asset Summary"/>
      <sheetName val="Fixed Asset Detail"/>
      <sheetName val="Balance Sheet"/>
      <sheetName val="Summary (Cart &amp; Containers)"/>
      <sheetName val="OH Analysis"/>
      <sheetName val="Corp. Office OH"/>
      <sheetName val="2008 Group Office TB"/>
      <sheetName val="MA Office OH"/>
      <sheetName val="MA Stats"/>
      <sheetName val="Bothell"/>
      <sheetName val="Woodinville"/>
      <sheetName val="Seattle"/>
      <sheetName val="South Sound"/>
      <sheetName val="Skagit"/>
      <sheetName val="Brem-Air"/>
      <sheetName val="Hours &amp; Services"/>
      <sheetName val="Operating Cost"/>
      <sheetName val="Head Count"/>
      <sheetName val="Summary MA Headcount"/>
      <sheetName val="MA Headcount"/>
      <sheetName val="Headcount"/>
      <sheetName val="WM Sandpoint"/>
      <sheetName val="WM Brem-Air"/>
      <sheetName val="WM Wenatchee"/>
      <sheetName val="WM Ellensburg"/>
      <sheetName val="WM Klamath Falls"/>
      <sheetName val="WM Coeur d'Alene"/>
      <sheetName val="WM Kennewick"/>
      <sheetName val="WM Skagit"/>
      <sheetName val="WM Spokane"/>
      <sheetName val="WM Oregon"/>
      <sheetName val="WM South Sound"/>
      <sheetName val="WM Northwest"/>
      <sheetName val="WM Sno-King"/>
      <sheetName val="WM Seattle"/>
      <sheetName val="2008 West Group IS"/>
      <sheetName val="2008 Group Office IS"/>
      <sheetName val="500500"/>
      <sheetName val="AP-500500"/>
      <sheetName val="500800"/>
      <sheetName val="509000"/>
      <sheetName val="AP-509500"/>
      <sheetName val="509500"/>
      <sheetName val="531200"/>
      <sheetName val="Income Statement (Tonnage)"/>
      <sheetName val="DEPN (CRC)"/>
      <sheetName val="Fixed Assets - Update"/>
      <sheetName val="Fixed Assets"/>
      <sheetName val="Lurito - CRC"/>
      <sheetName val="Lurito"/>
      <sheetName val="unprocessed SS"/>
      <sheetName val="Tonnage"/>
      <sheetName val="Outbound Tons"/>
      <sheetName val="Inbound Tons"/>
      <sheetName val="Labor"/>
      <sheetName val="CDL Pricing"/>
      <sheetName val="CRC Commodity Prices"/>
      <sheetName val="Commodity Mix"/>
      <sheetName val="502500"/>
      <sheetName val="Summary (Disposal)"/>
      <sheetName val="Com'l FL"/>
      <sheetName val="Res'l RL"/>
      <sheetName val="Roll Off"/>
      <sheetName val="Res'l YW"/>
      <sheetName val="Res'l Rec."/>
      <sheetName val="Com'l Rec."/>
      <sheetName val="Summary (Route)"/>
      <sheetName val="Haul Summary"/>
      <sheetName val="Customer Counts"/>
      <sheetName val="Com'l FL-2009"/>
      <sheetName val="Res'l RL (Route)"/>
      <sheetName val="Res'l YW (Route)"/>
      <sheetName val="Res'l Rec. (Route)"/>
      <sheetName val="Roll Off (Route)"/>
      <sheetName val="Com'l Rec. (Route)"/>
      <sheetName val="Hauls Only"/>
      <sheetName val="Container Shop (Arrows)"/>
      <sheetName val="Summary (Bad Debt)"/>
      <sheetName val="115000-115030 2008"/>
      <sheetName val="115000-115030 2007"/>
      <sheetName val="115000-115030 200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ropDownRanges"/>
      <sheetName val="StatEntry_Trend"/>
      <sheetName val="StatEntry_Detail"/>
      <sheetName val="StatEntry_Reclass_LOB_Sbst"/>
      <sheetName val="ChangeHistory"/>
      <sheetName val="Stat Lookup"/>
    </sheetNames>
    <sheetDataSet>
      <sheetData sheetId="0">
        <row r="5">
          <cell r="B5" t="str">
            <v>Can_Commercial</v>
          </cell>
          <cell r="D5" t="str">
            <v>Act</v>
          </cell>
        </row>
        <row r="6">
          <cell r="B6" t="str">
            <v>Can_Commercial Recycling</v>
          </cell>
          <cell r="D6" t="str">
            <v>Bud</v>
          </cell>
        </row>
        <row r="7">
          <cell r="B7" t="str">
            <v>Can_Landfill</v>
          </cell>
          <cell r="D7" t="str">
            <v>Proj</v>
          </cell>
        </row>
        <row r="8">
          <cell r="B8" t="str">
            <v>Can_Landfill Gas</v>
          </cell>
        </row>
        <row r="9">
          <cell r="B9" t="str">
            <v>Can_MRF</v>
          </cell>
        </row>
        <row r="10">
          <cell r="B10" t="str">
            <v>Can_Other</v>
          </cell>
        </row>
        <row r="11">
          <cell r="B11" t="str">
            <v>Can_Residential</v>
          </cell>
        </row>
        <row r="12">
          <cell r="B12" t="str">
            <v>Can_Residential Recycling</v>
          </cell>
        </row>
        <row r="13">
          <cell r="B13" t="str">
            <v>Can_Roll Off</v>
          </cell>
        </row>
        <row r="14">
          <cell r="B14" t="str">
            <v>Can_Transfer Station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"/>
      <sheetName val="Instructions"/>
      <sheetName val="User"/>
      <sheetName val="Settings"/>
      <sheetName val="Orientation"/>
      <sheetName val="Delivery"/>
      <sheetName val="RptClose"/>
      <sheetName val="Hidden"/>
    </sheetNames>
    <sheetDataSet>
      <sheetData sheetId="0" refreshError="1"/>
      <sheetData sheetId="1" refreshError="1"/>
      <sheetData sheetId="2" refreshError="1"/>
      <sheetData sheetId="3" refreshError="1">
        <row r="5">
          <cell r="D5">
            <v>10.71</v>
          </cell>
        </row>
        <row r="14">
          <cell r="C14" t="str">
            <v>dist</v>
          </cell>
          <cell r="E14" t="str">
            <v>=</v>
          </cell>
          <cell r="F14">
            <v>2149</v>
          </cell>
        </row>
      </sheetData>
      <sheetData sheetId="4" refreshError="1">
        <row r="6">
          <cell r="F6" t="str">
            <v>Time Series</v>
          </cell>
        </row>
        <row r="17">
          <cell r="B17" t="str">
            <v>ACCT</v>
          </cell>
          <cell r="C17" t="str">
            <v>-</v>
          </cell>
        </row>
        <row r="22">
          <cell r="C22" t="str">
            <v>Financial</v>
          </cell>
        </row>
        <row r="23">
          <cell r="C23" t="str">
            <v>ALL</v>
          </cell>
        </row>
        <row r="24">
          <cell r="C24" t="str">
            <v>Variable</v>
          </cell>
        </row>
      </sheetData>
      <sheetData sheetId="5" refreshError="1">
        <row r="8">
          <cell r="E8" t="str">
            <v>Report</v>
          </cell>
        </row>
        <row r="12">
          <cell r="B12" t="b">
            <v>0</v>
          </cell>
        </row>
      </sheetData>
      <sheetData sheetId="6" refreshError="1"/>
      <sheetData sheetId="7" refreshError="1">
        <row r="11">
          <cell r="D11">
            <v>10002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 t="str">
            <v>Cash</v>
          </cell>
        </row>
      </sheetData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ropDownRanges"/>
      <sheetName val="StatEntry_Trend"/>
      <sheetName val="StatEntry_Detail"/>
      <sheetName val="StatEntry_Reclass_LOB_Sbst"/>
      <sheetName val="ChangeHistory"/>
      <sheetName val="Stat Lookup"/>
    </sheetNames>
    <sheetDataSet>
      <sheetData sheetId="0">
        <row r="5">
          <cell r="B5" t="str">
            <v>Can_Commercial</v>
          </cell>
          <cell r="D5" t="str">
            <v>Act</v>
          </cell>
        </row>
        <row r="6">
          <cell r="B6" t="str">
            <v>Can_Commercial Recycling</v>
          </cell>
          <cell r="D6" t="str">
            <v>Bud</v>
          </cell>
        </row>
        <row r="7">
          <cell r="B7" t="str">
            <v>Can_Landfill</v>
          </cell>
          <cell r="D7" t="str">
            <v>Proj</v>
          </cell>
        </row>
        <row r="8">
          <cell r="B8" t="str">
            <v>Can_Landfill Gas</v>
          </cell>
        </row>
        <row r="9">
          <cell r="B9" t="str">
            <v>Can_MRF</v>
          </cell>
        </row>
        <row r="10">
          <cell r="B10" t="str">
            <v>Can_Other</v>
          </cell>
        </row>
        <row r="11">
          <cell r="B11" t="str">
            <v>Can_Residential</v>
          </cell>
        </row>
        <row r="12">
          <cell r="B12" t="str">
            <v>Can_Residential Recycling</v>
          </cell>
        </row>
        <row r="13">
          <cell r="B13" t="str">
            <v>Can_Roll Off</v>
          </cell>
        </row>
        <row r="14">
          <cell r="B14" t="str">
            <v>Can_Transfer Station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 Memo"/>
      <sheetName val="MM001Tranx"/>
      <sheetName val="JEexport"/>
      <sheetName val="Rev Import"/>
      <sheetName val="JE_Summary"/>
      <sheetName val="Mth00"/>
      <sheetName val="Mth01"/>
      <sheetName val="Mth02"/>
      <sheetName val="Mth03"/>
      <sheetName val="Mth04"/>
      <sheetName val="Mth05"/>
      <sheetName val="Mth06"/>
      <sheetName val="Mth07"/>
      <sheetName val="Mth08"/>
      <sheetName val="Mth09"/>
      <sheetName val="Mth10"/>
      <sheetName val="Mth11"/>
      <sheetName val="Mth12"/>
      <sheetName val="TEST"/>
      <sheetName val="To Do"/>
      <sheetName val="GLMapping"/>
      <sheetName val="BatchLog"/>
      <sheetName val="Reference"/>
      <sheetName val="RM_MM001_Query_v4e - Murreys Up"/>
      <sheetName val=""/>
    </sheetNames>
    <sheetDataSet>
      <sheetData sheetId="0"/>
      <sheetData sheetId="1"/>
      <sheetData sheetId="2">
        <row r="9">
          <cell r="L9">
            <v>11501</v>
          </cell>
        </row>
        <row r="10">
          <cell r="L10" t="str">
            <v>11501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M001Tranx"/>
      <sheetName val="JEexport"/>
      <sheetName val="Intro Memo"/>
      <sheetName val="JE_Summary"/>
      <sheetName val="Mth00"/>
      <sheetName val="Mth01"/>
      <sheetName val="Mth02"/>
      <sheetName val="Mth03"/>
      <sheetName val="Mth04"/>
      <sheetName val="Mth05"/>
      <sheetName val="Mth06"/>
      <sheetName val="Mth07"/>
      <sheetName val="Mth08"/>
      <sheetName val="Mth09"/>
      <sheetName val="Mth10"/>
      <sheetName val="Mth11"/>
      <sheetName val="Mth12"/>
      <sheetName val="TEST"/>
      <sheetName val="To Do"/>
      <sheetName val="GLMapping"/>
      <sheetName val="BatchLog"/>
      <sheetName val="Reference"/>
    </sheetNames>
    <sheetDataSet>
      <sheetData sheetId="0"/>
      <sheetData sheetId="1" refreshError="1">
        <row r="9">
          <cell r="L9">
            <v>11501</v>
          </cell>
        </row>
        <row r="10">
          <cell r="L10" t="str">
            <v>11501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lass A IS"/>
      <sheetName val="2009 BS"/>
      <sheetName val="2010 BS"/>
      <sheetName val="Combined BS"/>
      <sheetName val="2009 IS"/>
      <sheetName val="2010 IS"/>
      <sheetName val="Combined 12 mo IS"/>
      <sheetName val="Consolidated IS 2009 2010"/>
      <sheetName val="Consolidated IS - IRMGARD"/>
      <sheetName val="Pro forma "/>
      <sheetName val="Pro forma-Line of Service"/>
      <sheetName val="Restatements"/>
      <sheetName val="Proforma Adjusts"/>
      <sheetName val="2009 Price Out (REG)"/>
      <sheetName val="GL Recon"/>
      <sheetName val="Customer Count Summary"/>
      <sheetName val="2009 Payroll"/>
      <sheetName val="2010 Payroll"/>
      <sheetName val="2009,2010 Depr Summary"/>
      <sheetName val="Time Study"/>
      <sheetName val="2009 Insurance"/>
      <sheetName val="2010 Insurance"/>
      <sheetName val="2009 Disposal"/>
      <sheetName val="2010 Disposal"/>
      <sheetName val="2009 Fuel"/>
      <sheetName val="2009 Depr Summary"/>
      <sheetName val="2009 Trks"/>
      <sheetName val="2009 Cont, DB"/>
      <sheetName val="2009 Serv, Shop"/>
      <sheetName val="2009 Office"/>
      <sheetName val="2009 Leasehold"/>
      <sheetName val="2010 Fuel"/>
      <sheetName val="2010 Deprec Summary"/>
      <sheetName val="2010 Trks"/>
      <sheetName val="2010 Cont, DB"/>
      <sheetName val="2010 Serv, Shop"/>
      <sheetName val="2010 Office"/>
      <sheetName val="2010 Leasehold"/>
      <sheetName val="Region Allocation (2)"/>
      <sheetName val="LG-Total Company before DF"/>
      <sheetName val="LG-Packer Rts before DF"/>
      <sheetName val="LG-RO Rts before DF"/>
      <sheetName val="LG-Total Company"/>
      <sheetName val="LG-Packer Rts"/>
      <sheetName val="LG-RO Rts"/>
      <sheetName val="LG-Recycl"/>
      <sheetName val="Scenarios"/>
      <sheetName val="Scenarios (2)"/>
      <sheetName val="Not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2">
          <cell r="A12" t="str">
            <v>Revenue</v>
          </cell>
        </row>
        <row r="13">
          <cell r="A13" t="str">
            <v>Hauling</v>
          </cell>
        </row>
        <row r="14">
          <cell r="A14">
            <v>31000</v>
          </cell>
          <cell r="B14" t="str">
            <v>Hauling Revenue - Roll Off Permanent</v>
          </cell>
          <cell r="E14">
            <v>41429.11</v>
          </cell>
          <cell r="F14">
            <v>39826.22</v>
          </cell>
          <cell r="G14">
            <v>49022.75</v>
          </cell>
          <cell r="H14">
            <v>45137.86</v>
          </cell>
          <cell r="I14">
            <v>48263.81</v>
          </cell>
          <cell r="J14">
            <v>55314.5</v>
          </cell>
          <cell r="K14">
            <v>60046.02</v>
          </cell>
          <cell r="L14">
            <v>64582.7</v>
          </cell>
          <cell r="M14">
            <v>55932.07</v>
          </cell>
          <cell r="N14">
            <v>50932.34</v>
          </cell>
          <cell r="O14">
            <v>38587.67</v>
          </cell>
          <cell r="P14">
            <v>43420.76</v>
          </cell>
          <cell r="Q14">
            <v>592495.81000000006</v>
          </cell>
        </row>
        <row r="15">
          <cell r="A15">
            <v>31001</v>
          </cell>
          <cell r="B15" t="str">
            <v>Hauling Revenue - Roll Off Temporary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</row>
        <row r="16">
          <cell r="A16">
            <v>31002</v>
          </cell>
          <cell r="B16" t="str">
            <v>Hauling Revenue - Roll Off Rental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</row>
        <row r="17">
          <cell r="A17">
            <v>31003</v>
          </cell>
          <cell r="B17" t="str">
            <v>Hauling Revenue - Roll Off Compactor Ren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</row>
        <row r="18">
          <cell r="A18">
            <v>31004</v>
          </cell>
          <cell r="B18" t="str">
            <v>Hauling Revenue - Roll Off Recycling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</row>
        <row r="19">
          <cell r="A19">
            <v>31005</v>
          </cell>
          <cell r="B19" t="str">
            <v>Corporate Roll Off Disposal Charge</v>
          </cell>
          <cell r="E19">
            <v>93946.63</v>
          </cell>
          <cell r="F19">
            <v>91101.8</v>
          </cell>
          <cell r="G19">
            <v>108743.12</v>
          </cell>
          <cell r="H19">
            <v>100411.54</v>
          </cell>
          <cell r="I19">
            <v>109421.85</v>
          </cell>
          <cell r="J19">
            <v>119111.11</v>
          </cell>
          <cell r="K19">
            <v>114939.05</v>
          </cell>
          <cell r="L19">
            <v>123201.29</v>
          </cell>
          <cell r="M19">
            <v>128616.56</v>
          </cell>
          <cell r="N19">
            <v>103849.76</v>
          </cell>
          <cell r="O19">
            <v>87162.7</v>
          </cell>
          <cell r="P19">
            <v>101585.44</v>
          </cell>
          <cell r="Q19">
            <v>1282090.8499999999</v>
          </cell>
        </row>
        <row r="20">
          <cell r="A20">
            <v>31008</v>
          </cell>
          <cell r="B20" t="str">
            <v>Hauling Revenue - Roll Off Adjustments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</row>
        <row r="21">
          <cell r="A21">
            <v>31009</v>
          </cell>
          <cell r="B21" t="str">
            <v>Hauling Revenue - Roll Off Intercompany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</row>
        <row r="22">
          <cell r="A22">
            <v>31010</v>
          </cell>
          <cell r="B22" t="str">
            <v>Hauling Revenue - Roll Off Extras</v>
          </cell>
          <cell r="E22">
            <v>16354.41</v>
          </cell>
          <cell r="F22">
            <v>16430.849999999999</v>
          </cell>
          <cell r="G22">
            <v>18226.63</v>
          </cell>
          <cell r="H22">
            <v>17972.400000000001</v>
          </cell>
          <cell r="I22">
            <v>18790.919999999998</v>
          </cell>
          <cell r="J22">
            <v>19705.3</v>
          </cell>
          <cell r="K22">
            <v>21354.080000000002</v>
          </cell>
          <cell r="L22">
            <v>22365.29</v>
          </cell>
          <cell r="M22">
            <v>20804.36</v>
          </cell>
          <cell r="N22">
            <v>18374.21</v>
          </cell>
          <cell r="O22">
            <v>17346.11</v>
          </cell>
          <cell r="P22">
            <v>15627.2</v>
          </cell>
          <cell r="Q22">
            <v>223351.76</v>
          </cell>
        </row>
        <row r="23">
          <cell r="A23">
            <v>31020</v>
          </cell>
          <cell r="B23" t="str">
            <v>Hauling Revenue - Roll Off Special Waste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</row>
        <row r="24">
          <cell r="A24">
            <v>31021</v>
          </cell>
          <cell r="B24" t="str">
            <v>Hauling Revenue - Roll Off Special Waste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</row>
        <row r="25">
          <cell r="A25">
            <v>31029</v>
          </cell>
          <cell r="B25" t="str">
            <v>Hauling Revenue - Roll Off Special Waste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</row>
        <row r="26">
          <cell r="A26">
            <v>32000</v>
          </cell>
          <cell r="B26" t="str">
            <v>Hauling Revenue - Residential MSW</v>
          </cell>
          <cell r="E26">
            <v>754535.74</v>
          </cell>
          <cell r="F26">
            <v>750848.79</v>
          </cell>
          <cell r="G26">
            <v>751484.07</v>
          </cell>
          <cell r="H26">
            <v>759461.88</v>
          </cell>
          <cell r="I26">
            <v>756344.84</v>
          </cell>
          <cell r="J26">
            <v>762351.19</v>
          </cell>
          <cell r="K26">
            <v>763571.04</v>
          </cell>
          <cell r="L26">
            <v>762014.08</v>
          </cell>
          <cell r="M26">
            <v>763381.19</v>
          </cell>
          <cell r="N26">
            <v>760410.82</v>
          </cell>
          <cell r="O26">
            <v>760222.53</v>
          </cell>
          <cell r="P26">
            <v>757663.07</v>
          </cell>
          <cell r="Q26">
            <v>9102289.2400000002</v>
          </cell>
        </row>
        <row r="27">
          <cell r="A27">
            <v>32001</v>
          </cell>
          <cell r="B27" t="str">
            <v>Hauling Revenue - Residential MSW Extras</v>
          </cell>
          <cell r="E27">
            <v>48676.93</v>
          </cell>
          <cell r="F27">
            <v>46005.81</v>
          </cell>
          <cell r="G27">
            <v>44057.39</v>
          </cell>
          <cell r="H27">
            <v>54145.79</v>
          </cell>
          <cell r="I27">
            <v>47089.22</v>
          </cell>
          <cell r="J27">
            <v>62711.39</v>
          </cell>
          <cell r="K27">
            <v>60222.84</v>
          </cell>
          <cell r="L27">
            <v>63321.38</v>
          </cell>
          <cell r="M27">
            <v>48663.92</v>
          </cell>
          <cell r="N27">
            <v>45750.71</v>
          </cell>
          <cell r="O27">
            <v>44578.41</v>
          </cell>
          <cell r="P27">
            <v>66011.64</v>
          </cell>
          <cell r="Q27">
            <v>631235.43000000005</v>
          </cell>
        </row>
        <row r="28">
          <cell r="A28">
            <v>32002</v>
          </cell>
          <cell r="B28" t="str">
            <v>Hauling Revenue - Residential MSW Adjust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</row>
        <row r="29">
          <cell r="A29">
            <v>32003</v>
          </cell>
          <cell r="B29" t="str">
            <v>Hauling Revenue - Residential MSW Specia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</row>
        <row r="30">
          <cell r="A30">
            <v>32009</v>
          </cell>
          <cell r="B30" t="str">
            <v>Hauling Revenue - Residential MSW Interc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</row>
        <row r="31">
          <cell r="A31">
            <v>32100</v>
          </cell>
          <cell r="B31" t="str">
            <v>Hauling Revenue - Residential Recycling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</row>
        <row r="32">
          <cell r="A32">
            <v>32101</v>
          </cell>
          <cell r="B32" t="str">
            <v>Hauling Revenue - Residential Recycling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</row>
        <row r="33">
          <cell r="A33">
            <v>32102</v>
          </cell>
          <cell r="B33" t="str">
            <v>Hauling Revenue - Residential Recycling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</row>
        <row r="34">
          <cell r="A34">
            <v>32103</v>
          </cell>
          <cell r="B34" t="str">
            <v>Hauling Revenue - Residential Recycling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</row>
        <row r="35">
          <cell r="A35">
            <v>32109</v>
          </cell>
          <cell r="B35" t="str">
            <v>Hauling Revenue - Residential Recycling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</row>
        <row r="36">
          <cell r="A36">
            <v>32110</v>
          </cell>
          <cell r="B36" t="str">
            <v>Hauling Revenue - Residential Composting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</row>
        <row r="37">
          <cell r="A37">
            <v>32111</v>
          </cell>
          <cell r="B37" t="str">
            <v>Hauling Revenue - Residential Composting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</row>
        <row r="38">
          <cell r="A38">
            <v>32112</v>
          </cell>
          <cell r="B38" t="str">
            <v>Hauling Revenue - Residential Composting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</row>
        <row r="39">
          <cell r="A39">
            <v>32113</v>
          </cell>
          <cell r="B39" t="str">
            <v>Hauling Revenue - Residential Composting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</row>
        <row r="40">
          <cell r="A40">
            <v>32119</v>
          </cell>
          <cell r="B40" t="str">
            <v>Hauling Revenue - Residential Composting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</row>
        <row r="41">
          <cell r="A41">
            <v>33000</v>
          </cell>
          <cell r="B41" t="str">
            <v>Hauling Revenue - Commercial FEL</v>
          </cell>
          <cell r="E41">
            <v>414760.73</v>
          </cell>
          <cell r="F41">
            <v>412841.01</v>
          </cell>
          <cell r="G41">
            <v>416757.93</v>
          </cell>
          <cell r="H41">
            <v>417298.76</v>
          </cell>
          <cell r="I41">
            <v>417121.97</v>
          </cell>
          <cell r="J41">
            <v>421939.51</v>
          </cell>
          <cell r="K41">
            <v>420917.49</v>
          </cell>
          <cell r="L41">
            <v>425821.47</v>
          </cell>
          <cell r="M41">
            <v>424192</v>
          </cell>
          <cell r="N41">
            <v>415412.9</v>
          </cell>
          <cell r="O41">
            <v>413023.47</v>
          </cell>
          <cell r="P41">
            <v>411406.25</v>
          </cell>
          <cell r="Q41">
            <v>5011493.49</v>
          </cell>
        </row>
        <row r="42">
          <cell r="A42">
            <v>33001</v>
          </cell>
          <cell r="B42" t="str">
            <v>Hauling Revenue - Commercial FEL Extras</v>
          </cell>
          <cell r="E42">
            <v>16369.94</v>
          </cell>
          <cell r="F42">
            <v>15223.46</v>
          </cell>
          <cell r="G42">
            <v>18054.59</v>
          </cell>
          <cell r="H42">
            <v>17483.330000000002</v>
          </cell>
          <cell r="I42">
            <v>19168.46</v>
          </cell>
          <cell r="J42">
            <v>18357.68</v>
          </cell>
          <cell r="K42">
            <v>21453.19</v>
          </cell>
          <cell r="L42">
            <v>22591.22</v>
          </cell>
          <cell r="M42">
            <v>16352.74</v>
          </cell>
          <cell r="N42">
            <v>17430.650000000001</v>
          </cell>
          <cell r="O42">
            <v>16278.67</v>
          </cell>
          <cell r="P42">
            <v>16972.88</v>
          </cell>
          <cell r="Q42">
            <v>215736.81</v>
          </cell>
        </row>
        <row r="43">
          <cell r="A43">
            <v>33002</v>
          </cell>
          <cell r="B43" t="str">
            <v>Hauling Revenue - Commercial FEL Adjustm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</row>
        <row r="44">
          <cell r="A44">
            <v>33009</v>
          </cell>
          <cell r="B44" t="str">
            <v>Hauling Revenue - Commercial FEL Interco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</row>
        <row r="45">
          <cell r="A45">
            <v>33010</v>
          </cell>
          <cell r="B45" t="str">
            <v>Hauling Revenue - Commercial REL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</row>
        <row r="46">
          <cell r="A46">
            <v>33011</v>
          </cell>
          <cell r="B46" t="str">
            <v>Hauling Revenue - Commercial REL Extras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</row>
        <row r="47">
          <cell r="A47">
            <v>33012</v>
          </cell>
          <cell r="B47" t="str">
            <v>Hauling Revenue - Commercial REL Adjustm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</row>
        <row r="48">
          <cell r="A48">
            <v>33019</v>
          </cell>
          <cell r="B48" t="str">
            <v>Hauling Revenue - Commercial REL Interco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</row>
        <row r="49">
          <cell r="A49">
            <v>33020</v>
          </cell>
          <cell r="B49" t="str">
            <v>Hauling Revenue - Commercial Recycling F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</row>
        <row r="50">
          <cell r="A50">
            <v>33021</v>
          </cell>
          <cell r="B50" t="str">
            <v>Hauling Revenue - Commercial Recycling F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</row>
        <row r="51">
          <cell r="A51">
            <v>33022</v>
          </cell>
          <cell r="B51" t="str">
            <v>Hauling Revenue - Commercial Recycling F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</row>
        <row r="52">
          <cell r="A52">
            <v>33029</v>
          </cell>
          <cell r="B52" t="str">
            <v>Hauling Revenue - Commercial Recycling F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</row>
        <row r="53">
          <cell r="A53">
            <v>33030</v>
          </cell>
          <cell r="B53" t="str">
            <v>Hauling Revenue - Commercial Recycling R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</row>
        <row r="54">
          <cell r="A54">
            <v>33031</v>
          </cell>
          <cell r="B54" t="str">
            <v>Hauling Revenue - Commercial Recycling R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</row>
        <row r="55">
          <cell r="A55">
            <v>33032</v>
          </cell>
          <cell r="B55" t="str">
            <v>Hauling Revenue - Commercial Recycling R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</row>
        <row r="56">
          <cell r="A56">
            <v>33039</v>
          </cell>
          <cell r="B56" t="str">
            <v>Hauling Revenue - Commercial Recycling R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</row>
        <row r="57">
          <cell r="A57">
            <v>33500</v>
          </cell>
          <cell r="B57" t="str">
            <v>Portable Toilet Revenue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</row>
        <row r="58">
          <cell r="A58">
            <v>33501</v>
          </cell>
          <cell r="B58" t="str">
            <v>Portable Toilet Extras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</row>
        <row r="59">
          <cell r="A59">
            <v>33502</v>
          </cell>
          <cell r="B59" t="str">
            <v>Portable Toilet Adjustments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</row>
        <row r="60">
          <cell r="A60">
            <v>33509</v>
          </cell>
          <cell r="B60" t="str">
            <v>Portable Toilet Intercompany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</row>
        <row r="61">
          <cell r="A61" t="str">
            <v>Total Hauling</v>
          </cell>
          <cell r="E61">
            <v>1386073.49</v>
          </cell>
          <cell r="F61">
            <v>1372277.94</v>
          </cell>
          <cell r="G61">
            <v>1406346.48</v>
          </cell>
          <cell r="H61">
            <v>1411911.56</v>
          </cell>
          <cell r="I61">
            <v>1416201.0699999998</v>
          </cell>
          <cell r="J61">
            <v>1459490.68</v>
          </cell>
          <cell r="K61">
            <v>1462503.71</v>
          </cell>
          <cell r="L61">
            <v>1483897.43</v>
          </cell>
          <cell r="M61">
            <v>1457942.84</v>
          </cell>
          <cell r="N61">
            <v>1412161.3899999997</v>
          </cell>
          <cell r="O61">
            <v>1377199.56</v>
          </cell>
          <cell r="P61">
            <v>1412687.2399999998</v>
          </cell>
          <cell r="Q61">
            <v>17058693.389999997</v>
          </cell>
        </row>
        <row r="63">
          <cell r="A63" t="str">
            <v>Transfer</v>
          </cell>
        </row>
        <row r="64">
          <cell r="A64">
            <v>35000</v>
          </cell>
          <cell r="B64" t="str">
            <v>Transfer Station - Third Party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</row>
        <row r="65">
          <cell r="A65">
            <v>35001</v>
          </cell>
          <cell r="B65" t="str">
            <v>Transfer Station - Third Party Adjustmen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</row>
        <row r="66">
          <cell r="A66">
            <v>35009</v>
          </cell>
          <cell r="B66" t="str">
            <v>Transfer Station - Intercompany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</row>
        <row r="67">
          <cell r="A67">
            <v>35500</v>
          </cell>
          <cell r="B67" t="str">
            <v>MRF Processing Charge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</row>
        <row r="68">
          <cell r="A68">
            <v>35501</v>
          </cell>
          <cell r="B68" t="str">
            <v>MRF Processing Charge Adjustments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</row>
        <row r="69">
          <cell r="A69">
            <v>35509</v>
          </cell>
          <cell r="B69" t="str">
            <v>MRF Processing Charge Intercompany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</row>
        <row r="70">
          <cell r="A70" t="str">
            <v>Total Transfer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</row>
        <row r="72">
          <cell r="A72" t="str">
            <v>MRF</v>
          </cell>
        </row>
        <row r="73">
          <cell r="A73">
            <v>35510</v>
          </cell>
          <cell r="B73" t="str">
            <v>Proceeds - OCC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</row>
        <row r="74">
          <cell r="A74">
            <v>35511</v>
          </cell>
          <cell r="B74" t="str">
            <v>Proceeds - ONP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</row>
        <row r="75">
          <cell r="A75">
            <v>35512</v>
          </cell>
          <cell r="B75" t="str">
            <v>Proceeds - Other Paper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</row>
        <row r="76">
          <cell r="A76">
            <v>35513</v>
          </cell>
          <cell r="B76" t="str">
            <v>Proceeds - Aluminum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</row>
        <row r="77">
          <cell r="A77">
            <v>35514</v>
          </cell>
          <cell r="B77" t="str">
            <v>Proceeds - Metal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</row>
        <row r="78">
          <cell r="A78">
            <v>35515</v>
          </cell>
          <cell r="B78" t="str">
            <v>Proceeds - Glass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</row>
        <row r="79">
          <cell r="A79">
            <v>35516</v>
          </cell>
          <cell r="B79" t="str">
            <v>Proceeds - Plastic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</row>
        <row r="80">
          <cell r="A80">
            <v>35517</v>
          </cell>
          <cell r="B80" t="str">
            <v>Proceeds - Other Recyclables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</row>
        <row r="81">
          <cell r="A81">
            <v>35518</v>
          </cell>
          <cell r="B81" t="str">
            <v>Proceeds - Commingled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</row>
        <row r="82">
          <cell r="A82">
            <v>35519</v>
          </cell>
          <cell r="B82" t="str">
            <v>Proceeds - Intercompany Material Sales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</row>
        <row r="83">
          <cell r="A83">
            <v>35520</v>
          </cell>
          <cell r="B83" t="str">
            <v>Support - OCC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</row>
        <row r="84">
          <cell r="A84">
            <v>35521</v>
          </cell>
          <cell r="B84" t="str">
            <v>Support - ONP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</row>
        <row r="85">
          <cell r="A85">
            <v>35522</v>
          </cell>
          <cell r="B85" t="str">
            <v>Support - Other Paper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</row>
        <row r="86">
          <cell r="A86">
            <v>35523</v>
          </cell>
          <cell r="B86" t="str">
            <v>Support - Aluminum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</row>
        <row r="87">
          <cell r="A87">
            <v>35524</v>
          </cell>
          <cell r="B87" t="str">
            <v>Support - Metal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</row>
        <row r="88">
          <cell r="A88">
            <v>35525</v>
          </cell>
          <cell r="B88" t="str">
            <v>Support - Glass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</row>
        <row r="89">
          <cell r="A89">
            <v>35526</v>
          </cell>
          <cell r="B89" t="str">
            <v>Support - Plastic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</row>
        <row r="90">
          <cell r="A90">
            <v>35527</v>
          </cell>
          <cell r="B90" t="str">
            <v>Support - Other Recyclables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</row>
        <row r="91">
          <cell r="A91">
            <v>35529</v>
          </cell>
          <cell r="B91" t="str">
            <v>Support - Intercompany Material Sales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</row>
        <row r="92">
          <cell r="A92">
            <v>35551</v>
          </cell>
          <cell r="B92" t="str">
            <v>Proceeds - Compost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</row>
        <row r="93">
          <cell r="A93">
            <v>35552</v>
          </cell>
          <cell r="B93" t="str">
            <v>Proceeds - Fuel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</row>
        <row r="94">
          <cell r="A94">
            <v>35553</v>
          </cell>
          <cell r="B94" t="str">
            <v>Proceeds - Landscape Materials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</row>
        <row r="95">
          <cell r="A95" t="str">
            <v>Total MRF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</row>
        <row r="97">
          <cell r="A97" t="str">
            <v>Landfill</v>
          </cell>
        </row>
        <row r="98">
          <cell r="A98">
            <v>36000</v>
          </cell>
          <cell r="B98" t="str">
            <v>Landfill Revenue - MSW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</row>
        <row r="99">
          <cell r="A99">
            <v>36001</v>
          </cell>
          <cell r="B99" t="str">
            <v>Landfill Revenue - MSW Adjustments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</row>
        <row r="100">
          <cell r="A100">
            <v>36002</v>
          </cell>
          <cell r="B100" t="str">
            <v>Landfill Revenue - Extras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</row>
        <row r="101">
          <cell r="A101">
            <v>36009</v>
          </cell>
          <cell r="B101" t="str">
            <v>Landfill Revenue - MSW Intercompany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</row>
        <row r="102">
          <cell r="A102">
            <v>36010</v>
          </cell>
          <cell r="B102" t="str">
            <v>Landfill Revenue - C&amp;D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</row>
        <row r="103">
          <cell r="A103">
            <v>36011</v>
          </cell>
          <cell r="B103" t="str">
            <v>Landfill Revenue - C&amp;D Adjustments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</row>
        <row r="104">
          <cell r="A104">
            <v>36019</v>
          </cell>
          <cell r="B104" t="str">
            <v>Landfill Revenue - C&amp;D Intercompany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</row>
        <row r="105">
          <cell r="A105">
            <v>36020</v>
          </cell>
          <cell r="B105" t="str">
            <v>Landfill Revenue - Special Waste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</row>
        <row r="106">
          <cell r="A106">
            <v>36021</v>
          </cell>
          <cell r="B106" t="str">
            <v>Landfill Revenue - Special Waste Adjustm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</row>
        <row r="107">
          <cell r="A107">
            <v>36029</v>
          </cell>
          <cell r="B107" t="str">
            <v>Landfill Revenue - Special Waste Interco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</row>
        <row r="108">
          <cell r="A108">
            <v>36030</v>
          </cell>
          <cell r="B108" t="str">
            <v>Landfill Revenue - Asbestos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</row>
        <row r="109">
          <cell r="A109">
            <v>36031</v>
          </cell>
          <cell r="B109" t="str">
            <v>Landfill Revenue - Asbestos Adjustments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</row>
        <row r="110">
          <cell r="A110">
            <v>36039</v>
          </cell>
          <cell r="B110" t="str">
            <v>Landfill Revenue - Asbestos Intercompany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</row>
        <row r="111">
          <cell r="A111">
            <v>36040</v>
          </cell>
          <cell r="B111" t="str">
            <v>Landfill Revenue - Contaminated Soil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</row>
        <row r="112">
          <cell r="A112">
            <v>36041</v>
          </cell>
          <cell r="B112" t="str">
            <v>Landfill Revenue - Contaminated Soil Adj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</row>
        <row r="113">
          <cell r="A113">
            <v>36049</v>
          </cell>
          <cell r="B113" t="str">
            <v>Landfill Revenue - Contaminated Soil Int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</row>
        <row r="114">
          <cell r="A114">
            <v>36050</v>
          </cell>
          <cell r="B114" t="str">
            <v>Landfill Revenue - Yard Waste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</row>
        <row r="115">
          <cell r="A115">
            <v>36051</v>
          </cell>
          <cell r="B115" t="str">
            <v>Landfill Revenue - Yard Waste Adjustment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</row>
        <row r="116">
          <cell r="A116">
            <v>36059</v>
          </cell>
          <cell r="B116" t="str">
            <v>Landfill Revenue - Yard Waste Intercompa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</row>
        <row r="117">
          <cell r="A117">
            <v>36090</v>
          </cell>
          <cell r="B117" t="str">
            <v>Landfill Pass Through Revenue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</row>
        <row r="118">
          <cell r="A118">
            <v>36099</v>
          </cell>
          <cell r="B118" t="str">
            <v>Landfill Pass Through Revenue Intercompany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</row>
        <row r="119">
          <cell r="A119">
            <v>36301</v>
          </cell>
          <cell r="B119" t="str">
            <v>E&amp;P Liquids - Non Count Waste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</row>
        <row r="120">
          <cell r="A120">
            <v>36309</v>
          </cell>
          <cell r="B120" t="str">
            <v>E&amp;P Liquids - Non Count Waste Intercompany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</row>
        <row r="121">
          <cell r="A121">
            <v>36311</v>
          </cell>
          <cell r="B121" t="str">
            <v>E&amp;P Liquids - Count Waste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</row>
        <row r="122">
          <cell r="A122">
            <v>36319</v>
          </cell>
          <cell r="B122" t="str">
            <v>E&amp;P Liquids - Count Waste Intercompany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</row>
        <row r="123">
          <cell r="A123">
            <v>36321</v>
          </cell>
          <cell r="B123" t="str">
            <v>Other Liquids - Non E&amp;P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</row>
        <row r="124">
          <cell r="A124">
            <v>36329</v>
          </cell>
          <cell r="B124" t="str">
            <v>Other Liquids - Non E&amp;P Intercompany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</row>
        <row r="125">
          <cell r="A125">
            <v>36331</v>
          </cell>
          <cell r="B125" t="str">
            <v>E&amp;P Solids - Count Waste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</row>
        <row r="126">
          <cell r="A126">
            <v>36339</v>
          </cell>
          <cell r="B126" t="str">
            <v>E&amp;P Solids - Count Waste Intercompany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</row>
        <row r="127">
          <cell r="A127" t="str">
            <v>Total Landfill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</row>
        <row r="129">
          <cell r="A129" t="str">
            <v>Intermodal</v>
          </cell>
        </row>
        <row r="130">
          <cell r="A130">
            <v>36101</v>
          </cell>
          <cell r="B130" t="str">
            <v>Rail Drayage Revenue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</row>
        <row r="131">
          <cell r="A131">
            <v>36109</v>
          </cell>
          <cell r="B131" t="str">
            <v>Rail Drayage Revenue - Intercompany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</row>
        <row r="132">
          <cell r="A132">
            <v>36111</v>
          </cell>
          <cell r="B132" t="str">
            <v>Truck Drayage Revenue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</row>
        <row r="133">
          <cell r="A133">
            <v>36119</v>
          </cell>
          <cell r="B133" t="str">
            <v>Truck Drayage Revenue - Intercompany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</row>
        <row r="134">
          <cell r="A134">
            <v>36121</v>
          </cell>
          <cell r="B134" t="str">
            <v>Barge Drayage Revenue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</row>
        <row r="135">
          <cell r="A135">
            <v>36131</v>
          </cell>
          <cell r="B135" t="str">
            <v>Service Labor Revenue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</row>
        <row r="136">
          <cell r="A136">
            <v>36141</v>
          </cell>
          <cell r="B136" t="str">
            <v>Refrigeration Labor Revenue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</row>
        <row r="137">
          <cell r="A137">
            <v>36145</v>
          </cell>
          <cell r="B137" t="str">
            <v>Parts Revenue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</row>
        <row r="138">
          <cell r="A138">
            <v>36151</v>
          </cell>
          <cell r="B138" t="str">
            <v>Container Sales Revenue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</row>
        <row r="139">
          <cell r="A139">
            <v>36161</v>
          </cell>
          <cell r="B139" t="str">
            <v>Container Rental Revenue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</row>
        <row r="140">
          <cell r="A140">
            <v>36171</v>
          </cell>
          <cell r="B140" t="str">
            <v>Intermodal Revenue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</row>
        <row r="141">
          <cell r="A141">
            <v>36181</v>
          </cell>
          <cell r="B141" t="str">
            <v>Chassis Lease Revenue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</row>
        <row r="142">
          <cell r="A142">
            <v>36191</v>
          </cell>
          <cell r="B142" t="str">
            <v>Interchanges Revenue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</row>
        <row r="143">
          <cell r="A143">
            <v>36201</v>
          </cell>
          <cell r="B143" t="str">
            <v>Storage Revenue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</row>
        <row r="144">
          <cell r="A144">
            <v>36211</v>
          </cell>
          <cell r="B144" t="str">
            <v>Empty Lifts Revenue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</row>
        <row r="145">
          <cell r="A145">
            <v>36221</v>
          </cell>
          <cell r="B145" t="str">
            <v>Load Lifts Revenue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</row>
        <row r="146">
          <cell r="A146" t="str">
            <v>Total Intermodal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</row>
        <row r="148">
          <cell r="A148" t="str">
            <v>Other Revenue</v>
          </cell>
        </row>
        <row r="149">
          <cell r="A149">
            <v>37001</v>
          </cell>
          <cell r="B149" t="str">
            <v>Sale of Equipment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</row>
        <row r="150">
          <cell r="A150">
            <v>37010</v>
          </cell>
          <cell r="B150" t="str">
            <v>Tire Processing Revenue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</row>
        <row r="151">
          <cell r="A151">
            <v>37019</v>
          </cell>
          <cell r="B151" t="str">
            <v>Tire Processing Revenue - Intercompany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</row>
        <row r="152">
          <cell r="A152">
            <v>38000</v>
          </cell>
          <cell r="B152" t="str">
            <v>Corporate Other Revenue</v>
          </cell>
          <cell r="E152">
            <v>3459.12</v>
          </cell>
          <cell r="F152">
            <v>7799.57</v>
          </cell>
          <cell r="G152">
            <v>2100.42</v>
          </cell>
          <cell r="H152">
            <v>7267.51</v>
          </cell>
          <cell r="I152">
            <v>3376.39</v>
          </cell>
          <cell r="J152">
            <v>7176.57</v>
          </cell>
          <cell r="K152">
            <v>3493.22</v>
          </cell>
          <cell r="L152">
            <v>8060.32</v>
          </cell>
          <cell r="M152">
            <v>2594</v>
          </cell>
          <cell r="N152">
            <v>7784.1</v>
          </cell>
          <cell r="O152">
            <v>6369.79</v>
          </cell>
          <cell r="P152">
            <v>9281.82</v>
          </cell>
          <cell r="Q152">
            <v>68762.829999999987</v>
          </cell>
        </row>
        <row r="153">
          <cell r="A153">
            <v>38001</v>
          </cell>
          <cell r="B153" t="str">
            <v>P-Card Rebate Revenue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</row>
        <row r="154">
          <cell r="A154" t="str">
            <v>Total Other Revenue</v>
          </cell>
          <cell r="E154">
            <v>3459.12</v>
          </cell>
          <cell r="F154">
            <v>7799.57</v>
          </cell>
          <cell r="G154">
            <v>2100.42</v>
          </cell>
          <cell r="H154">
            <v>7267.51</v>
          </cell>
          <cell r="I154">
            <v>3376.39</v>
          </cell>
          <cell r="J154">
            <v>7176.57</v>
          </cell>
          <cell r="K154">
            <v>3493.22</v>
          </cell>
          <cell r="L154">
            <v>8060.32</v>
          </cell>
          <cell r="M154">
            <v>2594</v>
          </cell>
          <cell r="N154">
            <v>7784.1</v>
          </cell>
          <cell r="O154">
            <v>6369.79</v>
          </cell>
          <cell r="P154">
            <v>9281.82</v>
          </cell>
          <cell r="Q154">
            <v>68762.829999999987</v>
          </cell>
        </row>
        <row r="156">
          <cell r="A156" t="str">
            <v>Total Revenue</v>
          </cell>
          <cell r="E156">
            <v>1389532.61</v>
          </cell>
          <cell r="F156">
            <v>1380077.51</v>
          </cell>
          <cell r="G156">
            <v>1408446.9</v>
          </cell>
          <cell r="H156">
            <v>1419179.07</v>
          </cell>
          <cell r="I156">
            <v>1419577.4599999997</v>
          </cell>
          <cell r="J156">
            <v>1466667.25</v>
          </cell>
          <cell r="K156">
            <v>1465996.93</v>
          </cell>
          <cell r="L156">
            <v>1491957.75</v>
          </cell>
          <cell r="M156">
            <v>1460536.84</v>
          </cell>
          <cell r="N156">
            <v>1419945.4899999998</v>
          </cell>
          <cell r="O156">
            <v>1383569.35</v>
          </cell>
          <cell r="P156">
            <v>1421969.0599999998</v>
          </cell>
          <cell r="Q156">
            <v>17127456.219999995</v>
          </cell>
        </row>
        <row r="158">
          <cell r="A158" t="str">
            <v>Revenue Reductions</v>
          </cell>
        </row>
        <row r="159">
          <cell r="A159" t="str">
            <v>Disposal</v>
          </cell>
        </row>
        <row r="160">
          <cell r="A160">
            <v>40101</v>
          </cell>
          <cell r="B160" t="str">
            <v>Disposal Landfill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</row>
        <row r="161">
          <cell r="A161">
            <v>40109</v>
          </cell>
          <cell r="B161" t="str">
            <v>Disposal Landfill Intercompany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</row>
        <row r="162">
          <cell r="A162">
            <v>40121</v>
          </cell>
          <cell r="B162" t="str">
            <v>Disposal Incineration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</row>
        <row r="163">
          <cell r="A163">
            <v>40122</v>
          </cell>
          <cell r="B163" t="str">
            <v>Disposal Other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</row>
        <row r="164">
          <cell r="A164">
            <v>40129</v>
          </cell>
          <cell r="B164" t="str">
            <v>Disposal Other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</row>
        <row r="165">
          <cell r="A165">
            <v>40131</v>
          </cell>
          <cell r="B165" t="str">
            <v>Disposal Transfer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</row>
        <row r="166">
          <cell r="A166">
            <v>40139</v>
          </cell>
          <cell r="B166" t="str">
            <v>Disposal Transfer Intercompany</v>
          </cell>
          <cell r="E166">
            <v>522940.33</v>
          </cell>
          <cell r="F166">
            <v>473522.39</v>
          </cell>
          <cell r="G166">
            <v>554204.89</v>
          </cell>
          <cell r="H166">
            <v>538277.64</v>
          </cell>
          <cell r="I166">
            <v>535071.71</v>
          </cell>
          <cell r="J166">
            <v>582693.4</v>
          </cell>
          <cell r="K166">
            <v>571614.11</v>
          </cell>
          <cell r="L166">
            <v>571380.55000000005</v>
          </cell>
          <cell r="M166">
            <v>569779.74</v>
          </cell>
          <cell r="N166">
            <v>537814.68999999994</v>
          </cell>
          <cell r="O166">
            <v>530807.82999999996</v>
          </cell>
          <cell r="P166">
            <v>576009.71</v>
          </cell>
          <cell r="Q166">
            <v>6564116.9899999993</v>
          </cell>
        </row>
        <row r="167">
          <cell r="A167" t="str">
            <v>Total Disposal</v>
          </cell>
          <cell r="E167">
            <v>522940.33</v>
          </cell>
          <cell r="F167">
            <v>473522.39</v>
          </cell>
          <cell r="G167">
            <v>554204.89</v>
          </cell>
          <cell r="H167">
            <v>538277.64</v>
          </cell>
          <cell r="I167">
            <v>535071.71</v>
          </cell>
          <cell r="J167">
            <v>582693.4</v>
          </cell>
          <cell r="K167">
            <v>571614.11</v>
          </cell>
          <cell r="L167">
            <v>571380.55000000005</v>
          </cell>
          <cell r="M167">
            <v>569779.74</v>
          </cell>
          <cell r="N167">
            <v>537814.68999999994</v>
          </cell>
          <cell r="O167">
            <v>530807.82999999996</v>
          </cell>
          <cell r="P167">
            <v>576009.71</v>
          </cell>
          <cell r="Q167">
            <v>6564116.9899999993</v>
          </cell>
        </row>
        <row r="169">
          <cell r="A169" t="str">
            <v>MRF Processing</v>
          </cell>
        </row>
        <row r="170">
          <cell r="A170">
            <v>40861</v>
          </cell>
          <cell r="B170" t="str">
            <v>Processing Fees MRF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</row>
        <row r="171">
          <cell r="A171">
            <v>40869</v>
          </cell>
          <cell r="B171" t="str">
            <v>Processing Fees MRF Intercompany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</row>
        <row r="172">
          <cell r="A172" t="str">
            <v>Total MRF Processing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</row>
        <row r="174">
          <cell r="A174" t="str">
            <v>Brokerage, Rebates and Taxes</v>
          </cell>
        </row>
        <row r="175">
          <cell r="A175">
            <v>41121</v>
          </cell>
          <cell r="B175" t="str">
            <v>Brokerage Cost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</row>
        <row r="176">
          <cell r="A176">
            <v>41129</v>
          </cell>
          <cell r="B176" t="str">
            <v>Brokerage Cost Intercompany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</row>
        <row r="177">
          <cell r="A177">
            <v>41131</v>
          </cell>
          <cell r="B177" t="str">
            <v>Rail Drayage Expenses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</row>
        <row r="178">
          <cell r="A178">
            <v>41135</v>
          </cell>
          <cell r="B178" t="str">
            <v>Resale Parts - Cost of Goods Sold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</row>
        <row r="179">
          <cell r="A179">
            <v>41139</v>
          </cell>
          <cell r="B179" t="str">
            <v>Rail Drayage Expenses - Intercompany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</row>
        <row r="180">
          <cell r="A180">
            <v>41141</v>
          </cell>
          <cell r="B180" t="str">
            <v>Truck Drayage Expenses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</row>
        <row r="181">
          <cell r="A181">
            <v>41149</v>
          </cell>
          <cell r="B181" t="str">
            <v>Truck Drayage Expenses - Intercompany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</row>
        <row r="182">
          <cell r="A182">
            <v>41151</v>
          </cell>
          <cell r="B182" t="str">
            <v>Intermodal Expenses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</row>
        <row r="183">
          <cell r="A183">
            <v>41201</v>
          </cell>
          <cell r="B183" t="str">
            <v>Rebates and Revenue Sharing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</row>
        <row r="184">
          <cell r="A184">
            <v>43001</v>
          </cell>
          <cell r="B184" t="str">
            <v>Taxes and Pass Thru Fees</v>
          </cell>
          <cell r="E184">
            <v>21087.73</v>
          </cell>
          <cell r="F184">
            <v>20959.080000000002</v>
          </cell>
          <cell r="G184">
            <v>21310.05</v>
          </cell>
          <cell r="H184">
            <v>15944.56</v>
          </cell>
          <cell r="I184">
            <v>23292.27</v>
          </cell>
          <cell r="J184">
            <v>26639.14</v>
          </cell>
          <cell r="K184">
            <v>26629.39</v>
          </cell>
          <cell r="L184">
            <v>27074.49</v>
          </cell>
          <cell r="M184">
            <v>26539.13</v>
          </cell>
          <cell r="N184">
            <v>25799.21</v>
          </cell>
          <cell r="O184">
            <v>25079.16</v>
          </cell>
          <cell r="P184">
            <v>25860.43</v>
          </cell>
          <cell r="Q184">
            <v>286214.64</v>
          </cell>
        </row>
        <row r="185">
          <cell r="A185">
            <v>43002</v>
          </cell>
          <cell r="B185" t="str">
            <v>WUTC Taxes</v>
          </cell>
          <cell r="E185">
            <v>5546.62</v>
          </cell>
          <cell r="F185">
            <v>5496.04</v>
          </cell>
          <cell r="G185">
            <v>5619.91</v>
          </cell>
          <cell r="H185">
            <v>5691.97</v>
          </cell>
          <cell r="I185">
            <v>5646.5</v>
          </cell>
          <cell r="J185">
            <v>5841.42</v>
          </cell>
          <cell r="K185">
            <v>5857.81</v>
          </cell>
          <cell r="L185">
            <v>5948.97</v>
          </cell>
          <cell r="M185">
            <v>5802.43</v>
          </cell>
          <cell r="N185">
            <v>5678.9</v>
          </cell>
          <cell r="O185">
            <v>5511.15</v>
          </cell>
          <cell r="P185">
            <v>5695</v>
          </cell>
          <cell r="Q185">
            <v>68336.72</v>
          </cell>
        </row>
        <row r="186">
          <cell r="A186">
            <v>43090</v>
          </cell>
          <cell r="B186" t="str">
            <v>Pass Through Expenses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</row>
        <row r="187">
          <cell r="A187">
            <v>43099</v>
          </cell>
          <cell r="B187" t="str">
            <v>Pass Through Expenses Intercompany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</row>
        <row r="188">
          <cell r="A188" t="str">
            <v>Total Brokerage, Rebates and Taxes</v>
          </cell>
          <cell r="E188">
            <v>26634.35</v>
          </cell>
          <cell r="F188">
            <v>26455.120000000003</v>
          </cell>
          <cell r="G188">
            <v>26929.96</v>
          </cell>
          <cell r="H188">
            <v>21636.53</v>
          </cell>
          <cell r="I188">
            <v>28938.77</v>
          </cell>
          <cell r="J188">
            <v>32480.559999999998</v>
          </cell>
          <cell r="K188">
            <v>32487.200000000001</v>
          </cell>
          <cell r="L188">
            <v>33023.46</v>
          </cell>
          <cell r="M188">
            <v>32341.56</v>
          </cell>
          <cell r="N188">
            <v>31478.11</v>
          </cell>
          <cell r="O188">
            <v>30590.309999999998</v>
          </cell>
          <cell r="P188">
            <v>31555.43</v>
          </cell>
          <cell r="Q188">
            <v>354551.36</v>
          </cell>
        </row>
        <row r="190">
          <cell r="A190" t="str">
            <v>Recycling Materials Expense</v>
          </cell>
        </row>
        <row r="191">
          <cell r="A191">
            <v>44161</v>
          </cell>
          <cell r="B191" t="str">
            <v>Cost of Materials - OCC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</row>
        <row r="192">
          <cell r="A192">
            <v>44162</v>
          </cell>
          <cell r="B192" t="str">
            <v>Cost of Materials - ONP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</row>
        <row r="193">
          <cell r="A193">
            <v>44163</v>
          </cell>
          <cell r="B193" t="str">
            <v>Cost of Materials - Other Paper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</row>
        <row r="194">
          <cell r="A194">
            <v>44164</v>
          </cell>
          <cell r="B194" t="str">
            <v>Cost of Materials - Aluminum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</row>
        <row r="195">
          <cell r="A195">
            <v>44165</v>
          </cell>
          <cell r="B195" t="str">
            <v>Cost of Materials - Metal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</row>
        <row r="196">
          <cell r="A196">
            <v>44166</v>
          </cell>
          <cell r="B196" t="str">
            <v>Cost of Materials - Glass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</row>
        <row r="197">
          <cell r="A197">
            <v>44167</v>
          </cell>
          <cell r="B197" t="str">
            <v>Cost of Materials - Plastic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</row>
        <row r="198">
          <cell r="A198">
            <v>44168</v>
          </cell>
          <cell r="B198" t="str">
            <v>Cost of Materials - Other Recyclables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</row>
        <row r="199">
          <cell r="A199">
            <v>44169</v>
          </cell>
          <cell r="B199" t="str">
            <v>Cost of Materials - Intercompany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</row>
        <row r="200">
          <cell r="A200">
            <v>44261</v>
          </cell>
          <cell r="B200" t="str">
            <v>Cost of Materials - Organics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</row>
        <row r="201">
          <cell r="A201">
            <v>44262</v>
          </cell>
          <cell r="B201" t="str">
            <v>Cost of Materials - Clean Wood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</row>
        <row r="202">
          <cell r="A202">
            <v>44263</v>
          </cell>
          <cell r="B202" t="str">
            <v>Cost of Materials - Landscaping Materials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</row>
        <row r="203">
          <cell r="A203" t="str">
            <v>Total Recycling Materials Expense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</row>
        <row r="205">
          <cell r="A205" t="str">
            <v>Other Expense</v>
          </cell>
        </row>
        <row r="206">
          <cell r="A206">
            <v>47000</v>
          </cell>
          <cell r="B206" t="str">
            <v>Cost of Containers Sold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</row>
        <row r="207">
          <cell r="A207">
            <v>47001</v>
          </cell>
          <cell r="B207" t="str">
            <v>Cost of Equipment Sold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</row>
        <row r="208">
          <cell r="A208">
            <v>47010</v>
          </cell>
          <cell r="B208" t="str">
            <v>Tire Processing Expenses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</row>
        <row r="209">
          <cell r="A209">
            <v>47019</v>
          </cell>
          <cell r="B209" t="str">
            <v>Tire Processing Expenses - Intercompany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</row>
        <row r="210">
          <cell r="A210" t="str">
            <v>Total Other Expense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</row>
        <row r="212">
          <cell r="A212" t="str">
            <v>Total Revenue Reductions</v>
          </cell>
          <cell r="E212">
            <v>549574.68000000005</v>
          </cell>
          <cell r="F212">
            <v>499977.51</v>
          </cell>
          <cell r="G212">
            <v>581134.85</v>
          </cell>
          <cell r="H212">
            <v>559914.17000000004</v>
          </cell>
          <cell r="I212">
            <v>564010.48</v>
          </cell>
          <cell r="J212">
            <v>615173.96</v>
          </cell>
          <cell r="K212">
            <v>604101.30999999994</v>
          </cell>
          <cell r="L212">
            <v>604404.01</v>
          </cell>
          <cell r="M212">
            <v>602121.30000000005</v>
          </cell>
          <cell r="N212">
            <v>569292.79999999993</v>
          </cell>
          <cell r="O212">
            <v>561398.1399999999</v>
          </cell>
          <cell r="P212">
            <v>607565.14</v>
          </cell>
          <cell r="Q212">
            <v>6918668.3499999996</v>
          </cell>
        </row>
        <row r="214">
          <cell r="A214" t="str">
            <v>Net Revenue</v>
          </cell>
          <cell r="E214">
            <v>839957.93</v>
          </cell>
          <cell r="F214">
            <v>880100</v>
          </cell>
          <cell r="G214">
            <v>827312.04999999993</v>
          </cell>
          <cell r="H214">
            <v>859264.9</v>
          </cell>
          <cell r="I214">
            <v>855566.97999999975</v>
          </cell>
          <cell r="J214">
            <v>851493.29</v>
          </cell>
          <cell r="K214">
            <v>861895.62</v>
          </cell>
          <cell r="L214">
            <v>887553.74</v>
          </cell>
          <cell r="M214">
            <v>858415.54</v>
          </cell>
          <cell r="N214">
            <v>850652.68999999983</v>
          </cell>
          <cell r="O214">
            <v>822171.2100000002</v>
          </cell>
          <cell r="P214">
            <v>814403.91999999981</v>
          </cell>
          <cell r="Q214">
            <v>10208787.869999995</v>
          </cell>
        </row>
        <row r="216">
          <cell r="A216" t="str">
            <v>Cost of Operations</v>
          </cell>
        </row>
        <row r="217">
          <cell r="A217" t="str">
            <v>Labor</v>
          </cell>
        </row>
        <row r="218">
          <cell r="A218">
            <v>50010</v>
          </cell>
          <cell r="B218" t="str">
            <v>Salaries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</row>
        <row r="219">
          <cell r="A219">
            <v>50020</v>
          </cell>
          <cell r="B219" t="str">
            <v>Wages Regular</v>
          </cell>
          <cell r="E219">
            <v>148506.62</v>
          </cell>
          <cell r="F219">
            <v>147781.52000000002</v>
          </cell>
          <cell r="G219">
            <v>162872.48000000001</v>
          </cell>
          <cell r="H219">
            <v>152426.56</v>
          </cell>
          <cell r="I219">
            <v>133250.6</v>
          </cell>
          <cell r="J219">
            <v>141014.94</v>
          </cell>
          <cell r="K219">
            <v>138800.41999999998</v>
          </cell>
          <cell r="L219">
            <v>144467.28999999998</v>
          </cell>
          <cell r="M219">
            <v>139411.4</v>
          </cell>
          <cell r="N219">
            <v>131255.16</v>
          </cell>
          <cell r="O219">
            <v>135440.33000000002</v>
          </cell>
          <cell r="P219">
            <v>141049.91999999998</v>
          </cell>
          <cell r="Q219">
            <v>1716277.2399999998</v>
          </cell>
        </row>
        <row r="220">
          <cell r="A220">
            <v>50025</v>
          </cell>
          <cell r="B220" t="str">
            <v>Wages O.T.</v>
          </cell>
          <cell r="E220">
            <v>22975.54</v>
          </cell>
          <cell r="F220">
            <v>6810.35</v>
          </cell>
          <cell r="G220">
            <v>14008.81</v>
          </cell>
          <cell r="H220">
            <v>20795.96</v>
          </cell>
          <cell r="I220">
            <v>28625.24</v>
          </cell>
          <cell r="J220">
            <v>22652.750000000004</v>
          </cell>
          <cell r="K220">
            <v>20035.850000000002</v>
          </cell>
          <cell r="L220">
            <v>20754.88</v>
          </cell>
          <cell r="M220">
            <v>29699.32</v>
          </cell>
          <cell r="N220">
            <v>20332.329999999998</v>
          </cell>
          <cell r="O220">
            <v>32459.590000000004</v>
          </cell>
          <cell r="P220">
            <v>20007.580000000002</v>
          </cell>
          <cell r="Q220">
            <v>259158.2</v>
          </cell>
        </row>
        <row r="221">
          <cell r="A221">
            <v>50035</v>
          </cell>
          <cell r="B221" t="str">
            <v>Safety Bonuses</v>
          </cell>
          <cell r="E221">
            <v>3200</v>
          </cell>
          <cell r="F221">
            <v>3200</v>
          </cell>
          <cell r="G221">
            <v>3200</v>
          </cell>
          <cell r="H221">
            <v>3200</v>
          </cell>
          <cell r="I221">
            <v>3950</v>
          </cell>
          <cell r="J221">
            <v>3950</v>
          </cell>
          <cell r="K221">
            <v>3950</v>
          </cell>
          <cell r="L221">
            <v>3950</v>
          </cell>
          <cell r="M221">
            <v>2000</v>
          </cell>
          <cell r="N221">
            <v>2000</v>
          </cell>
          <cell r="O221">
            <v>3200</v>
          </cell>
          <cell r="P221">
            <v>0</v>
          </cell>
          <cell r="Q221">
            <v>35800</v>
          </cell>
        </row>
        <row r="222">
          <cell r="A222">
            <v>50036</v>
          </cell>
          <cell r="B222" t="str">
            <v>Other Bonus/Commission - Non-Safety</v>
          </cell>
          <cell r="E222">
            <v>0</v>
          </cell>
          <cell r="F222">
            <v>0</v>
          </cell>
          <cell r="G222">
            <v>1125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1125</v>
          </cell>
        </row>
        <row r="223">
          <cell r="A223">
            <v>50045</v>
          </cell>
          <cell r="B223" t="str">
            <v>Contract Labor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</row>
        <row r="224">
          <cell r="A224">
            <v>50050</v>
          </cell>
          <cell r="B224" t="str">
            <v>Payroll Taxes</v>
          </cell>
          <cell r="E224">
            <v>21085.43</v>
          </cell>
          <cell r="F224">
            <v>16517.190000000002</v>
          </cell>
          <cell r="G224">
            <v>17618.89</v>
          </cell>
          <cell r="H224">
            <v>17201.14</v>
          </cell>
          <cell r="I224">
            <v>16035.320000000002</v>
          </cell>
          <cell r="J224">
            <v>17468.87</v>
          </cell>
          <cell r="K224">
            <v>16392.41</v>
          </cell>
          <cell r="L224">
            <v>16351.01</v>
          </cell>
          <cell r="M224">
            <v>17217.28</v>
          </cell>
          <cell r="N224">
            <v>14701.12</v>
          </cell>
          <cell r="O224">
            <v>17942.59</v>
          </cell>
          <cell r="P224">
            <v>10482.15</v>
          </cell>
          <cell r="Q224">
            <v>199013.4</v>
          </cell>
        </row>
        <row r="225">
          <cell r="A225">
            <v>50060</v>
          </cell>
          <cell r="B225" t="str">
            <v>Group Insurance</v>
          </cell>
          <cell r="E225">
            <v>1330</v>
          </cell>
          <cell r="F225">
            <v>1226</v>
          </cell>
          <cell r="G225">
            <v>729.5</v>
          </cell>
          <cell r="H225">
            <v>1026.5</v>
          </cell>
          <cell r="I225">
            <v>878</v>
          </cell>
          <cell r="J225">
            <v>878</v>
          </cell>
          <cell r="K225">
            <v>878.77</v>
          </cell>
          <cell r="L225">
            <v>826</v>
          </cell>
          <cell r="M225">
            <v>1077.5</v>
          </cell>
          <cell r="N225">
            <v>1826.5</v>
          </cell>
          <cell r="O225">
            <v>1678.77</v>
          </cell>
          <cell r="P225">
            <v>1088.4199999999998</v>
          </cell>
          <cell r="Q225">
            <v>13443.960000000001</v>
          </cell>
        </row>
        <row r="226">
          <cell r="A226">
            <v>50065</v>
          </cell>
          <cell r="B226" t="str">
            <v>Vacation Pay</v>
          </cell>
          <cell r="E226">
            <v>13381.59</v>
          </cell>
          <cell r="F226">
            <v>8706.9500000000007</v>
          </cell>
          <cell r="G226">
            <v>9543.1899999999987</v>
          </cell>
          <cell r="H226">
            <v>7013.4</v>
          </cell>
          <cell r="I226">
            <v>14309.95</v>
          </cell>
          <cell r="J226">
            <v>8179.11</v>
          </cell>
          <cell r="K226">
            <v>14227.68</v>
          </cell>
          <cell r="L226">
            <v>7288.4699999999993</v>
          </cell>
          <cell r="M226">
            <v>15009.16</v>
          </cell>
          <cell r="N226">
            <v>10400.879999999999</v>
          </cell>
          <cell r="O226">
            <v>16702.490000000002</v>
          </cell>
          <cell r="P226">
            <v>14167.710000000001</v>
          </cell>
          <cell r="Q226">
            <v>138930.58000000002</v>
          </cell>
        </row>
        <row r="227">
          <cell r="A227">
            <v>50070</v>
          </cell>
          <cell r="B227" t="str">
            <v>Sick Pay</v>
          </cell>
          <cell r="E227">
            <v>510.84</v>
          </cell>
          <cell r="F227">
            <v>-249.9</v>
          </cell>
          <cell r="G227">
            <v>257.39999999999998</v>
          </cell>
          <cell r="H227">
            <v>14.4</v>
          </cell>
          <cell r="I227">
            <v>0</v>
          </cell>
          <cell r="J227">
            <v>722.88</v>
          </cell>
          <cell r="K227">
            <v>80.319999999999993</v>
          </cell>
          <cell r="L227">
            <v>92</v>
          </cell>
          <cell r="M227">
            <v>0</v>
          </cell>
          <cell r="N227">
            <v>200.8</v>
          </cell>
          <cell r="O227">
            <v>156.4</v>
          </cell>
          <cell r="P227">
            <v>27.6</v>
          </cell>
          <cell r="Q227">
            <v>1812.7399999999998</v>
          </cell>
        </row>
        <row r="228">
          <cell r="A228">
            <v>50086</v>
          </cell>
          <cell r="B228" t="str">
            <v>Safety and Training</v>
          </cell>
          <cell r="E228">
            <v>52.5</v>
          </cell>
          <cell r="F228">
            <v>57.5</v>
          </cell>
          <cell r="G228">
            <v>269.42</v>
          </cell>
          <cell r="H228">
            <v>-147.5</v>
          </cell>
          <cell r="I228">
            <v>423.2</v>
          </cell>
          <cell r="J228">
            <v>0</v>
          </cell>
          <cell r="K228">
            <v>0</v>
          </cell>
          <cell r="L228">
            <v>0</v>
          </cell>
          <cell r="M228">
            <v>1724.48</v>
          </cell>
          <cell r="N228">
            <v>1092.78</v>
          </cell>
          <cell r="O228">
            <v>642.78</v>
          </cell>
          <cell r="P228">
            <v>0</v>
          </cell>
          <cell r="Q228">
            <v>4115.16</v>
          </cell>
        </row>
        <row r="229">
          <cell r="A229">
            <v>50087</v>
          </cell>
          <cell r="B229" t="str">
            <v>Drug Testing</v>
          </cell>
          <cell r="E229">
            <v>60</v>
          </cell>
          <cell r="F229">
            <v>0</v>
          </cell>
          <cell r="G229">
            <v>0</v>
          </cell>
          <cell r="H229">
            <v>240</v>
          </cell>
          <cell r="I229">
            <v>120</v>
          </cell>
          <cell r="J229">
            <v>240</v>
          </cell>
          <cell r="K229">
            <v>694</v>
          </cell>
          <cell r="L229">
            <v>180</v>
          </cell>
          <cell r="M229">
            <v>420</v>
          </cell>
          <cell r="N229">
            <v>60</v>
          </cell>
          <cell r="O229">
            <v>360</v>
          </cell>
          <cell r="P229">
            <v>60</v>
          </cell>
          <cell r="Q229">
            <v>2434</v>
          </cell>
        </row>
        <row r="230">
          <cell r="A230">
            <v>50090</v>
          </cell>
          <cell r="B230" t="str">
            <v>Uniforms</v>
          </cell>
          <cell r="E230">
            <v>6868.59</v>
          </cell>
          <cell r="F230">
            <v>9292.77</v>
          </cell>
          <cell r="G230">
            <v>8124.38</v>
          </cell>
          <cell r="H230">
            <v>7694.95</v>
          </cell>
          <cell r="I230">
            <v>4128.24</v>
          </cell>
          <cell r="J230">
            <v>12100.73</v>
          </cell>
          <cell r="K230">
            <v>9167.7900000000009</v>
          </cell>
          <cell r="L230">
            <v>12042.49</v>
          </cell>
          <cell r="M230">
            <v>8237.0400000000009</v>
          </cell>
          <cell r="N230">
            <v>8038.55</v>
          </cell>
          <cell r="O230">
            <v>7814.48</v>
          </cell>
          <cell r="P230">
            <v>9358.16</v>
          </cell>
          <cell r="Q230">
            <v>102868.17000000001</v>
          </cell>
        </row>
        <row r="231">
          <cell r="A231">
            <v>50115</v>
          </cell>
          <cell r="B231" t="str">
            <v>Pension and Profit Sharing</v>
          </cell>
          <cell r="E231">
            <v>20881.310000000001</v>
          </cell>
          <cell r="F231">
            <v>19908.310000000001</v>
          </cell>
          <cell r="G231">
            <v>22571.059999999998</v>
          </cell>
          <cell r="H231">
            <v>20908.93</v>
          </cell>
          <cell r="I231">
            <v>20644.87</v>
          </cell>
          <cell r="J231">
            <v>20431.82</v>
          </cell>
          <cell r="K231">
            <v>19793.68</v>
          </cell>
          <cell r="L231">
            <v>25409.94</v>
          </cell>
          <cell r="M231">
            <v>19345.43</v>
          </cell>
          <cell r="N231">
            <v>18963.18</v>
          </cell>
          <cell r="O231">
            <v>19131.61</v>
          </cell>
          <cell r="P231">
            <v>16610.04</v>
          </cell>
          <cell r="Q231">
            <v>244600.17999999996</v>
          </cell>
        </row>
        <row r="232">
          <cell r="A232">
            <v>50116</v>
          </cell>
          <cell r="B232" t="str">
            <v>Union Benefit Expense</v>
          </cell>
          <cell r="E232">
            <v>55955.6</v>
          </cell>
          <cell r="F232">
            <v>54981.08</v>
          </cell>
          <cell r="G232">
            <v>57124.76</v>
          </cell>
          <cell r="H232">
            <v>59521.61</v>
          </cell>
          <cell r="I232">
            <v>55020.61</v>
          </cell>
          <cell r="J232">
            <v>53907.77</v>
          </cell>
          <cell r="K232">
            <v>51487.79</v>
          </cell>
          <cell r="L232">
            <v>50364.490000000005</v>
          </cell>
          <cell r="M232">
            <v>51135.950000000004</v>
          </cell>
          <cell r="N232">
            <v>51271.57</v>
          </cell>
          <cell r="O232">
            <v>52010.640000000007</v>
          </cell>
          <cell r="P232">
            <v>49943.11</v>
          </cell>
          <cell r="Q232">
            <v>642724.98</v>
          </cell>
        </row>
        <row r="233">
          <cell r="A233">
            <v>50117</v>
          </cell>
          <cell r="B233" t="str">
            <v>Union Pension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</row>
        <row r="234">
          <cell r="A234">
            <v>50148</v>
          </cell>
          <cell r="B234" t="str">
            <v>Allocated Exp In - District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</row>
        <row r="235">
          <cell r="A235">
            <v>50149</v>
          </cell>
          <cell r="B235" t="str">
            <v>Allocated Exp In Out - District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</row>
        <row r="236">
          <cell r="A236">
            <v>50335</v>
          </cell>
          <cell r="B236" t="str">
            <v>Miscellaneous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</row>
        <row r="237">
          <cell r="A237">
            <v>50900</v>
          </cell>
          <cell r="B237" t="str">
            <v>Capitalized Costs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</row>
        <row r="238">
          <cell r="A238">
            <v>50998</v>
          </cell>
          <cell r="B238" t="str">
            <v>Allocation Out - District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</row>
        <row r="239">
          <cell r="A239">
            <v>50999</v>
          </cell>
          <cell r="B239" t="str">
            <v>Allocation Out - Out District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</row>
        <row r="240">
          <cell r="A240" t="str">
            <v>Total Labor</v>
          </cell>
          <cell r="E240">
            <v>294808.01999999996</v>
          </cell>
          <cell r="F240">
            <v>268231.77</v>
          </cell>
          <cell r="G240">
            <v>297444.89</v>
          </cell>
          <cell r="H240">
            <v>289895.94999999995</v>
          </cell>
          <cell r="I240">
            <v>277386.03000000003</v>
          </cell>
          <cell r="J240">
            <v>281546.87</v>
          </cell>
          <cell r="K240">
            <v>275508.70999999996</v>
          </cell>
          <cell r="L240">
            <v>281726.57</v>
          </cell>
          <cell r="M240">
            <v>285277.56</v>
          </cell>
          <cell r="N240">
            <v>260142.86999999997</v>
          </cell>
          <cell r="O240">
            <v>287539.68</v>
          </cell>
          <cell r="P240">
            <v>262794.69</v>
          </cell>
          <cell r="Q240">
            <v>3362303.6100000003</v>
          </cell>
        </row>
        <row r="242">
          <cell r="A242" t="str">
            <v>Truck Fixed Expenses</v>
          </cell>
        </row>
        <row r="243">
          <cell r="A243">
            <v>51148</v>
          </cell>
          <cell r="B243" t="str">
            <v>Allocation In - District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</row>
        <row r="244">
          <cell r="A244">
            <v>51149</v>
          </cell>
          <cell r="B244" t="str">
            <v>Allocation In - Out District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</row>
        <row r="245">
          <cell r="A245">
            <v>51175</v>
          </cell>
          <cell r="B245" t="str">
            <v>Equipment/Vehicle Rental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</row>
        <row r="246">
          <cell r="A246">
            <v>51275</v>
          </cell>
          <cell r="B246" t="str">
            <v>Property Taxes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</row>
        <row r="247">
          <cell r="A247">
            <v>51295</v>
          </cell>
          <cell r="B247" t="str">
            <v>Licenses</v>
          </cell>
          <cell r="E247">
            <v>2602.56</v>
          </cell>
          <cell r="F247">
            <v>2531.56</v>
          </cell>
          <cell r="G247">
            <v>2595.5500000000002</v>
          </cell>
          <cell r="H247">
            <v>2489.9299999999998</v>
          </cell>
          <cell r="I247">
            <v>2160.58</v>
          </cell>
          <cell r="J247">
            <v>2256.83</v>
          </cell>
          <cell r="K247">
            <v>2128.83</v>
          </cell>
          <cell r="L247">
            <v>2085.83</v>
          </cell>
          <cell r="M247">
            <v>2085.83</v>
          </cell>
          <cell r="N247">
            <v>2190.83</v>
          </cell>
          <cell r="O247">
            <v>2085.83</v>
          </cell>
          <cell r="P247">
            <v>2550.89</v>
          </cell>
          <cell r="Q247">
            <v>27765.050000000003</v>
          </cell>
        </row>
        <row r="248">
          <cell r="A248">
            <v>51335</v>
          </cell>
          <cell r="B248" t="str">
            <v>Miscellaneous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</row>
        <row r="249">
          <cell r="A249">
            <v>51998</v>
          </cell>
          <cell r="B249" t="str">
            <v>Allocation Out - District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</row>
        <row r="250">
          <cell r="A250">
            <v>51999</v>
          </cell>
          <cell r="B250" t="str">
            <v>Allocation Out - Out District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</row>
        <row r="251">
          <cell r="A251" t="str">
            <v>Total Truck Fixed Expenses</v>
          </cell>
          <cell r="E251">
            <v>2602.56</v>
          </cell>
          <cell r="F251">
            <v>2531.56</v>
          </cell>
          <cell r="G251">
            <v>2595.5500000000002</v>
          </cell>
          <cell r="H251">
            <v>2489.9299999999998</v>
          </cell>
          <cell r="I251">
            <v>2160.58</v>
          </cell>
          <cell r="J251">
            <v>2256.83</v>
          </cell>
          <cell r="K251">
            <v>2128.83</v>
          </cell>
          <cell r="L251">
            <v>2085.83</v>
          </cell>
          <cell r="M251">
            <v>2085.83</v>
          </cell>
          <cell r="N251">
            <v>2190.83</v>
          </cell>
          <cell r="O251">
            <v>2085.83</v>
          </cell>
          <cell r="P251">
            <v>2550.89</v>
          </cell>
          <cell r="Q251">
            <v>27765.050000000003</v>
          </cell>
        </row>
        <row r="253">
          <cell r="A253" t="str">
            <v>Truck Variable Expenses</v>
          </cell>
        </row>
        <row r="254">
          <cell r="A254">
            <v>52010</v>
          </cell>
          <cell r="B254" t="str">
            <v>Salaries</v>
          </cell>
          <cell r="E254">
            <v>6209.13</v>
          </cell>
          <cell r="F254">
            <v>5913.46</v>
          </cell>
          <cell r="G254">
            <v>6800.48</v>
          </cell>
          <cell r="H254">
            <v>6504.81</v>
          </cell>
          <cell r="I254">
            <v>6209.13</v>
          </cell>
          <cell r="J254">
            <v>6504.8</v>
          </cell>
          <cell r="K254">
            <v>6504.81</v>
          </cell>
          <cell r="L254">
            <v>6504.81</v>
          </cell>
          <cell r="M254">
            <v>6504.8</v>
          </cell>
          <cell r="N254">
            <v>6209.14</v>
          </cell>
          <cell r="O254">
            <v>6504.8</v>
          </cell>
          <cell r="P254">
            <v>6800.48</v>
          </cell>
          <cell r="Q254">
            <v>77170.649999999994</v>
          </cell>
        </row>
        <row r="255">
          <cell r="A255">
            <v>52020</v>
          </cell>
          <cell r="B255" t="str">
            <v>Wages Regular</v>
          </cell>
          <cell r="E255">
            <v>11640.62</v>
          </cell>
          <cell r="F255">
            <v>14929.71</v>
          </cell>
          <cell r="G255">
            <v>14082.73</v>
          </cell>
          <cell r="H255">
            <v>13654.74</v>
          </cell>
          <cell r="I255">
            <v>14918.37</v>
          </cell>
          <cell r="J255">
            <v>14754.95</v>
          </cell>
          <cell r="K255">
            <v>12181.44</v>
          </cell>
          <cell r="L255">
            <v>11315.17</v>
          </cell>
          <cell r="M255">
            <v>11931.83</v>
          </cell>
          <cell r="N255">
            <v>11946.65</v>
          </cell>
          <cell r="O255">
            <v>12371.33</v>
          </cell>
          <cell r="P255">
            <v>15662.7</v>
          </cell>
          <cell r="Q255">
            <v>159390.24</v>
          </cell>
        </row>
        <row r="256">
          <cell r="A256">
            <v>52025</v>
          </cell>
          <cell r="B256" t="str">
            <v>Wages O.T.</v>
          </cell>
          <cell r="E256">
            <v>2614.52</v>
          </cell>
          <cell r="F256">
            <v>2473.63</v>
          </cell>
          <cell r="G256">
            <v>2117.09</v>
          </cell>
          <cell r="H256">
            <v>2164.7199999999998</v>
          </cell>
          <cell r="I256">
            <v>2848.44</v>
          </cell>
          <cell r="J256">
            <v>3075.19</v>
          </cell>
          <cell r="K256">
            <v>3378.52</v>
          </cell>
          <cell r="L256">
            <v>1747.37</v>
          </cell>
          <cell r="M256">
            <v>2402.91</v>
          </cell>
          <cell r="N256">
            <v>2322.34</v>
          </cell>
          <cell r="O256">
            <v>3755.06</v>
          </cell>
          <cell r="P256">
            <v>2288.11</v>
          </cell>
          <cell r="Q256">
            <v>31187.9</v>
          </cell>
        </row>
        <row r="257">
          <cell r="A257">
            <v>52035</v>
          </cell>
          <cell r="B257" t="str">
            <v>Safety Bonuses</v>
          </cell>
          <cell r="E257">
            <v>833</v>
          </cell>
          <cell r="F257">
            <v>833</v>
          </cell>
          <cell r="G257">
            <v>833</v>
          </cell>
          <cell r="H257">
            <v>833</v>
          </cell>
          <cell r="I257">
            <v>1583</v>
          </cell>
          <cell r="J257">
            <v>1583</v>
          </cell>
          <cell r="K257">
            <v>1583</v>
          </cell>
          <cell r="L257">
            <v>1583</v>
          </cell>
          <cell r="M257">
            <v>500</v>
          </cell>
          <cell r="N257">
            <v>500</v>
          </cell>
          <cell r="O257">
            <v>1000</v>
          </cell>
          <cell r="P257">
            <v>0</v>
          </cell>
          <cell r="Q257">
            <v>11664</v>
          </cell>
        </row>
        <row r="258">
          <cell r="A258">
            <v>52036</v>
          </cell>
          <cell r="B258" t="str">
            <v>Other Bonus/Commission - Non-Safety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</row>
        <row r="259">
          <cell r="A259">
            <v>52045</v>
          </cell>
          <cell r="B259" t="str">
            <v>Contract Labor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</row>
        <row r="260">
          <cell r="A260">
            <v>52050</v>
          </cell>
          <cell r="B260" t="str">
            <v>Payroll Taxes</v>
          </cell>
          <cell r="E260">
            <v>2869.35</v>
          </cell>
          <cell r="F260">
            <v>2242.16</v>
          </cell>
          <cell r="G260">
            <v>2468.5100000000002</v>
          </cell>
          <cell r="H260">
            <v>2064.63</v>
          </cell>
          <cell r="I260">
            <v>2186.88</v>
          </cell>
          <cell r="J260">
            <v>2344.56</v>
          </cell>
          <cell r="K260">
            <v>1962.2</v>
          </cell>
          <cell r="L260">
            <v>1763.36</v>
          </cell>
          <cell r="M260">
            <v>1881.81</v>
          </cell>
          <cell r="N260">
            <v>1731.74</v>
          </cell>
          <cell r="O260">
            <v>2453.91</v>
          </cell>
          <cell r="P260">
            <v>1757.74</v>
          </cell>
          <cell r="Q260">
            <v>25726.850000000006</v>
          </cell>
        </row>
        <row r="261">
          <cell r="A261">
            <v>52060</v>
          </cell>
          <cell r="B261" t="str">
            <v>Group Insurance</v>
          </cell>
          <cell r="E261">
            <v>1441</v>
          </cell>
          <cell r="F261">
            <v>1441</v>
          </cell>
          <cell r="G261">
            <v>561.5</v>
          </cell>
          <cell r="H261">
            <v>720.5</v>
          </cell>
          <cell r="I261">
            <v>641</v>
          </cell>
          <cell r="J261">
            <v>641</v>
          </cell>
          <cell r="K261">
            <v>641</v>
          </cell>
          <cell r="L261">
            <v>641</v>
          </cell>
          <cell r="M261">
            <v>561.5</v>
          </cell>
          <cell r="N261">
            <v>720.5</v>
          </cell>
          <cell r="O261">
            <v>641</v>
          </cell>
          <cell r="P261">
            <v>583.48</v>
          </cell>
          <cell r="Q261">
            <v>9234.48</v>
          </cell>
        </row>
        <row r="262">
          <cell r="A262">
            <v>52065</v>
          </cell>
          <cell r="B262" t="str">
            <v>Vacation Pay</v>
          </cell>
          <cell r="E262">
            <v>1511.38</v>
          </cell>
          <cell r="F262">
            <v>-838.54</v>
          </cell>
          <cell r="G262">
            <v>2800.68</v>
          </cell>
          <cell r="H262">
            <v>381.27</v>
          </cell>
          <cell r="I262">
            <v>800.29</v>
          </cell>
          <cell r="J262">
            <v>1912.65</v>
          </cell>
          <cell r="K262">
            <v>745.69</v>
          </cell>
          <cell r="L262">
            <v>1755.74</v>
          </cell>
          <cell r="M262">
            <v>996.88</v>
          </cell>
          <cell r="N262">
            <v>1492.04</v>
          </cell>
          <cell r="O262">
            <v>2476.17</v>
          </cell>
          <cell r="P262">
            <v>1846.32</v>
          </cell>
          <cell r="Q262">
            <v>15880.569999999998</v>
          </cell>
        </row>
        <row r="263">
          <cell r="A263">
            <v>52070</v>
          </cell>
          <cell r="B263" t="str">
            <v>Sick Pay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</row>
        <row r="264">
          <cell r="A264">
            <v>52086</v>
          </cell>
          <cell r="B264" t="str">
            <v>Safety and Training</v>
          </cell>
          <cell r="E264">
            <v>104.55</v>
          </cell>
          <cell r="F264">
            <v>112.64</v>
          </cell>
          <cell r="G264">
            <v>154.71</v>
          </cell>
          <cell r="H264">
            <v>299.60000000000002</v>
          </cell>
          <cell r="I264">
            <v>846.98</v>
          </cell>
          <cell r="J264">
            <v>185.38</v>
          </cell>
          <cell r="K264">
            <v>78.989999999999995</v>
          </cell>
          <cell r="L264">
            <v>145.65</v>
          </cell>
          <cell r="M264">
            <v>0</v>
          </cell>
          <cell r="N264">
            <v>876.33</v>
          </cell>
          <cell r="O264">
            <v>-395.59</v>
          </cell>
          <cell r="P264">
            <v>1720.49</v>
          </cell>
          <cell r="Q264">
            <v>4129.7300000000005</v>
          </cell>
        </row>
        <row r="265">
          <cell r="A265">
            <v>52087</v>
          </cell>
          <cell r="B265" t="str">
            <v>Drug Screening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</row>
        <row r="266">
          <cell r="A266">
            <v>52090</v>
          </cell>
          <cell r="B266" t="str">
            <v>Uniforms</v>
          </cell>
          <cell r="E266">
            <v>1040.42</v>
          </cell>
          <cell r="F266">
            <v>1033.9000000000001</v>
          </cell>
          <cell r="G266">
            <v>1397.48</v>
          </cell>
          <cell r="H266">
            <v>1377.31</v>
          </cell>
          <cell r="I266">
            <v>475.1</v>
          </cell>
          <cell r="J266">
            <v>1617.7</v>
          </cell>
          <cell r="K266">
            <v>910.5</v>
          </cell>
          <cell r="L266">
            <v>1633.6</v>
          </cell>
          <cell r="M266">
            <v>1021.73</v>
          </cell>
          <cell r="N266">
            <v>756.54</v>
          </cell>
          <cell r="O266">
            <v>828.81</v>
          </cell>
          <cell r="P266">
            <v>987.61</v>
          </cell>
          <cell r="Q266">
            <v>13080.699999999999</v>
          </cell>
        </row>
        <row r="267">
          <cell r="A267">
            <v>52115</v>
          </cell>
          <cell r="B267" t="str">
            <v>Pension and Profit Sharing</v>
          </cell>
          <cell r="E267">
            <v>2995.29</v>
          </cell>
          <cell r="F267">
            <v>2862.61</v>
          </cell>
          <cell r="G267">
            <v>3299.63</v>
          </cell>
          <cell r="H267">
            <v>2999.06</v>
          </cell>
          <cell r="I267">
            <v>2963.05</v>
          </cell>
          <cell r="J267">
            <v>2934</v>
          </cell>
          <cell r="K267">
            <v>2846.98</v>
          </cell>
          <cell r="L267">
            <v>2774.57</v>
          </cell>
          <cell r="M267">
            <v>2785.85</v>
          </cell>
          <cell r="N267">
            <v>2807.65</v>
          </cell>
          <cell r="O267">
            <v>2756.7</v>
          </cell>
          <cell r="P267">
            <v>2412.85</v>
          </cell>
          <cell r="Q267">
            <v>34438.239999999998</v>
          </cell>
        </row>
        <row r="268">
          <cell r="A268">
            <v>52116</v>
          </cell>
          <cell r="B268" t="str">
            <v>Union Benefit Expense</v>
          </cell>
          <cell r="E268">
            <v>7876.76</v>
          </cell>
          <cell r="F268">
            <v>7880.62</v>
          </cell>
          <cell r="G268">
            <v>7872.8</v>
          </cell>
          <cell r="H268">
            <v>7884.58</v>
          </cell>
          <cell r="I268">
            <v>7878.69</v>
          </cell>
          <cell r="J268">
            <v>7878.69</v>
          </cell>
          <cell r="K268">
            <v>7881.97</v>
          </cell>
          <cell r="L268">
            <v>6752.1</v>
          </cell>
          <cell r="M268">
            <v>6747.85</v>
          </cell>
          <cell r="N268">
            <v>6756.35</v>
          </cell>
          <cell r="O268">
            <v>7182.94</v>
          </cell>
          <cell r="P268">
            <v>7779.69</v>
          </cell>
          <cell r="Q268">
            <v>90373.040000000023</v>
          </cell>
        </row>
        <row r="269">
          <cell r="A269">
            <v>52117</v>
          </cell>
          <cell r="B269" t="str">
            <v>Union Pension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</row>
        <row r="270">
          <cell r="A270">
            <v>52120</v>
          </cell>
          <cell r="B270" t="str">
            <v>Parts and Materials</v>
          </cell>
          <cell r="E270">
            <v>13715.59</v>
          </cell>
          <cell r="F270">
            <v>21102.71</v>
          </cell>
          <cell r="G270">
            <v>18678.920000000006</v>
          </cell>
          <cell r="H270">
            <v>30064.99</v>
          </cell>
          <cell r="I270">
            <v>11133.51</v>
          </cell>
          <cell r="J270">
            <v>9706.94</v>
          </cell>
          <cell r="K270">
            <v>12873.069999999998</v>
          </cell>
          <cell r="L270">
            <v>12811.720000000001</v>
          </cell>
          <cell r="M270">
            <v>13514.23</v>
          </cell>
          <cell r="N270">
            <v>8953.7200000000012</v>
          </cell>
          <cell r="O270">
            <v>16547.27</v>
          </cell>
          <cell r="P270">
            <v>15817.25</v>
          </cell>
          <cell r="Q270">
            <v>184919.91999999998</v>
          </cell>
        </row>
        <row r="271">
          <cell r="A271">
            <v>52125</v>
          </cell>
          <cell r="B271" t="str">
            <v>Operating Supplies</v>
          </cell>
          <cell r="E271">
            <v>568.15</v>
          </cell>
          <cell r="F271">
            <v>288.02999999999997</v>
          </cell>
          <cell r="G271">
            <v>385.62</v>
          </cell>
          <cell r="H271">
            <v>179.18</v>
          </cell>
          <cell r="I271">
            <v>339.98</v>
          </cell>
          <cell r="J271">
            <v>264.08</v>
          </cell>
          <cell r="K271">
            <v>131.13</v>
          </cell>
          <cell r="L271">
            <v>13.55</v>
          </cell>
          <cell r="M271">
            <v>9.8699999999999992</v>
          </cell>
          <cell r="N271">
            <v>372.92</v>
          </cell>
          <cell r="O271">
            <v>819.61</v>
          </cell>
          <cell r="P271">
            <v>414.71</v>
          </cell>
          <cell r="Q271">
            <v>3786.8300000000004</v>
          </cell>
        </row>
        <row r="272">
          <cell r="A272">
            <v>52135</v>
          </cell>
          <cell r="B272" t="str">
            <v>Equipment and Maint Repair</v>
          </cell>
          <cell r="E272">
            <v>0</v>
          </cell>
          <cell r="F272">
            <v>0</v>
          </cell>
          <cell r="G272">
            <v>149.16</v>
          </cell>
          <cell r="H272">
            <v>681.98</v>
          </cell>
          <cell r="I272">
            <v>545.25</v>
          </cell>
          <cell r="J272">
            <v>332.59</v>
          </cell>
          <cell r="K272">
            <v>984.37</v>
          </cell>
          <cell r="L272">
            <v>173.37</v>
          </cell>
          <cell r="M272">
            <v>0</v>
          </cell>
          <cell r="N272">
            <v>156.19999999999999</v>
          </cell>
          <cell r="O272">
            <v>-156.19999999999999</v>
          </cell>
          <cell r="P272">
            <v>27.01</v>
          </cell>
          <cell r="Q272">
            <v>2893.73</v>
          </cell>
        </row>
        <row r="273">
          <cell r="A273">
            <v>52140</v>
          </cell>
          <cell r="B273" t="str">
            <v>Tires</v>
          </cell>
          <cell r="E273">
            <v>11282.69</v>
          </cell>
          <cell r="F273">
            <v>1664.63</v>
          </cell>
          <cell r="G273">
            <v>5175.3999999999996</v>
          </cell>
          <cell r="H273">
            <v>8753.43</v>
          </cell>
          <cell r="I273">
            <v>9084.64</v>
          </cell>
          <cell r="J273">
            <v>1370.04</v>
          </cell>
          <cell r="K273">
            <v>8864.5</v>
          </cell>
          <cell r="L273">
            <v>438.2</v>
          </cell>
          <cell r="M273">
            <v>5010.1400000000003</v>
          </cell>
          <cell r="N273">
            <v>1896.06</v>
          </cell>
          <cell r="O273">
            <v>7161.25</v>
          </cell>
          <cell r="P273">
            <v>3395.56</v>
          </cell>
          <cell r="Q273">
            <v>64096.539999999994</v>
          </cell>
        </row>
        <row r="274">
          <cell r="A274">
            <v>52142</v>
          </cell>
          <cell r="B274" t="str">
            <v>Fuel Expense</v>
          </cell>
          <cell r="E274">
            <v>54158.289999999994</v>
          </cell>
          <cell r="F274">
            <v>50956.94</v>
          </cell>
          <cell r="G274">
            <v>60111.49</v>
          </cell>
          <cell r="H274">
            <v>62505</v>
          </cell>
          <cell r="I274">
            <v>58155.18</v>
          </cell>
          <cell r="J274">
            <v>61304.36</v>
          </cell>
          <cell r="K274">
            <v>60908.59</v>
          </cell>
          <cell r="L274">
            <v>64096.240000000005</v>
          </cell>
          <cell r="M274">
            <v>63144.08</v>
          </cell>
          <cell r="N274">
            <v>63868.340000000004</v>
          </cell>
          <cell r="O274">
            <v>56605.93</v>
          </cell>
          <cell r="P274">
            <v>67191.64</v>
          </cell>
          <cell r="Q274">
            <v>723006.08</v>
          </cell>
        </row>
        <row r="275">
          <cell r="A275">
            <v>52143</v>
          </cell>
          <cell r="B275" t="str">
            <v>Transmontagne Fuel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</row>
        <row r="276">
          <cell r="A276">
            <v>52144</v>
          </cell>
          <cell r="B276" t="str">
            <v>Urea Expense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</row>
        <row r="277">
          <cell r="A277">
            <v>52146</v>
          </cell>
          <cell r="B277" t="str">
            <v>Oil and Grease</v>
          </cell>
          <cell r="E277">
            <v>3179.71</v>
          </cell>
          <cell r="F277">
            <v>7401.66</v>
          </cell>
          <cell r="G277">
            <v>5696.15</v>
          </cell>
          <cell r="H277">
            <v>6990.25</v>
          </cell>
          <cell r="I277">
            <v>4918.58</v>
          </cell>
          <cell r="J277">
            <v>3341.27</v>
          </cell>
          <cell r="K277">
            <v>1599.94</v>
          </cell>
          <cell r="L277">
            <v>9095.31</v>
          </cell>
          <cell r="M277">
            <v>5629.35</v>
          </cell>
          <cell r="N277">
            <v>4937.97</v>
          </cell>
          <cell r="O277">
            <v>5285.37</v>
          </cell>
          <cell r="P277">
            <v>5402.36</v>
          </cell>
          <cell r="Q277">
            <v>63477.919999999998</v>
          </cell>
        </row>
        <row r="278">
          <cell r="A278">
            <v>52147</v>
          </cell>
          <cell r="B278" t="str">
            <v>Outside Repairs</v>
          </cell>
          <cell r="E278">
            <v>2520.1099999999997</v>
          </cell>
          <cell r="F278">
            <v>148.44</v>
          </cell>
          <cell r="G278">
            <v>4753.75</v>
          </cell>
          <cell r="H278">
            <v>2049.4</v>
          </cell>
          <cell r="I278">
            <v>568.04999999999995</v>
          </cell>
          <cell r="J278">
            <v>4319.34</v>
          </cell>
          <cell r="K278">
            <v>3088.65</v>
          </cell>
          <cell r="L278">
            <v>4131.92</v>
          </cell>
          <cell r="M278">
            <v>939.12</v>
          </cell>
          <cell r="N278">
            <v>4227.5600000000004</v>
          </cell>
          <cell r="O278">
            <v>38.909999999999997</v>
          </cell>
          <cell r="P278">
            <v>448.88</v>
          </cell>
          <cell r="Q278">
            <v>27234.129999999997</v>
          </cell>
        </row>
        <row r="279">
          <cell r="A279">
            <v>52148</v>
          </cell>
          <cell r="B279" t="str">
            <v>Allocated Exp In - District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</row>
        <row r="280">
          <cell r="A280">
            <v>52149</v>
          </cell>
          <cell r="B280" t="str">
            <v>Allocated Exp In Out - District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</row>
        <row r="281">
          <cell r="A281">
            <v>52150</v>
          </cell>
          <cell r="B281" t="str">
            <v>Utilities</v>
          </cell>
          <cell r="E281">
            <v>1060.3800000000001</v>
          </cell>
          <cell r="F281">
            <v>764.22</v>
          </cell>
          <cell r="G281">
            <v>713.08</v>
          </cell>
          <cell r="H281">
            <v>617.6</v>
          </cell>
          <cell r="I281">
            <v>412.22</v>
          </cell>
          <cell r="J281">
            <v>355.41</v>
          </cell>
          <cell r="K281">
            <v>1187.46</v>
          </cell>
          <cell r="L281">
            <v>314.74</v>
          </cell>
          <cell r="M281">
            <v>291.92</v>
          </cell>
          <cell r="N281">
            <v>296.52999999999997</v>
          </cell>
          <cell r="O281">
            <v>545.01</v>
          </cell>
          <cell r="P281">
            <v>997.3</v>
          </cell>
          <cell r="Q281">
            <v>7555.87</v>
          </cell>
        </row>
        <row r="282">
          <cell r="A282">
            <v>52165</v>
          </cell>
          <cell r="B282" t="str">
            <v>Communications</v>
          </cell>
          <cell r="E282">
            <v>497.52</v>
          </cell>
          <cell r="F282">
            <v>509.58</v>
          </cell>
          <cell r="G282">
            <v>521.71</v>
          </cell>
          <cell r="H282">
            <v>497.47</v>
          </cell>
          <cell r="I282">
            <v>622.69000000000005</v>
          </cell>
          <cell r="J282">
            <v>534.09</v>
          </cell>
          <cell r="K282">
            <v>-388.32</v>
          </cell>
          <cell r="L282">
            <v>662.93</v>
          </cell>
          <cell r="M282">
            <v>678.76</v>
          </cell>
          <cell r="N282">
            <v>509.78</v>
          </cell>
          <cell r="O282">
            <v>678.67</v>
          </cell>
          <cell r="P282">
            <v>546.71</v>
          </cell>
          <cell r="Q282">
            <v>5871.59</v>
          </cell>
        </row>
        <row r="283">
          <cell r="A283">
            <v>52170</v>
          </cell>
          <cell r="B283" t="str">
            <v>Real Estate Rentals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</row>
        <row r="284">
          <cell r="A284">
            <v>52172</v>
          </cell>
          <cell r="B284" t="str">
            <v>Chassis Lease Expense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</row>
        <row r="285">
          <cell r="A285">
            <v>52175</v>
          </cell>
          <cell r="B285" t="str">
            <v>Equip/Vehicle Rental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</row>
        <row r="286">
          <cell r="A286">
            <v>52181</v>
          </cell>
          <cell r="B286" t="str">
            <v>Freight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</row>
        <row r="287">
          <cell r="A287">
            <v>52182</v>
          </cell>
          <cell r="B287" t="str">
            <v>Towing Expense</v>
          </cell>
          <cell r="E287">
            <v>243.9</v>
          </cell>
          <cell r="F287">
            <v>678.32</v>
          </cell>
          <cell r="G287">
            <v>518.41999999999996</v>
          </cell>
          <cell r="H287">
            <v>0</v>
          </cell>
          <cell r="I287">
            <v>0</v>
          </cell>
          <cell r="J287">
            <v>271</v>
          </cell>
          <cell r="K287">
            <v>0</v>
          </cell>
          <cell r="L287">
            <v>211.38</v>
          </cell>
          <cell r="M287">
            <v>563.67999999999995</v>
          </cell>
          <cell r="N287">
            <v>0</v>
          </cell>
          <cell r="O287">
            <v>0</v>
          </cell>
          <cell r="P287">
            <v>243.9</v>
          </cell>
          <cell r="Q287">
            <v>2730.6</v>
          </cell>
        </row>
        <row r="288">
          <cell r="A288">
            <v>52185</v>
          </cell>
          <cell r="B288" t="str">
            <v>Travel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397.98</v>
          </cell>
          <cell r="O288">
            <v>-397.98</v>
          </cell>
          <cell r="P288">
            <v>0</v>
          </cell>
          <cell r="Q288">
            <v>0</v>
          </cell>
        </row>
        <row r="289">
          <cell r="A289">
            <v>52200</v>
          </cell>
          <cell r="B289" t="str">
            <v>Office Supply and Equip</v>
          </cell>
          <cell r="E289">
            <v>100.76</v>
          </cell>
          <cell r="F289">
            <v>168.31</v>
          </cell>
          <cell r="G289">
            <v>81.760000000000005</v>
          </cell>
          <cell r="H289">
            <v>538.53</v>
          </cell>
          <cell r="I289">
            <v>50.95</v>
          </cell>
          <cell r="J289">
            <v>51.81</v>
          </cell>
          <cell r="K289">
            <v>0</v>
          </cell>
          <cell r="L289">
            <v>226.01</v>
          </cell>
          <cell r="M289">
            <v>51.5</v>
          </cell>
          <cell r="N289">
            <v>0</v>
          </cell>
          <cell r="O289">
            <v>556.91</v>
          </cell>
          <cell r="P289">
            <v>324.24</v>
          </cell>
          <cell r="Q289">
            <v>2150.7799999999997</v>
          </cell>
        </row>
        <row r="290">
          <cell r="A290">
            <v>52275</v>
          </cell>
          <cell r="B290" t="str">
            <v>Property Taxes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</row>
        <row r="291">
          <cell r="A291">
            <v>52335</v>
          </cell>
          <cell r="B291" t="str">
            <v>Miscellaneous</v>
          </cell>
          <cell r="E291">
            <v>9</v>
          </cell>
          <cell r="F291">
            <v>0</v>
          </cell>
          <cell r="G291">
            <v>4.5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13.5</v>
          </cell>
        </row>
        <row r="292">
          <cell r="A292">
            <v>52900</v>
          </cell>
          <cell r="B292" t="str">
            <v>Capitalized Costs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</row>
        <row r="293">
          <cell r="A293">
            <v>52901</v>
          </cell>
          <cell r="B293" t="str">
            <v>Costs Awaiting Capitilization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</row>
        <row r="294">
          <cell r="A294">
            <v>52998</v>
          </cell>
          <cell r="B294" t="str">
            <v>Allocation Out - District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</row>
        <row r="295">
          <cell r="A295">
            <v>52999</v>
          </cell>
          <cell r="B295" t="str">
            <v>Allocation Out - Out District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</row>
        <row r="296">
          <cell r="A296" t="str">
            <v>Total Truck Variable</v>
          </cell>
          <cell r="E296">
            <v>126472.12</v>
          </cell>
          <cell r="F296">
            <v>122567.03000000001</v>
          </cell>
          <cell r="G296">
            <v>139178.57</v>
          </cell>
          <cell r="H296">
            <v>151762.04999999999</v>
          </cell>
          <cell r="I296">
            <v>127181.98000000001</v>
          </cell>
          <cell r="J296">
            <v>125282.85</v>
          </cell>
          <cell r="K296">
            <v>127964.48999999999</v>
          </cell>
          <cell r="L296">
            <v>128791.74</v>
          </cell>
          <cell r="M296">
            <v>125167.81</v>
          </cell>
          <cell r="N296">
            <v>121736.34</v>
          </cell>
          <cell r="O296">
            <v>127259.88000000002</v>
          </cell>
          <cell r="P296">
            <v>136649.02999999997</v>
          </cell>
          <cell r="Q296">
            <v>1560013.8900000001</v>
          </cell>
        </row>
        <row r="298">
          <cell r="A298" t="str">
            <v>Container</v>
          </cell>
        </row>
        <row r="299">
          <cell r="A299">
            <v>54148</v>
          </cell>
          <cell r="B299" t="str">
            <v>Allocation In - District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</row>
        <row r="300">
          <cell r="A300">
            <v>54149</v>
          </cell>
          <cell r="B300" t="str">
            <v>Allocation In - Out District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</row>
        <row r="301">
          <cell r="A301">
            <v>54175</v>
          </cell>
          <cell r="B301" t="str">
            <v>Equipment/Vehicle Rental</v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</row>
        <row r="302">
          <cell r="A302">
            <v>54275</v>
          </cell>
          <cell r="B302" t="str">
            <v>Property Taxes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</row>
        <row r="303">
          <cell r="A303">
            <v>54335</v>
          </cell>
          <cell r="B303" t="str">
            <v>Miscellaneous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</row>
        <row r="304">
          <cell r="A304">
            <v>54998</v>
          </cell>
          <cell r="B304" t="str">
            <v>Allocation Out - District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</row>
        <row r="305">
          <cell r="A305">
            <v>54999</v>
          </cell>
          <cell r="B305" t="str">
            <v>Allocation Out - Out District</v>
          </cell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</row>
        <row r="306">
          <cell r="A306">
            <v>55010</v>
          </cell>
          <cell r="B306" t="str">
            <v>Salaries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</row>
        <row r="307">
          <cell r="A307">
            <v>55020</v>
          </cell>
          <cell r="B307" t="str">
            <v>Wages Regular</v>
          </cell>
          <cell r="E307">
            <v>10121.69</v>
          </cell>
          <cell r="F307">
            <v>8242.4699999999993</v>
          </cell>
          <cell r="G307">
            <v>12061.67</v>
          </cell>
          <cell r="H307">
            <v>10915.7</v>
          </cell>
          <cell r="I307">
            <v>8008.44</v>
          </cell>
          <cell r="J307">
            <v>8531.7900000000009</v>
          </cell>
          <cell r="K307">
            <v>9525.08</v>
          </cell>
          <cell r="L307">
            <v>11641.49</v>
          </cell>
          <cell r="M307">
            <v>9358.9</v>
          </cell>
          <cell r="N307">
            <v>9463.3700000000008</v>
          </cell>
          <cell r="O307">
            <v>10355.24</v>
          </cell>
          <cell r="P307">
            <v>9802.01</v>
          </cell>
          <cell r="Q307">
            <v>118027.84999999999</v>
          </cell>
        </row>
        <row r="308">
          <cell r="A308">
            <v>55025</v>
          </cell>
          <cell r="B308" t="str">
            <v>Wages O.T.</v>
          </cell>
          <cell r="E308">
            <v>636.62</v>
          </cell>
          <cell r="F308">
            <v>425.9</v>
          </cell>
          <cell r="G308">
            <v>278.45999999999998</v>
          </cell>
          <cell r="H308">
            <v>1269.6099999999999</v>
          </cell>
          <cell r="I308">
            <v>580.07000000000005</v>
          </cell>
          <cell r="J308">
            <v>803.54</v>
          </cell>
          <cell r="K308">
            <v>467.98</v>
          </cell>
          <cell r="L308">
            <v>832.02</v>
          </cell>
          <cell r="M308">
            <v>17.989999999999998</v>
          </cell>
          <cell r="N308">
            <v>412.16</v>
          </cell>
          <cell r="O308">
            <v>650.38</v>
          </cell>
          <cell r="P308">
            <v>65.599999999999994</v>
          </cell>
          <cell r="Q308">
            <v>6440.3300000000008</v>
          </cell>
        </row>
        <row r="309">
          <cell r="A309">
            <v>55035</v>
          </cell>
          <cell r="B309" t="str">
            <v>Safety Bonuses</v>
          </cell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</row>
        <row r="310">
          <cell r="A310">
            <v>55036</v>
          </cell>
          <cell r="B310" t="str">
            <v>Other Bonus/Commission - Non-Safety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</row>
        <row r="311">
          <cell r="A311">
            <v>55045</v>
          </cell>
          <cell r="B311" t="str">
            <v>Contract Labor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</row>
        <row r="312">
          <cell r="A312">
            <v>55050</v>
          </cell>
          <cell r="B312" t="str">
            <v>Payroll Taxes</v>
          </cell>
          <cell r="E312">
            <v>1302.32</v>
          </cell>
          <cell r="F312">
            <v>934.4</v>
          </cell>
          <cell r="G312">
            <v>1150.47</v>
          </cell>
          <cell r="H312">
            <v>1167.9000000000001</v>
          </cell>
          <cell r="I312">
            <v>860.19</v>
          </cell>
          <cell r="J312">
            <v>884.97</v>
          </cell>
          <cell r="K312">
            <v>1058.24</v>
          </cell>
          <cell r="L312">
            <v>1180.19</v>
          </cell>
          <cell r="M312">
            <v>1055.3399999999999</v>
          </cell>
          <cell r="N312">
            <v>1038.93</v>
          </cell>
          <cell r="O312">
            <v>1185.43</v>
          </cell>
          <cell r="P312">
            <v>525.12</v>
          </cell>
          <cell r="Q312">
            <v>12343.500000000002</v>
          </cell>
        </row>
        <row r="313">
          <cell r="A313">
            <v>55060</v>
          </cell>
          <cell r="B313" t="str">
            <v>Group Insurance</v>
          </cell>
          <cell r="E313">
            <v>2215</v>
          </cell>
          <cell r="F313">
            <v>2215</v>
          </cell>
          <cell r="G313">
            <v>1935</v>
          </cell>
          <cell r="H313">
            <v>2495</v>
          </cell>
          <cell r="I313">
            <v>2215</v>
          </cell>
          <cell r="J313">
            <v>1919</v>
          </cell>
          <cell r="K313">
            <v>1919</v>
          </cell>
          <cell r="L313">
            <v>1919</v>
          </cell>
          <cell r="M313">
            <v>1691</v>
          </cell>
          <cell r="N313">
            <v>2147</v>
          </cell>
          <cell r="O313">
            <v>1711</v>
          </cell>
          <cell r="P313">
            <v>2215</v>
          </cell>
          <cell r="Q313">
            <v>24596</v>
          </cell>
        </row>
        <row r="314">
          <cell r="A314">
            <v>55065</v>
          </cell>
          <cell r="B314" t="str">
            <v>Vacation Pay</v>
          </cell>
          <cell r="E314">
            <v>303.81</v>
          </cell>
          <cell r="F314">
            <v>1016.29</v>
          </cell>
          <cell r="G314">
            <v>-198.06</v>
          </cell>
          <cell r="H314">
            <v>1145.3599999999999</v>
          </cell>
          <cell r="I314">
            <v>1042.8699999999999</v>
          </cell>
          <cell r="J314">
            <v>-719.54</v>
          </cell>
          <cell r="K314">
            <v>1222.3399999999999</v>
          </cell>
          <cell r="L314">
            <v>925.15</v>
          </cell>
          <cell r="M314">
            <v>1907.53</v>
          </cell>
          <cell r="N314">
            <v>789.75</v>
          </cell>
          <cell r="O314">
            <v>394.38</v>
          </cell>
          <cell r="P314">
            <v>930.27</v>
          </cell>
          <cell r="Q314">
            <v>8760.15</v>
          </cell>
        </row>
        <row r="315">
          <cell r="A315">
            <v>55070</v>
          </cell>
          <cell r="B315" t="str">
            <v>Sick Pay</v>
          </cell>
          <cell r="E315">
            <v>255.74</v>
          </cell>
          <cell r="F315">
            <v>163.92</v>
          </cell>
          <cell r="G315">
            <v>253.25</v>
          </cell>
          <cell r="H315">
            <v>-42.31</v>
          </cell>
          <cell r="I315">
            <v>0</v>
          </cell>
          <cell r="J315">
            <v>317.39999999999998</v>
          </cell>
          <cell r="K315">
            <v>165.6</v>
          </cell>
          <cell r="L315">
            <v>-138</v>
          </cell>
          <cell r="M315">
            <v>138</v>
          </cell>
          <cell r="N315">
            <v>216.36</v>
          </cell>
          <cell r="O315">
            <v>0</v>
          </cell>
          <cell r="P315">
            <v>317.60000000000002</v>
          </cell>
          <cell r="Q315">
            <v>1647.56</v>
          </cell>
        </row>
        <row r="316">
          <cell r="A316">
            <v>55086</v>
          </cell>
          <cell r="B316" t="str">
            <v>Safety and Training</v>
          </cell>
          <cell r="E316">
            <v>0</v>
          </cell>
          <cell r="F316">
            <v>0</v>
          </cell>
          <cell r="G316">
            <v>0</v>
          </cell>
          <cell r="H316">
            <v>34.299999999999997</v>
          </cell>
          <cell r="I316">
            <v>29.01</v>
          </cell>
          <cell r="J316">
            <v>0</v>
          </cell>
          <cell r="K316">
            <v>0</v>
          </cell>
          <cell r="L316">
            <v>1292.83</v>
          </cell>
          <cell r="M316">
            <v>425.23</v>
          </cell>
          <cell r="N316">
            <v>50</v>
          </cell>
          <cell r="O316">
            <v>0</v>
          </cell>
          <cell r="P316">
            <v>0</v>
          </cell>
          <cell r="Q316">
            <v>1831.37</v>
          </cell>
        </row>
        <row r="317">
          <cell r="A317">
            <v>55090</v>
          </cell>
          <cell r="B317" t="str">
            <v>Uniforms</v>
          </cell>
          <cell r="E317">
            <v>711.08</v>
          </cell>
          <cell r="F317">
            <v>516.91999999999996</v>
          </cell>
          <cell r="G317">
            <v>548.66</v>
          </cell>
          <cell r="H317">
            <v>420.37</v>
          </cell>
          <cell r="I317">
            <v>237.53</v>
          </cell>
          <cell r="J317">
            <v>620.41999999999996</v>
          </cell>
          <cell r="K317">
            <v>488.2</v>
          </cell>
          <cell r="L317">
            <v>1071.5999999999999</v>
          </cell>
          <cell r="M317">
            <v>360.8</v>
          </cell>
          <cell r="N317">
            <v>378.21</v>
          </cell>
          <cell r="O317">
            <v>414.33</v>
          </cell>
          <cell r="P317">
            <v>378.31</v>
          </cell>
          <cell r="Q317">
            <v>6146.43</v>
          </cell>
        </row>
        <row r="318">
          <cell r="A318">
            <v>55115</v>
          </cell>
          <cell r="B318" t="str">
            <v>Pension and Profit Sharing</v>
          </cell>
          <cell r="E318">
            <v>75.61</v>
          </cell>
          <cell r="F318">
            <v>80.2</v>
          </cell>
          <cell r="G318">
            <v>115.17</v>
          </cell>
          <cell r="H318">
            <v>81.77</v>
          </cell>
          <cell r="I318">
            <v>90.46</v>
          </cell>
          <cell r="J318">
            <v>86.97</v>
          </cell>
          <cell r="K318">
            <v>86.46</v>
          </cell>
          <cell r="L318">
            <v>85.09</v>
          </cell>
          <cell r="M318">
            <v>75.69</v>
          </cell>
          <cell r="N318">
            <v>120.4</v>
          </cell>
          <cell r="O318">
            <v>78.64</v>
          </cell>
          <cell r="P318">
            <v>73.08</v>
          </cell>
          <cell r="Q318">
            <v>1049.54</v>
          </cell>
        </row>
        <row r="319">
          <cell r="A319">
            <v>55116</v>
          </cell>
          <cell r="B319" t="str">
            <v>Union Benefit Expense</v>
          </cell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</row>
        <row r="320">
          <cell r="A320">
            <v>55117</v>
          </cell>
          <cell r="B320" t="str">
            <v>Union Pension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</row>
        <row r="321">
          <cell r="A321">
            <v>55120</v>
          </cell>
          <cell r="B321" t="str">
            <v>Parts and Materials</v>
          </cell>
          <cell r="E321">
            <v>6822.4</v>
          </cell>
          <cell r="F321">
            <v>7408.98</v>
          </cell>
          <cell r="G321">
            <v>6676.59</v>
          </cell>
          <cell r="H321">
            <v>10883.54</v>
          </cell>
          <cell r="I321">
            <v>6756.74</v>
          </cell>
          <cell r="J321">
            <v>6992.66</v>
          </cell>
          <cell r="K321">
            <v>7598.15</v>
          </cell>
          <cell r="L321">
            <v>6124.07</v>
          </cell>
          <cell r="M321">
            <v>6075.32</v>
          </cell>
          <cell r="N321">
            <v>1985.95</v>
          </cell>
          <cell r="O321">
            <v>4110.71</v>
          </cell>
          <cell r="P321">
            <v>5007.25</v>
          </cell>
          <cell r="Q321">
            <v>76442.360000000015</v>
          </cell>
        </row>
        <row r="322">
          <cell r="A322">
            <v>55125</v>
          </cell>
          <cell r="B322" t="str">
            <v>Operating Supplies</v>
          </cell>
          <cell r="E322">
            <v>208.43</v>
          </cell>
          <cell r="F322">
            <v>96</v>
          </cell>
          <cell r="G322">
            <v>0</v>
          </cell>
          <cell r="H322">
            <v>269.91000000000003</v>
          </cell>
          <cell r="I322">
            <v>134.9</v>
          </cell>
          <cell r="J322">
            <v>0</v>
          </cell>
          <cell r="K322">
            <v>0</v>
          </cell>
          <cell r="L322">
            <v>242.16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951.4</v>
          </cell>
        </row>
        <row r="323">
          <cell r="A323">
            <v>55135</v>
          </cell>
          <cell r="B323" t="str">
            <v>Equipment and Maint Repair</v>
          </cell>
          <cell r="E323">
            <v>0</v>
          </cell>
          <cell r="F323">
            <v>107.12</v>
          </cell>
          <cell r="G323">
            <v>103.06</v>
          </cell>
          <cell r="H323">
            <v>127.6</v>
          </cell>
          <cell r="I323">
            <v>177.2</v>
          </cell>
          <cell r="J323">
            <v>0</v>
          </cell>
          <cell r="K323">
            <v>402.9</v>
          </cell>
          <cell r="L323">
            <v>0</v>
          </cell>
          <cell r="M323">
            <v>1045.6400000000001</v>
          </cell>
          <cell r="N323">
            <v>613.79999999999995</v>
          </cell>
          <cell r="O323">
            <v>0.01</v>
          </cell>
          <cell r="P323">
            <v>0</v>
          </cell>
          <cell r="Q323">
            <v>2577.33</v>
          </cell>
        </row>
        <row r="324">
          <cell r="A324">
            <v>55140</v>
          </cell>
          <cell r="B324" t="str">
            <v>Tires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</row>
        <row r="325">
          <cell r="A325">
            <v>55142</v>
          </cell>
          <cell r="B325" t="str">
            <v>Fuel Expense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</row>
        <row r="326">
          <cell r="A326">
            <v>55143</v>
          </cell>
          <cell r="B326" t="str">
            <v>Corporate Medical Waste Supplies</v>
          </cell>
          <cell r="E326">
            <v>0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</row>
        <row r="327">
          <cell r="A327">
            <v>55146</v>
          </cell>
          <cell r="B327" t="str">
            <v>Oil and Grease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</row>
        <row r="328">
          <cell r="A328">
            <v>55147</v>
          </cell>
          <cell r="B328" t="str">
            <v>Outside Repairs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</row>
        <row r="329">
          <cell r="A329">
            <v>55148</v>
          </cell>
          <cell r="B329" t="str">
            <v>Allocated Exp In - District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</row>
        <row r="330">
          <cell r="A330">
            <v>55149</v>
          </cell>
          <cell r="B330" t="str">
            <v>Allocated Exp In Out - District</v>
          </cell>
          <cell r="E330">
            <v>0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</row>
        <row r="331">
          <cell r="A331">
            <v>55150</v>
          </cell>
          <cell r="B331" t="str">
            <v>Utilities</v>
          </cell>
          <cell r="E331">
            <v>145.91</v>
          </cell>
          <cell r="F331">
            <v>170</v>
          </cell>
          <cell r="G331">
            <v>160.13999999999999</v>
          </cell>
          <cell r="H331">
            <v>153.57</v>
          </cell>
          <cell r="I331">
            <v>132.77000000000001</v>
          </cell>
          <cell r="J331">
            <v>124.01</v>
          </cell>
          <cell r="K331">
            <v>109.77</v>
          </cell>
          <cell r="L331">
            <v>522.32000000000005</v>
          </cell>
          <cell r="M331">
            <v>123.5</v>
          </cell>
          <cell r="N331">
            <v>114.69</v>
          </cell>
          <cell r="O331">
            <v>122.68</v>
          </cell>
          <cell r="P331">
            <v>122.68</v>
          </cell>
          <cell r="Q331">
            <v>2002.04</v>
          </cell>
        </row>
        <row r="332">
          <cell r="A332">
            <v>55181</v>
          </cell>
          <cell r="B332" t="str">
            <v>Freight</v>
          </cell>
          <cell r="E332">
            <v>0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</row>
        <row r="333">
          <cell r="A333">
            <v>55335</v>
          </cell>
          <cell r="B333" t="str">
            <v>Miscellaneous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</row>
        <row r="334">
          <cell r="A334">
            <v>55900</v>
          </cell>
          <cell r="B334" t="str">
            <v>Capitalized Costs</v>
          </cell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</row>
        <row r="335">
          <cell r="A335">
            <v>55998</v>
          </cell>
          <cell r="B335" t="str">
            <v>Allocation Out - District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</row>
        <row r="336">
          <cell r="A336">
            <v>55999</v>
          </cell>
          <cell r="B336" t="str">
            <v>Allocation Out - Out District</v>
          </cell>
          <cell r="E336">
            <v>0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</row>
        <row r="337">
          <cell r="A337" t="str">
            <v>Total Container</v>
          </cell>
          <cell r="E337">
            <v>22798.61</v>
          </cell>
          <cell r="F337">
            <v>21377.199999999997</v>
          </cell>
          <cell r="G337">
            <v>23084.41</v>
          </cell>
          <cell r="H337">
            <v>28922.319999999996</v>
          </cell>
          <cell r="I337">
            <v>20265.18</v>
          </cell>
          <cell r="J337">
            <v>19561.219999999998</v>
          </cell>
          <cell r="K337">
            <v>23043.72</v>
          </cell>
          <cell r="L337">
            <v>25697.919999999998</v>
          </cell>
          <cell r="M337">
            <v>22274.94</v>
          </cell>
          <cell r="N337">
            <v>17330.62</v>
          </cell>
          <cell r="O337">
            <v>19022.799999999996</v>
          </cell>
          <cell r="P337">
            <v>19436.920000000002</v>
          </cell>
          <cell r="Q337">
            <v>262815.86</v>
          </cell>
        </row>
        <row r="339">
          <cell r="A339" t="str">
            <v>Supervisor</v>
          </cell>
        </row>
        <row r="340">
          <cell r="A340">
            <v>56010</v>
          </cell>
          <cell r="B340" t="str">
            <v>Salaries</v>
          </cell>
          <cell r="E340">
            <v>21484.6</v>
          </cell>
          <cell r="F340">
            <v>20461.52</v>
          </cell>
          <cell r="G340">
            <v>23530.74</v>
          </cell>
          <cell r="H340">
            <v>22507.68</v>
          </cell>
          <cell r="I340">
            <v>21484.6</v>
          </cell>
          <cell r="J340">
            <v>22507.66</v>
          </cell>
          <cell r="K340">
            <v>22636.52</v>
          </cell>
          <cell r="L340">
            <v>22649.4</v>
          </cell>
          <cell r="M340">
            <v>22649.39</v>
          </cell>
          <cell r="N340">
            <v>21768.59</v>
          </cell>
          <cell r="O340">
            <v>22733.7</v>
          </cell>
          <cell r="P340">
            <v>23898.34</v>
          </cell>
          <cell r="Q340">
            <v>268312.74</v>
          </cell>
        </row>
        <row r="341">
          <cell r="A341">
            <v>56020</v>
          </cell>
          <cell r="B341" t="str">
            <v>Wages Regular</v>
          </cell>
          <cell r="E341">
            <v>4948.7299999999996</v>
          </cell>
          <cell r="F341">
            <v>4243.8599999999997</v>
          </cell>
          <cell r="G341">
            <v>5249.43</v>
          </cell>
          <cell r="H341">
            <v>5618.66</v>
          </cell>
          <cell r="I341">
            <v>4920.93</v>
          </cell>
          <cell r="J341">
            <v>5799.39</v>
          </cell>
          <cell r="K341">
            <v>5404.71</v>
          </cell>
          <cell r="L341">
            <v>5365.56</v>
          </cell>
          <cell r="M341">
            <v>4903.59</v>
          </cell>
          <cell r="N341">
            <v>5263.01</v>
          </cell>
          <cell r="O341">
            <v>5800.6</v>
          </cell>
          <cell r="P341">
            <v>5428.54</v>
          </cell>
          <cell r="Q341">
            <v>62947.01</v>
          </cell>
        </row>
        <row r="342">
          <cell r="A342">
            <v>56025</v>
          </cell>
          <cell r="B342" t="str">
            <v>Wages O.T.</v>
          </cell>
          <cell r="E342">
            <v>515.38</v>
          </cell>
          <cell r="F342">
            <v>23.34</v>
          </cell>
          <cell r="G342">
            <v>199.47</v>
          </cell>
          <cell r="H342">
            <v>439.74</v>
          </cell>
          <cell r="I342">
            <v>937.69</v>
          </cell>
          <cell r="J342">
            <v>676.04</v>
          </cell>
          <cell r="K342">
            <v>89.23</v>
          </cell>
          <cell r="L342">
            <v>691.05</v>
          </cell>
          <cell r="M342">
            <v>707.32</v>
          </cell>
          <cell r="N342">
            <v>322.20999999999998</v>
          </cell>
          <cell r="O342">
            <v>737.63</v>
          </cell>
          <cell r="P342">
            <v>791.29</v>
          </cell>
          <cell r="Q342">
            <v>6130.3899999999994</v>
          </cell>
        </row>
        <row r="343">
          <cell r="A343">
            <v>56035</v>
          </cell>
          <cell r="B343" t="str">
            <v>Safety Bonuses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</row>
        <row r="344">
          <cell r="A344">
            <v>56036</v>
          </cell>
          <cell r="B344" t="str">
            <v>Other Bonus/Commission - Non-Safety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</row>
        <row r="345">
          <cell r="A345">
            <v>56037</v>
          </cell>
          <cell r="B345" t="str">
            <v>Termination Pay</v>
          </cell>
          <cell r="E345">
            <v>0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</row>
        <row r="346">
          <cell r="A346">
            <v>56045</v>
          </cell>
          <cell r="B346" t="str">
            <v>Contract Labor</v>
          </cell>
          <cell r="E346">
            <v>0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</row>
        <row r="347">
          <cell r="A347">
            <v>56050</v>
          </cell>
          <cell r="B347" t="str">
            <v>Payroll Taxes</v>
          </cell>
          <cell r="E347">
            <v>3178.64</v>
          </cell>
          <cell r="F347">
            <v>2251.66</v>
          </cell>
          <cell r="G347">
            <v>2524.9499999999998</v>
          </cell>
          <cell r="H347">
            <v>2497.5100000000002</v>
          </cell>
          <cell r="I347">
            <v>2309.15</v>
          </cell>
          <cell r="J347">
            <v>2588.5</v>
          </cell>
          <cell r="K347">
            <v>2219.94</v>
          </cell>
          <cell r="L347">
            <v>1586.57</v>
          </cell>
          <cell r="M347">
            <v>1804.92</v>
          </cell>
          <cell r="N347">
            <v>1787.26</v>
          </cell>
          <cell r="O347">
            <v>1971.2</v>
          </cell>
          <cell r="P347">
            <v>1725.76</v>
          </cell>
          <cell r="Q347">
            <v>26446.059999999994</v>
          </cell>
        </row>
        <row r="348">
          <cell r="A348">
            <v>56060</v>
          </cell>
          <cell r="B348" t="str">
            <v>Group Insurance</v>
          </cell>
          <cell r="E348">
            <v>2508.5</v>
          </cell>
          <cell r="F348">
            <v>2315.5</v>
          </cell>
          <cell r="G348">
            <v>2043</v>
          </cell>
          <cell r="H348">
            <v>2781</v>
          </cell>
          <cell r="I348">
            <v>2412</v>
          </cell>
          <cell r="J348">
            <v>1237</v>
          </cell>
          <cell r="K348">
            <v>1237</v>
          </cell>
          <cell r="L348">
            <v>1237</v>
          </cell>
          <cell r="M348">
            <v>868</v>
          </cell>
          <cell r="N348">
            <v>1606</v>
          </cell>
          <cell r="O348">
            <v>1237</v>
          </cell>
          <cell r="P348">
            <v>1237</v>
          </cell>
          <cell r="Q348">
            <v>20719</v>
          </cell>
        </row>
        <row r="349">
          <cell r="A349">
            <v>56065</v>
          </cell>
          <cell r="B349" t="str">
            <v>Vacation Pay</v>
          </cell>
          <cell r="E349">
            <v>2015.83</v>
          </cell>
          <cell r="F349">
            <v>1112.7</v>
          </cell>
          <cell r="G349">
            <v>1240.4000000000001</v>
          </cell>
          <cell r="H349">
            <v>1221.3699999999999</v>
          </cell>
          <cell r="I349">
            <v>1789.21</v>
          </cell>
          <cell r="J349">
            <v>2096.9899999999998</v>
          </cell>
          <cell r="K349">
            <v>-3773.2</v>
          </cell>
          <cell r="L349">
            <v>-940.29</v>
          </cell>
          <cell r="M349">
            <v>2549.7399999999998</v>
          </cell>
          <cell r="N349">
            <v>360.95</v>
          </cell>
          <cell r="O349">
            <v>2162.4499999999998</v>
          </cell>
          <cell r="P349">
            <v>2200.5700000000002</v>
          </cell>
          <cell r="Q349">
            <v>12036.72</v>
          </cell>
        </row>
        <row r="350">
          <cell r="A350">
            <v>56070</v>
          </cell>
          <cell r="B350" t="str">
            <v>Sick Pay</v>
          </cell>
          <cell r="E350">
            <v>-88.92</v>
          </cell>
          <cell r="F350">
            <v>208.16</v>
          </cell>
          <cell r="G350">
            <v>-102.08</v>
          </cell>
          <cell r="H350">
            <v>0</v>
          </cell>
          <cell r="I350">
            <v>487.17</v>
          </cell>
          <cell r="J350">
            <v>-182.69</v>
          </cell>
          <cell r="K350">
            <v>304.48</v>
          </cell>
          <cell r="L350">
            <v>182.69</v>
          </cell>
          <cell r="M350">
            <v>124.67</v>
          </cell>
          <cell r="N350">
            <v>66.48</v>
          </cell>
          <cell r="O350">
            <v>0</v>
          </cell>
          <cell r="P350">
            <v>0</v>
          </cell>
          <cell r="Q350">
            <v>999.96000000000015</v>
          </cell>
        </row>
        <row r="351">
          <cell r="A351">
            <v>56086</v>
          </cell>
          <cell r="B351" t="str">
            <v>Safety and Training</v>
          </cell>
          <cell r="E351">
            <v>86.34</v>
          </cell>
          <cell r="F351">
            <v>16.23</v>
          </cell>
          <cell r="G351">
            <v>31.23</v>
          </cell>
          <cell r="H351">
            <v>21.48</v>
          </cell>
          <cell r="I351">
            <v>0</v>
          </cell>
          <cell r="J351">
            <v>64.92</v>
          </cell>
          <cell r="K351">
            <v>0</v>
          </cell>
          <cell r="L351">
            <v>80.650000000000006</v>
          </cell>
          <cell r="M351">
            <v>0</v>
          </cell>
          <cell r="N351">
            <v>121.71</v>
          </cell>
          <cell r="O351">
            <v>0</v>
          </cell>
          <cell r="P351">
            <v>0</v>
          </cell>
          <cell r="Q351">
            <v>422.56</v>
          </cell>
        </row>
        <row r="352">
          <cell r="A352">
            <v>56090</v>
          </cell>
          <cell r="B352" t="str">
            <v>Uniforms</v>
          </cell>
          <cell r="E352">
            <v>356.19</v>
          </cell>
          <cell r="F352">
            <v>519.97</v>
          </cell>
          <cell r="G352">
            <v>1421.43</v>
          </cell>
          <cell r="H352">
            <v>967.63</v>
          </cell>
          <cell r="I352">
            <v>1153.95</v>
          </cell>
          <cell r="J352">
            <v>1314.26</v>
          </cell>
          <cell r="K352">
            <v>1629.69</v>
          </cell>
          <cell r="L352">
            <v>1082.08</v>
          </cell>
          <cell r="M352">
            <v>1087.67</v>
          </cell>
          <cell r="N352">
            <v>1240.51</v>
          </cell>
          <cell r="O352">
            <v>1230.1199999999999</v>
          </cell>
          <cell r="P352">
            <v>1719.85</v>
          </cell>
          <cell r="Q352">
            <v>13723.35</v>
          </cell>
        </row>
        <row r="353">
          <cell r="A353">
            <v>56095</v>
          </cell>
          <cell r="B353" t="str">
            <v>Empl &amp; Commun Activ</v>
          </cell>
          <cell r="E353">
            <v>242.51</v>
          </cell>
          <cell r="F353">
            <v>-88.98</v>
          </cell>
          <cell r="G353">
            <v>0</v>
          </cell>
          <cell r="H353">
            <v>30.82</v>
          </cell>
          <cell r="I353">
            <v>161.91999999999999</v>
          </cell>
          <cell r="J353">
            <v>154.44999999999999</v>
          </cell>
          <cell r="K353">
            <v>0</v>
          </cell>
          <cell r="L353">
            <v>81.739999999999995</v>
          </cell>
          <cell r="M353">
            <v>97.68</v>
          </cell>
          <cell r="N353">
            <v>250.97</v>
          </cell>
          <cell r="O353">
            <v>-60.35</v>
          </cell>
          <cell r="P353">
            <v>0</v>
          </cell>
          <cell r="Q353">
            <v>870.75999999999988</v>
          </cell>
        </row>
        <row r="354">
          <cell r="A354">
            <v>56105</v>
          </cell>
          <cell r="B354" t="str">
            <v>Employee Relocation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</row>
        <row r="355">
          <cell r="A355">
            <v>56108</v>
          </cell>
          <cell r="B355" t="str">
            <v>School Tuition</v>
          </cell>
          <cell r="E355">
            <v>0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</row>
        <row r="356">
          <cell r="A356">
            <v>56115</v>
          </cell>
          <cell r="B356" t="str">
            <v>Pension and Profit Sharing</v>
          </cell>
          <cell r="E356">
            <v>259.32</v>
          </cell>
          <cell r="F356">
            <v>257.68</v>
          </cell>
          <cell r="G356">
            <v>386.43</v>
          </cell>
          <cell r="H356">
            <v>258.10000000000002</v>
          </cell>
          <cell r="I356">
            <v>332.41</v>
          </cell>
          <cell r="J356">
            <v>433.93</v>
          </cell>
          <cell r="K356">
            <v>427.05</v>
          </cell>
          <cell r="L356">
            <v>424.39</v>
          </cell>
          <cell r="M356">
            <v>428.34</v>
          </cell>
          <cell r="N356">
            <v>657.37</v>
          </cell>
          <cell r="O356">
            <v>545.69000000000005</v>
          </cell>
          <cell r="P356">
            <v>433.37</v>
          </cell>
          <cell r="Q356">
            <v>4844.0800000000008</v>
          </cell>
        </row>
        <row r="357">
          <cell r="A357">
            <v>56116</v>
          </cell>
          <cell r="B357" t="str">
            <v>Union Benefit Expense</v>
          </cell>
          <cell r="E357">
            <v>0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</row>
        <row r="358">
          <cell r="A358">
            <v>56117</v>
          </cell>
          <cell r="B358" t="str">
            <v>Union Pension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</row>
        <row r="359">
          <cell r="A359">
            <v>56125</v>
          </cell>
          <cell r="B359" t="str">
            <v>Operating Supplies</v>
          </cell>
          <cell r="E359">
            <v>391.66</v>
          </cell>
          <cell r="F359">
            <v>526.79999999999995</v>
          </cell>
          <cell r="G359">
            <v>580.32000000000005</v>
          </cell>
          <cell r="H359">
            <v>1039.98</v>
          </cell>
          <cell r="I359">
            <v>-623.28</v>
          </cell>
          <cell r="J359">
            <v>102.55</v>
          </cell>
          <cell r="K359">
            <v>582.14</v>
          </cell>
          <cell r="L359">
            <v>366.9</v>
          </cell>
          <cell r="M359">
            <v>350.1</v>
          </cell>
          <cell r="N359">
            <v>0</v>
          </cell>
          <cell r="O359">
            <v>255.27</v>
          </cell>
          <cell r="P359">
            <v>127.61</v>
          </cell>
          <cell r="Q359">
            <v>3700.05</v>
          </cell>
        </row>
        <row r="360">
          <cell r="A360">
            <v>56140</v>
          </cell>
          <cell r="B360" t="str">
            <v>Tires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</row>
        <row r="361">
          <cell r="A361">
            <v>56142</v>
          </cell>
          <cell r="B361" t="str">
            <v>Fuel Expense</v>
          </cell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</row>
        <row r="362">
          <cell r="A362">
            <v>56148</v>
          </cell>
          <cell r="B362" t="str">
            <v>Allocated Exp In - District</v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</row>
        <row r="363">
          <cell r="A363">
            <v>56149</v>
          </cell>
          <cell r="B363" t="str">
            <v>Allocated Exp In Out - District</v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</row>
        <row r="364">
          <cell r="A364">
            <v>56165</v>
          </cell>
          <cell r="B364" t="str">
            <v>Communications</v>
          </cell>
          <cell r="E364">
            <v>1519.45</v>
          </cell>
          <cell r="F364">
            <v>1450.07</v>
          </cell>
          <cell r="G364">
            <v>1554.65</v>
          </cell>
          <cell r="H364">
            <v>4434.3500000000004</v>
          </cell>
          <cell r="I364">
            <v>-1597.73</v>
          </cell>
          <cell r="J364">
            <v>1513.67</v>
          </cell>
          <cell r="K364">
            <v>1505.33</v>
          </cell>
          <cell r="L364">
            <v>5156.7</v>
          </cell>
          <cell r="M364">
            <v>1422.01</v>
          </cell>
          <cell r="N364">
            <v>1404.71</v>
          </cell>
          <cell r="O364">
            <v>4969.07</v>
          </cell>
          <cell r="P364">
            <v>2885.81</v>
          </cell>
          <cell r="Q364">
            <v>26218.09</v>
          </cell>
        </row>
        <row r="365">
          <cell r="A365">
            <v>56200</v>
          </cell>
          <cell r="B365" t="str">
            <v>Travel</v>
          </cell>
          <cell r="E365">
            <v>0</v>
          </cell>
          <cell r="F365">
            <v>23</v>
          </cell>
          <cell r="G365">
            <v>32.75</v>
          </cell>
          <cell r="H365">
            <v>17.62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14.84</v>
          </cell>
          <cell r="O365">
            <v>-12.97</v>
          </cell>
          <cell r="P365">
            <v>0</v>
          </cell>
          <cell r="Q365">
            <v>75.240000000000009</v>
          </cell>
        </row>
        <row r="366">
          <cell r="A366">
            <v>56201</v>
          </cell>
          <cell r="B366" t="str">
            <v>Meal and Entertainment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34.36</v>
          </cell>
          <cell r="K366">
            <v>0</v>
          </cell>
          <cell r="L366">
            <v>0</v>
          </cell>
          <cell r="M366">
            <v>0</v>
          </cell>
          <cell r="N366">
            <v>348.63</v>
          </cell>
          <cell r="O366">
            <v>-333.79</v>
          </cell>
          <cell r="P366">
            <v>0</v>
          </cell>
          <cell r="Q366">
            <v>49.199999999999989</v>
          </cell>
        </row>
        <row r="367">
          <cell r="A367">
            <v>56210</v>
          </cell>
          <cell r="B367" t="str">
            <v>Office Supply and Equip</v>
          </cell>
          <cell r="E367">
            <v>302.63</v>
          </cell>
          <cell r="F367">
            <v>422.29</v>
          </cell>
          <cell r="G367">
            <v>391.69</v>
          </cell>
          <cell r="H367">
            <v>179.55</v>
          </cell>
          <cell r="I367">
            <v>722.74</v>
          </cell>
          <cell r="J367">
            <v>352.24</v>
          </cell>
          <cell r="K367">
            <v>0</v>
          </cell>
          <cell r="L367">
            <v>741.46</v>
          </cell>
          <cell r="M367">
            <v>364.82</v>
          </cell>
          <cell r="N367">
            <v>0</v>
          </cell>
          <cell r="O367">
            <v>886.4</v>
          </cell>
          <cell r="P367">
            <v>0</v>
          </cell>
          <cell r="Q367">
            <v>4363.8200000000006</v>
          </cell>
        </row>
        <row r="368">
          <cell r="A368">
            <v>56335</v>
          </cell>
          <cell r="B368" t="str">
            <v>Miscellaneous</v>
          </cell>
          <cell r="E368">
            <v>0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</row>
        <row r="369">
          <cell r="A369">
            <v>56998</v>
          </cell>
          <cell r="B369" t="str">
            <v>Allocation Out - District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</row>
        <row r="370">
          <cell r="A370">
            <v>56999</v>
          </cell>
          <cell r="B370" t="str">
            <v>Allocation Out - Out District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</row>
        <row r="371">
          <cell r="A371" t="str">
            <v>Total Supervisor</v>
          </cell>
          <cell r="E371">
            <v>37720.86</v>
          </cell>
          <cell r="F371">
            <v>33743.800000000003</v>
          </cell>
          <cell r="G371">
            <v>39084.410000000011</v>
          </cell>
          <cell r="H371">
            <v>42015.490000000013</v>
          </cell>
          <cell r="I371">
            <v>34490.759999999995</v>
          </cell>
          <cell r="J371">
            <v>38693.26999999999</v>
          </cell>
          <cell r="K371">
            <v>32262.889999999992</v>
          </cell>
          <cell r="L371">
            <v>38705.899999999994</v>
          </cell>
          <cell r="M371">
            <v>37358.249999999993</v>
          </cell>
          <cell r="N371">
            <v>35213.239999999991</v>
          </cell>
          <cell r="O371">
            <v>42122.020000000004</v>
          </cell>
          <cell r="P371">
            <v>40448.14</v>
          </cell>
          <cell r="Q371">
            <v>451859.03</v>
          </cell>
        </row>
        <row r="373">
          <cell r="A373" t="str">
            <v>Other Operating Expense</v>
          </cell>
        </row>
        <row r="374">
          <cell r="A374">
            <v>46020</v>
          </cell>
          <cell r="B374" t="str">
            <v>Post Closure Amortization</v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</row>
        <row r="375">
          <cell r="A375">
            <v>57051</v>
          </cell>
          <cell r="B375" t="str">
            <v>AA Premiums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</row>
        <row r="376">
          <cell r="A376">
            <v>57125</v>
          </cell>
          <cell r="B376" t="str">
            <v>Operating Supplies</v>
          </cell>
          <cell r="E376">
            <v>0</v>
          </cell>
          <cell r="F376">
            <v>0</v>
          </cell>
          <cell r="G376">
            <v>0</v>
          </cell>
          <cell r="H376">
            <v>142.55000000000001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1177.5899999999999</v>
          </cell>
          <cell r="O376">
            <v>-1102.77</v>
          </cell>
          <cell r="P376">
            <v>0</v>
          </cell>
          <cell r="Q376">
            <v>217.36999999999989</v>
          </cell>
        </row>
        <row r="377">
          <cell r="A377">
            <v>57147</v>
          </cell>
          <cell r="B377" t="str">
            <v>Bldg &amp; Property</v>
          </cell>
          <cell r="E377">
            <v>5273.81</v>
          </cell>
          <cell r="F377">
            <v>1312.43</v>
          </cell>
          <cell r="G377">
            <v>1899.21</v>
          </cell>
          <cell r="H377">
            <v>1309.79</v>
          </cell>
          <cell r="I377">
            <v>1872.61</v>
          </cell>
          <cell r="J377">
            <v>1128</v>
          </cell>
          <cell r="K377">
            <v>1740.26</v>
          </cell>
          <cell r="L377">
            <v>3083.68</v>
          </cell>
          <cell r="M377">
            <v>2114.81</v>
          </cell>
          <cell r="N377">
            <v>1811.92</v>
          </cell>
          <cell r="O377">
            <v>3002.6</v>
          </cell>
          <cell r="P377">
            <v>2169.63</v>
          </cell>
          <cell r="Q377">
            <v>26718.750000000004</v>
          </cell>
        </row>
        <row r="378">
          <cell r="A378">
            <v>57148</v>
          </cell>
          <cell r="B378" t="str">
            <v>Allocated In - District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</row>
        <row r="379">
          <cell r="A379">
            <v>57149</v>
          </cell>
          <cell r="B379" t="str">
            <v>Allocated In - Out District</v>
          </cell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</row>
        <row r="380">
          <cell r="A380">
            <v>57150</v>
          </cell>
          <cell r="B380" t="str">
            <v>Utilities</v>
          </cell>
          <cell r="E380">
            <v>461.43</v>
          </cell>
          <cell r="F380">
            <v>96.57</v>
          </cell>
          <cell r="G380">
            <v>117.6</v>
          </cell>
          <cell r="H380">
            <v>83.43</v>
          </cell>
          <cell r="I380">
            <v>90.9</v>
          </cell>
          <cell r="J380">
            <v>57.15</v>
          </cell>
          <cell r="K380">
            <v>89.42</v>
          </cell>
          <cell r="L380">
            <v>52.59</v>
          </cell>
          <cell r="M380">
            <v>307.08</v>
          </cell>
          <cell r="N380">
            <v>59.56</v>
          </cell>
          <cell r="O380">
            <v>541.69000000000005</v>
          </cell>
          <cell r="P380">
            <v>104.21</v>
          </cell>
          <cell r="Q380">
            <v>2061.6299999999997</v>
          </cell>
        </row>
        <row r="381">
          <cell r="A381">
            <v>57165</v>
          </cell>
          <cell r="B381" t="str">
            <v>Communications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</row>
        <row r="382">
          <cell r="A382">
            <v>57166</v>
          </cell>
          <cell r="B382" t="str">
            <v>Leachate Treatment</v>
          </cell>
          <cell r="E382">
            <v>0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</row>
        <row r="383">
          <cell r="A383">
            <v>57170</v>
          </cell>
          <cell r="B383" t="str">
            <v>Real Estate Rentals</v>
          </cell>
          <cell r="E383">
            <v>5891.03</v>
          </cell>
          <cell r="F383">
            <v>6528.62</v>
          </cell>
          <cell r="G383">
            <v>5891.03</v>
          </cell>
          <cell r="H383">
            <v>5800.95</v>
          </cell>
          <cell r="I383">
            <v>5800.95</v>
          </cell>
          <cell r="J383">
            <v>5800.95</v>
          </cell>
          <cell r="K383">
            <v>5800.95</v>
          </cell>
          <cell r="L383">
            <v>5800.95</v>
          </cell>
          <cell r="M383">
            <v>4412</v>
          </cell>
          <cell r="N383">
            <v>4412</v>
          </cell>
          <cell r="O383">
            <v>5800.95</v>
          </cell>
          <cell r="P383">
            <v>13259</v>
          </cell>
          <cell r="Q383">
            <v>75199.37999999999</v>
          </cell>
        </row>
        <row r="384">
          <cell r="A384">
            <v>57175</v>
          </cell>
          <cell r="B384" t="str">
            <v>Equipment Vehicle Rental</v>
          </cell>
          <cell r="E384">
            <v>0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</row>
        <row r="385">
          <cell r="A385">
            <v>57185</v>
          </cell>
          <cell r="B385" t="str">
            <v>Postage</v>
          </cell>
          <cell r="E385">
            <v>0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</row>
        <row r="386">
          <cell r="A386">
            <v>57252</v>
          </cell>
          <cell r="B386" t="str">
            <v>Subcontract Expense</v>
          </cell>
          <cell r="E386">
            <v>0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</row>
        <row r="387">
          <cell r="A387">
            <v>57254</v>
          </cell>
          <cell r="B387" t="str">
            <v>Drive Cam Fees</v>
          </cell>
          <cell r="E387">
            <v>1912.5</v>
          </cell>
          <cell r="F387">
            <v>1912.5</v>
          </cell>
          <cell r="G387">
            <v>1912.5</v>
          </cell>
          <cell r="H387">
            <v>1912.5</v>
          </cell>
          <cell r="I387">
            <v>2520</v>
          </cell>
          <cell r="J387">
            <v>2520</v>
          </cell>
          <cell r="K387">
            <v>2678.73</v>
          </cell>
          <cell r="L387">
            <v>2580.4699999999998</v>
          </cell>
          <cell r="M387">
            <v>2576.33</v>
          </cell>
          <cell r="N387">
            <v>2636.37</v>
          </cell>
          <cell r="O387">
            <v>2511.33</v>
          </cell>
          <cell r="P387">
            <v>2531.54</v>
          </cell>
          <cell r="Q387">
            <v>28204.769999999997</v>
          </cell>
        </row>
        <row r="388">
          <cell r="A388">
            <v>57255</v>
          </cell>
          <cell r="B388" t="str">
            <v>Other Prof Fees</v>
          </cell>
          <cell r="E388">
            <v>0</v>
          </cell>
          <cell r="F388">
            <v>0</v>
          </cell>
          <cell r="G388">
            <v>4.5</v>
          </cell>
          <cell r="H388">
            <v>4.5</v>
          </cell>
          <cell r="I388">
            <v>4.5</v>
          </cell>
          <cell r="J388">
            <v>4.5</v>
          </cell>
          <cell r="K388">
            <v>18</v>
          </cell>
          <cell r="L388">
            <v>4.5</v>
          </cell>
          <cell r="M388">
            <v>4.5</v>
          </cell>
          <cell r="N388">
            <v>4.5</v>
          </cell>
          <cell r="O388">
            <v>4.5</v>
          </cell>
          <cell r="P388">
            <v>0</v>
          </cell>
          <cell r="Q388">
            <v>54</v>
          </cell>
        </row>
        <row r="389">
          <cell r="A389">
            <v>57256</v>
          </cell>
          <cell r="B389" t="str">
            <v>Laboratory Fees</v>
          </cell>
          <cell r="E389">
            <v>0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</row>
        <row r="390">
          <cell r="A390">
            <v>57257</v>
          </cell>
          <cell r="B390" t="str">
            <v>Engineering Fees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18100.03</v>
          </cell>
          <cell r="K390">
            <v>1254.3699999999999</v>
          </cell>
          <cell r="L390">
            <v>1448.12</v>
          </cell>
          <cell r="M390">
            <v>-11585</v>
          </cell>
          <cell r="N390">
            <v>0</v>
          </cell>
          <cell r="O390">
            <v>0</v>
          </cell>
          <cell r="P390">
            <v>0</v>
          </cell>
          <cell r="Q390">
            <v>9217.5199999999968</v>
          </cell>
        </row>
        <row r="391">
          <cell r="A391">
            <v>57275</v>
          </cell>
          <cell r="B391" t="str">
            <v>Property Taxes</v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</row>
        <row r="392">
          <cell r="A392">
            <v>57280</v>
          </cell>
          <cell r="B392" t="str">
            <v>Other Taxes</v>
          </cell>
          <cell r="E392">
            <v>459</v>
          </cell>
          <cell r="F392">
            <v>459</v>
          </cell>
          <cell r="G392">
            <v>459</v>
          </cell>
          <cell r="H392">
            <v>459</v>
          </cell>
          <cell r="I392">
            <v>459</v>
          </cell>
          <cell r="J392">
            <v>459</v>
          </cell>
          <cell r="K392">
            <v>459</v>
          </cell>
          <cell r="L392">
            <v>459</v>
          </cell>
          <cell r="M392">
            <v>459</v>
          </cell>
          <cell r="N392">
            <v>459</v>
          </cell>
          <cell r="O392">
            <v>459</v>
          </cell>
          <cell r="P392">
            <v>459</v>
          </cell>
          <cell r="Q392">
            <v>5508</v>
          </cell>
        </row>
        <row r="393">
          <cell r="A393">
            <v>57324</v>
          </cell>
          <cell r="B393" t="str">
            <v>Penalties and Violations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266.95</v>
          </cell>
          <cell r="O393">
            <v>0</v>
          </cell>
          <cell r="P393">
            <v>631.95000000000005</v>
          </cell>
          <cell r="Q393">
            <v>898.90000000000009</v>
          </cell>
        </row>
        <row r="394">
          <cell r="A394">
            <v>57335</v>
          </cell>
          <cell r="B394" t="str">
            <v>Miscellaneous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</row>
        <row r="395">
          <cell r="A395">
            <v>57345</v>
          </cell>
          <cell r="B395" t="str">
            <v>Secruity Services</v>
          </cell>
          <cell r="E395">
            <v>62.5</v>
          </cell>
          <cell r="F395">
            <v>62.5</v>
          </cell>
          <cell r="G395">
            <v>62.5</v>
          </cell>
          <cell r="H395">
            <v>62.5</v>
          </cell>
          <cell r="I395">
            <v>62.5</v>
          </cell>
          <cell r="J395">
            <v>62.5</v>
          </cell>
          <cell r="K395">
            <v>62.5</v>
          </cell>
          <cell r="L395">
            <v>62.5</v>
          </cell>
          <cell r="M395">
            <v>62.5</v>
          </cell>
          <cell r="N395">
            <v>0</v>
          </cell>
          <cell r="O395">
            <v>125</v>
          </cell>
          <cell r="P395">
            <v>0</v>
          </cell>
          <cell r="Q395">
            <v>687.5</v>
          </cell>
        </row>
        <row r="396">
          <cell r="A396">
            <v>57353</v>
          </cell>
          <cell r="B396" t="str">
            <v>Monitoring and Maint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</row>
        <row r="397">
          <cell r="A397">
            <v>57356</v>
          </cell>
          <cell r="B397" t="str">
            <v>Cover Cost</v>
          </cell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</row>
        <row r="398">
          <cell r="A398">
            <v>57357</v>
          </cell>
          <cell r="B398" t="str">
            <v>Permits</v>
          </cell>
          <cell r="E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15</v>
          </cell>
          <cell r="O398">
            <v>0</v>
          </cell>
          <cell r="P398">
            <v>80</v>
          </cell>
          <cell r="Q398">
            <v>95</v>
          </cell>
        </row>
        <row r="399">
          <cell r="A399">
            <v>57360</v>
          </cell>
          <cell r="B399" t="str">
            <v>Royalties</v>
          </cell>
          <cell r="E399">
            <v>0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</row>
        <row r="400">
          <cell r="A400">
            <v>57370</v>
          </cell>
          <cell r="B400" t="str">
            <v>Bonds Expense</v>
          </cell>
          <cell r="E400">
            <v>79.209999999999994</v>
          </cell>
          <cell r="F400">
            <v>79.209999999999994</v>
          </cell>
          <cell r="G400">
            <v>79.209999999999994</v>
          </cell>
          <cell r="H400">
            <v>129.57</v>
          </cell>
          <cell r="I400">
            <v>342.55</v>
          </cell>
          <cell r="J400">
            <v>129.55000000000001</v>
          </cell>
          <cell r="K400">
            <v>129.55000000000001</v>
          </cell>
          <cell r="L400">
            <v>129.55000000000001</v>
          </cell>
          <cell r="M400">
            <v>129.55000000000001</v>
          </cell>
          <cell r="N400">
            <v>129.55000000000001</v>
          </cell>
          <cell r="O400">
            <v>129.55000000000001</v>
          </cell>
          <cell r="P400">
            <v>39.549999999999997</v>
          </cell>
          <cell r="Q400">
            <v>1526.5999999999997</v>
          </cell>
        </row>
        <row r="401">
          <cell r="A401">
            <v>57900</v>
          </cell>
          <cell r="B401" t="str">
            <v>Capitalized Costs</v>
          </cell>
          <cell r="E401">
            <v>0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</row>
        <row r="402">
          <cell r="A402">
            <v>57998</v>
          </cell>
          <cell r="B402" t="str">
            <v>Allocation Out - District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</row>
        <row r="403">
          <cell r="A403">
            <v>57999</v>
          </cell>
          <cell r="B403" t="str">
            <v>Allocation Out - Out District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</row>
        <row r="404">
          <cell r="A404">
            <v>70265</v>
          </cell>
          <cell r="B404" t="str">
            <v>Amortization of Long Term Contracts</v>
          </cell>
          <cell r="E404">
            <v>0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</row>
        <row r="405">
          <cell r="A405">
            <v>80050</v>
          </cell>
          <cell r="B405" t="str">
            <v>Interest Expense Closure/Post Closure</v>
          </cell>
          <cell r="E405">
            <v>0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</row>
        <row r="406">
          <cell r="A406" t="str">
            <v>Total Other Operating Expense</v>
          </cell>
          <cell r="E406">
            <v>14139.48</v>
          </cell>
          <cell r="F406">
            <v>10450.829999999998</v>
          </cell>
          <cell r="G406">
            <v>10425.549999999999</v>
          </cell>
          <cell r="H406">
            <v>9904.7899999999991</v>
          </cell>
          <cell r="I406">
            <v>11153.009999999998</v>
          </cell>
          <cell r="J406">
            <v>28261.679999999997</v>
          </cell>
          <cell r="K406">
            <v>12232.779999999999</v>
          </cell>
          <cell r="L406">
            <v>13621.359999999997</v>
          </cell>
          <cell r="M406">
            <v>-1519.2300000000007</v>
          </cell>
          <cell r="N406">
            <v>10972.439999999999</v>
          </cell>
          <cell r="O406">
            <v>11471.849999999999</v>
          </cell>
          <cell r="P406">
            <v>19274.88</v>
          </cell>
          <cell r="Q406">
            <v>150389.41999999998</v>
          </cell>
        </row>
        <row r="408">
          <cell r="A408" t="str">
            <v>Insurance</v>
          </cell>
        </row>
        <row r="409">
          <cell r="A409">
            <v>59148</v>
          </cell>
          <cell r="B409" t="str">
            <v>Allocation In - District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</row>
        <row r="410">
          <cell r="A410">
            <v>59149</v>
          </cell>
          <cell r="B410" t="str">
            <v>Allocation In - Out District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</row>
        <row r="411">
          <cell r="A411">
            <v>59271</v>
          </cell>
          <cell r="B411" t="str">
            <v>Property and Liability Insurance</v>
          </cell>
          <cell r="E411">
            <v>0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</row>
        <row r="412">
          <cell r="A412">
            <v>59326</v>
          </cell>
          <cell r="B412" t="str">
            <v>Deductible - Current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</row>
        <row r="413">
          <cell r="A413">
            <v>59327</v>
          </cell>
          <cell r="B413" t="str">
            <v>Deductible - Damage</v>
          </cell>
          <cell r="E413">
            <v>0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</row>
        <row r="414">
          <cell r="A414">
            <v>59328</v>
          </cell>
          <cell r="B414" t="str">
            <v>Claim Recoveries</v>
          </cell>
          <cell r="E414">
            <v>0</v>
          </cell>
          <cell r="F414">
            <v>0</v>
          </cell>
          <cell r="G414">
            <v>-2328.46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-2328.46</v>
          </cell>
        </row>
        <row r="415">
          <cell r="A415">
            <v>59330</v>
          </cell>
          <cell r="B415" t="str">
            <v>Deduct - Prior Year</v>
          </cell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</row>
        <row r="416">
          <cell r="A416">
            <v>59331</v>
          </cell>
          <cell r="B416" t="str">
            <v>RM Fixed Costs</v>
          </cell>
          <cell r="E416">
            <v>0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</row>
        <row r="417">
          <cell r="A417">
            <v>59340</v>
          </cell>
          <cell r="B417" t="str">
            <v>Self Insurance Premium</v>
          </cell>
          <cell r="E417">
            <v>6884.94</v>
          </cell>
          <cell r="F417">
            <v>6884.94</v>
          </cell>
          <cell r="G417">
            <v>6884.94</v>
          </cell>
          <cell r="H417">
            <v>6884.94</v>
          </cell>
          <cell r="I417">
            <v>6884.94</v>
          </cell>
          <cell r="J417">
            <v>6884.94</v>
          </cell>
          <cell r="K417">
            <v>6884.94</v>
          </cell>
          <cell r="L417">
            <v>6884.94</v>
          </cell>
          <cell r="M417">
            <v>6884.94</v>
          </cell>
          <cell r="N417">
            <v>6884.94</v>
          </cell>
          <cell r="O417">
            <v>6884.94</v>
          </cell>
          <cell r="P417">
            <v>6884.94</v>
          </cell>
          <cell r="Q417">
            <v>82619.280000000013</v>
          </cell>
        </row>
        <row r="418">
          <cell r="A418">
            <v>59341</v>
          </cell>
          <cell r="B418" t="str">
            <v>A&amp;L - Current Year Claims</v>
          </cell>
          <cell r="E418">
            <v>0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2600</v>
          </cell>
          <cell r="Q418">
            <v>2600</v>
          </cell>
        </row>
        <row r="419">
          <cell r="A419">
            <v>59342</v>
          </cell>
          <cell r="B419" t="str">
            <v>A&amp;L - Prior Year Claims</v>
          </cell>
          <cell r="E419">
            <v>0</v>
          </cell>
          <cell r="F419">
            <v>0</v>
          </cell>
          <cell r="G419">
            <v>0</v>
          </cell>
          <cell r="H419">
            <v>0</v>
          </cell>
          <cell r="I419">
            <v>0.3</v>
          </cell>
          <cell r="J419">
            <v>-0.15</v>
          </cell>
          <cell r="K419">
            <v>1577.07</v>
          </cell>
          <cell r="L419">
            <v>0.05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1577.27</v>
          </cell>
        </row>
        <row r="420">
          <cell r="A420">
            <v>59343</v>
          </cell>
          <cell r="B420" t="str">
            <v>WC - Current Year Claims</v>
          </cell>
          <cell r="E420">
            <v>53330.6</v>
          </cell>
          <cell r="F420">
            <v>13301</v>
          </cell>
          <cell r="G420">
            <v>13532.93</v>
          </cell>
          <cell r="H420">
            <v>-35945.980000000003</v>
          </cell>
          <cell r="I420">
            <v>151.47999999999999</v>
          </cell>
          <cell r="J420">
            <v>0</v>
          </cell>
          <cell r="K420">
            <v>-5630.29</v>
          </cell>
          <cell r="L420">
            <v>19.420000000000002</v>
          </cell>
          <cell r="M420">
            <v>28.64</v>
          </cell>
          <cell r="N420">
            <v>6955.88</v>
          </cell>
          <cell r="O420">
            <v>11900</v>
          </cell>
          <cell r="P420">
            <v>2180.23</v>
          </cell>
          <cell r="Q420">
            <v>59823.909999999996</v>
          </cell>
        </row>
        <row r="421">
          <cell r="A421">
            <v>59344</v>
          </cell>
          <cell r="B421" t="str">
            <v>WC - Prior Year Claims</v>
          </cell>
          <cell r="E421">
            <v>0</v>
          </cell>
          <cell r="F421">
            <v>0</v>
          </cell>
          <cell r="G421">
            <v>0</v>
          </cell>
          <cell r="H421">
            <v>66006.16</v>
          </cell>
          <cell r="I421">
            <v>2800</v>
          </cell>
          <cell r="J421">
            <v>-3742.81</v>
          </cell>
          <cell r="K421">
            <v>36406.36</v>
          </cell>
          <cell r="L421">
            <v>0</v>
          </cell>
          <cell r="M421">
            <v>28.28</v>
          </cell>
          <cell r="N421">
            <v>4000</v>
          </cell>
          <cell r="O421">
            <v>-547</v>
          </cell>
          <cell r="P421">
            <v>12729.61</v>
          </cell>
          <cell r="Q421">
            <v>117680.6</v>
          </cell>
        </row>
        <row r="422">
          <cell r="A422">
            <v>59350</v>
          </cell>
          <cell r="B422" t="str">
            <v>Self Isurance IBNR Estimates</v>
          </cell>
          <cell r="E422">
            <v>0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</row>
        <row r="423">
          <cell r="A423">
            <v>59400</v>
          </cell>
          <cell r="B423" t="str">
            <v>Damages paid by District</v>
          </cell>
          <cell r="E423">
            <v>-3539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2099.67</v>
          </cell>
          <cell r="Q423">
            <v>-1439.33</v>
          </cell>
        </row>
        <row r="424">
          <cell r="A424">
            <v>59401</v>
          </cell>
          <cell r="B424" t="str">
            <v>Insurance claim repairs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</row>
        <row r="425">
          <cell r="A425">
            <v>59500</v>
          </cell>
          <cell r="B425" t="str">
            <v>Workers Comp Prem</v>
          </cell>
          <cell r="E425">
            <v>1104</v>
          </cell>
          <cell r="F425">
            <v>4000</v>
          </cell>
          <cell r="G425">
            <v>4000</v>
          </cell>
          <cell r="H425">
            <v>2000</v>
          </cell>
          <cell r="I425">
            <v>1000</v>
          </cell>
          <cell r="J425">
            <v>2000</v>
          </cell>
          <cell r="K425">
            <v>2000</v>
          </cell>
          <cell r="L425">
            <v>2000</v>
          </cell>
          <cell r="M425">
            <v>3000</v>
          </cell>
          <cell r="N425">
            <v>3000</v>
          </cell>
          <cell r="O425">
            <v>3000</v>
          </cell>
          <cell r="P425">
            <v>0</v>
          </cell>
          <cell r="Q425">
            <v>27104</v>
          </cell>
        </row>
        <row r="426">
          <cell r="A426">
            <v>59998</v>
          </cell>
          <cell r="B426" t="str">
            <v>Allocation Out - District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</row>
        <row r="427">
          <cell r="A427">
            <v>59999</v>
          </cell>
          <cell r="B427" t="str">
            <v>Allocation Out - Out District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</row>
        <row r="428">
          <cell r="A428" t="str">
            <v>Total Insurance</v>
          </cell>
          <cell r="E428">
            <v>57780.54</v>
          </cell>
          <cell r="F428">
            <v>24185.94</v>
          </cell>
          <cell r="G428">
            <v>22089.41</v>
          </cell>
          <cell r="H428">
            <v>38945.119999999995</v>
          </cell>
          <cell r="I428">
            <v>10836.72</v>
          </cell>
          <cell r="J428">
            <v>5141.9799999999996</v>
          </cell>
          <cell r="K428">
            <v>41238.080000000002</v>
          </cell>
          <cell r="L428">
            <v>8904.41</v>
          </cell>
          <cell r="M428">
            <v>9941.86</v>
          </cell>
          <cell r="N428">
            <v>20840.82</v>
          </cell>
          <cell r="O428">
            <v>21237.94</v>
          </cell>
          <cell r="P428">
            <v>26494.449999999997</v>
          </cell>
          <cell r="Q428">
            <v>287637.27</v>
          </cell>
        </row>
        <row r="430">
          <cell r="A430" t="str">
            <v>Disposal of Assets and Operations</v>
          </cell>
        </row>
        <row r="431">
          <cell r="A431">
            <v>72000</v>
          </cell>
          <cell r="B431" t="str">
            <v>Gain/Loss on Disposal of Operations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</row>
        <row r="432">
          <cell r="A432">
            <v>91010</v>
          </cell>
          <cell r="B432" t="str">
            <v>Gain/Loss on Sale of Asset</v>
          </cell>
          <cell r="E432">
            <v>0</v>
          </cell>
          <cell r="F432">
            <v>0</v>
          </cell>
          <cell r="G432">
            <v>0</v>
          </cell>
          <cell r="H432">
            <v>145.82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145.82</v>
          </cell>
        </row>
        <row r="433">
          <cell r="A433" t="str">
            <v>Total Disposal of Assets and Operations</v>
          </cell>
          <cell r="E433">
            <v>0</v>
          </cell>
          <cell r="F433">
            <v>0</v>
          </cell>
          <cell r="G433">
            <v>0</v>
          </cell>
          <cell r="H433">
            <v>145.82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145.82</v>
          </cell>
        </row>
        <row r="435">
          <cell r="A435" t="str">
            <v>Total Operating Costs</v>
          </cell>
          <cell r="E435">
            <v>556322.18999999994</v>
          </cell>
          <cell r="F435">
            <v>483088.13</v>
          </cell>
          <cell r="G435">
            <v>533902.79</v>
          </cell>
          <cell r="H435">
            <v>564081.47</v>
          </cell>
          <cell r="I435">
            <v>483474.26</v>
          </cell>
          <cell r="J435">
            <v>500744.69999999995</v>
          </cell>
          <cell r="K435">
            <v>514379.49999999994</v>
          </cell>
          <cell r="L435">
            <v>499533.73</v>
          </cell>
          <cell r="M435">
            <v>480587.02</v>
          </cell>
          <cell r="N435">
            <v>468427.15999999992</v>
          </cell>
          <cell r="O435">
            <v>510740</v>
          </cell>
          <cell r="P435">
            <v>507649</v>
          </cell>
          <cell r="Q435">
            <v>6102929.9500000002</v>
          </cell>
        </row>
        <row r="437">
          <cell r="A437" t="str">
            <v>Gross Profit</v>
          </cell>
          <cell r="E437">
            <v>283635.74000000011</v>
          </cell>
          <cell r="F437">
            <v>397011.87</v>
          </cell>
          <cell r="G437">
            <v>293409.25999999989</v>
          </cell>
          <cell r="H437">
            <v>295183.43000000005</v>
          </cell>
          <cell r="I437">
            <v>372092.71999999974</v>
          </cell>
          <cell r="J437">
            <v>350748.59000000008</v>
          </cell>
          <cell r="K437">
            <v>347516.12000000005</v>
          </cell>
          <cell r="L437">
            <v>388020.01</v>
          </cell>
          <cell r="M437">
            <v>377828.52</v>
          </cell>
          <cell r="N437">
            <v>382225.52999999991</v>
          </cell>
          <cell r="O437">
            <v>311431.2100000002</v>
          </cell>
          <cell r="P437">
            <v>306754.91999999981</v>
          </cell>
          <cell r="Q437">
            <v>4105857.9199999953</v>
          </cell>
        </row>
        <row r="439">
          <cell r="A439" t="str">
            <v>SG&amp;A</v>
          </cell>
        </row>
        <row r="440">
          <cell r="A440" t="str">
            <v>Sales</v>
          </cell>
        </row>
        <row r="441">
          <cell r="A441">
            <v>60010</v>
          </cell>
          <cell r="B441" t="str">
            <v>Salaries</v>
          </cell>
          <cell r="E441">
            <v>0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</row>
        <row r="442">
          <cell r="A442">
            <v>60020</v>
          </cell>
          <cell r="B442" t="str">
            <v>Wages Regular</v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</row>
        <row r="443">
          <cell r="A443">
            <v>60025</v>
          </cell>
          <cell r="B443" t="str">
            <v>Wages O.T.</v>
          </cell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</row>
        <row r="444">
          <cell r="A444">
            <v>60030</v>
          </cell>
          <cell r="B444" t="str">
            <v>Bonuses and Commissions</v>
          </cell>
          <cell r="E444">
            <v>0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</row>
        <row r="445">
          <cell r="A445">
            <v>60035</v>
          </cell>
          <cell r="B445" t="str">
            <v>Safety Bonuses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</row>
        <row r="446">
          <cell r="A446">
            <v>60037</v>
          </cell>
          <cell r="B446" t="str">
            <v>Termination Pay</v>
          </cell>
          <cell r="E446">
            <v>0</v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  <cell r="Q446">
            <v>0</v>
          </cell>
        </row>
        <row r="447">
          <cell r="A447">
            <v>60045</v>
          </cell>
          <cell r="B447" t="str">
            <v>Contract Labor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</row>
        <row r="448">
          <cell r="A448">
            <v>60050</v>
          </cell>
          <cell r="B448" t="str">
            <v>Payroll Taxes</v>
          </cell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</row>
        <row r="449">
          <cell r="A449">
            <v>60060</v>
          </cell>
          <cell r="B449" t="str">
            <v>Group Insurance</v>
          </cell>
          <cell r="E449">
            <v>0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</row>
        <row r="450">
          <cell r="A450">
            <v>60065</v>
          </cell>
          <cell r="B450" t="str">
            <v>Vacation Pay</v>
          </cell>
          <cell r="E450">
            <v>0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</row>
        <row r="451">
          <cell r="A451">
            <v>60070</v>
          </cell>
          <cell r="B451" t="str">
            <v>Sick Pay</v>
          </cell>
          <cell r="E451">
            <v>0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</row>
        <row r="452">
          <cell r="A452">
            <v>60086</v>
          </cell>
          <cell r="B452" t="str">
            <v>Safety and Training</v>
          </cell>
          <cell r="E452">
            <v>0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</row>
        <row r="453">
          <cell r="A453">
            <v>60095</v>
          </cell>
          <cell r="B453" t="str">
            <v>Empl &amp; Commun Activ</v>
          </cell>
          <cell r="E453">
            <v>0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</row>
        <row r="454">
          <cell r="A454">
            <v>60105</v>
          </cell>
          <cell r="B454" t="str">
            <v>Employee Relocation</v>
          </cell>
          <cell r="E454">
            <v>0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</row>
        <row r="455">
          <cell r="A455">
            <v>60115</v>
          </cell>
          <cell r="B455" t="str">
            <v>School Tuition</v>
          </cell>
          <cell r="E455">
            <v>0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</row>
        <row r="456">
          <cell r="A456">
            <v>60116</v>
          </cell>
          <cell r="B456" t="str">
            <v>Pension and Profit Sharing</v>
          </cell>
          <cell r="E456">
            <v>0</v>
          </cell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</row>
        <row r="457">
          <cell r="A457">
            <v>60117</v>
          </cell>
          <cell r="B457" t="str">
            <v>Union Pension</v>
          </cell>
          <cell r="E457">
            <v>0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</row>
        <row r="458">
          <cell r="A458">
            <v>60148</v>
          </cell>
          <cell r="B458" t="str">
            <v>Allocated Exp In - District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</row>
        <row r="459">
          <cell r="A459">
            <v>60149</v>
          </cell>
          <cell r="B459" t="str">
            <v>Allocated Exp In Out - District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</row>
        <row r="460">
          <cell r="A460">
            <v>60165</v>
          </cell>
          <cell r="B460" t="str">
            <v>Communications</v>
          </cell>
          <cell r="E460">
            <v>0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</row>
        <row r="461">
          <cell r="A461">
            <v>60170</v>
          </cell>
          <cell r="B461" t="str">
            <v>Real Estate Rentals</v>
          </cell>
          <cell r="E461">
            <v>0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</row>
        <row r="462">
          <cell r="A462">
            <v>60175</v>
          </cell>
          <cell r="B462" t="str">
            <v>Equip/Vehicle Rental</v>
          </cell>
          <cell r="E462">
            <v>0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</row>
        <row r="463">
          <cell r="A463">
            <v>60185</v>
          </cell>
          <cell r="B463" t="str">
            <v>Postage</v>
          </cell>
          <cell r="E463">
            <v>0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</row>
        <row r="464">
          <cell r="A464">
            <v>60195</v>
          </cell>
          <cell r="B464" t="str">
            <v>Dues and Subscriptions</v>
          </cell>
          <cell r="E464">
            <v>0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</row>
        <row r="465">
          <cell r="A465">
            <v>60196</v>
          </cell>
          <cell r="B465" t="str">
            <v>Club Dues</v>
          </cell>
          <cell r="E465">
            <v>0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</row>
        <row r="466">
          <cell r="A466">
            <v>60200</v>
          </cell>
          <cell r="B466" t="str">
            <v>Travel</v>
          </cell>
          <cell r="E466">
            <v>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</row>
        <row r="467">
          <cell r="A467">
            <v>60201</v>
          </cell>
          <cell r="B467" t="str">
            <v>Entertainment</v>
          </cell>
          <cell r="E467">
            <v>0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</row>
        <row r="468">
          <cell r="A468">
            <v>60205</v>
          </cell>
          <cell r="B468" t="str">
            <v>Travel - Auto</v>
          </cell>
          <cell r="E468">
            <v>0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</row>
        <row r="469">
          <cell r="A469">
            <v>60210</v>
          </cell>
          <cell r="B469" t="str">
            <v>Office Supplies and Equip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</row>
        <row r="470">
          <cell r="A470">
            <v>60225</v>
          </cell>
          <cell r="B470" t="str">
            <v>Advertising and Promotions</v>
          </cell>
          <cell r="E470">
            <v>0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3237.6</v>
          </cell>
          <cell r="Q470">
            <v>3237.6</v>
          </cell>
        </row>
        <row r="471">
          <cell r="A471">
            <v>60234</v>
          </cell>
          <cell r="B471" t="str">
            <v>O/S Sales Exp</v>
          </cell>
          <cell r="E471">
            <v>0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</row>
        <row r="472">
          <cell r="A472">
            <v>60255</v>
          </cell>
          <cell r="B472" t="str">
            <v>Other Prof Fees</v>
          </cell>
          <cell r="E472">
            <v>0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</row>
        <row r="473">
          <cell r="A473">
            <v>60326</v>
          </cell>
          <cell r="B473" t="str">
            <v>Deduct - Current Yr</v>
          </cell>
          <cell r="E473">
            <v>0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</row>
        <row r="474">
          <cell r="A474">
            <v>60327</v>
          </cell>
          <cell r="B474" t="str">
            <v>Deduct - Damage</v>
          </cell>
          <cell r="E474">
            <v>0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</row>
        <row r="475">
          <cell r="A475">
            <v>60328</v>
          </cell>
          <cell r="B475" t="str">
            <v>Claim Recoveries</v>
          </cell>
          <cell r="E475">
            <v>0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</row>
        <row r="476">
          <cell r="A476">
            <v>60330</v>
          </cell>
          <cell r="B476" t="str">
            <v>Deduct Prior Year</v>
          </cell>
          <cell r="E476">
            <v>0</v>
          </cell>
          <cell r="F476">
            <v>0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</row>
        <row r="477">
          <cell r="A477">
            <v>60335</v>
          </cell>
          <cell r="B477" t="str">
            <v>Miscellaneous</v>
          </cell>
          <cell r="E477">
            <v>0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</row>
        <row r="478">
          <cell r="A478">
            <v>60998</v>
          </cell>
          <cell r="B478" t="str">
            <v>Allocation Out - District</v>
          </cell>
          <cell r="E478">
            <v>0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</row>
        <row r="479">
          <cell r="A479">
            <v>60999</v>
          </cell>
          <cell r="B479" t="str">
            <v>Allocation Out - Out District</v>
          </cell>
          <cell r="E479">
            <v>0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</row>
        <row r="480">
          <cell r="A480" t="str">
            <v>Total Sales</v>
          </cell>
          <cell r="E480">
            <v>0</v>
          </cell>
          <cell r="F480">
            <v>0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3237.6</v>
          </cell>
          <cell r="Q480">
            <v>3237.6</v>
          </cell>
        </row>
        <row r="482">
          <cell r="A482" t="str">
            <v>G&amp;A</v>
          </cell>
        </row>
        <row r="483">
          <cell r="A483">
            <v>70010</v>
          </cell>
          <cell r="B483" t="str">
            <v>Salaries</v>
          </cell>
          <cell r="E483">
            <v>28808.37</v>
          </cell>
          <cell r="F483">
            <v>29237.93</v>
          </cell>
          <cell r="G483">
            <v>34055.660000000003</v>
          </cell>
          <cell r="H483">
            <v>32303.54</v>
          </cell>
          <cell r="I483">
            <v>32394.99</v>
          </cell>
          <cell r="J483">
            <v>34374</v>
          </cell>
          <cell r="K483">
            <v>35547.46</v>
          </cell>
          <cell r="L483">
            <v>34794.910000000003</v>
          </cell>
          <cell r="M483">
            <v>35448.120000000003</v>
          </cell>
          <cell r="N483">
            <v>34195.99</v>
          </cell>
          <cell r="O483">
            <v>35269.089999999997</v>
          </cell>
          <cell r="P483">
            <v>37099.64</v>
          </cell>
          <cell r="Q483">
            <v>403529.69999999995</v>
          </cell>
        </row>
        <row r="484">
          <cell r="A484">
            <v>70015</v>
          </cell>
          <cell r="B484" t="str">
            <v>Deferred Comp Earnings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</row>
        <row r="485">
          <cell r="A485">
            <v>70020</v>
          </cell>
          <cell r="B485" t="str">
            <v>Wages Regular</v>
          </cell>
          <cell r="E485">
            <v>28572.240000000002</v>
          </cell>
          <cell r="F485">
            <v>30096.06</v>
          </cell>
          <cell r="G485">
            <v>32883.68</v>
          </cell>
          <cell r="H485">
            <v>33553.279999999999</v>
          </cell>
          <cell r="I485">
            <v>27323.32</v>
          </cell>
          <cell r="J485">
            <v>31281.360000000001</v>
          </cell>
          <cell r="K485">
            <v>28636.82</v>
          </cell>
          <cell r="L485">
            <v>32591.07</v>
          </cell>
          <cell r="M485">
            <v>25152.99</v>
          </cell>
          <cell r="N485">
            <v>26476.49</v>
          </cell>
          <cell r="O485">
            <v>29556.5</v>
          </cell>
          <cell r="P485">
            <v>26409.97</v>
          </cell>
          <cell r="Q485">
            <v>352533.78</v>
          </cell>
        </row>
        <row r="486">
          <cell r="A486">
            <v>70025</v>
          </cell>
          <cell r="B486" t="str">
            <v>Wages O.T.</v>
          </cell>
          <cell r="E486">
            <v>1534.05</v>
          </cell>
          <cell r="F486">
            <v>1546.14</v>
          </cell>
          <cell r="G486">
            <v>1142.1400000000001</v>
          </cell>
          <cell r="H486">
            <v>1991.39</v>
          </cell>
          <cell r="I486">
            <v>1423.14</v>
          </cell>
          <cell r="J486">
            <v>1581.5</v>
          </cell>
          <cell r="K486">
            <v>577.54</v>
          </cell>
          <cell r="L486">
            <v>3583.2</v>
          </cell>
          <cell r="M486">
            <v>1079.97</v>
          </cell>
          <cell r="N486">
            <v>1516.27</v>
          </cell>
          <cell r="O486">
            <v>2000.96</v>
          </cell>
          <cell r="P486">
            <v>1477.46</v>
          </cell>
          <cell r="Q486">
            <v>19453.760000000002</v>
          </cell>
        </row>
        <row r="487">
          <cell r="A487">
            <v>70030</v>
          </cell>
          <cell r="B487" t="str">
            <v>Corp Allocated Bonus</v>
          </cell>
          <cell r="E487">
            <v>0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</row>
        <row r="488">
          <cell r="A488">
            <v>70035</v>
          </cell>
          <cell r="B488" t="str">
            <v>Safety Bonuses</v>
          </cell>
          <cell r="E488">
            <v>0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</row>
        <row r="489">
          <cell r="A489">
            <v>70036</v>
          </cell>
          <cell r="B489" t="str">
            <v>Other Bonus/Commission - Non-Safety</v>
          </cell>
          <cell r="E489">
            <v>1075</v>
          </cell>
          <cell r="F489">
            <v>1675</v>
          </cell>
          <cell r="G489">
            <v>7455.5</v>
          </cell>
          <cell r="H489">
            <v>3066.38</v>
          </cell>
          <cell r="I489">
            <v>1438.95</v>
          </cell>
          <cell r="J489">
            <v>3016.36</v>
          </cell>
          <cell r="K489">
            <v>2625</v>
          </cell>
          <cell r="L489">
            <v>2678.43</v>
          </cell>
          <cell r="M489">
            <v>2913.79</v>
          </cell>
          <cell r="N489">
            <v>1746.4</v>
          </cell>
          <cell r="O489">
            <v>2652.32</v>
          </cell>
          <cell r="P489">
            <v>5362.05</v>
          </cell>
          <cell r="Q489">
            <v>35705.180000000008</v>
          </cell>
        </row>
        <row r="490">
          <cell r="A490">
            <v>70037</v>
          </cell>
          <cell r="B490" t="str">
            <v>Termination Pay</v>
          </cell>
          <cell r="E490">
            <v>0</v>
          </cell>
          <cell r="F490">
            <v>0</v>
          </cell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</row>
        <row r="491">
          <cell r="A491">
            <v>70045</v>
          </cell>
          <cell r="B491" t="str">
            <v>Contract Labor</v>
          </cell>
          <cell r="E491">
            <v>0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  <cell r="Q491">
            <v>0</v>
          </cell>
        </row>
        <row r="492">
          <cell r="A492">
            <v>70050</v>
          </cell>
          <cell r="B492" t="str">
            <v>Payroll Taxes</v>
          </cell>
          <cell r="E492">
            <v>7335.33</v>
          </cell>
          <cell r="F492">
            <v>5253.85</v>
          </cell>
          <cell r="G492">
            <v>6887.21</v>
          </cell>
          <cell r="H492">
            <v>5839.13</v>
          </cell>
          <cell r="I492">
            <v>4643.53</v>
          </cell>
          <cell r="J492">
            <v>5669.76</v>
          </cell>
          <cell r="K492">
            <v>4555.33</v>
          </cell>
          <cell r="L492">
            <v>5742.05</v>
          </cell>
          <cell r="M492">
            <v>4517.6899999999996</v>
          </cell>
          <cell r="N492">
            <v>4408.2</v>
          </cell>
          <cell r="O492">
            <v>4942.4399999999996</v>
          </cell>
          <cell r="P492">
            <v>5199.09</v>
          </cell>
          <cell r="Q492">
            <v>64993.61</v>
          </cell>
        </row>
        <row r="493">
          <cell r="A493">
            <v>70060</v>
          </cell>
          <cell r="B493" t="str">
            <v>Group Insurance</v>
          </cell>
          <cell r="E493">
            <v>11410.52</v>
          </cell>
          <cell r="F493">
            <v>11524.58</v>
          </cell>
          <cell r="G493">
            <v>10554.24</v>
          </cell>
          <cell r="H493">
            <v>13084.2</v>
          </cell>
          <cell r="I493">
            <v>12115.75</v>
          </cell>
          <cell r="J493">
            <v>12494.37</v>
          </cell>
          <cell r="K493">
            <v>12559.75</v>
          </cell>
          <cell r="L493">
            <v>12415.93</v>
          </cell>
          <cell r="M493">
            <v>11362.28</v>
          </cell>
          <cell r="N493">
            <v>13749.11</v>
          </cell>
          <cell r="O493">
            <v>12593.52</v>
          </cell>
          <cell r="P493">
            <v>12600.59</v>
          </cell>
          <cell r="Q493">
            <v>146464.84</v>
          </cell>
        </row>
        <row r="494">
          <cell r="A494">
            <v>70065</v>
          </cell>
          <cell r="B494" t="str">
            <v>Vacation Pay</v>
          </cell>
          <cell r="E494">
            <v>1582.88</v>
          </cell>
          <cell r="F494">
            <v>4413.99</v>
          </cell>
          <cell r="G494">
            <v>48.78</v>
          </cell>
          <cell r="H494">
            <v>2185.79</v>
          </cell>
          <cell r="I494">
            <v>4000.59</v>
          </cell>
          <cell r="J494">
            <v>-891.88</v>
          </cell>
          <cell r="K494">
            <v>4756.8500000000004</v>
          </cell>
          <cell r="L494">
            <v>2920.08</v>
          </cell>
          <cell r="M494">
            <v>4784.29</v>
          </cell>
          <cell r="N494">
            <v>3124.36</v>
          </cell>
          <cell r="O494">
            <v>2610.1999999999998</v>
          </cell>
          <cell r="P494">
            <v>4173.68</v>
          </cell>
          <cell r="Q494">
            <v>33709.61</v>
          </cell>
        </row>
        <row r="495">
          <cell r="A495">
            <v>70070</v>
          </cell>
          <cell r="B495" t="str">
            <v>Sick Pay</v>
          </cell>
          <cell r="E495">
            <v>396.68</v>
          </cell>
          <cell r="F495">
            <v>680.36</v>
          </cell>
          <cell r="G495">
            <v>1133.57</v>
          </cell>
          <cell r="H495">
            <v>674.93</v>
          </cell>
          <cell r="I495">
            <v>892.47</v>
          </cell>
          <cell r="J495">
            <v>554.58000000000004</v>
          </cell>
          <cell r="K495">
            <v>198.93</v>
          </cell>
          <cell r="L495">
            <v>122.21</v>
          </cell>
          <cell r="M495">
            <v>727.21</v>
          </cell>
          <cell r="N495">
            <v>366.82</v>
          </cell>
          <cell r="O495">
            <v>768.29</v>
          </cell>
          <cell r="P495">
            <v>121.28</v>
          </cell>
          <cell r="Q495">
            <v>6637.329999999999</v>
          </cell>
        </row>
        <row r="496">
          <cell r="A496">
            <v>70086</v>
          </cell>
          <cell r="B496" t="str">
            <v>Safety and Training</v>
          </cell>
          <cell r="E496">
            <v>14.8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35.6</v>
          </cell>
          <cell r="K496">
            <v>0</v>
          </cell>
          <cell r="L496">
            <v>70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120.4</v>
          </cell>
        </row>
        <row r="497">
          <cell r="A497">
            <v>70090</v>
          </cell>
          <cell r="B497" t="str">
            <v>WCN Training</v>
          </cell>
          <cell r="E497">
            <v>0</v>
          </cell>
          <cell r="F497">
            <v>0</v>
          </cell>
          <cell r="G497">
            <v>0</v>
          </cell>
          <cell r="H497">
            <v>0</v>
          </cell>
          <cell r="I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708.81</v>
          </cell>
          <cell r="O497">
            <v>-708.81</v>
          </cell>
          <cell r="P497">
            <v>0</v>
          </cell>
          <cell r="Q497">
            <v>0</v>
          </cell>
        </row>
        <row r="498">
          <cell r="A498">
            <v>70095</v>
          </cell>
          <cell r="B498" t="str">
            <v>Empl &amp; Commun Activ</v>
          </cell>
          <cell r="E498">
            <v>16986.41</v>
          </cell>
          <cell r="F498">
            <v>158.86000000000001</v>
          </cell>
          <cell r="G498">
            <v>1019.92</v>
          </cell>
          <cell r="H498">
            <v>210.51</v>
          </cell>
          <cell r="I498">
            <v>1580.13</v>
          </cell>
          <cell r="J498">
            <v>4162.7</v>
          </cell>
          <cell r="K498">
            <v>660.39</v>
          </cell>
          <cell r="L498">
            <v>2656.19</v>
          </cell>
          <cell r="M498">
            <v>517.80999999999995</v>
          </cell>
          <cell r="N498">
            <v>54.01</v>
          </cell>
          <cell r="O498">
            <v>1519.35</v>
          </cell>
          <cell r="P498">
            <v>3351.61</v>
          </cell>
          <cell r="Q498">
            <v>32877.889999999992</v>
          </cell>
        </row>
        <row r="499">
          <cell r="A499">
            <v>70105</v>
          </cell>
          <cell r="B499" t="str">
            <v>Employee Relocation</v>
          </cell>
          <cell r="E499">
            <v>381.64</v>
          </cell>
          <cell r="F499">
            <v>381.64</v>
          </cell>
          <cell r="G499">
            <v>381.64</v>
          </cell>
          <cell r="H499">
            <v>381.64</v>
          </cell>
          <cell r="I499">
            <v>381.64</v>
          </cell>
          <cell r="J499">
            <v>381.64</v>
          </cell>
          <cell r="K499">
            <v>381.64</v>
          </cell>
          <cell r="L499">
            <v>381.64</v>
          </cell>
          <cell r="M499">
            <v>381.64</v>
          </cell>
          <cell r="N499">
            <v>381.64</v>
          </cell>
          <cell r="O499">
            <v>381.64</v>
          </cell>
          <cell r="P499">
            <v>381.64</v>
          </cell>
          <cell r="Q499">
            <v>4579.6799999999994</v>
          </cell>
        </row>
        <row r="500">
          <cell r="A500">
            <v>70107</v>
          </cell>
          <cell r="B500" t="str">
            <v>Housing Subsidy</v>
          </cell>
          <cell r="E500">
            <v>0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</row>
        <row r="501">
          <cell r="A501">
            <v>70108</v>
          </cell>
          <cell r="B501" t="str">
            <v>School Tuition</v>
          </cell>
          <cell r="E501">
            <v>0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</row>
        <row r="502">
          <cell r="A502">
            <v>70110</v>
          </cell>
          <cell r="B502" t="str">
            <v>Contributions</v>
          </cell>
          <cell r="E502">
            <v>312.5</v>
          </cell>
          <cell r="F502">
            <v>5000</v>
          </cell>
          <cell r="G502">
            <v>0</v>
          </cell>
          <cell r="H502">
            <v>0</v>
          </cell>
          <cell r="I502">
            <v>0</v>
          </cell>
          <cell r="J502">
            <v>0</v>
          </cell>
          <cell r="K502">
            <v>1308.46</v>
          </cell>
          <cell r="L502">
            <v>0</v>
          </cell>
          <cell r="M502">
            <v>250</v>
          </cell>
          <cell r="N502">
            <v>0</v>
          </cell>
          <cell r="O502">
            <v>0</v>
          </cell>
          <cell r="P502">
            <v>0</v>
          </cell>
          <cell r="Q502">
            <v>6870.96</v>
          </cell>
        </row>
        <row r="503">
          <cell r="A503">
            <v>70111</v>
          </cell>
          <cell r="B503" t="str">
            <v>Non Cash Charitable</v>
          </cell>
          <cell r="E503">
            <v>0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</row>
        <row r="504">
          <cell r="A504">
            <v>70112</v>
          </cell>
          <cell r="B504" t="str">
            <v>Political Contributions</v>
          </cell>
          <cell r="E504">
            <v>0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</row>
        <row r="505">
          <cell r="A505">
            <v>70116</v>
          </cell>
          <cell r="B505" t="str">
            <v>Pension and Profit Sharing</v>
          </cell>
          <cell r="E505">
            <v>775.31</v>
          </cell>
          <cell r="F505">
            <v>784.92</v>
          </cell>
          <cell r="G505">
            <v>1191.3900000000001</v>
          </cell>
          <cell r="H505">
            <v>882.19</v>
          </cell>
          <cell r="I505">
            <v>848.69</v>
          </cell>
          <cell r="J505">
            <v>942.95</v>
          </cell>
          <cell r="K505">
            <v>949.67</v>
          </cell>
          <cell r="L505">
            <v>1042.08</v>
          </cell>
          <cell r="M505">
            <v>979.97</v>
          </cell>
          <cell r="N505">
            <v>1418.44</v>
          </cell>
          <cell r="O505">
            <v>969.88</v>
          </cell>
          <cell r="P505">
            <v>1066.9100000000001</v>
          </cell>
          <cell r="Q505">
            <v>11852.4</v>
          </cell>
        </row>
        <row r="506">
          <cell r="A506">
            <v>70117</v>
          </cell>
          <cell r="B506" t="str">
            <v>Union Pension</v>
          </cell>
          <cell r="E506">
            <v>0</v>
          </cell>
          <cell r="F506">
            <v>0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</row>
        <row r="507">
          <cell r="A507">
            <v>70142</v>
          </cell>
          <cell r="B507" t="str">
            <v>Fuel Expense</v>
          </cell>
          <cell r="E507">
            <v>0</v>
          </cell>
          <cell r="F507">
            <v>0</v>
          </cell>
          <cell r="G507">
            <v>0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</row>
        <row r="508">
          <cell r="A508">
            <v>70145</v>
          </cell>
          <cell r="B508" t="str">
            <v>Outside Repairs</v>
          </cell>
          <cell r="E508">
            <v>0</v>
          </cell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</row>
        <row r="509">
          <cell r="A509">
            <v>70147</v>
          </cell>
          <cell r="B509" t="str">
            <v>Bldg &amp; Property Maint</v>
          </cell>
          <cell r="E509">
            <v>0</v>
          </cell>
          <cell r="F509">
            <v>0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</row>
        <row r="510">
          <cell r="A510">
            <v>70148</v>
          </cell>
          <cell r="B510" t="str">
            <v>Allocated Exp In - District</v>
          </cell>
          <cell r="E510">
            <v>2932.61</v>
          </cell>
          <cell r="F510">
            <v>3215.3</v>
          </cell>
          <cell r="G510">
            <v>3962.99</v>
          </cell>
          <cell r="H510">
            <v>2924.73</v>
          </cell>
          <cell r="I510">
            <v>1275.23</v>
          </cell>
          <cell r="J510">
            <v>4265.58</v>
          </cell>
          <cell r="K510">
            <v>8940.42</v>
          </cell>
          <cell r="L510">
            <v>7247.4</v>
          </cell>
          <cell r="M510">
            <v>-383</v>
          </cell>
          <cell r="N510">
            <v>2709.33</v>
          </cell>
          <cell r="O510">
            <v>3459.2</v>
          </cell>
          <cell r="P510">
            <v>2793.15</v>
          </cell>
          <cell r="Q510">
            <v>43342.94</v>
          </cell>
        </row>
        <row r="511">
          <cell r="A511">
            <v>70150</v>
          </cell>
          <cell r="B511" t="str">
            <v>Utilities</v>
          </cell>
          <cell r="E511">
            <v>380.73</v>
          </cell>
          <cell r="F511">
            <v>364.13</v>
          </cell>
          <cell r="G511">
            <v>364.19</v>
          </cell>
          <cell r="H511">
            <v>352.07</v>
          </cell>
          <cell r="I511">
            <v>323.74</v>
          </cell>
          <cell r="J511">
            <v>309.05</v>
          </cell>
          <cell r="K511">
            <v>1116.01</v>
          </cell>
          <cell r="L511">
            <v>325.92</v>
          </cell>
          <cell r="M511">
            <v>289.63</v>
          </cell>
          <cell r="N511">
            <v>300.67</v>
          </cell>
          <cell r="O511">
            <v>324.64999999999998</v>
          </cell>
          <cell r="P511">
            <v>559.65</v>
          </cell>
          <cell r="Q511">
            <v>5010.4399999999996</v>
          </cell>
        </row>
        <row r="512">
          <cell r="A512">
            <v>70165</v>
          </cell>
          <cell r="B512" t="str">
            <v>Communications</v>
          </cell>
          <cell r="E512">
            <v>471.39</v>
          </cell>
          <cell r="F512">
            <v>299.95</v>
          </cell>
          <cell r="G512">
            <v>548.38</v>
          </cell>
          <cell r="H512">
            <v>403.25</v>
          </cell>
          <cell r="I512">
            <v>472.01</v>
          </cell>
          <cell r="J512">
            <v>532</v>
          </cell>
          <cell r="K512">
            <v>463.52</v>
          </cell>
          <cell r="L512">
            <v>1173.68</v>
          </cell>
          <cell r="M512">
            <v>539.39</v>
          </cell>
          <cell r="N512">
            <v>124.82</v>
          </cell>
          <cell r="O512">
            <v>370.1</v>
          </cell>
          <cell r="P512">
            <v>2409.2399999999998</v>
          </cell>
          <cell r="Q512">
            <v>7807.73</v>
          </cell>
        </row>
        <row r="513">
          <cell r="A513">
            <v>70166</v>
          </cell>
          <cell r="B513" t="str">
            <v>Office Telephone</v>
          </cell>
          <cell r="E513">
            <v>0</v>
          </cell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</row>
        <row r="514">
          <cell r="A514">
            <v>70167</v>
          </cell>
          <cell r="B514" t="str">
            <v>Cellular Telephone</v>
          </cell>
          <cell r="E514">
            <v>18.989999999999998</v>
          </cell>
          <cell r="F514">
            <v>62.24</v>
          </cell>
          <cell r="G514">
            <v>118.47</v>
          </cell>
          <cell r="H514">
            <v>68.52</v>
          </cell>
          <cell r="I514">
            <v>56.02</v>
          </cell>
          <cell r="J514">
            <v>68.52</v>
          </cell>
          <cell r="K514">
            <v>118.98</v>
          </cell>
          <cell r="L514">
            <v>62.5</v>
          </cell>
          <cell r="M514">
            <v>25</v>
          </cell>
          <cell r="N514">
            <v>-73.709999999999994</v>
          </cell>
          <cell r="O514">
            <v>223.71</v>
          </cell>
          <cell r="P514">
            <v>50</v>
          </cell>
          <cell r="Q514">
            <v>799.24</v>
          </cell>
        </row>
        <row r="515">
          <cell r="A515">
            <v>70170</v>
          </cell>
          <cell r="B515" t="str">
            <v>Real Estate Rentals</v>
          </cell>
          <cell r="E515">
            <v>0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3168.8</v>
          </cell>
          <cell r="Q515">
            <v>3168.8</v>
          </cell>
        </row>
        <row r="516">
          <cell r="A516">
            <v>70175</v>
          </cell>
          <cell r="B516" t="str">
            <v>Equip/Vehicle Rental</v>
          </cell>
          <cell r="E516">
            <v>0</v>
          </cell>
          <cell r="F516">
            <v>0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</row>
        <row r="517">
          <cell r="A517">
            <v>70185</v>
          </cell>
          <cell r="B517" t="str">
            <v>Postage</v>
          </cell>
          <cell r="E517">
            <v>554.46</v>
          </cell>
          <cell r="F517">
            <v>488.09</v>
          </cell>
          <cell r="G517">
            <v>167.53</v>
          </cell>
          <cell r="H517">
            <v>594.19000000000005</v>
          </cell>
          <cell r="I517">
            <v>578.76</v>
          </cell>
          <cell r="J517">
            <v>533.45000000000005</v>
          </cell>
          <cell r="K517">
            <v>916.47</v>
          </cell>
          <cell r="L517">
            <v>529.91</v>
          </cell>
          <cell r="M517">
            <v>533.41</v>
          </cell>
          <cell r="N517">
            <v>625</v>
          </cell>
          <cell r="O517">
            <v>547.6</v>
          </cell>
          <cell r="P517">
            <v>547.17999999999995</v>
          </cell>
          <cell r="Q517">
            <v>6616.05</v>
          </cell>
        </row>
        <row r="518">
          <cell r="A518">
            <v>70190</v>
          </cell>
          <cell r="B518" t="str">
            <v>Registration Fees</v>
          </cell>
          <cell r="E518">
            <v>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</row>
        <row r="519">
          <cell r="A519">
            <v>70195</v>
          </cell>
          <cell r="B519" t="str">
            <v>Dues and Subscriptions</v>
          </cell>
          <cell r="E519">
            <v>913</v>
          </cell>
          <cell r="F519">
            <v>1939.67</v>
          </cell>
          <cell r="G519">
            <v>663</v>
          </cell>
          <cell r="H519">
            <v>2175.4699999999998</v>
          </cell>
          <cell r="I519">
            <v>775.41</v>
          </cell>
          <cell r="J519">
            <v>1375.47</v>
          </cell>
          <cell r="K519">
            <v>833</v>
          </cell>
          <cell r="L519">
            <v>2029.58</v>
          </cell>
          <cell r="M519">
            <v>672.93</v>
          </cell>
          <cell r="N519">
            <v>1244.56</v>
          </cell>
          <cell r="O519">
            <v>2034.76</v>
          </cell>
          <cell r="P519">
            <v>974.76</v>
          </cell>
          <cell r="Q519">
            <v>15631.61</v>
          </cell>
        </row>
        <row r="520">
          <cell r="A520">
            <v>70196</v>
          </cell>
          <cell r="B520" t="str">
            <v>Club Dues</v>
          </cell>
          <cell r="E520">
            <v>0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</row>
        <row r="521">
          <cell r="A521">
            <v>70200</v>
          </cell>
          <cell r="B521" t="str">
            <v>Travel</v>
          </cell>
          <cell r="E521">
            <v>284.18</v>
          </cell>
          <cell r="F521">
            <v>570.14</v>
          </cell>
          <cell r="G521">
            <v>-220.29</v>
          </cell>
          <cell r="H521">
            <v>1900</v>
          </cell>
          <cell r="I521">
            <v>-1665.7</v>
          </cell>
          <cell r="J521">
            <v>263.64999999999998</v>
          </cell>
          <cell r="K521">
            <v>203.4</v>
          </cell>
          <cell r="L521">
            <v>-15.5</v>
          </cell>
          <cell r="M521">
            <v>340.62</v>
          </cell>
          <cell r="N521">
            <v>348.94</v>
          </cell>
          <cell r="O521">
            <v>14.75</v>
          </cell>
          <cell r="P521">
            <v>68.2</v>
          </cell>
          <cell r="Q521">
            <v>2092.3899999999994</v>
          </cell>
        </row>
        <row r="522">
          <cell r="A522">
            <v>70201</v>
          </cell>
          <cell r="B522" t="str">
            <v>Entertainment</v>
          </cell>
          <cell r="E522">
            <v>0</v>
          </cell>
          <cell r="F522">
            <v>7.85</v>
          </cell>
          <cell r="G522">
            <v>137.01</v>
          </cell>
          <cell r="H522">
            <v>-29.88</v>
          </cell>
          <cell r="I522">
            <v>73.069999999999993</v>
          </cell>
          <cell r="J522">
            <v>428.59</v>
          </cell>
          <cell r="K522">
            <v>-290.98</v>
          </cell>
          <cell r="L522">
            <v>540.96</v>
          </cell>
          <cell r="M522">
            <v>-468.86</v>
          </cell>
          <cell r="N522">
            <v>13.96</v>
          </cell>
          <cell r="O522">
            <v>0</v>
          </cell>
          <cell r="P522">
            <v>0</v>
          </cell>
          <cell r="Q522">
            <v>411.71999999999997</v>
          </cell>
        </row>
        <row r="523">
          <cell r="A523">
            <v>70202</v>
          </cell>
          <cell r="B523" t="str">
            <v>Excursions Meetings</v>
          </cell>
          <cell r="E523">
            <v>0</v>
          </cell>
          <cell r="F523">
            <v>115.17</v>
          </cell>
          <cell r="G523">
            <v>0</v>
          </cell>
          <cell r="H523">
            <v>0</v>
          </cell>
          <cell r="I523">
            <v>0</v>
          </cell>
          <cell r="J523">
            <v>416.25</v>
          </cell>
          <cell r="K523">
            <v>0</v>
          </cell>
          <cell r="L523">
            <v>0</v>
          </cell>
          <cell r="M523">
            <v>0</v>
          </cell>
          <cell r="N523">
            <v>46.73</v>
          </cell>
          <cell r="O523">
            <v>-46.73</v>
          </cell>
          <cell r="P523">
            <v>0</v>
          </cell>
          <cell r="Q523">
            <v>531.41999999999996</v>
          </cell>
        </row>
        <row r="524">
          <cell r="A524">
            <v>70203</v>
          </cell>
          <cell r="B524" t="str">
            <v>Lodging</v>
          </cell>
          <cell r="E524">
            <v>-462.54</v>
          </cell>
          <cell r="F524">
            <v>0</v>
          </cell>
          <cell r="G524">
            <v>0</v>
          </cell>
          <cell r="H524">
            <v>326.7</v>
          </cell>
          <cell r="I524">
            <v>193</v>
          </cell>
          <cell r="J524">
            <v>436.86</v>
          </cell>
          <cell r="K524">
            <v>-170.97</v>
          </cell>
          <cell r="L524">
            <v>841.43</v>
          </cell>
          <cell r="M524">
            <v>127.5</v>
          </cell>
          <cell r="N524">
            <v>159.44</v>
          </cell>
          <cell r="O524">
            <v>-28.18</v>
          </cell>
          <cell r="P524">
            <v>171.48</v>
          </cell>
          <cell r="Q524">
            <v>1594.72</v>
          </cell>
        </row>
        <row r="525">
          <cell r="A525">
            <v>70204</v>
          </cell>
          <cell r="B525" t="str">
            <v>Gifts to Customers</v>
          </cell>
          <cell r="E525">
            <v>0</v>
          </cell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  <cell r="Q525">
            <v>0</v>
          </cell>
        </row>
        <row r="526">
          <cell r="A526">
            <v>70205</v>
          </cell>
          <cell r="B526" t="str">
            <v>Travel - Auto</v>
          </cell>
          <cell r="E526">
            <v>45.73</v>
          </cell>
          <cell r="F526">
            <v>-10.71</v>
          </cell>
          <cell r="G526">
            <v>526.05999999999995</v>
          </cell>
          <cell r="H526">
            <v>861.17</v>
          </cell>
          <cell r="I526">
            <v>156.44999999999999</v>
          </cell>
          <cell r="J526">
            <v>24.24</v>
          </cell>
          <cell r="K526">
            <v>2459.6</v>
          </cell>
          <cell r="L526">
            <v>-623.04</v>
          </cell>
          <cell r="M526">
            <v>1397.2</v>
          </cell>
          <cell r="N526">
            <v>-382.55</v>
          </cell>
          <cell r="O526">
            <v>-70.31</v>
          </cell>
          <cell r="P526">
            <v>-1079.19</v>
          </cell>
          <cell r="Q526">
            <v>3304.6499999999992</v>
          </cell>
        </row>
        <row r="527">
          <cell r="A527">
            <v>70206</v>
          </cell>
          <cell r="B527" t="str">
            <v>Meals</v>
          </cell>
          <cell r="E527">
            <v>-77.31</v>
          </cell>
          <cell r="F527">
            <v>17.46</v>
          </cell>
          <cell r="G527">
            <v>200.29</v>
          </cell>
          <cell r="H527">
            <v>-74.84</v>
          </cell>
          <cell r="I527">
            <v>191.59</v>
          </cell>
          <cell r="J527">
            <v>1.26</v>
          </cell>
          <cell r="K527">
            <v>-7.59</v>
          </cell>
          <cell r="L527">
            <v>350.62</v>
          </cell>
          <cell r="M527">
            <v>-21.04</v>
          </cell>
          <cell r="N527">
            <v>31.96</v>
          </cell>
          <cell r="O527">
            <v>562.61</v>
          </cell>
          <cell r="P527">
            <v>262.97000000000003</v>
          </cell>
          <cell r="Q527">
            <v>1437.9800000000002</v>
          </cell>
        </row>
        <row r="528">
          <cell r="A528">
            <v>70207</v>
          </cell>
          <cell r="B528" t="str">
            <v>Meals with Customers</v>
          </cell>
          <cell r="E528">
            <v>0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</row>
        <row r="529">
          <cell r="A529">
            <v>70209</v>
          </cell>
          <cell r="B529" t="str">
            <v>Photo Supplies</v>
          </cell>
          <cell r="E529">
            <v>0</v>
          </cell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</row>
        <row r="530">
          <cell r="A530">
            <v>70210</v>
          </cell>
          <cell r="B530" t="str">
            <v>Office Supplies and Equip</v>
          </cell>
          <cell r="E530">
            <v>5866.86</v>
          </cell>
          <cell r="F530">
            <v>2088.08</v>
          </cell>
          <cell r="G530">
            <v>1297.8399999999999</v>
          </cell>
          <cell r="H530">
            <v>1260.67</v>
          </cell>
          <cell r="I530">
            <v>1042.3699999999999</v>
          </cell>
          <cell r="J530">
            <v>1576.14</v>
          </cell>
          <cell r="K530">
            <v>1736.71</v>
          </cell>
          <cell r="L530">
            <v>1305.27</v>
          </cell>
          <cell r="M530">
            <v>1356.75</v>
          </cell>
          <cell r="N530">
            <v>4188.3100000000004</v>
          </cell>
          <cell r="O530">
            <v>352.32</v>
          </cell>
          <cell r="P530">
            <v>2617.98</v>
          </cell>
          <cell r="Q530">
            <v>24689.3</v>
          </cell>
        </row>
        <row r="531">
          <cell r="A531">
            <v>70213</v>
          </cell>
          <cell r="B531" t="str">
            <v>Pcard Rebate</v>
          </cell>
          <cell r="C531">
            <v>0</v>
          </cell>
          <cell r="D531">
            <v>0</v>
          </cell>
          <cell r="E531">
            <v>0</v>
          </cell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</row>
        <row r="532">
          <cell r="A532">
            <v>70214</v>
          </cell>
          <cell r="B532" t="str">
            <v>Credit Card Fees</v>
          </cell>
          <cell r="E532">
            <v>2484.66</v>
          </cell>
          <cell r="F532">
            <v>2690.82</v>
          </cell>
          <cell r="G532">
            <v>2823.76</v>
          </cell>
          <cell r="H532">
            <v>2495.84</v>
          </cell>
          <cell r="I532">
            <v>2467.4499999999998</v>
          </cell>
          <cell r="J532">
            <v>2868.03</v>
          </cell>
          <cell r="K532">
            <v>2914.02</v>
          </cell>
          <cell r="L532">
            <v>3099.61</v>
          </cell>
          <cell r="M532">
            <v>3243.81</v>
          </cell>
          <cell r="N532">
            <v>129.69</v>
          </cell>
          <cell r="O532">
            <v>6329.67</v>
          </cell>
          <cell r="P532">
            <v>3002.76</v>
          </cell>
          <cell r="Q532">
            <v>34550.120000000003</v>
          </cell>
        </row>
        <row r="533">
          <cell r="A533">
            <v>70215</v>
          </cell>
          <cell r="B533" t="str">
            <v>Bank Charges</v>
          </cell>
          <cell r="E533">
            <v>146.88</v>
          </cell>
          <cell r="F533">
            <v>148.75</v>
          </cell>
          <cell r="G533">
            <v>150.41999999999999</v>
          </cell>
          <cell r="H533">
            <v>150.63</v>
          </cell>
          <cell r="I533">
            <v>131.56</v>
          </cell>
          <cell r="J533">
            <v>137.5</v>
          </cell>
          <cell r="K533">
            <v>0</v>
          </cell>
          <cell r="L533">
            <v>129.06</v>
          </cell>
          <cell r="M533">
            <v>133.75</v>
          </cell>
          <cell r="N533">
            <v>0</v>
          </cell>
          <cell r="O533">
            <v>264.07</v>
          </cell>
          <cell r="P533">
            <v>18.73</v>
          </cell>
          <cell r="Q533">
            <v>1411.35</v>
          </cell>
        </row>
        <row r="534">
          <cell r="A534">
            <v>70216</v>
          </cell>
          <cell r="B534" t="str">
            <v>Outside Storages</v>
          </cell>
          <cell r="E534">
            <v>0</v>
          </cell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</row>
        <row r="535">
          <cell r="A535">
            <v>70217</v>
          </cell>
          <cell r="B535" t="str">
            <v>Invoice Printing Costs</v>
          </cell>
          <cell r="E535">
            <v>0</v>
          </cell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</row>
        <row r="536">
          <cell r="A536">
            <v>70225</v>
          </cell>
          <cell r="B536" t="str">
            <v>Advertising and Promotions</v>
          </cell>
          <cell r="E536">
            <v>0</v>
          </cell>
          <cell r="F536">
            <v>473.41</v>
          </cell>
          <cell r="G536">
            <v>0</v>
          </cell>
          <cell r="H536">
            <v>10.55</v>
          </cell>
          <cell r="I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311.8</v>
          </cell>
          <cell r="P536">
            <v>0</v>
          </cell>
          <cell r="Q536">
            <v>795.76</v>
          </cell>
        </row>
        <row r="537">
          <cell r="A537">
            <v>70230</v>
          </cell>
          <cell r="B537" t="str">
            <v>External Recruiter Fees</v>
          </cell>
          <cell r="E537">
            <v>0</v>
          </cell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</row>
        <row r="538">
          <cell r="A538">
            <v>70231</v>
          </cell>
          <cell r="B538" t="str">
            <v>Recruitment Advertising &amp; Expenses</v>
          </cell>
          <cell r="E538">
            <v>0</v>
          </cell>
          <cell r="F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108.21</v>
          </cell>
          <cell r="N538">
            <v>0</v>
          </cell>
          <cell r="O538">
            <v>0</v>
          </cell>
          <cell r="P538">
            <v>0</v>
          </cell>
          <cell r="Q538">
            <v>108.21</v>
          </cell>
        </row>
        <row r="539">
          <cell r="A539">
            <v>70232</v>
          </cell>
          <cell r="B539" t="str">
            <v>Recruitment Travel Expenses</v>
          </cell>
          <cell r="E539">
            <v>0</v>
          </cell>
          <cell r="F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</row>
        <row r="540">
          <cell r="A540">
            <v>70235</v>
          </cell>
          <cell r="B540" t="str">
            <v>Legal</v>
          </cell>
          <cell r="E540">
            <v>2439.5700000000002</v>
          </cell>
          <cell r="F540">
            <v>2131.5700000000002</v>
          </cell>
          <cell r="G540">
            <v>3481.88</v>
          </cell>
          <cell r="H540">
            <v>-1738.5</v>
          </cell>
          <cell r="I540">
            <v>447.82</v>
          </cell>
          <cell r="J540">
            <v>9856.85</v>
          </cell>
          <cell r="K540">
            <v>1380.87</v>
          </cell>
          <cell r="L540">
            <v>9752.81</v>
          </cell>
          <cell r="M540">
            <v>14711.58</v>
          </cell>
          <cell r="N540">
            <v>-607.33000000000004</v>
          </cell>
          <cell r="O540">
            <v>1378.45</v>
          </cell>
          <cell r="P540">
            <v>10240.9</v>
          </cell>
          <cell r="Q540">
            <v>53476.47</v>
          </cell>
        </row>
        <row r="541">
          <cell r="A541">
            <v>70240</v>
          </cell>
          <cell r="B541" t="str">
            <v>Accounting Professional Fees</v>
          </cell>
          <cell r="E541">
            <v>0</v>
          </cell>
          <cell r="F541">
            <v>0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</row>
        <row r="542">
          <cell r="A542">
            <v>70245</v>
          </cell>
          <cell r="B542" t="str">
            <v>Payroll Processing Fees</v>
          </cell>
          <cell r="E542">
            <v>99.03</v>
          </cell>
          <cell r="F542">
            <v>97.9</v>
          </cell>
          <cell r="G542">
            <v>97.9</v>
          </cell>
          <cell r="H542">
            <v>97.9</v>
          </cell>
          <cell r="I542">
            <v>97.9</v>
          </cell>
          <cell r="J542">
            <v>97.9</v>
          </cell>
          <cell r="K542">
            <v>97.9</v>
          </cell>
          <cell r="L542">
            <v>80.55</v>
          </cell>
          <cell r="M542">
            <v>80.55</v>
          </cell>
          <cell r="N542">
            <v>80.55</v>
          </cell>
          <cell r="O542">
            <v>80.680000000000007</v>
          </cell>
          <cell r="P542">
            <v>80.680000000000007</v>
          </cell>
          <cell r="Q542">
            <v>1089.4399999999998</v>
          </cell>
        </row>
        <row r="543">
          <cell r="A543">
            <v>70250</v>
          </cell>
          <cell r="B543" t="str">
            <v>Acquisition Cost Write Off</v>
          </cell>
          <cell r="E543">
            <v>0</v>
          </cell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  <cell r="Q543">
            <v>0</v>
          </cell>
        </row>
        <row r="544">
          <cell r="A544">
            <v>70254</v>
          </cell>
          <cell r="B544" t="str">
            <v>Corporate Capitalized Expenses</v>
          </cell>
          <cell r="E544">
            <v>0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</row>
        <row r="545">
          <cell r="A545">
            <v>70255</v>
          </cell>
          <cell r="B545" t="str">
            <v>Other Prof Fees</v>
          </cell>
          <cell r="E545">
            <v>0</v>
          </cell>
          <cell r="F545">
            <v>219.75</v>
          </cell>
          <cell r="G545">
            <v>56.21</v>
          </cell>
          <cell r="H545">
            <v>0</v>
          </cell>
          <cell r="I545">
            <v>0</v>
          </cell>
          <cell r="J545">
            <v>56.21</v>
          </cell>
          <cell r="K545">
            <v>0</v>
          </cell>
          <cell r="L545">
            <v>0</v>
          </cell>
          <cell r="M545">
            <v>56.21</v>
          </cell>
          <cell r="N545">
            <v>0</v>
          </cell>
          <cell r="O545">
            <v>-84.14</v>
          </cell>
          <cell r="P545">
            <v>482.7</v>
          </cell>
          <cell r="Q545">
            <v>786.93999999999994</v>
          </cell>
        </row>
        <row r="546">
          <cell r="A546">
            <v>70271</v>
          </cell>
          <cell r="B546" t="str">
            <v>Property and Liability Insurance</v>
          </cell>
          <cell r="E546">
            <v>0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</row>
        <row r="547">
          <cell r="A547">
            <v>70272</v>
          </cell>
          <cell r="B547" t="str">
            <v>Keyman Life Insurance</v>
          </cell>
          <cell r="E547">
            <v>0</v>
          </cell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</row>
        <row r="548">
          <cell r="A548">
            <v>70273</v>
          </cell>
          <cell r="B548" t="str">
            <v>Directors and Officers Insurance</v>
          </cell>
          <cell r="E548">
            <v>0</v>
          </cell>
          <cell r="F548">
            <v>0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</row>
        <row r="549">
          <cell r="A549">
            <v>70275</v>
          </cell>
          <cell r="B549" t="str">
            <v>Property Taxes</v>
          </cell>
          <cell r="E549">
            <v>1875</v>
          </cell>
          <cell r="F549">
            <v>1875</v>
          </cell>
          <cell r="G549">
            <v>2015.82</v>
          </cell>
          <cell r="H549">
            <v>2554.7800000000002</v>
          </cell>
          <cell r="I549">
            <v>2554.7800000000002</v>
          </cell>
          <cell r="J549">
            <v>2554.7800000000002</v>
          </cell>
          <cell r="K549">
            <v>3187.6</v>
          </cell>
          <cell r="L549">
            <v>2396.5700000000002</v>
          </cell>
          <cell r="M549">
            <v>2396.5700000000002</v>
          </cell>
          <cell r="N549">
            <v>2449.23</v>
          </cell>
          <cell r="O549">
            <v>2343.73</v>
          </cell>
          <cell r="P549">
            <v>2554.7199999999998</v>
          </cell>
          <cell r="Q549">
            <v>28758.58</v>
          </cell>
        </row>
        <row r="550">
          <cell r="A550">
            <v>70280</v>
          </cell>
          <cell r="B550" t="str">
            <v>Other Taxes</v>
          </cell>
          <cell r="E550">
            <v>0</v>
          </cell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</row>
        <row r="551">
          <cell r="A551">
            <v>70300</v>
          </cell>
          <cell r="B551" t="str">
            <v>Data Processing</v>
          </cell>
          <cell r="E551">
            <v>24958.15</v>
          </cell>
          <cell r="F551">
            <v>2262.73</v>
          </cell>
          <cell r="G551">
            <v>16300.02</v>
          </cell>
          <cell r="H551">
            <v>2127.0700000000002</v>
          </cell>
          <cell r="I551">
            <v>33912.97</v>
          </cell>
          <cell r="J551">
            <v>1054.05</v>
          </cell>
          <cell r="K551">
            <v>22342.57</v>
          </cell>
          <cell r="L551">
            <v>2410.96</v>
          </cell>
          <cell r="M551">
            <v>22431</v>
          </cell>
          <cell r="N551">
            <v>1947.24</v>
          </cell>
          <cell r="O551">
            <v>21688.02</v>
          </cell>
          <cell r="P551">
            <v>-2059.87</v>
          </cell>
          <cell r="Q551">
            <v>149374.91</v>
          </cell>
        </row>
        <row r="552">
          <cell r="A552">
            <v>70301</v>
          </cell>
          <cell r="B552" t="str">
            <v>Computer Software</v>
          </cell>
          <cell r="E552">
            <v>0</v>
          </cell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</row>
        <row r="553">
          <cell r="A553">
            <v>70302</v>
          </cell>
          <cell r="B553" t="str">
            <v>Computer Supplies</v>
          </cell>
          <cell r="E553">
            <v>0</v>
          </cell>
          <cell r="F553">
            <v>145.26</v>
          </cell>
          <cell r="G553">
            <v>231.28</v>
          </cell>
          <cell r="H553">
            <v>0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  <cell r="M553">
            <v>0</v>
          </cell>
          <cell r="N553">
            <v>1365.11</v>
          </cell>
          <cell r="O553">
            <v>-1365.11</v>
          </cell>
          <cell r="P553">
            <v>187.29</v>
          </cell>
          <cell r="Q553">
            <v>563.82999999999993</v>
          </cell>
        </row>
        <row r="554">
          <cell r="A554">
            <v>70310</v>
          </cell>
          <cell r="B554" t="str">
            <v>Bad Debt Provision</v>
          </cell>
          <cell r="E554">
            <v>59587.53</v>
          </cell>
          <cell r="F554">
            <v>-42181.27</v>
          </cell>
          <cell r="G554">
            <v>26327.15</v>
          </cell>
          <cell r="H554">
            <v>-23518.21</v>
          </cell>
          <cell r="I554">
            <v>45403.42</v>
          </cell>
          <cell r="J554">
            <v>-30919.22</v>
          </cell>
          <cell r="K554">
            <v>58231.48</v>
          </cell>
          <cell r="L554">
            <v>-42566.26</v>
          </cell>
          <cell r="M554">
            <v>51551.54</v>
          </cell>
          <cell r="N554">
            <v>-30438.81</v>
          </cell>
          <cell r="O554">
            <v>61503.66</v>
          </cell>
          <cell r="P554">
            <v>-32663.45</v>
          </cell>
          <cell r="Q554">
            <v>100317.56000000001</v>
          </cell>
        </row>
        <row r="555">
          <cell r="A555">
            <v>70315</v>
          </cell>
          <cell r="B555" t="str">
            <v>Bad Debt Recoveries</v>
          </cell>
          <cell r="E555">
            <v>0</v>
          </cell>
          <cell r="F555">
            <v>0</v>
          </cell>
          <cell r="G555">
            <v>0</v>
          </cell>
          <cell r="H555">
            <v>0</v>
          </cell>
          <cell r="I555">
            <v>0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</row>
        <row r="556">
          <cell r="A556">
            <v>70320</v>
          </cell>
          <cell r="B556" t="str">
            <v>Credit and Collection</v>
          </cell>
          <cell r="E556">
            <v>6202.09</v>
          </cell>
          <cell r="F556">
            <v>-976.61</v>
          </cell>
          <cell r="G556">
            <v>5260.16</v>
          </cell>
          <cell r="H556">
            <v>-803.96</v>
          </cell>
          <cell r="I556">
            <v>1871.95</v>
          </cell>
          <cell r="J556">
            <v>1067.25</v>
          </cell>
          <cell r="K556">
            <v>1589.22</v>
          </cell>
          <cell r="L556">
            <v>936.71</v>
          </cell>
          <cell r="M556">
            <v>1051.27</v>
          </cell>
          <cell r="N556">
            <v>482.15</v>
          </cell>
          <cell r="O556">
            <v>1946.37</v>
          </cell>
          <cell r="P556">
            <v>5166.42</v>
          </cell>
          <cell r="Q556">
            <v>23793.020000000004</v>
          </cell>
        </row>
        <row r="557">
          <cell r="A557">
            <v>70324</v>
          </cell>
          <cell r="B557" t="str">
            <v>Penalties and Violations</v>
          </cell>
          <cell r="E557">
            <v>0</v>
          </cell>
          <cell r="F557">
            <v>0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</row>
        <row r="558">
          <cell r="A558">
            <v>70325</v>
          </cell>
          <cell r="B558" t="str">
            <v>Legal Settlement Payments</v>
          </cell>
          <cell r="E558">
            <v>0</v>
          </cell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</row>
        <row r="559">
          <cell r="A559">
            <v>70326</v>
          </cell>
          <cell r="B559" t="str">
            <v>Deductible Current Year</v>
          </cell>
          <cell r="E559">
            <v>0</v>
          </cell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</row>
        <row r="560">
          <cell r="A560">
            <v>70327</v>
          </cell>
          <cell r="B560" t="str">
            <v>Deductible Dammage</v>
          </cell>
          <cell r="E560">
            <v>0</v>
          </cell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</row>
        <row r="561">
          <cell r="A561">
            <v>70328</v>
          </cell>
          <cell r="B561" t="str">
            <v>Claim Recoveries</v>
          </cell>
          <cell r="E561">
            <v>0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</row>
        <row r="562">
          <cell r="A562">
            <v>70330</v>
          </cell>
          <cell r="B562" t="str">
            <v>Deductible Prior Year</v>
          </cell>
          <cell r="E562">
            <v>0</v>
          </cell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</row>
        <row r="563">
          <cell r="A563">
            <v>70335</v>
          </cell>
          <cell r="B563" t="str">
            <v>Miscellaneous</v>
          </cell>
          <cell r="E563">
            <v>0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</row>
        <row r="564">
          <cell r="A564">
            <v>70336</v>
          </cell>
          <cell r="B564" t="str">
            <v>Coffe Bar</v>
          </cell>
          <cell r="E564">
            <v>0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</row>
        <row r="565">
          <cell r="A565">
            <v>70345</v>
          </cell>
          <cell r="B565" t="str">
            <v>Security Services</v>
          </cell>
          <cell r="E565">
            <v>0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</row>
        <row r="566">
          <cell r="A566">
            <v>70357</v>
          </cell>
          <cell r="B566" t="str">
            <v>Permits</v>
          </cell>
          <cell r="E566">
            <v>0</v>
          </cell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</row>
        <row r="567">
          <cell r="A567">
            <v>70370</v>
          </cell>
          <cell r="B567" t="str">
            <v>Bonds Expense</v>
          </cell>
          <cell r="E567">
            <v>0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</row>
        <row r="568">
          <cell r="A568">
            <v>70371</v>
          </cell>
          <cell r="B568" t="str">
            <v>Board of Directors Fees</v>
          </cell>
          <cell r="E568">
            <v>0</v>
          </cell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</row>
        <row r="569">
          <cell r="A569">
            <v>70372</v>
          </cell>
          <cell r="B569" t="str">
            <v>Board of Directors Expense Report</v>
          </cell>
          <cell r="E569">
            <v>0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</row>
        <row r="570">
          <cell r="A570">
            <v>70475</v>
          </cell>
          <cell r="B570" t="str">
            <v>Trade Shows</v>
          </cell>
          <cell r="E570">
            <v>0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</row>
        <row r="571">
          <cell r="A571">
            <v>70900</v>
          </cell>
          <cell r="B571" t="str">
            <v>Entitiy Formation Costs</v>
          </cell>
          <cell r="E571">
            <v>0</v>
          </cell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</row>
        <row r="572">
          <cell r="A572">
            <v>70998</v>
          </cell>
          <cell r="B572" t="str">
            <v>Allocation Out - District</v>
          </cell>
          <cell r="E572">
            <v>0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</row>
        <row r="573">
          <cell r="A573">
            <v>70999</v>
          </cell>
          <cell r="B573" t="str">
            <v>Allocation Out - Out District</v>
          </cell>
          <cell r="E573">
            <v>0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</row>
        <row r="574">
          <cell r="A574">
            <v>71000</v>
          </cell>
          <cell r="B574" t="str">
            <v>Stock Comp Expense</v>
          </cell>
          <cell r="E574">
            <v>0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</row>
        <row r="575">
          <cell r="A575" t="str">
            <v>Total G&amp;A</v>
          </cell>
          <cell r="E575">
            <v>207906.74000000002</v>
          </cell>
          <cell r="F575">
            <v>66798.010000000024</v>
          </cell>
          <cell r="G575">
            <v>161263.80000000002</v>
          </cell>
          <cell r="H575">
            <v>86311.12999999999</v>
          </cell>
          <cell r="I575">
            <v>177403</v>
          </cell>
          <cell r="J575">
            <v>90607.349999999991</v>
          </cell>
          <cell r="K575">
            <v>198820.07000000004</v>
          </cell>
          <cell r="L575">
            <v>89006.530000000013</v>
          </cell>
          <cell r="M575">
            <v>188289.78000000003</v>
          </cell>
          <cell r="N575">
            <v>72891.83</v>
          </cell>
          <cell r="O575">
            <v>194697.06000000006</v>
          </cell>
          <cell r="P575">
            <v>96799.019999999931</v>
          </cell>
          <cell r="Q575">
            <v>1630794.3199999996</v>
          </cell>
        </row>
        <row r="577">
          <cell r="A577" t="str">
            <v>Overhead</v>
          </cell>
        </row>
        <row r="578">
          <cell r="A578">
            <v>70149</v>
          </cell>
          <cell r="B578" t="str">
            <v>Corporate Overhead Allocation In</v>
          </cell>
          <cell r="E578">
            <v>55340.22</v>
          </cell>
          <cell r="F578">
            <v>54315.21</v>
          </cell>
          <cell r="G578">
            <v>54439.91</v>
          </cell>
          <cell r="H578">
            <v>55653.47</v>
          </cell>
          <cell r="I578">
            <v>54826.44</v>
          </cell>
          <cell r="J578">
            <v>55802.53</v>
          </cell>
          <cell r="K578">
            <v>55353.69</v>
          </cell>
          <cell r="L578">
            <v>57179.64</v>
          </cell>
          <cell r="M578">
            <v>55296.08</v>
          </cell>
          <cell r="N578">
            <v>55281.99</v>
          </cell>
          <cell r="O578">
            <v>54995.29</v>
          </cell>
          <cell r="P578">
            <v>55389.94</v>
          </cell>
          <cell r="Q578">
            <v>663874.41000000015</v>
          </cell>
        </row>
        <row r="579">
          <cell r="A579">
            <v>70159</v>
          </cell>
          <cell r="B579" t="str">
            <v>Region Overhead Allocation In</v>
          </cell>
          <cell r="E579">
            <v>0</v>
          </cell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</row>
        <row r="580">
          <cell r="A580" t="str">
            <v>Total Overhead</v>
          </cell>
          <cell r="E580">
            <v>55340.22</v>
          </cell>
          <cell r="F580">
            <v>54315.21</v>
          </cell>
          <cell r="G580">
            <v>54439.91</v>
          </cell>
          <cell r="H580">
            <v>55653.47</v>
          </cell>
          <cell r="I580">
            <v>54826.44</v>
          </cell>
          <cell r="J580">
            <v>55802.53</v>
          </cell>
          <cell r="K580">
            <v>55353.69</v>
          </cell>
          <cell r="L580">
            <v>57179.64</v>
          </cell>
          <cell r="M580">
            <v>55296.08</v>
          </cell>
          <cell r="N580">
            <v>55281.99</v>
          </cell>
          <cell r="O580">
            <v>54995.29</v>
          </cell>
          <cell r="P580">
            <v>55389.94</v>
          </cell>
          <cell r="Q580">
            <v>663874.41000000015</v>
          </cell>
        </row>
        <row r="582">
          <cell r="A582" t="str">
            <v>Total SG&amp;A</v>
          </cell>
          <cell r="E582">
            <v>263246.96000000002</v>
          </cell>
          <cell r="F582">
            <v>121113.22000000003</v>
          </cell>
          <cell r="G582">
            <v>215703.71000000002</v>
          </cell>
          <cell r="H582">
            <v>141964.59999999998</v>
          </cell>
          <cell r="I582">
            <v>232229.44</v>
          </cell>
          <cell r="J582">
            <v>146409.88</v>
          </cell>
          <cell r="K582">
            <v>254173.76000000004</v>
          </cell>
          <cell r="L582">
            <v>146186.17000000001</v>
          </cell>
          <cell r="M582">
            <v>243585.86000000004</v>
          </cell>
          <cell r="N582">
            <v>128173.82</v>
          </cell>
          <cell r="O582">
            <v>249692.35000000006</v>
          </cell>
          <cell r="P582">
            <v>155426.55999999994</v>
          </cell>
          <cell r="Q582">
            <v>2297906.3299999996</v>
          </cell>
        </row>
        <row r="584">
          <cell r="A584" t="str">
            <v>EBITDA</v>
          </cell>
          <cell r="E584">
            <v>20388.780000000086</v>
          </cell>
          <cell r="F584">
            <v>275898.64999999997</v>
          </cell>
          <cell r="G584">
            <v>77705.549999999872</v>
          </cell>
          <cell r="H584">
            <v>153218.83000000007</v>
          </cell>
          <cell r="I584">
            <v>139863.27999999974</v>
          </cell>
          <cell r="J584">
            <v>204338.71000000008</v>
          </cell>
          <cell r="K584">
            <v>93342.360000000015</v>
          </cell>
          <cell r="L584">
            <v>241833.84</v>
          </cell>
          <cell r="M584">
            <v>134242.65999999997</v>
          </cell>
          <cell r="N584">
            <v>254051.7099999999</v>
          </cell>
          <cell r="O584">
            <v>61738.860000000132</v>
          </cell>
          <cell r="P584">
            <v>151328.35999999987</v>
          </cell>
          <cell r="Q584">
            <v>1807951.5899999957</v>
          </cell>
        </row>
        <row r="586">
          <cell r="A586" t="str">
            <v>DD&amp;A</v>
          </cell>
        </row>
        <row r="587">
          <cell r="A587" t="str">
            <v>Depreciation</v>
          </cell>
        </row>
        <row r="588">
          <cell r="A588">
            <v>51260</v>
          </cell>
          <cell r="B588" t="str">
            <v>Depreciation</v>
          </cell>
          <cell r="E588">
            <v>49490.6</v>
          </cell>
          <cell r="F588">
            <v>49625.87</v>
          </cell>
          <cell r="G588">
            <v>49625.95</v>
          </cell>
          <cell r="H588">
            <v>49620.11</v>
          </cell>
          <cell r="I588">
            <v>49620.2</v>
          </cell>
          <cell r="J588">
            <v>48737.05</v>
          </cell>
          <cell r="K588">
            <v>48736.639999999999</v>
          </cell>
          <cell r="L588">
            <v>47681.86</v>
          </cell>
          <cell r="M588">
            <v>47682.18</v>
          </cell>
          <cell r="N588">
            <v>47681.87</v>
          </cell>
          <cell r="O588">
            <v>47328.05</v>
          </cell>
          <cell r="P588">
            <v>47849.53</v>
          </cell>
          <cell r="Q588">
            <v>583679.91</v>
          </cell>
        </row>
        <row r="589">
          <cell r="A589">
            <v>54260</v>
          </cell>
          <cell r="B589" t="str">
            <v>Depreciation</v>
          </cell>
          <cell r="E589">
            <v>11933.53</v>
          </cell>
          <cell r="F589">
            <v>11933.51</v>
          </cell>
          <cell r="G589">
            <v>11933.4</v>
          </cell>
          <cell r="H589">
            <v>11933.26</v>
          </cell>
          <cell r="I589">
            <v>11933.49</v>
          </cell>
          <cell r="J589">
            <v>11933.83</v>
          </cell>
          <cell r="K589">
            <v>11932.86</v>
          </cell>
          <cell r="L589">
            <v>11933.32</v>
          </cell>
          <cell r="M589">
            <v>11933.62</v>
          </cell>
          <cell r="N589">
            <v>11933.41</v>
          </cell>
          <cell r="O589">
            <v>11933.19</v>
          </cell>
          <cell r="P589">
            <v>11933.37</v>
          </cell>
          <cell r="Q589">
            <v>143200.79</v>
          </cell>
        </row>
        <row r="590">
          <cell r="A590">
            <v>56260</v>
          </cell>
          <cell r="B590" t="str">
            <v>Depreciation</v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</row>
        <row r="591">
          <cell r="A591">
            <v>57260</v>
          </cell>
          <cell r="B591" t="str">
            <v>Depreciation</v>
          </cell>
          <cell r="E591">
            <v>2414.64</v>
          </cell>
          <cell r="F591">
            <v>2414.6799999999998</v>
          </cell>
          <cell r="G591">
            <v>2414.64</v>
          </cell>
          <cell r="H591">
            <v>2441.84</v>
          </cell>
          <cell r="I591">
            <v>2441.87</v>
          </cell>
          <cell r="J591">
            <v>2441.86</v>
          </cell>
          <cell r="K591">
            <v>2441.83</v>
          </cell>
          <cell r="L591">
            <v>2503.59</v>
          </cell>
          <cell r="M591">
            <v>2503.59</v>
          </cell>
          <cell r="N591">
            <v>3307.76</v>
          </cell>
          <cell r="O591">
            <v>3318.13</v>
          </cell>
          <cell r="P591">
            <v>3312.93</v>
          </cell>
          <cell r="Q591">
            <v>31957.360000000004</v>
          </cell>
        </row>
        <row r="592">
          <cell r="A592">
            <v>60260</v>
          </cell>
          <cell r="B592" t="str">
            <v>Depreciation</v>
          </cell>
          <cell r="E592">
            <v>0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</row>
        <row r="593">
          <cell r="A593">
            <v>70257</v>
          </cell>
          <cell r="B593" t="str">
            <v>Depreciation</v>
          </cell>
          <cell r="E593">
            <v>0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</row>
        <row r="594">
          <cell r="A594">
            <v>70260</v>
          </cell>
          <cell r="B594" t="str">
            <v>Depreciation</v>
          </cell>
          <cell r="E594">
            <v>1532.42</v>
          </cell>
          <cell r="F594">
            <v>1532.4</v>
          </cell>
          <cell r="G594">
            <v>1532.42</v>
          </cell>
          <cell r="H594">
            <v>1459.5</v>
          </cell>
          <cell r="I594">
            <v>1459.49</v>
          </cell>
          <cell r="J594">
            <v>1422.66</v>
          </cell>
          <cell r="K594">
            <v>1422.61</v>
          </cell>
          <cell r="L594">
            <v>1422.6</v>
          </cell>
          <cell r="M594">
            <v>1422.64</v>
          </cell>
          <cell r="N594">
            <v>1422.61</v>
          </cell>
          <cell r="O594">
            <v>1422.62</v>
          </cell>
          <cell r="P594">
            <v>1595.38</v>
          </cell>
          <cell r="Q594">
            <v>17647.350000000002</v>
          </cell>
        </row>
        <row r="595">
          <cell r="A595" t="str">
            <v>Total Depreciation</v>
          </cell>
          <cell r="E595">
            <v>65371.189999999995</v>
          </cell>
          <cell r="F595">
            <v>65506.460000000006</v>
          </cell>
          <cell r="G595">
            <v>65506.409999999996</v>
          </cell>
          <cell r="H595">
            <v>65454.710000000006</v>
          </cell>
          <cell r="I595">
            <v>65455.049999999996</v>
          </cell>
          <cell r="J595">
            <v>64535.400000000009</v>
          </cell>
          <cell r="K595">
            <v>64533.94</v>
          </cell>
          <cell r="L595">
            <v>63541.37</v>
          </cell>
          <cell r="M595">
            <v>63542.03</v>
          </cell>
          <cell r="N595">
            <v>64345.65</v>
          </cell>
          <cell r="O595">
            <v>64001.990000000005</v>
          </cell>
          <cell r="P595">
            <v>64691.21</v>
          </cell>
          <cell r="Q595">
            <v>776485.41</v>
          </cell>
        </row>
        <row r="597">
          <cell r="A597" t="str">
            <v>Depletion</v>
          </cell>
        </row>
        <row r="598">
          <cell r="A598">
            <v>46000</v>
          </cell>
          <cell r="B598" t="str">
            <v>Depletion</v>
          </cell>
          <cell r="E598">
            <v>0</v>
          </cell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</row>
        <row r="599">
          <cell r="A599">
            <v>46010</v>
          </cell>
          <cell r="B599" t="str">
            <v>Closure Amortization</v>
          </cell>
          <cell r="E599">
            <v>0</v>
          </cell>
          <cell r="F599">
            <v>0</v>
          </cell>
          <cell r="G599">
            <v>0</v>
          </cell>
          <cell r="H599">
            <v>0</v>
          </cell>
          <cell r="I599">
            <v>0</v>
          </cell>
          <cell r="J599">
            <v>0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</row>
        <row r="600">
          <cell r="A600">
            <v>57261</v>
          </cell>
          <cell r="B600" t="str">
            <v>Airspace Amortization</v>
          </cell>
          <cell r="E600">
            <v>0</v>
          </cell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</row>
        <row r="601">
          <cell r="A601" t="str">
            <v>Total Depletion</v>
          </cell>
          <cell r="E601">
            <v>0</v>
          </cell>
          <cell r="F601">
            <v>0</v>
          </cell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</row>
        <row r="603">
          <cell r="A603" t="str">
            <v>Amortization</v>
          </cell>
        </row>
        <row r="604">
          <cell r="A604">
            <v>70264</v>
          </cell>
          <cell r="B604" t="str">
            <v>Amortization</v>
          </cell>
          <cell r="E604">
            <v>0</v>
          </cell>
          <cell r="F604">
            <v>0</v>
          </cell>
          <cell r="G604">
            <v>0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</row>
        <row r="605">
          <cell r="A605">
            <v>70266</v>
          </cell>
          <cell r="B605" t="str">
            <v>Cov. Not to Compete</v>
          </cell>
          <cell r="E605">
            <v>0</v>
          </cell>
          <cell r="F605">
            <v>0</v>
          </cell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</row>
        <row r="606">
          <cell r="A606">
            <v>70267</v>
          </cell>
          <cell r="B606" t="str">
            <v>Amortization of Goodwill - Taxable</v>
          </cell>
          <cell r="E606">
            <v>0</v>
          </cell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</row>
        <row r="607">
          <cell r="A607">
            <v>70268</v>
          </cell>
          <cell r="B607" t="str">
            <v>Amortization of Goodwill - Non-Taxable</v>
          </cell>
          <cell r="E607">
            <v>0</v>
          </cell>
          <cell r="F607">
            <v>0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</row>
        <row r="608">
          <cell r="A608">
            <v>70269</v>
          </cell>
          <cell r="B608" t="str">
            <v>Long Term Contract Amort</v>
          </cell>
          <cell r="E608">
            <v>0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</row>
        <row r="609">
          <cell r="A609" t="str">
            <v>Total Amortization</v>
          </cell>
          <cell r="E609">
            <v>0</v>
          </cell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</row>
        <row r="611">
          <cell r="A611" t="str">
            <v>Total DDA</v>
          </cell>
          <cell r="E611">
            <v>65371.189999999995</v>
          </cell>
          <cell r="F611">
            <v>65506.460000000006</v>
          </cell>
          <cell r="G611">
            <v>65506.409999999996</v>
          </cell>
          <cell r="H611">
            <v>65454.710000000006</v>
          </cell>
          <cell r="I611">
            <v>65455.049999999996</v>
          </cell>
          <cell r="J611">
            <v>64535.400000000009</v>
          </cell>
          <cell r="K611">
            <v>64533.94</v>
          </cell>
          <cell r="L611">
            <v>63541.37</v>
          </cell>
          <cell r="M611">
            <v>63542.03</v>
          </cell>
          <cell r="N611">
            <v>64345.65</v>
          </cell>
          <cell r="O611">
            <v>64001.990000000005</v>
          </cell>
          <cell r="P611">
            <v>64691.21</v>
          </cell>
          <cell r="Q611">
            <v>776485.41</v>
          </cell>
        </row>
        <row r="613">
          <cell r="A613" t="str">
            <v>EBIT</v>
          </cell>
          <cell r="E613">
            <v>-44982.409999999909</v>
          </cell>
          <cell r="F613">
            <v>210392.18999999994</v>
          </cell>
          <cell r="G613">
            <v>12199.139999999876</v>
          </cell>
          <cell r="H613">
            <v>87764.120000000068</v>
          </cell>
          <cell r="I613">
            <v>74408.229999999749</v>
          </cell>
          <cell r="J613">
            <v>139803.31000000006</v>
          </cell>
          <cell r="K613">
            <v>28808.420000000013</v>
          </cell>
          <cell r="L613">
            <v>178292.47</v>
          </cell>
          <cell r="M613">
            <v>70700.629999999976</v>
          </cell>
          <cell r="N613">
            <v>189706.05999999991</v>
          </cell>
          <cell r="O613">
            <v>-2263.1299999998737</v>
          </cell>
          <cell r="P613">
            <v>86637.149999999878</v>
          </cell>
          <cell r="Q613">
            <v>1031466.1799999956</v>
          </cell>
        </row>
        <row r="615">
          <cell r="A615" t="str">
            <v>Interest Expense</v>
          </cell>
        </row>
        <row r="616">
          <cell r="A616">
            <v>80000</v>
          </cell>
          <cell r="B616" t="str">
            <v>Interest Expense</v>
          </cell>
          <cell r="E616">
            <v>0</v>
          </cell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</row>
        <row r="617">
          <cell r="A617">
            <v>80001</v>
          </cell>
          <cell r="B617" t="str">
            <v>Debt Accretion</v>
          </cell>
          <cell r="E617">
            <v>0</v>
          </cell>
          <cell r="F617">
            <v>0</v>
          </cell>
          <cell r="G617">
            <v>0</v>
          </cell>
          <cell r="H617">
            <v>0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</row>
        <row r="618">
          <cell r="A618">
            <v>80009</v>
          </cell>
          <cell r="B618" t="str">
            <v>Capitalized Interest</v>
          </cell>
          <cell r="E618">
            <v>0</v>
          </cell>
          <cell r="F618">
            <v>0</v>
          </cell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</row>
        <row r="619">
          <cell r="A619">
            <v>80099</v>
          </cell>
          <cell r="B619" t="str">
            <v>Interest Allocation</v>
          </cell>
          <cell r="E619">
            <v>0</v>
          </cell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</row>
        <row r="620">
          <cell r="A620" t="str">
            <v>Total Interest Expense</v>
          </cell>
          <cell r="E620">
            <v>0</v>
          </cell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</row>
        <row r="622">
          <cell r="A622" t="str">
            <v>Interest Income</v>
          </cell>
        </row>
        <row r="623">
          <cell r="A623">
            <v>80010</v>
          </cell>
          <cell r="B623" t="str">
            <v>Interest Income</v>
          </cell>
          <cell r="E623">
            <v>0</v>
          </cell>
          <cell r="F623">
            <v>0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</row>
        <row r="624">
          <cell r="A624" t="str">
            <v>Total Interest Income</v>
          </cell>
          <cell r="E624">
            <v>0</v>
          </cell>
          <cell r="F624">
            <v>0</v>
          </cell>
          <cell r="G624">
            <v>0</v>
          </cell>
          <cell r="H624">
            <v>0</v>
          </cell>
          <cell r="I624">
            <v>0</v>
          </cell>
          <cell r="J624">
            <v>0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</row>
        <row r="626">
          <cell r="A626" t="str">
            <v>Other (Income) and Expense</v>
          </cell>
        </row>
        <row r="627">
          <cell r="A627">
            <v>70901</v>
          </cell>
          <cell r="B627" t="str">
            <v>Pooling Costs</v>
          </cell>
          <cell r="E627">
            <v>0</v>
          </cell>
          <cell r="F627">
            <v>0</v>
          </cell>
          <cell r="G627">
            <v>0</v>
          </cell>
          <cell r="H627">
            <v>0</v>
          </cell>
          <cell r="I627">
            <v>0</v>
          </cell>
          <cell r="J627">
            <v>0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</row>
        <row r="628">
          <cell r="A628">
            <v>91000</v>
          </cell>
          <cell r="B628" t="str">
            <v>Unusual Gain/Loss</v>
          </cell>
          <cell r="E628">
            <v>0</v>
          </cell>
          <cell r="F628">
            <v>0</v>
          </cell>
          <cell r="G628">
            <v>0</v>
          </cell>
          <cell r="H628">
            <v>0</v>
          </cell>
          <cell r="I628">
            <v>0</v>
          </cell>
          <cell r="J628">
            <v>0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</row>
        <row r="629">
          <cell r="A629">
            <v>91001</v>
          </cell>
          <cell r="B629" t="str">
            <v>Investment Distribution Income</v>
          </cell>
          <cell r="E629">
            <v>0</v>
          </cell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</row>
        <row r="630">
          <cell r="A630">
            <v>91002</v>
          </cell>
          <cell r="B630" t="str">
            <v>NSF Fees</v>
          </cell>
          <cell r="E630">
            <v>0</v>
          </cell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</row>
        <row r="631">
          <cell r="A631" t="str">
            <v>Total Other (Income) and Expense</v>
          </cell>
          <cell r="E631">
            <v>0</v>
          </cell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</row>
        <row r="633">
          <cell r="A633" t="str">
            <v>Income Before Taxes and Extraordinary Items</v>
          </cell>
          <cell r="E633">
            <v>-44982.409999999909</v>
          </cell>
          <cell r="F633">
            <v>210392.18999999994</v>
          </cell>
          <cell r="G633">
            <v>12199.139999999876</v>
          </cell>
          <cell r="H633">
            <v>87764.120000000068</v>
          </cell>
          <cell r="I633">
            <v>74408.229999999749</v>
          </cell>
          <cell r="J633">
            <v>139803.31000000006</v>
          </cell>
          <cell r="K633">
            <v>28808.420000000013</v>
          </cell>
          <cell r="L633">
            <v>178292.47</v>
          </cell>
          <cell r="M633">
            <v>70700.629999999976</v>
          </cell>
          <cell r="N633">
            <v>189706.05999999991</v>
          </cell>
          <cell r="O633">
            <v>-2263.1299999998737</v>
          </cell>
          <cell r="P633">
            <v>86637.149999999878</v>
          </cell>
          <cell r="Q633">
            <v>1031466.1799999956</v>
          </cell>
        </row>
        <row r="635">
          <cell r="A635" t="str">
            <v>Extraordinary Income and Expense</v>
          </cell>
        </row>
        <row r="636">
          <cell r="A636">
            <v>92999</v>
          </cell>
          <cell r="B636" t="str">
            <v>Extraordinary Gain/Loss</v>
          </cell>
          <cell r="E636">
            <v>0</v>
          </cell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</row>
        <row r="637">
          <cell r="A637" t="str">
            <v>Total Extraordinary Income and Expense</v>
          </cell>
          <cell r="E637">
            <v>0</v>
          </cell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</row>
        <row r="639">
          <cell r="A639" t="str">
            <v>Net Income Before Taxes</v>
          </cell>
          <cell r="E639">
            <v>-44982.409999999909</v>
          </cell>
          <cell r="F639">
            <v>210392.18999999994</v>
          </cell>
          <cell r="G639">
            <v>12199.139999999876</v>
          </cell>
          <cell r="H639">
            <v>87764.120000000068</v>
          </cell>
          <cell r="I639">
            <v>74408.229999999749</v>
          </cell>
          <cell r="J639">
            <v>139803.31000000006</v>
          </cell>
          <cell r="K639">
            <v>28808.420000000013</v>
          </cell>
          <cell r="L639">
            <v>178292.47</v>
          </cell>
          <cell r="M639">
            <v>70700.629999999976</v>
          </cell>
          <cell r="N639">
            <v>189706.05999999991</v>
          </cell>
          <cell r="O639">
            <v>-2263.1299999998737</v>
          </cell>
          <cell r="P639">
            <v>86637.149999999878</v>
          </cell>
          <cell r="Q639">
            <v>1031466.1799999956</v>
          </cell>
        </row>
        <row r="641">
          <cell r="A641" t="str">
            <v>Income Taxes</v>
          </cell>
        </row>
        <row r="642">
          <cell r="A642">
            <v>90000</v>
          </cell>
          <cell r="B642" t="str">
            <v>Taxes -Federal</v>
          </cell>
          <cell r="E642">
            <v>0</v>
          </cell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</row>
        <row r="643">
          <cell r="A643">
            <v>90010</v>
          </cell>
          <cell r="B643" t="str">
            <v>Taxes - State</v>
          </cell>
          <cell r="E643">
            <v>0</v>
          </cell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</row>
        <row r="644">
          <cell r="A644" t="str">
            <v>Total Income Taxes</v>
          </cell>
          <cell r="E644">
            <v>0</v>
          </cell>
          <cell r="F644">
            <v>0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</row>
        <row r="646">
          <cell r="A646" t="str">
            <v>Net Income</v>
          </cell>
          <cell r="E646">
            <v>-44982.409999999909</v>
          </cell>
          <cell r="F646">
            <v>210392.18999999994</v>
          </cell>
          <cell r="G646">
            <v>12199.139999999876</v>
          </cell>
          <cell r="H646">
            <v>87764.120000000068</v>
          </cell>
          <cell r="I646">
            <v>74408.229999999749</v>
          </cell>
          <cell r="J646">
            <v>139803.31000000006</v>
          </cell>
          <cell r="K646">
            <v>28808.420000000013</v>
          </cell>
          <cell r="L646">
            <v>178292.47</v>
          </cell>
          <cell r="M646">
            <v>70700.629999999976</v>
          </cell>
          <cell r="N646">
            <v>189706.05999999991</v>
          </cell>
          <cell r="O646">
            <v>-2263.1299999998737</v>
          </cell>
          <cell r="P646">
            <v>86637.149999999878</v>
          </cell>
          <cell r="Q646">
            <v>1031466.1799999956</v>
          </cell>
        </row>
        <row r="648">
          <cell r="A648" t="str">
            <v>Noncontrolling Interests Expense</v>
          </cell>
        </row>
        <row r="649">
          <cell r="A649">
            <v>92000</v>
          </cell>
          <cell r="B649" t="str">
            <v>Noncontrolling interests</v>
          </cell>
          <cell r="E649">
            <v>0</v>
          </cell>
          <cell r="F649">
            <v>0</v>
          </cell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</row>
        <row r="650">
          <cell r="A650" t="str">
            <v>Total Noncontrolling Interests</v>
          </cell>
          <cell r="E650">
            <v>0</v>
          </cell>
          <cell r="F650">
            <v>0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</row>
        <row r="652">
          <cell r="A652" t="str">
            <v>Net Income Attributable to Waste Connections</v>
          </cell>
          <cell r="E652">
            <v>-44982.409999999909</v>
          </cell>
          <cell r="F652">
            <v>210392.18999999994</v>
          </cell>
          <cell r="G652">
            <v>12199.139999999876</v>
          </cell>
          <cell r="H652">
            <v>87764.120000000068</v>
          </cell>
          <cell r="I652">
            <v>74408.229999999749</v>
          </cell>
          <cell r="J652">
            <v>139803.31000000006</v>
          </cell>
          <cell r="K652">
            <v>28808.420000000013</v>
          </cell>
          <cell r="L652">
            <v>178292.47</v>
          </cell>
          <cell r="M652">
            <v>70700.629999999976</v>
          </cell>
          <cell r="N652">
            <v>189706.05999999991</v>
          </cell>
          <cell r="O652">
            <v>-2263.1299999998737</v>
          </cell>
          <cell r="P652">
            <v>86637.149999999878</v>
          </cell>
          <cell r="Q652">
            <v>1031466.1799999956</v>
          </cell>
        </row>
        <row r="654">
          <cell r="A654" t="str">
            <v>Net Income Attributable to Waste Connections per categories</v>
          </cell>
          <cell r="E654">
            <v>-44982.41</v>
          </cell>
          <cell r="F654">
            <v>210392.19</v>
          </cell>
          <cell r="G654">
            <v>12199.14</v>
          </cell>
          <cell r="H654">
            <v>87764.12</v>
          </cell>
          <cell r="I654">
            <v>74408.23</v>
          </cell>
          <cell r="J654">
            <v>139803.31</v>
          </cell>
          <cell r="K654">
            <v>28808.42</v>
          </cell>
          <cell r="L654">
            <v>178292.47</v>
          </cell>
          <cell r="M654">
            <v>70700.63</v>
          </cell>
          <cell r="N654">
            <v>189706.06</v>
          </cell>
          <cell r="O654">
            <v>-2263.13</v>
          </cell>
          <cell r="P654">
            <v>86637.15</v>
          </cell>
        </row>
      </sheetData>
      <sheetData sheetId="5" refreshError="1">
        <row r="12">
          <cell r="A12" t="str">
            <v>Revenue</v>
          </cell>
        </row>
        <row r="13">
          <cell r="A13" t="str">
            <v>Hauling</v>
          </cell>
        </row>
        <row r="14">
          <cell r="A14">
            <v>31000</v>
          </cell>
          <cell r="B14" t="str">
            <v>Hauling Revenue - Roll Off Permanent</v>
          </cell>
          <cell r="E14">
            <v>102444.08</v>
          </cell>
          <cell r="F14">
            <v>106574.9</v>
          </cell>
          <cell r="G14">
            <v>117486.29</v>
          </cell>
          <cell r="H14">
            <v>113663.22</v>
          </cell>
          <cell r="I14">
            <v>107537.52</v>
          </cell>
          <cell r="J14">
            <v>118709.91</v>
          </cell>
          <cell r="K14">
            <v>120424.95</v>
          </cell>
          <cell r="L14">
            <v>126593.49</v>
          </cell>
          <cell r="M14">
            <v>117849.49</v>
          </cell>
          <cell r="N14">
            <v>117031.26</v>
          </cell>
          <cell r="O14">
            <v>112018.5</v>
          </cell>
          <cell r="P14">
            <v>117369.28</v>
          </cell>
          <cell r="Q14">
            <v>1377702.89</v>
          </cell>
        </row>
        <row r="15">
          <cell r="A15">
            <v>31001</v>
          </cell>
          <cell r="B15" t="str">
            <v>Hauling Revenue - Roll Off Temporary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</row>
        <row r="16">
          <cell r="A16">
            <v>31002</v>
          </cell>
          <cell r="B16" t="str">
            <v>Hauling Revenue - Roll Off Rental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</row>
        <row r="17">
          <cell r="A17">
            <v>31003</v>
          </cell>
          <cell r="B17" t="str">
            <v>Hauling Revenue - Roll Off Compactor Ren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</row>
        <row r="18">
          <cell r="A18">
            <v>31004</v>
          </cell>
          <cell r="B18" t="str">
            <v>Hauling Revenue - Roll Off Recycling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</row>
        <row r="19">
          <cell r="A19">
            <v>31005</v>
          </cell>
          <cell r="B19" t="str">
            <v>Corporate Roll Off Disposal Charge</v>
          </cell>
          <cell r="E19">
            <v>210983.37</v>
          </cell>
          <cell r="F19">
            <v>189715.35</v>
          </cell>
          <cell r="G19">
            <v>221645.6</v>
          </cell>
          <cell r="H19">
            <v>218362.54</v>
          </cell>
          <cell r="I19">
            <v>210236.77</v>
          </cell>
          <cell r="J19">
            <v>240624.92</v>
          </cell>
          <cell r="K19">
            <v>227991.29</v>
          </cell>
          <cell r="L19">
            <v>234898.35</v>
          </cell>
          <cell r="M19">
            <v>229778.1</v>
          </cell>
          <cell r="N19">
            <v>229912.49</v>
          </cell>
          <cell r="O19">
            <v>225521.76</v>
          </cell>
          <cell r="P19">
            <v>242379.21</v>
          </cell>
          <cell r="Q19">
            <v>2682049.75</v>
          </cell>
        </row>
        <row r="20">
          <cell r="A20">
            <v>31008</v>
          </cell>
          <cell r="B20" t="str">
            <v>Hauling Revenue - Roll Off Adjustments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</row>
        <row r="21">
          <cell r="A21">
            <v>31009</v>
          </cell>
          <cell r="B21" t="str">
            <v>Hauling Revenue - Roll Off Intercompany</v>
          </cell>
          <cell r="E21">
            <v>2048.52</v>
          </cell>
          <cell r="F21">
            <v>2727.36</v>
          </cell>
          <cell r="G21">
            <v>2727.36</v>
          </cell>
          <cell r="H21">
            <v>3409.2</v>
          </cell>
          <cell r="I21">
            <v>2727.36</v>
          </cell>
          <cell r="J21">
            <v>2727.36</v>
          </cell>
          <cell r="K21">
            <v>5009.2</v>
          </cell>
          <cell r="L21">
            <v>3527.36</v>
          </cell>
          <cell r="M21">
            <v>3327.36</v>
          </cell>
          <cell r="N21">
            <v>3409.2</v>
          </cell>
          <cell r="O21">
            <v>2727.36</v>
          </cell>
          <cell r="P21">
            <v>3409.2</v>
          </cell>
          <cell r="Q21">
            <v>37776.839999999997</v>
          </cell>
        </row>
        <row r="22">
          <cell r="A22">
            <v>31010</v>
          </cell>
          <cell r="B22" t="str">
            <v>Hauling Revenue - Roll Off Extras</v>
          </cell>
          <cell r="E22">
            <v>27177.39</v>
          </cell>
          <cell r="F22">
            <v>26583.03</v>
          </cell>
          <cell r="G22">
            <v>26586.07</v>
          </cell>
          <cell r="H22">
            <v>27681.49</v>
          </cell>
          <cell r="I22">
            <v>28895.1</v>
          </cell>
          <cell r="J22">
            <v>30218.400000000001</v>
          </cell>
          <cell r="K22">
            <v>29088.41</v>
          </cell>
          <cell r="L22">
            <v>30882.48</v>
          </cell>
          <cell r="M22">
            <v>30023.54</v>
          </cell>
          <cell r="N22">
            <v>28675.83</v>
          </cell>
          <cell r="O22">
            <v>27741.67</v>
          </cell>
          <cell r="P22">
            <v>26907</v>
          </cell>
          <cell r="Q22">
            <v>340460.41</v>
          </cell>
        </row>
        <row r="23">
          <cell r="A23">
            <v>31020</v>
          </cell>
          <cell r="B23" t="str">
            <v>Hauling Revenue - Roll Off Special Waste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</row>
        <row r="24">
          <cell r="A24">
            <v>31021</v>
          </cell>
          <cell r="B24" t="str">
            <v>Hauling Revenue - Roll Off Special Waste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</row>
        <row r="25">
          <cell r="A25">
            <v>31029</v>
          </cell>
          <cell r="B25" t="str">
            <v>Hauling Revenue - Roll Off Special Waste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</row>
        <row r="26">
          <cell r="A26">
            <v>32000</v>
          </cell>
          <cell r="B26" t="str">
            <v>Hauling Revenue - Residential MSW</v>
          </cell>
          <cell r="E26">
            <v>1215495.77</v>
          </cell>
          <cell r="F26">
            <v>1200770.8</v>
          </cell>
          <cell r="G26">
            <v>1215802.44</v>
          </cell>
          <cell r="H26">
            <v>1220176.8500000001</v>
          </cell>
          <cell r="I26">
            <v>1224050.48</v>
          </cell>
          <cell r="J26">
            <v>1230237.8799999999</v>
          </cell>
          <cell r="K26">
            <v>1235768.5</v>
          </cell>
          <cell r="L26">
            <v>1230565.3500000001</v>
          </cell>
          <cell r="M26">
            <v>1233092.93</v>
          </cell>
          <cell r="N26">
            <v>1227440.83</v>
          </cell>
          <cell r="O26">
            <v>1230545.96</v>
          </cell>
          <cell r="P26">
            <v>1228126.99</v>
          </cell>
          <cell r="Q26">
            <v>14692074.779999999</v>
          </cell>
        </row>
        <row r="27">
          <cell r="A27">
            <v>32001</v>
          </cell>
          <cell r="B27" t="str">
            <v>Hauling Revenue - Residential MSW Extras</v>
          </cell>
          <cell r="E27">
            <v>29897.43</v>
          </cell>
          <cell r="F27">
            <v>23606.09</v>
          </cell>
          <cell r="G27">
            <v>37252.050000000003</v>
          </cell>
          <cell r="H27">
            <v>36299.58</v>
          </cell>
          <cell r="I27">
            <v>42698.61</v>
          </cell>
          <cell r="J27">
            <v>50366.1</v>
          </cell>
          <cell r="K27">
            <v>50649.79</v>
          </cell>
          <cell r="L27">
            <v>43300.24</v>
          </cell>
          <cell r="M27">
            <v>44830.46</v>
          </cell>
          <cell r="N27">
            <v>36083.339999999997</v>
          </cell>
          <cell r="O27">
            <v>44102.97</v>
          </cell>
          <cell r="P27">
            <v>42927.11</v>
          </cell>
          <cell r="Q27">
            <v>482013.77</v>
          </cell>
        </row>
        <row r="28">
          <cell r="A28">
            <v>32002</v>
          </cell>
          <cell r="B28" t="str">
            <v>Hauling Revenue - Residential MSW Adjust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</row>
        <row r="29">
          <cell r="A29">
            <v>32003</v>
          </cell>
          <cell r="B29" t="str">
            <v>Hauling Revenue - Residential MSW Specia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</row>
        <row r="30">
          <cell r="A30">
            <v>32009</v>
          </cell>
          <cell r="B30" t="str">
            <v>Hauling Revenue - Residential MSW Interc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</row>
        <row r="31">
          <cell r="A31">
            <v>32100</v>
          </cell>
          <cell r="B31" t="str">
            <v>Hauling Revenue - Residential Recycling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</row>
        <row r="32">
          <cell r="A32">
            <v>32101</v>
          </cell>
          <cell r="B32" t="str">
            <v>Hauling Revenue - Residential Recycling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</row>
        <row r="33">
          <cell r="A33">
            <v>32102</v>
          </cell>
          <cell r="B33" t="str">
            <v>Hauling Revenue - Residential Recycling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</row>
        <row r="34">
          <cell r="A34">
            <v>32103</v>
          </cell>
          <cell r="B34" t="str">
            <v>Hauling Revenue - Residential Recycling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</row>
        <row r="35">
          <cell r="A35">
            <v>32109</v>
          </cell>
          <cell r="B35" t="str">
            <v>Hauling Revenue - Residential Recycling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</row>
        <row r="36">
          <cell r="A36">
            <v>32110</v>
          </cell>
          <cell r="B36" t="str">
            <v>Hauling Revenue - Residential Composting</v>
          </cell>
          <cell r="E36">
            <v>232014.97</v>
          </cell>
          <cell r="F36">
            <v>232365.45</v>
          </cell>
          <cell r="G36">
            <v>257766.36</v>
          </cell>
          <cell r="H36">
            <v>270150.08</v>
          </cell>
          <cell r="I36">
            <v>281923.53999999998</v>
          </cell>
          <cell r="J36">
            <v>287780.03999999998</v>
          </cell>
          <cell r="K36">
            <v>291816.17</v>
          </cell>
          <cell r="L36">
            <v>292493.43</v>
          </cell>
          <cell r="M36">
            <v>290035.87</v>
          </cell>
          <cell r="N36">
            <v>289167.18</v>
          </cell>
          <cell r="O36">
            <v>283845.96999999997</v>
          </cell>
          <cell r="P36">
            <v>275560.67</v>
          </cell>
          <cell r="Q36">
            <v>3284919.7300000004</v>
          </cell>
        </row>
        <row r="37">
          <cell r="A37">
            <v>32111</v>
          </cell>
          <cell r="B37" t="str">
            <v>Hauling Revenue - Residential Composting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</row>
        <row r="38">
          <cell r="A38">
            <v>32112</v>
          </cell>
          <cell r="B38" t="str">
            <v>Hauling Revenue - Residential Composting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</row>
        <row r="39">
          <cell r="A39">
            <v>32113</v>
          </cell>
          <cell r="B39" t="str">
            <v>Hauling Revenue - Residential Composting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</row>
        <row r="40">
          <cell r="A40">
            <v>32119</v>
          </cell>
          <cell r="B40" t="str">
            <v>Hauling Revenue - Residential Composting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</row>
        <row r="41">
          <cell r="A41">
            <v>33000</v>
          </cell>
          <cell r="B41" t="str">
            <v>Hauling Revenue - Commercial FEL</v>
          </cell>
          <cell r="E41">
            <v>785575.03</v>
          </cell>
          <cell r="F41">
            <v>787034.21</v>
          </cell>
          <cell r="G41">
            <v>790933.58</v>
          </cell>
          <cell r="H41">
            <v>778610.72</v>
          </cell>
          <cell r="I41">
            <v>780041.46</v>
          </cell>
          <cell r="J41">
            <v>778320.61</v>
          </cell>
          <cell r="K41">
            <v>768305.23</v>
          </cell>
          <cell r="L41">
            <v>774319.69</v>
          </cell>
          <cell r="M41">
            <v>801901.87</v>
          </cell>
          <cell r="N41">
            <v>774557.42</v>
          </cell>
          <cell r="O41">
            <v>791933.57</v>
          </cell>
          <cell r="P41">
            <v>766346.74</v>
          </cell>
          <cell r="Q41">
            <v>9377880.129999999</v>
          </cell>
        </row>
        <row r="42">
          <cell r="A42">
            <v>33001</v>
          </cell>
          <cell r="B42" t="str">
            <v>Hauling Revenue - Commercial FEL Extras</v>
          </cell>
          <cell r="E42">
            <v>39516.839999999997</v>
          </cell>
          <cell r="F42">
            <v>40932.36</v>
          </cell>
          <cell r="G42">
            <v>42606.080000000002</v>
          </cell>
          <cell r="H42">
            <v>42197.16</v>
          </cell>
          <cell r="I42">
            <v>43036.11</v>
          </cell>
          <cell r="J42">
            <v>44513.7</v>
          </cell>
          <cell r="K42">
            <v>47317.760000000002</v>
          </cell>
          <cell r="L42">
            <v>46590.51</v>
          </cell>
          <cell r="M42">
            <v>43401.91</v>
          </cell>
          <cell r="N42">
            <v>44637.59</v>
          </cell>
          <cell r="O42">
            <v>43797.96</v>
          </cell>
          <cell r="P42">
            <v>45382.02</v>
          </cell>
          <cell r="Q42">
            <v>523930.00000000006</v>
          </cell>
        </row>
        <row r="43">
          <cell r="A43">
            <v>33002</v>
          </cell>
          <cell r="B43" t="str">
            <v>Hauling Revenue - Commercial FEL Adjustm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</row>
        <row r="44">
          <cell r="A44">
            <v>33009</v>
          </cell>
          <cell r="B44" t="str">
            <v>Hauling Revenue - Commercial FEL Interco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</row>
        <row r="45">
          <cell r="A45">
            <v>33010</v>
          </cell>
          <cell r="B45" t="str">
            <v>Hauling Revenue - Commercial REL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</row>
        <row r="46">
          <cell r="A46">
            <v>33011</v>
          </cell>
          <cell r="B46" t="str">
            <v>Hauling Revenue - Commercial REL Extras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</row>
        <row r="47">
          <cell r="A47">
            <v>33012</v>
          </cell>
          <cell r="B47" t="str">
            <v>Hauling Revenue - Commercial REL Adjustm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</row>
        <row r="48">
          <cell r="A48">
            <v>33019</v>
          </cell>
          <cell r="B48" t="str">
            <v>Hauling Revenue - Commercial REL Interco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</row>
        <row r="49">
          <cell r="A49">
            <v>33020</v>
          </cell>
          <cell r="B49" t="str">
            <v>Hauling Revenue - Commercial Recycling F</v>
          </cell>
          <cell r="E49">
            <v>119520.55</v>
          </cell>
          <cell r="F49">
            <v>122687.61</v>
          </cell>
          <cell r="G49">
            <v>123043.3</v>
          </cell>
          <cell r="H49">
            <v>123772.17</v>
          </cell>
          <cell r="I49">
            <v>125625.36</v>
          </cell>
          <cell r="J49">
            <v>127061.96</v>
          </cell>
          <cell r="K49">
            <v>116074.3</v>
          </cell>
          <cell r="L49">
            <v>111337.44</v>
          </cell>
          <cell r="M49">
            <v>128400.61</v>
          </cell>
          <cell r="N49">
            <v>133541.20000000001</v>
          </cell>
          <cell r="O49">
            <v>129324.87</v>
          </cell>
          <cell r="P49">
            <v>130696.08</v>
          </cell>
          <cell r="Q49">
            <v>1491085.4500000002</v>
          </cell>
        </row>
        <row r="50">
          <cell r="A50">
            <v>33021</v>
          </cell>
          <cell r="B50" t="str">
            <v>Hauling Revenue - Commercial Recycling F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</row>
        <row r="51">
          <cell r="A51">
            <v>33022</v>
          </cell>
          <cell r="B51" t="str">
            <v>Hauling Revenue - Commercial Recycling F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</row>
        <row r="52">
          <cell r="A52">
            <v>33029</v>
          </cell>
          <cell r="B52" t="str">
            <v>Hauling Revenue - Commercial Recycling F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</row>
        <row r="53">
          <cell r="A53">
            <v>33030</v>
          </cell>
          <cell r="B53" t="str">
            <v>Hauling Revenue - Commercial Recycling R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</row>
        <row r="54">
          <cell r="A54">
            <v>33031</v>
          </cell>
          <cell r="B54" t="str">
            <v>Hauling Revenue - Commercial Recycling R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</row>
        <row r="55">
          <cell r="A55">
            <v>33032</v>
          </cell>
          <cell r="B55" t="str">
            <v>Hauling Revenue - Commercial Recycling R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</row>
        <row r="56">
          <cell r="A56">
            <v>33039</v>
          </cell>
          <cell r="B56" t="str">
            <v>Hauling Revenue - Commercial Recycling R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</row>
        <row r="57">
          <cell r="A57">
            <v>33500</v>
          </cell>
          <cell r="B57" t="str">
            <v>Portable Toilet Revenue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</row>
        <row r="58">
          <cell r="A58">
            <v>33501</v>
          </cell>
          <cell r="B58" t="str">
            <v>Portable Toilet Extras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</row>
        <row r="59">
          <cell r="A59">
            <v>33502</v>
          </cell>
          <cell r="B59" t="str">
            <v>Portable Toilet Adjustments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</row>
        <row r="60">
          <cell r="A60">
            <v>33509</v>
          </cell>
          <cell r="B60" t="str">
            <v>Portable Toilet Intercompany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</row>
        <row r="61">
          <cell r="A61" t="str">
            <v>Total Hauling</v>
          </cell>
          <cell r="E61">
            <v>2764673.9499999997</v>
          </cell>
          <cell r="F61">
            <v>2732997.1599999997</v>
          </cell>
          <cell r="G61">
            <v>2835849.13</v>
          </cell>
          <cell r="H61">
            <v>2834323.0100000002</v>
          </cell>
          <cell r="I61">
            <v>2846772.3099999996</v>
          </cell>
          <cell r="J61">
            <v>2910560.8800000004</v>
          </cell>
          <cell r="K61">
            <v>2892445.5999999996</v>
          </cell>
          <cell r="L61">
            <v>2894508.3399999994</v>
          </cell>
          <cell r="M61">
            <v>2922642.14</v>
          </cell>
          <cell r="N61">
            <v>2884456.3400000003</v>
          </cell>
          <cell r="O61">
            <v>2891560.59</v>
          </cell>
          <cell r="P61">
            <v>2879104.3000000003</v>
          </cell>
          <cell r="Q61">
            <v>34289893.75</v>
          </cell>
        </row>
        <row r="63">
          <cell r="A63" t="str">
            <v>Transfer</v>
          </cell>
        </row>
        <row r="64">
          <cell r="A64">
            <v>35000</v>
          </cell>
          <cell r="B64" t="str">
            <v>Transfer Station - Third Party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</row>
        <row r="65">
          <cell r="A65">
            <v>35001</v>
          </cell>
          <cell r="B65" t="str">
            <v>Transfer Station - Third Party Adjustmen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</row>
        <row r="66">
          <cell r="A66">
            <v>35009</v>
          </cell>
          <cell r="B66" t="str">
            <v>Transfer Station - Intercompany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</row>
        <row r="67">
          <cell r="A67">
            <v>35500</v>
          </cell>
          <cell r="B67" t="str">
            <v>MRF Processing Charge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</row>
        <row r="68">
          <cell r="A68">
            <v>35501</v>
          </cell>
          <cell r="B68" t="str">
            <v>MRF Processing Charge Adjustments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</row>
        <row r="69">
          <cell r="A69">
            <v>35509</v>
          </cell>
          <cell r="B69" t="str">
            <v>MRF Processing Charge Intercompany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</row>
        <row r="70">
          <cell r="A70" t="str">
            <v>Total Transfer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</row>
        <row r="72">
          <cell r="A72" t="str">
            <v>MRF</v>
          </cell>
        </row>
        <row r="73">
          <cell r="A73">
            <v>35510</v>
          </cell>
          <cell r="B73" t="str">
            <v>Proceeds - OCC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</row>
        <row r="74">
          <cell r="A74">
            <v>35511</v>
          </cell>
          <cell r="B74" t="str">
            <v>Proceeds - ONP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</row>
        <row r="75">
          <cell r="A75">
            <v>35512</v>
          </cell>
          <cell r="B75" t="str">
            <v>Proceeds - Other Paper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</row>
        <row r="76">
          <cell r="A76">
            <v>35513</v>
          </cell>
          <cell r="B76" t="str">
            <v>Proceeds - Aluminum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</row>
        <row r="77">
          <cell r="A77">
            <v>35514</v>
          </cell>
          <cell r="B77" t="str">
            <v>Proceeds - Metal</v>
          </cell>
          <cell r="E77">
            <v>745.55</v>
          </cell>
          <cell r="F77">
            <v>533.20000000000005</v>
          </cell>
          <cell r="G77">
            <v>3342.9</v>
          </cell>
          <cell r="H77">
            <v>13178.15</v>
          </cell>
          <cell r="I77">
            <v>5247</v>
          </cell>
          <cell r="J77">
            <v>16966.05</v>
          </cell>
          <cell r="K77">
            <v>7984.5</v>
          </cell>
          <cell r="L77">
            <v>1463.55</v>
          </cell>
          <cell r="M77">
            <v>-1454.1</v>
          </cell>
          <cell r="N77">
            <v>1425.6</v>
          </cell>
          <cell r="O77">
            <v>1051.75</v>
          </cell>
          <cell r="P77">
            <v>1088</v>
          </cell>
          <cell r="Q77">
            <v>51572.15</v>
          </cell>
        </row>
        <row r="78">
          <cell r="A78">
            <v>35515</v>
          </cell>
          <cell r="B78" t="str">
            <v>Proceeds - Glass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</row>
        <row r="79">
          <cell r="A79">
            <v>35516</v>
          </cell>
          <cell r="B79" t="str">
            <v>Proceeds - Plastic</v>
          </cell>
          <cell r="E79">
            <v>387</v>
          </cell>
          <cell r="F79">
            <v>318.60000000000002</v>
          </cell>
          <cell r="G79">
            <v>0</v>
          </cell>
          <cell r="H79">
            <v>331.2</v>
          </cell>
          <cell r="I79">
            <v>0</v>
          </cell>
          <cell r="J79">
            <v>412.2</v>
          </cell>
          <cell r="K79">
            <v>644.4</v>
          </cell>
          <cell r="L79">
            <v>0</v>
          </cell>
          <cell r="M79">
            <v>0</v>
          </cell>
          <cell r="N79">
            <v>-644.4</v>
          </cell>
          <cell r="O79">
            <v>652</v>
          </cell>
          <cell r="P79">
            <v>0</v>
          </cell>
          <cell r="Q79">
            <v>2101</v>
          </cell>
        </row>
        <row r="80">
          <cell r="A80">
            <v>35517</v>
          </cell>
          <cell r="B80" t="str">
            <v>Proceeds - Other Recyclables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</row>
        <row r="81">
          <cell r="A81">
            <v>35518</v>
          </cell>
          <cell r="B81" t="str">
            <v>Proceeds - Commingled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</row>
        <row r="82">
          <cell r="A82">
            <v>35519</v>
          </cell>
          <cell r="B82" t="str">
            <v>Proceeds - Intercompany Material Sales</v>
          </cell>
          <cell r="E82">
            <v>65030.879999999997</v>
          </cell>
          <cell r="F82">
            <v>76173.81</v>
          </cell>
          <cell r="G82">
            <v>70361.429999999993</v>
          </cell>
          <cell r="H82">
            <v>74831.539999999994</v>
          </cell>
          <cell r="I82">
            <v>73578.62</v>
          </cell>
          <cell r="J82">
            <v>75531.38</v>
          </cell>
          <cell r="K82">
            <v>73771.45</v>
          </cell>
          <cell r="L82">
            <v>57407.56</v>
          </cell>
          <cell r="M82">
            <v>68624.86</v>
          </cell>
          <cell r="N82">
            <v>71603.88</v>
          </cell>
          <cell r="O82">
            <v>84200.36</v>
          </cell>
          <cell r="P82">
            <v>95665.68</v>
          </cell>
          <cell r="Q82">
            <v>886781.45</v>
          </cell>
        </row>
        <row r="83">
          <cell r="A83">
            <v>35520</v>
          </cell>
          <cell r="B83" t="str">
            <v>Support - OCC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</row>
        <row r="84">
          <cell r="A84">
            <v>35521</v>
          </cell>
          <cell r="B84" t="str">
            <v>Support - ONP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</row>
        <row r="85">
          <cell r="A85">
            <v>35522</v>
          </cell>
          <cell r="B85" t="str">
            <v>Support - Other Paper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</row>
        <row r="86">
          <cell r="A86">
            <v>35523</v>
          </cell>
          <cell r="B86" t="str">
            <v>Support - Aluminum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</row>
        <row r="87">
          <cell r="A87">
            <v>35524</v>
          </cell>
          <cell r="B87" t="str">
            <v>Support - Metal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</row>
        <row r="88">
          <cell r="A88">
            <v>35525</v>
          </cell>
          <cell r="B88" t="str">
            <v>Support - Glass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</row>
        <row r="89">
          <cell r="A89">
            <v>35526</v>
          </cell>
          <cell r="B89" t="str">
            <v>Support - Plastic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</row>
        <row r="90">
          <cell r="A90">
            <v>35527</v>
          </cell>
          <cell r="B90" t="str">
            <v>Support - Other Recyclables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</row>
        <row r="91">
          <cell r="A91">
            <v>35529</v>
          </cell>
          <cell r="B91" t="str">
            <v>Support - Intercompany Material Sales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</row>
        <row r="92">
          <cell r="A92">
            <v>35551</v>
          </cell>
          <cell r="B92" t="str">
            <v>Proceeds - Compost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</row>
        <row r="93">
          <cell r="A93">
            <v>35552</v>
          </cell>
          <cell r="B93" t="str">
            <v>Proceeds - Fuel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</row>
        <row r="94">
          <cell r="A94">
            <v>35553</v>
          </cell>
          <cell r="B94" t="str">
            <v>Proceeds - Landscape Materials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</row>
        <row r="95">
          <cell r="A95" t="str">
            <v>Total MRF</v>
          </cell>
          <cell r="E95">
            <v>66163.429999999993</v>
          </cell>
          <cell r="F95">
            <v>77025.61</v>
          </cell>
          <cell r="G95">
            <v>73704.329999999987</v>
          </cell>
          <cell r="H95">
            <v>88340.89</v>
          </cell>
          <cell r="I95">
            <v>78825.62</v>
          </cell>
          <cell r="J95">
            <v>92909.63</v>
          </cell>
          <cell r="K95">
            <v>82400.349999999991</v>
          </cell>
          <cell r="L95">
            <v>58871.11</v>
          </cell>
          <cell r="M95">
            <v>67170.759999999995</v>
          </cell>
          <cell r="N95">
            <v>72385.08</v>
          </cell>
          <cell r="O95">
            <v>85904.11</v>
          </cell>
          <cell r="P95">
            <v>96753.68</v>
          </cell>
          <cell r="Q95">
            <v>940454.6</v>
          </cell>
        </row>
        <row r="97">
          <cell r="A97" t="str">
            <v>Landfill</v>
          </cell>
        </row>
        <row r="98">
          <cell r="A98">
            <v>36000</v>
          </cell>
          <cell r="B98" t="str">
            <v>Landfill Revenue - MSW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</row>
        <row r="99">
          <cell r="A99">
            <v>36001</v>
          </cell>
          <cell r="B99" t="str">
            <v>Landfill Revenue - MSW Adjustments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</row>
        <row r="100">
          <cell r="A100">
            <v>36002</v>
          </cell>
          <cell r="B100" t="str">
            <v>Landfill Revenue - Extras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</row>
        <row r="101">
          <cell r="A101">
            <v>36009</v>
          </cell>
          <cell r="B101" t="str">
            <v>Landfill Revenue - MSW Intercompany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</row>
        <row r="102">
          <cell r="A102">
            <v>36010</v>
          </cell>
          <cell r="B102" t="str">
            <v>Landfill Revenue - C&amp;D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</row>
        <row r="103">
          <cell r="A103">
            <v>36011</v>
          </cell>
          <cell r="B103" t="str">
            <v>Landfill Revenue - C&amp;D Adjustments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</row>
        <row r="104">
          <cell r="A104">
            <v>36019</v>
          </cell>
          <cell r="B104" t="str">
            <v>Landfill Revenue - C&amp;D Intercompany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</row>
        <row r="105">
          <cell r="A105">
            <v>36020</v>
          </cell>
          <cell r="B105" t="str">
            <v>Landfill Revenue - Special Waste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</row>
        <row r="106">
          <cell r="A106">
            <v>36021</v>
          </cell>
          <cell r="B106" t="str">
            <v>Landfill Revenue - Special Waste Adjustm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</row>
        <row r="107">
          <cell r="A107">
            <v>36029</v>
          </cell>
          <cell r="B107" t="str">
            <v>Landfill Revenue - Special Waste Interco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</row>
        <row r="108">
          <cell r="A108">
            <v>36030</v>
          </cell>
          <cell r="B108" t="str">
            <v>Landfill Revenue - Asbestos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</row>
        <row r="109">
          <cell r="A109">
            <v>36031</v>
          </cell>
          <cell r="B109" t="str">
            <v>Landfill Revenue - Asbestos Adjustments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</row>
        <row r="110">
          <cell r="A110">
            <v>36039</v>
          </cell>
          <cell r="B110" t="str">
            <v>Landfill Revenue - Asbestos Intercompany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</row>
        <row r="111">
          <cell r="A111">
            <v>36040</v>
          </cell>
          <cell r="B111" t="str">
            <v>Landfill Revenue - Contaminated Soil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</row>
        <row r="112">
          <cell r="A112">
            <v>36041</v>
          </cell>
          <cell r="B112" t="str">
            <v>Landfill Revenue - Contaminated Soil Adj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</row>
        <row r="113">
          <cell r="A113">
            <v>36049</v>
          </cell>
          <cell r="B113" t="str">
            <v>Landfill Revenue - Contaminated Soil Int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</row>
        <row r="114">
          <cell r="A114">
            <v>36050</v>
          </cell>
          <cell r="B114" t="str">
            <v>Landfill Revenue - Yard Waste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</row>
        <row r="115">
          <cell r="A115">
            <v>36051</v>
          </cell>
          <cell r="B115" t="str">
            <v>Landfill Revenue - Yard Waste Adjustment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</row>
        <row r="116">
          <cell r="A116">
            <v>36059</v>
          </cell>
          <cell r="B116" t="str">
            <v>Landfill Revenue - Yard Waste Intercompa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</row>
        <row r="117">
          <cell r="A117">
            <v>36090</v>
          </cell>
          <cell r="B117" t="str">
            <v>Landfill Pass Through Revenue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</row>
        <row r="118">
          <cell r="A118">
            <v>36099</v>
          </cell>
          <cell r="B118" t="str">
            <v>Landfill Pass Through Revenue Intercompany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</row>
        <row r="119">
          <cell r="A119">
            <v>36301</v>
          </cell>
          <cell r="B119" t="str">
            <v>E&amp;P Liquids - Non Count Waste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</row>
        <row r="120">
          <cell r="A120">
            <v>36309</v>
          </cell>
          <cell r="B120" t="str">
            <v>E&amp;P Liquids - Non Count Waste Intercompany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</row>
        <row r="121">
          <cell r="A121">
            <v>36311</v>
          </cell>
          <cell r="B121" t="str">
            <v>E&amp;P Liquids - Count Waste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</row>
        <row r="122">
          <cell r="A122">
            <v>36319</v>
          </cell>
          <cell r="B122" t="str">
            <v>E&amp;P Liquids - Count Waste Intercompany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</row>
        <row r="123">
          <cell r="A123">
            <v>36321</v>
          </cell>
          <cell r="B123" t="str">
            <v>Other Liquids - Non E&amp;P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</row>
        <row r="124">
          <cell r="A124">
            <v>36329</v>
          </cell>
          <cell r="B124" t="str">
            <v>Other Liquids - Non E&amp;P Intercompany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</row>
        <row r="125">
          <cell r="A125">
            <v>36331</v>
          </cell>
          <cell r="B125" t="str">
            <v>E&amp;P Solids - Count Waste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</row>
        <row r="126">
          <cell r="A126">
            <v>36339</v>
          </cell>
          <cell r="B126" t="str">
            <v>E&amp;P Solids - Count Waste Intercompany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</row>
        <row r="127">
          <cell r="A127" t="str">
            <v>Total Landfill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</row>
        <row r="129">
          <cell r="A129" t="str">
            <v>Intermodal</v>
          </cell>
        </row>
        <row r="130">
          <cell r="A130">
            <v>36101</v>
          </cell>
          <cell r="B130" t="str">
            <v>Rail Drayage Revenue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</row>
        <row r="131">
          <cell r="A131">
            <v>36109</v>
          </cell>
          <cell r="B131" t="str">
            <v>Rail Drayage Revenue - Intercompany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</row>
        <row r="132">
          <cell r="A132">
            <v>36111</v>
          </cell>
          <cell r="B132" t="str">
            <v>Truck Drayage Revenue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</row>
        <row r="133">
          <cell r="A133">
            <v>36119</v>
          </cell>
          <cell r="B133" t="str">
            <v>Truck Drayage Revenue - Intercompany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</row>
        <row r="134">
          <cell r="A134">
            <v>36121</v>
          </cell>
          <cell r="B134" t="str">
            <v>Barge Drayage Revenue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</row>
        <row r="135">
          <cell r="A135">
            <v>36131</v>
          </cell>
          <cell r="B135" t="str">
            <v>Service Labor Revenue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</row>
        <row r="136">
          <cell r="A136">
            <v>36141</v>
          </cell>
          <cell r="B136" t="str">
            <v>Refrigeration Labor Revenue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</row>
        <row r="137">
          <cell r="A137">
            <v>36145</v>
          </cell>
          <cell r="B137" t="str">
            <v>Parts Revenue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</row>
        <row r="138">
          <cell r="A138">
            <v>36151</v>
          </cell>
          <cell r="B138" t="str">
            <v>Container Sales Revenue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</row>
        <row r="139">
          <cell r="A139">
            <v>36161</v>
          </cell>
          <cell r="B139" t="str">
            <v>Container Rental Revenue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</row>
        <row r="140">
          <cell r="A140">
            <v>36171</v>
          </cell>
          <cell r="B140" t="str">
            <v>Intermodal Revenue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</row>
        <row r="141">
          <cell r="A141">
            <v>36181</v>
          </cell>
          <cell r="B141" t="str">
            <v>Chassis Lease Revenue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</row>
        <row r="142">
          <cell r="A142">
            <v>36191</v>
          </cell>
          <cell r="B142" t="str">
            <v>Interchanges Revenue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</row>
        <row r="143">
          <cell r="A143">
            <v>36201</v>
          </cell>
          <cell r="B143" t="str">
            <v>Storage Revenue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</row>
        <row r="144">
          <cell r="A144">
            <v>36211</v>
          </cell>
          <cell r="B144" t="str">
            <v>Empty Lifts Revenue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</row>
        <row r="145">
          <cell r="A145">
            <v>36221</v>
          </cell>
          <cell r="B145" t="str">
            <v>Load Lifts Revenue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</row>
        <row r="146">
          <cell r="A146" t="str">
            <v>Total Intermodal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</row>
        <row r="148">
          <cell r="A148" t="str">
            <v>Other Revenue</v>
          </cell>
        </row>
        <row r="149">
          <cell r="A149">
            <v>37001</v>
          </cell>
          <cell r="B149" t="str">
            <v>Sale of Equipment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</row>
        <row r="150">
          <cell r="A150">
            <v>37010</v>
          </cell>
          <cell r="B150" t="str">
            <v>Tire Processing Revenue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</row>
        <row r="151">
          <cell r="A151">
            <v>37019</v>
          </cell>
          <cell r="B151" t="str">
            <v>Tire Processing Revenue - Intercompany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</row>
        <row r="152">
          <cell r="A152">
            <v>38000</v>
          </cell>
          <cell r="B152" t="str">
            <v>Corporate Other Revenue</v>
          </cell>
          <cell r="E152">
            <v>8589.2099999999991</v>
          </cell>
          <cell r="F152">
            <v>1694.09</v>
          </cell>
          <cell r="G152">
            <v>4218.3599999999997</v>
          </cell>
          <cell r="H152">
            <v>1373.97</v>
          </cell>
          <cell r="I152">
            <v>5262.72</v>
          </cell>
          <cell r="J152">
            <v>1769.91</v>
          </cell>
          <cell r="K152">
            <v>5502.45</v>
          </cell>
          <cell r="L152">
            <v>1702.72</v>
          </cell>
          <cell r="M152">
            <v>5805.85</v>
          </cell>
          <cell r="N152">
            <v>2208.19</v>
          </cell>
          <cell r="O152">
            <v>5752.25</v>
          </cell>
          <cell r="P152">
            <v>3433.24</v>
          </cell>
          <cell r="Q152">
            <v>47312.959999999999</v>
          </cell>
        </row>
        <row r="153">
          <cell r="A153">
            <v>38001</v>
          </cell>
          <cell r="B153" t="str">
            <v>P-Card Rebate Revenue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</row>
        <row r="154">
          <cell r="A154" t="str">
            <v>Total Other Revenue</v>
          </cell>
          <cell r="E154">
            <v>8589.2099999999991</v>
          </cell>
          <cell r="F154">
            <v>1694.09</v>
          </cell>
          <cell r="G154">
            <v>4218.3599999999997</v>
          </cell>
          <cell r="H154">
            <v>1373.97</v>
          </cell>
          <cell r="I154">
            <v>5262.72</v>
          </cell>
          <cell r="J154">
            <v>1769.91</v>
          </cell>
          <cell r="K154">
            <v>5502.45</v>
          </cell>
          <cell r="L154">
            <v>1702.72</v>
          </cell>
          <cell r="M154">
            <v>5805.85</v>
          </cell>
          <cell r="N154">
            <v>2208.19</v>
          </cell>
          <cell r="O154">
            <v>5752.25</v>
          </cell>
          <cell r="P154">
            <v>3433.24</v>
          </cell>
          <cell r="Q154">
            <v>47312.959999999999</v>
          </cell>
        </row>
        <row r="156">
          <cell r="A156" t="str">
            <v>Total Revenue</v>
          </cell>
          <cell r="E156">
            <v>2839426.59</v>
          </cell>
          <cell r="F156">
            <v>2811716.86</v>
          </cell>
          <cell r="G156">
            <v>2913771.82</v>
          </cell>
          <cell r="H156">
            <v>2924037.87</v>
          </cell>
          <cell r="I156">
            <v>2930860.6499999994</v>
          </cell>
          <cell r="J156">
            <v>3005240.4200000004</v>
          </cell>
          <cell r="K156">
            <v>2980348.3999999994</v>
          </cell>
          <cell r="L156">
            <v>2955082.1699999995</v>
          </cell>
          <cell r="M156">
            <v>2995618.75</v>
          </cell>
          <cell r="N156">
            <v>2959049.6100000003</v>
          </cell>
          <cell r="O156">
            <v>2983216.9499999997</v>
          </cell>
          <cell r="P156">
            <v>2979291.22</v>
          </cell>
          <cell r="Q156">
            <v>35277661.310000002</v>
          </cell>
        </row>
        <row r="158">
          <cell r="A158" t="str">
            <v>Revenue Reductions</v>
          </cell>
        </row>
        <row r="159">
          <cell r="A159" t="str">
            <v>Disposal</v>
          </cell>
        </row>
        <row r="160">
          <cell r="A160">
            <v>40101</v>
          </cell>
          <cell r="B160" t="str">
            <v>Disposal Landfill</v>
          </cell>
          <cell r="E160">
            <v>23350.03</v>
          </cell>
          <cell r="F160">
            <v>26834.720000000001</v>
          </cell>
          <cell r="G160">
            <v>42381.84</v>
          </cell>
          <cell r="H160">
            <v>36707.01</v>
          </cell>
          <cell r="I160">
            <v>39327.86</v>
          </cell>
          <cell r="J160">
            <v>44813.91</v>
          </cell>
          <cell r="K160">
            <v>45601.91</v>
          </cell>
          <cell r="L160">
            <v>42594.05</v>
          </cell>
          <cell r="M160">
            <v>39719.949999999997</v>
          </cell>
          <cell r="N160">
            <v>37160.81</v>
          </cell>
          <cell r="O160">
            <v>33518.03</v>
          </cell>
          <cell r="P160">
            <v>28405.79</v>
          </cell>
          <cell r="Q160">
            <v>440415.91</v>
          </cell>
        </row>
        <row r="161">
          <cell r="A161">
            <v>40109</v>
          </cell>
          <cell r="B161" t="str">
            <v>Disposal Landfill Intercompany</v>
          </cell>
          <cell r="E161">
            <v>194.6</v>
          </cell>
          <cell r="F161">
            <v>327.96</v>
          </cell>
          <cell r="G161">
            <v>99.4</v>
          </cell>
          <cell r="H161">
            <v>8930.7999999999993</v>
          </cell>
          <cell r="I161">
            <v>8418</v>
          </cell>
          <cell r="J161">
            <v>10225</v>
          </cell>
          <cell r="K161">
            <v>9550</v>
          </cell>
          <cell r="L161">
            <v>8953</v>
          </cell>
          <cell r="M161">
            <v>8660</v>
          </cell>
          <cell r="N161">
            <v>8485</v>
          </cell>
          <cell r="O161">
            <v>8205</v>
          </cell>
          <cell r="P161">
            <v>8111.2</v>
          </cell>
          <cell r="Q161">
            <v>80159.959999999992</v>
          </cell>
        </row>
        <row r="162">
          <cell r="A162">
            <v>40121</v>
          </cell>
          <cell r="B162" t="str">
            <v>Disposal Incineration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</row>
        <row r="163">
          <cell r="A163">
            <v>40122</v>
          </cell>
          <cell r="B163" t="str">
            <v>Disposal Other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</row>
        <row r="164">
          <cell r="A164">
            <v>40129</v>
          </cell>
          <cell r="B164" t="str">
            <v>Disposal Other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</row>
        <row r="165">
          <cell r="A165">
            <v>40131</v>
          </cell>
          <cell r="B165" t="str">
            <v>Disposal Transfer</v>
          </cell>
          <cell r="E165">
            <v>4652.22</v>
          </cell>
          <cell r="F165">
            <v>5422.23</v>
          </cell>
          <cell r="G165">
            <v>6556.26</v>
          </cell>
          <cell r="H165">
            <v>5248.01</v>
          </cell>
          <cell r="I165">
            <v>6285.68</v>
          </cell>
          <cell r="J165">
            <v>5271.25</v>
          </cell>
          <cell r="K165">
            <v>2375.48</v>
          </cell>
          <cell r="L165">
            <v>2345.9499999999998</v>
          </cell>
          <cell r="M165">
            <v>4253.9399999999996</v>
          </cell>
          <cell r="N165">
            <v>5654.19</v>
          </cell>
          <cell r="O165">
            <v>5131.53</v>
          </cell>
          <cell r="P165">
            <v>5010.78</v>
          </cell>
          <cell r="Q165">
            <v>58207.520000000004</v>
          </cell>
        </row>
        <row r="166">
          <cell r="A166">
            <v>40139</v>
          </cell>
          <cell r="B166" t="str">
            <v>Disposal Transfer Intercompany</v>
          </cell>
          <cell r="E166">
            <v>593825.03</v>
          </cell>
          <cell r="F166">
            <v>547142.99</v>
          </cell>
          <cell r="G166">
            <v>630810.36</v>
          </cell>
          <cell r="H166">
            <v>605643.42000000004</v>
          </cell>
          <cell r="I166">
            <v>594549.89</v>
          </cell>
          <cell r="J166">
            <v>658860.29</v>
          </cell>
          <cell r="K166">
            <v>621190.5</v>
          </cell>
          <cell r="L166">
            <v>619548.27</v>
          </cell>
          <cell r="M166">
            <v>634021.85</v>
          </cell>
          <cell r="N166">
            <v>591478.38</v>
          </cell>
          <cell r="O166">
            <v>635582.61</v>
          </cell>
          <cell r="P166">
            <v>652795.86</v>
          </cell>
          <cell r="Q166">
            <v>7385449.4500000002</v>
          </cell>
        </row>
        <row r="167">
          <cell r="A167" t="str">
            <v>Total Disposal</v>
          </cell>
          <cell r="E167">
            <v>622021.88</v>
          </cell>
          <cell r="F167">
            <v>579727.9</v>
          </cell>
          <cell r="G167">
            <v>679847.86</v>
          </cell>
          <cell r="H167">
            <v>656529.24</v>
          </cell>
          <cell r="I167">
            <v>648581.43000000005</v>
          </cell>
          <cell r="J167">
            <v>719170.45000000007</v>
          </cell>
          <cell r="K167">
            <v>678717.89</v>
          </cell>
          <cell r="L167">
            <v>673441.27</v>
          </cell>
          <cell r="M167">
            <v>686655.74</v>
          </cell>
          <cell r="N167">
            <v>642778.38</v>
          </cell>
          <cell r="O167">
            <v>682437.16999999993</v>
          </cell>
          <cell r="P167">
            <v>694323.63</v>
          </cell>
          <cell r="Q167">
            <v>7964232.8399999999</v>
          </cell>
        </row>
        <row r="169">
          <cell r="A169" t="str">
            <v>MRF Processing</v>
          </cell>
        </row>
        <row r="170">
          <cell r="A170">
            <v>40861</v>
          </cell>
          <cell r="B170" t="str">
            <v>Processing Fees MRF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</row>
        <row r="171">
          <cell r="A171">
            <v>40869</v>
          </cell>
          <cell r="B171" t="str">
            <v>Processing Fees MRF Intercompany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</row>
        <row r="172">
          <cell r="A172" t="str">
            <v>Total MRF Processing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</row>
        <row r="174">
          <cell r="A174" t="str">
            <v>Brokerage, Rebates and Taxes</v>
          </cell>
        </row>
        <row r="175">
          <cell r="A175">
            <v>41121</v>
          </cell>
          <cell r="B175" t="str">
            <v>Brokerage Cost</v>
          </cell>
          <cell r="E175">
            <v>0</v>
          </cell>
          <cell r="F175">
            <v>0</v>
          </cell>
          <cell r="G175">
            <v>0</v>
          </cell>
          <cell r="H175">
            <v>178.39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178.39</v>
          </cell>
        </row>
        <row r="176">
          <cell r="A176">
            <v>41129</v>
          </cell>
          <cell r="B176" t="str">
            <v>Brokerage Cost Intercompany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</row>
        <row r="177">
          <cell r="A177">
            <v>41131</v>
          </cell>
          <cell r="B177" t="str">
            <v>Rail Drayage Expenses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</row>
        <row r="178">
          <cell r="A178">
            <v>41135</v>
          </cell>
          <cell r="B178" t="str">
            <v>Resale Parts - Cost of Goods Sold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</row>
        <row r="179">
          <cell r="A179">
            <v>41139</v>
          </cell>
          <cell r="B179" t="str">
            <v>Rail Drayage Expenses - Intercompany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</row>
        <row r="180">
          <cell r="A180">
            <v>41141</v>
          </cell>
          <cell r="B180" t="str">
            <v>Truck Drayage Expenses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</row>
        <row r="181">
          <cell r="A181">
            <v>41149</v>
          </cell>
          <cell r="B181" t="str">
            <v>Truck Drayage Expenses - Intercompany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</row>
        <row r="182">
          <cell r="A182">
            <v>41151</v>
          </cell>
          <cell r="B182" t="str">
            <v>Intermodal Expenses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</row>
        <row r="183">
          <cell r="A183">
            <v>41201</v>
          </cell>
          <cell r="B183" t="str">
            <v>Rebates and Revenue Sharing</v>
          </cell>
          <cell r="E183">
            <v>521936.87</v>
          </cell>
          <cell r="F183">
            <v>516837.5</v>
          </cell>
          <cell r="G183">
            <v>526589.43999999994</v>
          </cell>
          <cell r="H183">
            <v>507133.7</v>
          </cell>
          <cell r="I183">
            <v>514778.73</v>
          </cell>
          <cell r="J183">
            <v>520529.95</v>
          </cell>
          <cell r="K183">
            <v>523325.23</v>
          </cell>
          <cell r="L183">
            <v>525169.91</v>
          </cell>
          <cell r="M183">
            <v>526242.24</v>
          </cell>
          <cell r="N183">
            <v>522492.7</v>
          </cell>
          <cell r="O183">
            <v>519798.37</v>
          </cell>
          <cell r="P183">
            <v>519523.19</v>
          </cell>
          <cell r="Q183">
            <v>6244357.830000001</v>
          </cell>
        </row>
        <row r="184">
          <cell r="A184">
            <v>43001</v>
          </cell>
          <cell r="B184" t="str">
            <v>Taxes and Pass Thru Fees</v>
          </cell>
          <cell r="E184">
            <v>41543.1</v>
          </cell>
          <cell r="F184">
            <v>40952.97</v>
          </cell>
          <cell r="G184">
            <v>42462.54</v>
          </cell>
          <cell r="H184">
            <v>45489.33</v>
          </cell>
          <cell r="I184">
            <v>48581.71</v>
          </cell>
          <cell r="J184">
            <v>53321.59</v>
          </cell>
          <cell r="K184">
            <v>51875.89</v>
          </cell>
          <cell r="L184">
            <v>52096.88</v>
          </cell>
          <cell r="M184">
            <v>52109.83</v>
          </cell>
          <cell r="N184">
            <v>51665.29</v>
          </cell>
          <cell r="O184">
            <v>51559.19</v>
          </cell>
          <cell r="P184">
            <v>51703.040000000001</v>
          </cell>
          <cell r="Q184">
            <v>583361.3600000001</v>
          </cell>
        </row>
        <row r="185">
          <cell r="A185">
            <v>43002</v>
          </cell>
          <cell r="B185" t="str">
            <v>WUTC Taxes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</row>
        <row r="186">
          <cell r="A186">
            <v>43090</v>
          </cell>
          <cell r="B186" t="str">
            <v>Pass Through Expenses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</row>
        <row r="187">
          <cell r="A187">
            <v>43099</v>
          </cell>
          <cell r="B187" t="str">
            <v>Pass Through Expenses Intercompany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</row>
        <row r="188">
          <cell r="A188" t="str">
            <v>Total Brokerage, Rebates and Taxes</v>
          </cell>
          <cell r="E188">
            <v>563479.97</v>
          </cell>
          <cell r="F188">
            <v>557790.47</v>
          </cell>
          <cell r="G188">
            <v>569051.98</v>
          </cell>
          <cell r="H188">
            <v>552801.42000000004</v>
          </cell>
          <cell r="I188">
            <v>563360.43999999994</v>
          </cell>
          <cell r="J188">
            <v>573851.54</v>
          </cell>
          <cell r="K188">
            <v>575201.12</v>
          </cell>
          <cell r="L188">
            <v>577266.79</v>
          </cell>
          <cell r="M188">
            <v>578352.06999999995</v>
          </cell>
          <cell r="N188">
            <v>574157.99</v>
          </cell>
          <cell r="O188">
            <v>571357.56000000006</v>
          </cell>
          <cell r="P188">
            <v>571226.23</v>
          </cell>
          <cell r="Q188">
            <v>6827897.580000001</v>
          </cell>
        </row>
        <row r="190">
          <cell r="A190" t="str">
            <v>Recycling Materials Expense</v>
          </cell>
        </row>
        <row r="191">
          <cell r="A191">
            <v>44161</v>
          </cell>
          <cell r="B191" t="str">
            <v>Cost of Materials - OCC</v>
          </cell>
          <cell r="E191">
            <v>2426.64</v>
          </cell>
          <cell r="F191">
            <v>2389.0700000000002</v>
          </cell>
          <cell r="G191">
            <v>2400.6</v>
          </cell>
          <cell r="H191">
            <v>2445.6799999999998</v>
          </cell>
          <cell r="I191">
            <v>2403.29</v>
          </cell>
          <cell r="J191">
            <v>2402.11</v>
          </cell>
          <cell r="K191">
            <v>437.67</v>
          </cell>
          <cell r="L191">
            <v>1356.93</v>
          </cell>
          <cell r="M191">
            <v>2409.56</v>
          </cell>
          <cell r="N191">
            <v>2530.52</v>
          </cell>
          <cell r="O191">
            <v>2633.11</v>
          </cell>
          <cell r="P191">
            <v>2651.26</v>
          </cell>
          <cell r="Q191">
            <v>26486.440000000002</v>
          </cell>
        </row>
        <row r="192">
          <cell r="A192">
            <v>44162</v>
          </cell>
          <cell r="B192" t="str">
            <v>Cost of Materials - ONP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</row>
        <row r="193">
          <cell r="A193">
            <v>44163</v>
          </cell>
          <cell r="B193" t="str">
            <v>Cost of Materials - Other Paper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</row>
        <row r="194">
          <cell r="A194">
            <v>44164</v>
          </cell>
          <cell r="B194" t="str">
            <v>Cost of Materials - Aluminum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</row>
        <row r="195">
          <cell r="A195">
            <v>44165</v>
          </cell>
          <cell r="B195" t="str">
            <v>Cost of Materials - Metal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</row>
        <row r="196">
          <cell r="A196">
            <v>44166</v>
          </cell>
          <cell r="B196" t="str">
            <v>Cost of Materials - Glass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</row>
        <row r="197">
          <cell r="A197">
            <v>44167</v>
          </cell>
          <cell r="B197" t="str">
            <v>Cost of Materials - Plastic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</row>
        <row r="198">
          <cell r="A198">
            <v>44168</v>
          </cell>
          <cell r="B198" t="str">
            <v>Cost of Materials - Other Recyclables</v>
          </cell>
          <cell r="E198">
            <v>0</v>
          </cell>
          <cell r="F198">
            <v>8</v>
          </cell>
          <cell r="G198">
            <v>8</v>
          </cell>
          <cell r="H198">
            <v>0</v>
          </cell>
          <cell r="I198">
            <v>8</v>
          </cell>
          <cell r="J198">
            <v>0</v>
          </cell>
          <cell r="K198">
            <v>8</v>
          </cell>
          <cell r="L198">
            <v>7</v>
          </cell>
          <cell r="M198">
            <v>0</v>
          </cell>
          <cell r="N198">
            <v>7</v>
          </cell>
          <cell r="O198">
            <v>15</v>
          </cell>
          <cell r="P198">
            <v>8</v>
          </cell>
          <cell r="Q198">
            <v>69</v>
          </cell>
        </row>
        <row r="199">
          <cell r="A199">
            <v>44169</v>
          </cell>
          <cell r="B199" t="str">
            <v>Cost of Materials - Intercompany</v>
          </cell>
          <cell r="E199">
            <v>1793.25</v>
          </cell>
          <cell r="F199">
            <v>1711</v>
          </cell>
          <cell r="G199">
            <v>2209.37</v>
          </cell>
          <cell r="H199">
            <v>2644.25</v>
          </cell>
          <cell r="I199">
            <v>3170</v>
          </cell>
          <cell r="J199">
            <v>2275.25</v>
          </cell>
          <cell r="K199">
            <v>1660.5</v>
          </cell>
          <cell r="L199">
            <v>2033.7</v>
          </cell>
          <cell r="M199">
            <v>1648</v>
          </cell>
          <cell r="N199">
            <v>2091.5500000000002</v>
          </cell>
          <cell r="O199">
            <v>2223.8000000000002</v>
          </cell>
          <cell r="P199">
            <v>2182.25</v>
          </cell>
          <cell r="Q199">
            <v>25642.92</v>
          </cell>
        </row>
        <row r="200">
          <cell r="A200">
            <v>44261</v>
          </cell>
          <cell r="B200" t="str">
            <v>Cost of Materials - Organics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</row>
        <row r="201">
          <cell r="A201">
            <v>44262</v>
          </cell>
          <cell r="B201" t="str">
            <v>Cost of Materials - Clean Wood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</row>
        <row r="202">
          <cell r="A202">
            <v>44263</v>
          </cell>
          <cell r="B202" t="str">
            <v>Cost of Materials - Landscaping Materials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</row>
        <row r="203">
          <cell r="A203" t="str">
            <v>Total Recycling Materials Expense</v>
          </cell>
          <cell r="E203">
            <v>4219.8899999999994</v>
          </cell>
          <cell r="F203">
            <v>4108.07</v>
          </cell>
          <cell r="G203">
            <v>4617.9699999999993</v>
          </cell>
          <cell r="H203">
            <v>5089.93</v>
          </cell>
          <cell r="I203">
            <v>5581.29</v>
          </cell>
          <cell r="J203">
            <v>4677.3600000000006</v>
          </cell>
          <cell r="K203">
            <v>2106.17</v>
          </cell>
          <cell r="L203">
            <v>3397.63</v>
          </cell>
          <cell r="M203">
            <v>4057.56</v>
          </cell>
          <cell r="N203">
            <v>4629.07</v>
          </cell>
          <cell r="O203">
            <v>4871.91</v>
          </cell>
          <cell r="P203">
            <v>4841.51</v>
          </cell>
          <cell r="Q203">
            <v>52198.36</v>
          </cell>
        </row>
        <row r="205">
          <cell r="A205" t="str">
            <v>Other Expense</v>
          </cell>
        </row>
        <row r="206">
          <cell r="A206">
            <v>47000</v>
          </cell>
          <cell r="B206" t="str">
            <v>Cost of Containers Sold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</row>
        <row r="207">
          <cell r="A207">
            <v>47001</v>
          </cell>
          <cell r="B207" t="str">
            <v>Cost of Equipment Sold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</row>
        <row r="208">
          <cell r="A208">
            <v>47010</v>
          </cell>
          <cell r="B208" t="str">
            <v>Tire Processing Expenses</v>
          </cell>
          <cell r="E208">
            <v>0</v>
          </cell>
          <cell r="F208">
            <v>0</v>
          </cell>
          <cell r="G208">
            <v>0</v>
          </cell>
          <cell r="H208">
            <v>205.8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205.8</v>
          </cell>
        </row>
        <row r="209">
          <cell r="A209">
            <v>47019</v>
          </cell>
          <cell r="B209" t="str">
            <v>Tire Processing Expenses - Intercompany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</row>
        <row r="210">
          <cell r="A210" t="str">
            <v>Total Other Expense</v>
          </cell>
          <cell r="E210">
            <v>0</v>
          </cell>
          <cell r="F210">
            <v>0</v>
          </cell>
          <cell r="G210">
            <v>0</v>
          </cell>
          <cell r="H210">
            <v>205.8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205.8</v>
          </cell>
        </row>
        <row r="212">
          <cell r="A212" t="str">
            <v>Total Revenue Reductions</v>
          </cell>
          <cell r="E212">
            <v>1189721.74</v>
          </cell>
          <cell r="F212">
            <v>1141626.44</v>
          </cell>
          <cell r="G212">
            <v>1253517.81</v>
          </cell>
          <cell r="H212">
            <v>1214626.3900000001</v>
          </cell>
          <cell r="I212">
            <v>1217523.1600000001</v>
          </cell>
          <cell r="J212">
            <v>1297699.3500000001</v>
          </cell>
          <cell r="K212">
            <v>1256025.1800000002</v>
          </cell>
          <cell r="L212">
            <v>1254105.69</v>
          </cell>
          <cell r="M212">
            <v>1269065.3700000001</v>
          </cell>
          <cell r="N212">
            <v>1221565.4399999999</v>
          </cell>
          <cell r="O212">
            <v>1258666.6400000001</v>
          </cell>
          <cell r="P212">
            <v>1270391.3700000001</v>
          </cell>
          <cell r="Q212">
            <v>14844534.580000002</v>
          </cell>
        </row>
        <row r="214">
          <cell r="A214" t="str">
            <v>Net Revenue</v>
          </cell>
          <cell r="E214">
            <v>1649704.8499999999</v>
          </cell>
          <cell r="F214">
            <v>1670090.42</v>
          </cell>
          <cell r="G214">
            <v>1660254.0099999998</v>
          </cell>
          <cell r="H214">
            <v>1709411.48</v>
          </cell>
          <cell r="I214">
            <v>1713337.4899999993</v>
          </cell>
          <cell r="J214">
            <v>1707541.0700000003</v>
          </cell>
          <cell r="K214">
            <v>1724323.2199999993</v>
          </cell>
          <cell r="L214">
            <v>1700976.4799999995</v>
          </cell>
          <cell r="M214">
            <v>1726553.38</v>
          </cell>
          <cell r="N214">
            <v>1737484.1700000004</v>
          </cell>
          <cell r="O214">
            <v>1724550.3099999996</v>
          </cell>
          <cell r="P214">
            <v>1708899.85</v>
          </cell>
          <cell r="Q214">
            <v>20433126.73</v>
          </cell>
        </row>
        <row r="216">
          <cell r="A216" t="str">
            <v>Cost of Operations</v>
          </cell>
        </row>
        <row r="217">
          <cell r="A217" t="str">
            <v>Labor</v>
          </cell>
        </row>
        <row r="218">
          <cell r="A218">
            <v>50010</v>
          </cell>
          <cell r="B218" t="str">
            <v>Salaries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</row>
        <row r="219">
          <cell r="A219">
            <v>50020</v>
          </cell>
          <cell r="B219" t="str">
            <v>Wages Regular</v>
          </cell>
          <cell r="E219">
            <v>164883.42000000001</v>
          </cell>
          <cell r="F219">
            <v>163593.57</v>
          </cell>
          <cell r="G219">
            <v>188109.33</v>
          </cell>
          <cell r="H219">
            <v>179849.71</v>
          </cell>
          <cell r="I219">
            <v>172347.9</v>
          </cell>
          <cell r="J219">
            <v>187859.47</v>
          </cell>
          <cell r="K219">
            <v>178348.24</v>
          </cell>
          <cell r="L219">
            <v>182091.36</v>
          </cell>
          <cell r="M219">
            <v>176392.37000000002</v>
          </cell>
          <cell r="N219">
            <v>178231.65999999997</v>
          </cell>
          <cell r="O219">
            <v>171402.89</v>
          </cell>
          <cell r="P219">
            <v>200565.78999999998</v>
          </cell>
          <cell r="Q219">
            <v>2143675.71</v>
          </cell>
        </row>
        <row r="220">
          <cell r="A220">
            <v>50025</v>
          </cell>
          <cell r="B220" t="str">
            <v>Wages O.T.</v>
          </cell>
          <cell r="E220">
            <v>32984.839999999997</v>
          </cell>
          <cell r="F220">
            <v>9544.4</v>
          </cell>
          <cell r="G220">
            <v>22471.78</v>
          </cell>
          <cell r="H220">
            <v>31363.030000000002</v>
          </cell>
          <cell r="I220">
            <v>49805.09</v>
          </cell>
          <cell r="J220">
            <v>35207.21</v>
          </cell>
          <cell r="K220">
            <v>36825.21</v>
          </cell>
          <cell r="L220">
            <v>33200.26</v>
          </cell>
          <cell r="M220">
            <v>40758.67</v>
          </cell>
          <cell r="N220">
            <v>31022.81</v>
          </cell>
          <cell r="O220">
            <v>51285.26</v>
          </cell>
          <cell r="P220">
            <v>33854.409999999996</v>
          </cell>
          <cell r="Q220">
            <v>408322.97</v>
          </cell>
        </row>
        <row r="221">
          <cell r="A221">
            <v>50035</v>
          </cell>
          <cell r="B221" t="str">
            <v>Safety Bonuses</v>
          </cell>
          <cell r="E221">
            <v>4800</v>
          </cell>
          <cell r="F221">
            <v>4800</v>
          </cell>
          <cell r="G221">
            <v>4800</v>
          </cell>
          <cell r="H221">
            <v>4800</v>
          </cell>
          <cell r="I221">
            <v>5550</v>
          </cell>
          <cell r="J221">
            <v>5550</v>
          </cell>
          <cell r="K221">
            <v>5550</v>
          </cell>
          <cell r="L221">
            <v>5550</v>
          </cell>
          <cell r="M221">
            <v>3500</v>
          </cell>
          <cell r="N221">
            <v>3500</v>
          </cell>
          <cell r="O221">
            <v>4800</v>
          </cell>
          <cell r="P221">
            <v>-8000</v>
          </cell>
          <cell r="Q221">
            <v>45200</v>
          </cell>
        </row>
        <row r="222">
          <cell r="A222">
            <v>50036</v>
          </cell>
          <cell r="B222" t="str">
            <v>Other Bonus/Commission - Non-Safety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</row>
        <row r="223">
          <cell r="A223">
            <v>50045</v>
          </cell>
          <cell r="B223" t="str">
            <v>Contract Labor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4788.33</v>
          </cell>
          <cell r="L223">
            <v>3663.38</v>
          </cell>
          <cell r="M223">
            <v>2786.12</v>
          </cell>
          <cell r="N223">
            <v>7835.02</v>
          </cell>
          <cell r="O223">
            <v>2360.66</v>
          </cell>
          <cell r="P223">
            <v>120.48</v>
          </cell>
          <cell r="Q223">
            <v>21553.989999999998</v>
          </cell>
        </row>
        <row r="224">
          <cell r="A224">
            <v>50050</v>
          </cell>
          <cell r="B224" t="str">
            <v>Payroll Taxes</v>
          </cell>
          <cell r="E224">
            <v>25189.960000000003</v>
          </cell>
          <cell r="F224">
            <v>18251.73</v>
          </cell>
          <cell r="G224">
            <v>20679.02</v>
          </cell>
          <cell r="H224">
            <v>21039.350000000002</v>
          </cell>
          <cell r="I224">
            <v>21060.63</v>
          </cell>
          <cell r="J224">
            <v>22770.019999999997</v>
          </cell>
          <cell r="K224">
            <v>23082.989999999998</v>
          </cell>
          <cell r="L224">
            <v>21413.860000000004</v>
          </cell>
          <cell r="M224">
            <v>22297.15</v>
          </cell>
          <cell r="N224">
            <v>19721.989999999998</v>
          </cell>
          <cell r="O224">
            <v>24041.16</v>
          </cell>
          <cell r="P224">
            <v>17044.59</v>
          </cell>
          <cell r="Q224">
            <v>256592.45</v>
          </cell>
        </row>
        <row r="225">
          <cell r="A225">
            <v>50060</v>
          </cell>
          <cell r="B225" t="str">
            <v>Group Insurance</v>
          </cell>
          <cell r="E225">
            <v>-52</v>
          </cell>
          <cell r="F225">
            <v>52</v>
          </cell>
          <cell r="G225">
            <v>400</v>
          </cell>
          <cell r="H225">
            <v>400</v>
          </cell>
          <cell r="I225">
            <v>400</v>
          </cell>
          <cell r="J225">
            <v>400</v>
          </cell>
          <cell r="K225">
            <v>400.77</v>
          </cell>
          <cell r="L225">
            <v>348</v>
          </cell>
          <cell r="M225">
            <v>400</v>
          </cell>
          <cell r="N225">
            <v>400</v>
          </cell>
          <cell r="O225">
            <v>1.54</v>
          </cell>
          <cell r="P225">
            <v>-913.13</v>
          </cell>
          <cell r="Q225">
            <v>2237.1799999999998</v>
          </cell>
        </row>
        <row r="226">
          <cell r="A226">
            <v>50065</v>
          </cell>
          <cell r="B226" t="str">
            <v>Vacation Pay</v>
          </cell>
          <cell r="E226">
            <v>19746.13</v>
          </cell>
          <cell r="F226">
            <v>10715.919999999998</v>
          </cell>
          <cell r="G226">
            <v>10164.220000000001</v>
          </cell>
          <cell r="H226">
            <v>13775.17</v>
          </cell>
          <cell r="I226">
            <v>12214.41</v>
          </cell>
          <cell r="J226">
            <v>9839.7799999999988</v>
          </cell>
          <cell r="K226">
            <v>16829.84</v>
          </cell>
          <cell r="L226">
            <v>10619.08</v>
          </cell>
          <cell r="M226">
            <v>20174.8</v>
          </cell>
          <cell r="N226">
            <v>7964.8900000000012</v>
          </cell>
          <cell r="O226">
            <v>28346.93</v>
          </cell>
          <cell r="P226">
            <v>21322.129999999997</v>
          </cell>
          <cell r="Q226">
            <v>181713.30000000002</v>
          </cell>
        </row>
        <row r="227">
          <cell r="A227">
            <v>50070</v>
          </cell>
          <cell r="B227" t="str">
            <v>Sick Pay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</row>
        <row r="228">
          <cell r="A228">
            <v>50086</v>
          </cell>
          <cell r="B228" t="str">
            <v>Safety and Training</v>
          </cell>
          <cell r="E228">
            <v>157.5</v>
          </cell>
          <cell r="F228">
            <v>172.5</v>
          </cell>
          <cell r="G228">
            <v>808.28</v>
          </cell>
          <cell r="H228">
            <v>-442.5</v>
          </cell>
          <cell r="I228">
            <v>965.32</v>
          </cell>
          <cell r="J228">
            <v>0</v>
          </cell>
          <cell r="K228">
            <v>0</v>
          </cell>
          <cell r="L228">
            <v>0</v>
          </cell>
          <cell r="M228">
            <v>25</v>
          </cell>
          <cell r="N228">
            <v>675</v>
          </cell>
          <cell r="O228">
            <v>0</v>
          </cell>
          <cell r="P228">
            <v>0</v>
          </cell>
          <cell r="Q228">
            <v>2361.1</v>
          </cell>
        </row>
        <row r="229">
          <cell r="A229">
            <v>50087</v>
          </cell>
          <cell r="B229" t="str">
            <v>Drug Testing</v>
          </cell>
          <cell r="E229">
            <v>60</v>
          </cell>
          <cell r="F229">
            <v>294</v>
          </cell>
          <cell r="G229">
            <v>180</v>
          </cell>
          <cell r="H229">
            <v>60</v>
          </cell>
          <cell r="I229">
            <v>180</v>
          </cell>
          <cell r="J229">
            <v>0</v>
          </cell>
          <cell r="K229">
            <v>660</v>
          </cell>
          <cell r="L229">
            <v>180</v>
          </cell>
          <cell r="M229">
            <v>480</v>
          </cell>
          <cell r="N229">
            <v>360</v>
          </cell>
          <cell r="O229">
            <v>180</v>
          </cell>
          <cell r="P229">
            <v>120</v>
          </cell>
          <cell r="Q229">
            <v>2754</v>
          </cell>
        </row>
        <row r="230">
          <cell r="A230">
            <v>50090</v>
          </cell>
          <cell r="B230" t="str">
            <v>Uniforms</v>
          </cell>
          <cell r="E230">
            <v>4074.6600000000003</v>
          </cell>
          <cell r="F230">
            <v>3623.04</v>
          </cell>
          <cell r="G230">
            <v>5198.9500000000007</v>
          </cell>
          <cell r="H230">
            <v>3689.49</v>
          </cell>
          <cell r="I230">
            <v>10448.56</v>
          </cell>
          <cell r="J230">
            <v>4504.9699999999993</v>
          </cell>
          <cell r="K230">
            <v>4758.2000000000007</v>
          </cell>
          <cell r="L230">
            <v>10818.759999999998</v>
          </cell>
          <cell r="M230">
            <v>4750.04</v>
          </cell>
          <cell r="N230">
            <v>7936.8100000000013</v>
          </cell>
          <cell r="O230">
            <v>4016.29</v>
          </cell>
          <cell r="P230">
            <v>3616.1000000000004</v>
          </cell>
          <cell r="Q230">
            <v>67435.87</v>
          </cell>
        </row>
        <row r="231">
          <cell r="A231">
            <v>50115</v>
          </cell>
          <cell r="B231" t="str">
            <v>Pension and Profit Sharing</v>
          </cell>
          <cell r="E231">
            <v>28983.06</v>
          </cell>
          <cell r="F231">
            <v>25738.78</v>
          </cell>
          <cell r="G231">
            <v>27512.51</v>
          </cell>
          <cell r="H231">
            <v>29149.510000000002</v>
          </cell>
          <cell r="I231">
            <v>28747.71</v>
          </cell>
          <cell r="J231">
            <v>30320.410000000003</v>
          </cell>
          <cell r="K231">
            <v>30592.95</v>
          </cell>
          <cell r="L231">
            <v>30361.019999999997</v>
          </cell>
          <cell r="M231">
            <v>30798.07</v>
          </cell>
          <cell r="N231">
            <v>28965.410000000003</v>
          </cell>
          <cell r="O231">
            <v>29195.13</v>
          </cell>
          <cell r="P231">
            <v>27681.32</v>
          </cell>
          <cell r="Q231">
            <v>348045.87999999995</v>
          </cell>
        </row>
        <row r="232">
          <cell r="A232">
            <v>50116</v>
          </cell>
          <cell r="B232" t="str">
            <v>Union Benefit Expense</v>
          </cell>
          <cell r="E232">
            <v>75002.37000000001</v>
          </cell>
          <cell r="F232">
            <v>76004.59</v>
          </cell>
          <cell r="G232">
            <v>72736.17</v>
          </cell>
          <cell r="H232">
            <v>70560.600000000006</v>
          </cell>
          <cell r="I232">
            <v>73715.539999999994</v>
          </cell>
          <cell r="J232">
            <v>76036.11</v>
          </cell>
          <cell r="K232">
            <v>76033.8</v>
          </cell>
          <cell r="L232">
            <v>76047.17</v>
          </cell>
          <cell r="M232">
            <v>75995.589999999982</v>
          </cell>
          <cell r="N232">
            <v>77106.5</v>
          </cell>
          <cell r="O232">
            <v>74405.170000000013</v>
          </cell>
          <cell r="P232">
            <v>74519.92</v>
          </cell>
          <cell r="Q232">
            <v>898163.53</v>
          </cell>
        </row>
        <row r="233">
          <cell r="A233">
            <v>50117</v>
          </cell>
          <cell r="B233" t="str">
            <v>Union Pension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</row>
        <row r="234">
          <cell r="A234">
            <v>50148</v>
          </cell>
          <cell r="B234" t="str">
            <v>Allocated Exp In - District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</row>
        <row r="235">
          <cell r="A235">
            <v>50149</v>
          </cell>
          <cell r="B235" t="str">
            <v>Allocated Exp In Out - District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</row>
        <row r="236">
          <cell r="A236">
            <v>50335</v>
          </cell>
          <cell r="B236" t="str">
            <v>Miscellaneous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</row>
        <row r="237">
          <cell r="A237">
            <v>50900</v>
          </cell>
          <cell r="B237" t="str">
            <v>Capitalized Costs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</row>
        <row r="238">
          <cell r="A238">
            <v>50998</v>
          </cell>
          <cell r="B238" t="str">
            <v>Allocation Out - District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</row>
        <row r="239">
          <cell r="A239">
            <v>50999</v>
          </cell>
          <cell r="B239" t="str">
            <v>Allocation Out - Out District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</row>
        <row r="240">
          <cell r="A240" t="str">
            <v>Total Labor</v>
          </cell>
          <cell r="E240">
            <v>355829.94</v>
          </cell>
          <cell r="F240">
            <v>312790.53000000003</v>
          </cell>
          <cell r="G240">
            <v>353060.25999999995</v>
          </cell>
          <cell r="H240">
            <v>354244.36</v>
          </cell>
          <cell r="I240">
            <v>375435.16</v>
          </cell>
          <cell r="J240">
            <v>372487.97</v>
          </cell>
          <cell r="K240">
            <v>377870.32999999996</v>
          </cell>
          <cell r="L240">
            <v>374292.89</v>
          </cell>
          <cell r="M240">
            <v>378357.81</v>
          </cell>
          <cell r="N240">
            <v>363720.08999999997</v>
          </cell>
          <cell r="O240">
            <v>390035.03</v>
          </cell>
          <cell r="P240">
            <v>369931.60999999993</v>
          </cell>
          <cell r="Q240">
            <v>4378055.9800000004</v>
          </cell>
        </row>
        <row r="242">
          <cell r="A242" t="str">
            <v>Truck Fixed Expenses</v>
          </cell>
        </row>
        <row r="243">
          <cell r="A243">
            <v>51148</v>
          </cell>
          <cell r="B243" t="str">
            <v>Allocation In - District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</row>
        <row r="244">
          <cell r="A244">
            <v>51149</v>
          </cell>
          <cell r="B244" t="str">
            <v>Allocation In - Out District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</row>
        <row r="245">
          <cell r="A245">
            <v>51175</v>
          </cell>
          <cell r="B245" t="str">
            <v>Equipment/Vehicle Rental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</row>
        <row r="246">
          <cell r="A246">
            <v>51275</v>
          </cell>
          <cell r="B246" t="str">
            <v>Property Taxes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</row>
        <row r="247">
          <cell r="A247">
            <v>51295</v>
          </cell>
          <cell r="B247" t="str">
            <v>Licenses</v>
          </cell>
          <cell r="E247">
            <v>7094.03</v>
          </cell>
          <cell r="F247">
            <v>5283.39</v>
          </cell>
          <cell r="G247">
            <v>6038.79</v>
          </cell>
          <cell r="H247">
            <v>6260.76</v>
          </cell>
          <cell r="I247">
            <v>7130.37</v>
          </cell>
          <cell r="J247">
            <v>6495.12</v>
          </cell>
          <cell r="K247">
            <v>7155.12</v>
          </cell>
          <cell r="L247">
            <v>8517.26</v>
          </cell>
          <cell r="M247">
            <v>6025.42</v>
          </cell>
          <cell r="N247">
            <v>6730.71</v>
          </cell>
          <cell r="O247">
            <v>6040.84</v>
          </cell>
          <cell r="P247">
            <v>7017.82</v>
          </cell>
          <cell r="Q247">
            <v>79789.63</v>
          </cell>
        </row>
        <row r="248">
          <cell r="A248">
            <v>51335</v>
          </cell>
          <cell r="B248" t="str">
            <v>Miscellaneous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</row>
        <row r="249">
          <cell r="A249">
            <v>51998</v>
          </cell>
          <cell r="B249" t="str">
            <v>Allocation Out - District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</row>
        <row r="250">
          <cell r="A250">
            <v>51999</v>
          </cell>
          <cell r="B250" t="str">
            <v>Allocation Out - Out District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</row>
        <row r="251">
          <cell r="A251" t="str">
            <v>Total Truck Fixed Expenses</v>
          </cell>
          <cell r="E251">
            <v>7094.03</v>
          </cell>
          <cell r="F251">
            <v>5283.39</v>
          </cell>
          <cell r="G251">
            <v>6038.79</v>
          </cell>
          <cell r="H251">
            <v>6260.76</v>
          </cell>
          <cell r="I251">
            <v>7130.37</v>
          </cell>
          <cell r="J251">
            <v>6495.12</v>
          </cell>
          <cell r="K251">
            <v>7155.12</v>
          </cell>
          <cell r="L251">
            <v>8517.26</v>
          </cell>
          <cell r="M251">
            <v>6025.42</v>
          </cell>
          <cell r="N251">
            <v>6730.71</v>
          </cell>
          <cell r="O251">
            <v>6040.84</v>
          </cell>
          <cell r="P251">
            <v>7017.82</v>
          </cell>
          <cell r="Q251">
            <v>79789.63</v>
          </cell>
        </row>
        <row r="253">
          <cell r="A253" t="str">
            <v>Truck Variable Expenses</v>
          </cell>
        </row>
        <row r="254">
          <cell r="A254">
            <v>52010</v>
          </cell>
          <cell r="B254" t="str">
            <v>Salaries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</row>
        <row r="255">
          <cell r="A255">
            <v>52020</v>
          </cell>
          <cell r="B255" t="str">
            <v>Wages Regular</v>
          </cell>
          <cell r="E255">
            <v>41831.43</v>
          </cell>
          <cell r="F255">
            <v>31547.360000000001</v>
          </cell>
          <cell r="G255">
            <v>41785.230000000003</v>
          </cell>
          <cell r="H255">
            <v>41270.26</v>
          </cell>
          <cell r="I255">
            <v>32339.71</v>
          </cell>
          <cell r="J255">
            <v>31241.200000000001</v>
          </cell>
          <cell r="K255">
            <v>37276.75</v>
          </cell>
          <cell r="L255">
            <v>38079.120000000003</v>
          </cell>
          <cell r="M255">
            <v>35899.410000000003</v>
          </cell>
          <cell r="N255">
            <v>39332.589999999997</v>
          </cell>
          <cell r="O255">
            <v>37890.239999999998</v>
          </cell>
          <cell r="P255">
            <v>44055.94</v>
          </cell>
          <cell r="Q255">
            <v>452549.24000000005</v>
          </cell>
        </row>
        <row r="256">
          <cell r="A256">
            <v>52025</v>
          </cell>
          <cell r="B256" t="str">
            <v>Wages O.T.</v>
          </cell>
          <cell r="E256">
            <v>7524.35</v>
          </cell>
          <cell r="F256">
            <v>4047.27</v>
          </cell>
          <cell r="G256">
            <v>4760.2299999999996</v>
          </cell>
          <cell r="H256">
            <v>4152.5200000000004</v>
          </cell>
          <cell r="I256">
            <v>5808.01</v>
          </cell>
          <cell r="J256">
            <v>4035.92</v>
          </cell>
          <cell r="K256">
            <v>11119.38</v>
          </cell>
          <cell r="L256">
            <v>2971.58</v>
          </cell>
          <cell r="M256">
            <v>6964.42</v>
          </cell>
          <cell r="N256">
            <v>4824.8500000000004</v>
          </cell>
          <cell r="O256">
            <v>7793.34</v>
          </cell>
          <cell r="P256">
            <v>5555.18</v>
          </cell>
          <cell r="Q256">
            <v>69557.049999999988</v>
          </cell>
        </row>
        <row r="257">
          <cell r="A257">
            <v>52035</v>
          </cell>
          <cell r="B257" t="str">
            <v>Safety Bonuses</v>
          </cell>
          <cell r="E257">
            <v>1250</v>
          </cell>
          <cell r="F257">
            <v>1250</v>
          </cell>
          <cell r="G257">
            <v>1250</v>
          </cell>
          <cell r="H257">
            <v>1250</v>
          </cell>
          <cell r="I257">
            <v>2000</v>
          </cell>
          <cell r="J257">
            <v>2000</v>
          </cell>
          <cell r="K257">
            <v>2000</v>
          </cell>
          <cell r="L257">
            <v>2000</v>
          </cell>
          <cell r="M257">
            <v>1000</v>
          </cell>
          <cell r="N257">
            <v>1000</v>
          </cell>
          <cell r="O257">
            <v>1200</v>
          </cell>
          <cell r="P257">
            <v>-2000</v>
          </cell>
          <cell r="Q257">
            <v>14200</v>
          </cell>
        </row>
        <row r="258">
          <cell r="A258">
            <v>52036</v>
          </cell>
          <cell r="B258" t="str">
            <v>Other Bonus/Commission - Non-Safety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</row>
        <row r="259">
          <cell r="A259">
            <v>52045</v>
          </cell>
          <cell r="B259" t="str">
            <v>Contract Labor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</row>
        <row r="260">
          <cell r="A260">
            <v>52050</v>
          </cell>
          <cell r="B260" t="str">
            <v>Payroll Taxes</v>
          </cell>
          <cell r="E260">
            <v>5936.87</v>
          </cell>
          <cell r="F260">
            <v>3515.19</v>
          </cell>
          <cell r="G260">
            <v>4535.6499999999996</v>
          </cell>
          <cell r="H260">
            <v>4653.75</v>
          </cell>
          <cell r="I260">
            <v>4561.24</v>
          </cell>
          <cell r="J260">
            <v>5119.2299999999996</v>
          </cell>
          <cell r="K260">
            <v>5503.32</v>
          </cell>
          <cell r="L260">
            <v>4465.1099999999997</v>
          </cell>
          <cell r="M260">
            <v>4260.3100000000004</v>
          </cell>
          <cell r="N260">
            <v>4002.25</v>
          </cell>
          <cell r="O260">
            <v>5640.4</v>
          </cell>
          <cell r="P260">
            <v>3070</v>
          </cell>
          <cell r="Q260">
            <v>55263.32</v>
          </cell>
        </row>
        <row r="261">
          <cell r="A261">
            <v>52060</v>
          </cell>
          <cell r="B261" t="str">
            <v>Group Insurance</v>
          </cell>
          <cell r="E261">
            <v>-159</v>
          </cell>
          <cell r="F261">
            <v>-159</v>
          </cell>
          <cell r="G261">
            <v>561.5</v>
          </cell>
          <cell r="H261">
            <v>720.5</v>
          </cell>
          <cell r="I261">
            <v>641</v>
          </cell>
          <cell r="J261">
            <v>641</v>
          </cell>
          <cell r="K261">
            <v>641</v>
          </cell>
          <cell r="L261">
            <v>641</v>
          </cell>
          <cell r="M261">
            <v>561.5</v>
          </cell>
          <cell r="N261">
            <v>720.5</v>
          </cell>
          <cell r="O261">
            <v>641</v>
          </cell>
          <cell r="P261">
            <v>511.58</v>
          </cell>
          <cell r="Q261">
            <v>5962.58</v>
          </cell>
        </row>
        <row r="262">
          <cell r="A262">
            <v>52065</v>
          </cell>
          <cell r="B262" t="str">
            <v>Vacation Pay</v>
          </cell>
          <cell r="E262">
            <v>5737.5</v>
          </cell>
          <cell r="F262">
            <v>2090.71</v>
          </cell>
          <cell r="G262">
            <v>1979.73</v>
          </cell>
          <cell r="H262">
            <v>3044.17</v>
          </cell>
          <cell r="I262">
            <v>1571.02</v>
          </cell>
          <cell r="J262">
            <v>4642.26</v>
          </cell>
          <cell r="K262">
            <v>3319.05</v>
          </cell>
          <cell r="L262">
            <v>1557.75</v>
          </cell>
          <cell r="M262">
            <v>5888.63</v>
          </cell>
          <cell r="N262">
            <v>2065.0500000000002</v>
          </cell>
          <cell r="O262">
            <v>3190.34</v>
          </cell>
          <cell r="P262">
            <v>2387</v>
          </cell>
          <cell r="Q262">
            <v>37473.21</v>
          </cell>
        </row>
        <row r="263">
          <cell r="A263">
            <v>52070</v>
          </cell>
          <cell r="B263" t="str">
            <v>Sick Pay</v>
          </cell>
          <cell r="E263">
            <v>0</v>
          </cell>
          <cell r="F263">
            <v>0</v>
          </cell>
          <cell r="G263">
            <v>111.2</v>
          </cell>
          <cell r="H263">
            <v>903.6</v>
          </cell>
          <cell r="I263">
            <v>-301.2</v>
          </cell>
          <cell r="J263">
            <v>114.8</v>
          </cell>
          <cell r="K263">
            <v>229.6</v>
          </cell>
          <cell r="L263">
            <v>-114.8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943.2</v>
          </cell>
        </row>
        <row r="264">
          <cell r="A264">
            <v>52086</v>
          </cell>
          <cell r="B264" t="str">
            <v>Safety and Training</v>
          </cell>
          <cell r="E264">
            <v>313.67</v>
          </cell>
          <cell r="F264">
            <v>337.9</v>
          </cell>
          <cell r="G264">
            <v>464.12</v>
          </cell>
          <cell r="H264">
            <v>898.81</v>
          </cell>
          <cell r="I264">
            <v>1000.19</v>
          </cell>
          <cell r="J264">
            <v>951.13</v>
          </cell>
          <cell r="K264">
            <v>348.03</v>
          </cell>
          <cell r="L264">
            <v>1085.5</v>
          </cell>
          <cell r="M264">
            <v>0</v>
          </cell>
          <cell r="N264">
            <v>252.45</v>
          </cell>
          <cell r="O264">
            <v>0</v>
          </cell>
          <cell r="P264">
            <v>1352.06</v>
          </cell>
          <cell r="Q264">
            <v>7003.8600000000006</v>
          </cell>
        </row>
        <row r="265">
          <cell r="A265">
            <v>52087</v>
          </cell>
          <cell r="B265" t="str">
            <v>Drug Screening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</row>
        <row r="266">
          <cell r="A266">
            <v>52090</v>
          </cell>
          <cell r="B266" t="str">
            <v>Uniforms</v>
          </cell>
          <cell r="E266">
            <v>300.83</v>
          </cell>
          <cell r="F266">
            <v>353.71</v>
          </cell>
          <cell r="G266">
            <v>389.7</v>
          </cell>
          <cell r="H266">
            <v>320.22000000000003</v>
          </cell>
          <cell r="I266">
            <v>296.99</v>
          </cell>
          <cell r="J266">
            <v>450.43</v>
          </cell>
          <cell r="K266">
            <v>428.66</v>
          </cell>
          <cell r="L266">
            <v>1034.03</v>
          </cell>
          <cell r="M266">
            <v>250.15</v>
          </cell>
          <cell r="N266">
            <v>3123.18</v>
          </cell>
          <cell r="O266">
            <v>276.32</v>
          </cell>
          <cell r="P266">
            <v>308.07</v>
          </cell>
          <cell r="Q266">
            <v>7532.2899999999991</v>
          </cell>
        </row>
        <row r="267">
          <cell r="A267">
            <v>52115</v>
          </cell>
          <cell r="B267" t="str">
            <v>Pension and Profit Sharing</v>
          </cell>
          <cell r="E267">
            <v>4010.46</v>
          </cell>
          <cell r="F267">
            <v>3565.56</v>
          </cell>
          <cell r="G267">
            <v>3834.74</v>
          </cell>
          <cell r="H267">
            <v>3873.02</v>
          </cell>
          <cell r="I267">
            <v>3977.37</v>
          </cell>
          <cell r="J267">
            <v>4220.3500000000004</v>
          </cell>
          <cell r="K267">
            <v>4228.8599999999997</v>
          </cell>
          <cell r="L267">
            <v>4197.5600000000004</v>
          </cell>
          <cell r="M267">
            <v>4257.6400000000003</v>
          </cell>
          <cell r="N267">
            <v>4035.58</v>
          </cell>
          <cell r="O267">
            <v>4052.24</v>
          </cell>
          <cell r="P267">
            <v>3832.52</v>
          </cell>
          <cell r="Q267">
            <v>48085.9</v>
          </cell>
        </row>
        <row r="268">
          <cell r="A268">
            <v>52116</v>
          </cell>
          <cell r="B268" t="str">
            <v>Union Benefit Expense</v>
          </cell>
          <cell r="E268">
            <v>11221.99</v>
          </cell>
          <cell r="F268">
            <v>11221.61</v>
          </cell>
          <cell r="G268">
            <v>8963.65</v>
          </cell>
          <cell r="H268">
            <v>10117.1</v>
          </cell>
          <cell r="I268">
            <v>10108.799999999999</v>
          </cell>
          <cell r="J268">
            <v>10108.799999999999</v>
          </cell>
          <cell r="K268">
            <v>10108.799999999999</v>
          </cell>
          <cell r="L268">
            <v>10108.799999999999</v>
          </cell>
          <cell r="M268">
            <v>10102.129999999999</v>
          </cell>
          <cell r="N268">
            <v>10118.73</v>
          </cell>
          <cell r="O268">
            <v>8978.93</v>
          </cell>
          <cell r="P268">
            <v>9916.0499999999993</v>
          </cell>
          <cell r="Q268">
            <v>121075.39</v>
          </cell>
        </row>
        <row r="269">
          <cell r="A269">
            <v>52117</v>
          </cell>
          <cell r="B269" t="str">
            <v>Union Pension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</row>
        <row r="270">
          <cell r="A270">
            <v>52120</v>
          </cell>
          <cell r="B270" t="str">
            <v>Parts and Materials</v>
          </cell>
          <cell r="E270">
            <v>41193.56</v>
          </cell>
          <cell r="F270">
            <v>42024.94</v>
          </cell>
          <cell r="G270">
            <v>38734.660000000003</v>
          </cell>
          <cell r="H270">
            <v>21757.73</v>
          </cell>
          <cell r="I270">
            <v>38676.519999999997</v>
          </cell>
          <cell r="J270">
            <v>21919.95</v>
          </cell>
          <cell r="K270">
            <v>34237.410000000003</v>
          </cell>
          <cell r="L270">
            <v>36723.200000000004</v>
          </cell>
          <cell r="M270">
            <v>30874.03</v>
          </cell>
          <cell r="N270">
            <v>23554.1</v>
          </cell>
          <cell r="O270">
            <v>38660.959999999999</v>
          </cell>
          <cell r="P270">
            <v>71007.829999999987</v>
          </cell>
          <cell r="Q270">
            <v>439364.89</v>
          </cell>
        </row>
        <row r="271">
          <cell r="A271">
            <v>52125</v>
          </cell>
          <cell r="B271" t="str">
            <v>Operating Supplies</v>
          </cell>
          <cell r="E271">
            <v>450.54</v>
          </cell>
          <cell r="F271">
            <v>864.08</v>
          </cell>
          <cell r="G271">
            <v>1556.99</v>
          </cell>
          <cell r="H271">
            <v>537.54</v>
          </cell>
          <cell r="I271">
            <v>1099.93</v>
          </cell>
          <cell r="J271">
            <v>712.27</v>
          </cell>
          <cell r="K271">
            <v>5197.97</v>
          </cell>
          <cell r="L271">
            <v>-137.46</v>
          </cell>
          <cell r="M271">
            <v>1851.48</v>
          </cell>
          <cell r="N271">
            <v>2157.91</v>
          </cell>
          <cell r="O271">
            <v>2427.54</v>
          </cell>
          <cell r="P271">
            <v>1259.3</v>
          </cell>
          <cell r="Q271">
            <v>17978.09</v>
          </cell>
        </row>
        <row r="272">
          <cell r="A272">
            <v>52135</v>
          </cell>
          <cell r="B272" t="str">
            <v>Equipment and Maint Repair</v>
          </cell>
          <cell r="E272">
            <v>1311.54</v>
          </cell>
          <cell r="F272">
            <v>0</v>
          </cell>
          <cell r="G272">
            <v>1331.95</v>
          </cell>
          <cell r="H272">
            <v>2045.95</v>
          </cell>
          <cell r="I272">
            <v>0</v>
          </cell>
          <cell r="J272">
            <v>829.81</v>
          </cell>
          <cell r="K272">
            <v>0</v>
          </cell>
          <cell r="L272">
            <v>606.65</v>
          </cell>
          <cell r="M272">
            <v>0</v>
          </cell>
          <cell r="N272">
            <v>19.89</v>
          </cell>
          <cell r="O272">
            <v>0</v>
          </cell>
          <cell r="P272">
            <v>4997.33</v>
          </cell>
          <cell r="Q272">
            <v>11143.119999999999</v>
          </cell>
        </row>
        <row r="273">
          <cell r="A273">
            <v>52140</v>
          </cell>
          <cell r="B273" t="str">
            <v>Tires</v>
          </cell>
          <cell r="E273">
            <v>10747.01</v>
          </cell>
          <cell r="F273">
            <v>20260.900000000001</v>
          </cell>
          <cell r="G273">
            <v>12967.76</v>
          </cell>
          <cell r="H273">
            <v>15725.04</v>
          </cell>
          <cell r="I273">
            <v>18198.22</v>
          </cell>
          <cell r="J273">
            <v>22108.07</v>
          </cell>
          <cell r="K273">
            <v>15799.4</v>
          </cell>
          <cell r="L273">
            <v>23775.3</v>
          </cell>
          <cell r="M273">
            <v>38329.33</v>
          </cell>
          <cell r="N273">
            <v>6596.26</v>
          </cell>
          <cell r="O273">
            <v>14714.42</v>
          </cell>
          <cell r="P273">
            <v>23906.22</v>
          </cell>
          <cell r="Q273">
            <v>223127.93</v>
          </cell>
        </row>
        <row r="274">
          <cell r="A274">
            <v>52142</v>
          </cell>
          <cell r="B274" t="str">
            <v>Fuel Expense</v>
          </cell>
          <cell r="E274">
            <v>90672.87</v>
          </cell>
          <cell r="F274">
            <v>84188.88</v>
          </cell>
          <cell r="G274">
            <v>96017.58</v>
          </cell>
          <cell r="H274">
            <v>104369.3</v>
          </cell>
          <cell r="I274">
            <v>97844</v>
          </cell>
          <cell r="J274">
            <v>100692.82</v>
          </cell>
          <cell r="K274">
            <v>101529.68</v>
          </cell>
          <cell r="L274">
            <v>100169.49</v>
          </cell>
          <cell r="M274">
            <v>104198.62999999999</v>
          </cell>
          <cell r="N274">
            <v>102536.13</v>
          </cell>
          <cell r="O274">
            <v>101351.78</v>
          </cell>
          <cell r="P274">
            <v>108470.82</v>
          </cell>
          <cell r="Q274">
            <v>1192041.98</v>
          </cell>
        </row>
        <row r="275">
          <cell r="A275">
            <v>52143</v>
          </cell>
          <cell r="B275" t="str">
            <v>Transmontagne Fuel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</row>
        <row r="276">
          <cell r="A276">
            <v>52144</v>
          </cell>
          <cell r="B276" t="str">
            <v>Urea Expense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</row>
        <row r="277">
          <cell r="A277">
            <v>52146</v>
          </cell>
          <cell r="B277" t="str">
            <v>Oil and Grease</v>
          </cell>
          <cell r="E277">
            <v>1875.42</v>
          </cell>
          <cell r="F277">
            <v>3140.6</v>
          </cell>
          <cell r="G277">
            <v>5599.47</v>
          </cell>
          <cell r="H277">
            <v>2698.4</v>
          </cell>
          <cell r="I277">
            <v>3948.29</v>
          </cell>
          <cell r="J277">
            <v>2749.6</v>
          </cell>
          <cell r="K277">
            <v>7146.81</v>
          </cell>
          <cell r="L277">
            <v>2889.82</v>
          </cell>
          <cell r="M277">
            <v>9639.18</v>
          </cell>
          <cell r="N277">
            <v>6672.23</v>
          </cell>
          <cell r="O277">
            <v>11463.27</v>
          </cell>
          <cell r="P277">
            <v>-1288.0899999999999</v>
          </cell>
          <cell r="Q277">
            <v>56535</v>
          </cell>
        </row>
        <row r="278">
          <cell r="A278">
            <v>52147</v>
          </cell>
          <cell r="B278" t="str">
            <v>Outside Repairs</v>
          </cell>
          <cell r="E278">
            <v>8076.3899999999994</v>
          </cell>
          <cell r="F278">
            <v>4057.67</v>
          </cell>
          <cell r="G278">
            <v>2887.37</v>
          </cell>
          <cell r="H278">
            <v>4718.95</v>
          </cell>
          <cell r="I278">
            <v>7256.5</v>
          </cell>
          <cell r="J278">
            <v>4191.84</v>
          </cell>
          <cell r="K278">
            <v>8112.14</v>
          </cell>
          <cell r="L278">
            <v>5106.9299999999994</v>
          </cell>
          <cell r="M278">
            <v>11697.4</v>
          </cell>
          <cell r="N278">
            <v>2871.95</v>
          </cell>
          <cell r="O278">
            <v>2463.9499999999998</v>
          </cell>
          <cell r="P278">
            <v>2818.3500000000004</v>
          </cell>
          <cell r="Q278">
            <v>64259.439999999995</v>
          </cell>
        </row>
        <row r="279">
          <cell r="A279">
            <v>52148</v>
          </cell>
          <cell r="B279" t="str">
            <v>Allocated Exp In - District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</row>
        <row r="280">
          <cell r="A280">
            <v>52149</v>
          </cell>
          <cell r="B280" t="str">
            <v>Allocated Exp In Out - District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</row>
        <row r="281">
          <cell r="A281">
            <v>52150</v>
          </cell>
          <cell r="B281" t="str">
            <v>Utilities</v>
          </cell>
          <cell r="E281">
            <v>3181.16</v>
          </cell>
          <cell r="F281">
            <v>2292.6799999999998</v>
          </cell>
          <cell r="G281">
            <v>2139.2399999999998</v>
          </cell>
          <cell r="H281">
            <v>1852.79</v>
          </cell>
          <cell r="I281">
            <v>1236.6600000000001</v>
          </cell>
          <cell r="J281">
            <v>1066.23</v>
          </cell>
          <cell r="K281">
            <v>890.6</v>
          </cell>
          <cell r="L281">
            <v>864.21</v>
          </cell>
          <cell r="M281">
            <v>875.77</v>
          </cell>
          <cell r="N281">
            <v>889.61</v>
          </cell>
          <cell r="O281">
            <v>1635.02</v>
          </cell>
          <cell r="P281">
            <v>2991.91</v>
          </cell>
          <cell r="Q281">
            <v>19915.88</v>
          </cell>
        </row>
        <row r="282">
          <cell r="A282">
            <v>52165</v>
          </cell>
          <cell r="B282" t="str">
            <v>Communications</v>
          </cell>
          <cell r="E282">
            <v>1324.81</v>
          </cell>
          <cell r="F282">
            <v>1312.75</v>
          </cell>
          <cell r="G282">
            <v>1300.6099999999999</v>
          </cell>
          <cell r="H282">
            <v>1324.91</v>
          </cell>
          <cell r="I282">
            <v>1652.06</v>
          </cell>
          <cell r="J282">
            <v>1336.3</v>
          </cell>
          <cell r="K282">
            <v>1291.19</v>
          </cell>
          <cell r="L282">
            <v>1252.44</v>
          </cell>
          <cell r="M282">
            <v>1871.82</v>
          </cell>
          <cell r="N282">
            <v>1105.6099999999999</v>
          </cell>
          <cell r="O282">
            <v>1351.41</v>
          </cell>
          <cell r="P282">
            <v>1424.14</v>
          </cell>
          <cell r="Q282">
            <v>16548.05</v>
          </cell>
        </row>
        <row r="283">
          <cell r="A283">
            <v>52170</v>
          </cell>
          <cell r="B283" t="str">
            <v>Real Estate Rentals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</row>
        <row r="284">
          <cell r="A284">
            <v>52172</v>
          </cell>
          <cell r="B284" t="str">
            <v>Chassis Lease Expense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</row>
        <row r="285">
          <cell r="A285">
            <v>52175</v>
          </cell>
          <cell r="B285" t="str">
            <v>Equip/Vehicle Rental</v>
          </cell>
          <cell r="E285">
            <v>230.74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230.74</v>
          </cell>
        </row>
        <row r="286">
          <cell r="A286">
            <v>52181</v>
          </cell>
          <cell r="B286" t="str">
            <v>Freight</v>
          </cell>
          <cell r="E286">
            <v>0</v>
          </cell>
          <cell r="F286">
            <v>0</v>
          </cell>
          <cell r="G286">
            <v>0</v>
          </cell>
          <cell r="H286">
            <v>16.23</v>
          </cell>
          <cell r="I286">
            <v>369.59000000000003</v>
          </cell>
          <cell r="J286">
            <v>0</v>
          </cell>
          <cell r="K286">
            <v>0</v>
          </cell>
          <cell r="L286">
            <v>95.38</v>
          </cell>
          <cell r="M286">
            <v>0</v>
          </cell>
          <cell r="N286">
            <v>0</v>
          </cell>
          <cell r="O286">
            <v>0</v>
          </cell>
          <cell r="P286">
            <v>103.97</v>
          </cell>
          <cell r="Q286">
            <v>585.17000000000007</v>
          </cell>
        </row>
        <row r="287">
          <cell r="A287">
            <v>52182</v>
          </cell>
          <cell r="B287" t="str">
            <v>Towing Expense</v>
          </cell>
          <cell r="E287">
            <v>455.28</v>
          </cell>
          <cell r="F287">
            <v>428.18</v>
          </cell>
          <cell r="G287">
            <v>195.12</v>
          </cell>
          <cell r="H287">
            <v>627.72</v>
          </cell>
          <cell r="I287">
            <v>1626</v>
          </cell>
          <cell r="J287">
            <v>0</v>
          </cell>
          <cell r="K287">
            <v>569.1</v>
          </cell>
          <cell r="L287">
            <v>0</v>
          </cell>
          <cell r="M287">
            <v>238.48</v>
          </cell>
          <cell r="N287">
            <v>0</v>
          </cell>
          <cell r="O287">
            <v>661.24</v>
          </cell>
          <cell r="P287">
            <v>514.9</v>
          </cell>
          <cell r="Q287">
            <v>5316.0199999999995</v>
          </cell>
        </row>
        <row r="288">
          <cell r="A288">
            <v>52185</v>
          </cell>
          <cell r="B288" t="str">
            <v>Travel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</row>
        <row r="289">
          <cell r="A289">
            <v>52200</v>
          </cell>
          <cell r="B289" t="str">
            <v>Office Supply and Equip</v>
          </cell>
          <cell r="E289">
            <v>302.27999999999997</v>
          </cell>
          <cell r="F289">
            <v>504.92</v>
          </cell>
          <cell r="G289">
            <v>245.31</v>
          </cell>
          <cell r="H289">
            <v>1615.6</v>
          </cell>
          <cell r="I289">
            <v>152.86000000000001</v>
          </cell>
          <cell r="J289">
            <v>155.44</v>
          </cell>
          <cell r="K289">
            <v>66.27</v>
          </cell>
          <cell r="L289">
            <v>678.01</v>
          </cell>
          <cell r="M289">
            <v>154.47999999999999</v>
          </cell>
          <cell r="N289">
            <v>1193.94</v>
          </cell>
          <cell r="O289">
            <v>147.13</v>
          </cell>
          <cell r="P289">
            <v>809.46</v>
          </cell>
          <cell r="Q289">
            <v>6025.7</v>
          </cell>
        </row>
        <row r="290">
          <cell r="A290">
            <v>52275</v>
          </cell>
          <cell r="B290" t="str">
            <v>Property Taxes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</row>
        <row r="291">
          <cell r="A291">
            <v>52335</v>
          </cell>
          <cell r="B291" t="str">
            <v>Miscellaneous</v>
          </cell>
          <cell r="E291">
            <v>27</v>
          </cell>
          <cell r="F291">
            <v>0</v>
          </cell>
          <cell r="G291">
            <v>13.5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40.5</v>
          </cell>
        </row>
        <row r="292">
          <cell r="A292">
            <v>52900</v>
          </cell>
          <cell r="B292" t="str">
            <v>Capitalized Costs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</row>
        <row r="293">
          <cell r="A293">
            <v>52901</v>
          </cell>
          <cell r="B293" t="str">
            <v>Costs Awaiting Capitilization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</row>
        <row r="294">
          <cell r="A294">
            <v>52998</v>
          </cell>
          <cell r="B294" t="str">
            <v>Allocation Out - District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</row>
        <row r="295">
          <cell r="A295">
            <v>52999</v>
          </cell>
          <cell r="B295" t="str">
            <v>Allocation Out - Out District</v>
          </cell>
          <cell r="E295">
            <v>-8839.42</v>
          </cell>
          <cell r="F295">
            <v>-11223.85</v>
          </cell>
          <cell r="G295">
            <v>-12345.57</v>
          </cell>
          <cell r="H295">
            <v>-17818.71</v>
          </cell>
          <cell r="I295">
            <v>-8260.7000000000007</v>
          </cell>
          <cell r="J295">
            <v>-18104.939999999999</v>
          </cell>
          <cell r="K295">
            <v>-8429.56</v>
          </cell>
          <cell r="L295">
            <v>-12829.3</v>
          </cell>
          <cell r="M295">
            <v>-6149.56</v>
          </cell>
          <cell r="N295">
            <v>-5808.26</v>
          </cell>
          <cell r="O295">
            <v>-5947.92</v>
          </cell>
          <cell r="P295">
            <v>-45343.87</v>
          </cell>
          <cell r="Q295">
            <v>-161101.66</v>
          </cell>
        </row>
        <row r="296">
          <cell r="A296" t="str">
            <v>Total Truck Variable</v>
          </cell>
          <cell r="E296">
            <v>228977.27999999997</v>
          </cell>
          <cell r="F296">
            <v>205622.06000000003</v>
          </cell>
          <cell r="G296">
            <v>219279.73999999996</v>
          </cell>
          <cell r="H296">
            <v>210675.40000000005</v>
          </cell>
          <cell r="I296">
            <v>225803.05999999997</v>
          </cell>
          <cell r="J296">
            <v>201182.51</v>
          </cell>
          <cell r="K296">
            <v>241614.46</v>
          </cell>
          <cell r="L296">
            <v>225220.32000000004</v>
          </cell>
          <cell r="M296">
            <v>262765.23</v>
          </cell>
          <cell r="N296">
            <v>211264.55</v>
          </cell>
          <cell r="O296">
            <v>238591.60999999996</v>
          </cell>
          <cell r="P296">
            <v>240660.66999999993</v>
          </cell>
          <cell r="Q296">
            <v>2711656.8899999997</v>
          </cell>
        </row>
        <row r="298">
          <cell r="A298" t="str">
            <v>Container</v>
          </cell>
        </row>
        <row r="299">
          <cell r="A299">
            <v>54148</v>
          </cell>
          <cell r="B299" t="str">
            <v>Allocation In - District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</row>
        <row r="300">
          <cell r="A300">
            <v>54149</v>
          </cell>
          <cell r="B300" t="str">
            <v>Allocation In - Out District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</row>
        <row r="301">
          <cell r="A301">
            <v>54175</v>
          </cell>
          <cell r="B301" t="str">
            <v>Equipment/Vehicle Rental</v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</row>
        <row r="302">
          <cell r="A302">
            <v>54275</v>
          </cell>
          <cell r="B302" t="str">
            <v>Property Taxes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</row>
        <row r="303">
          <cell r="A303">
            <v>54335</v>
          </cell>
          <cell r="B303" t="str">
            <v>Miscellaneous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</row>
        <row r="304">
          <cell r="A304">
            <v>54998</v>
          </cell>
          <cell r="B304" t="str">
            <v>Allocation Out - District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</row>
        <row r="305">
          <cell r="A305">
            <v>54999</v>
          </cell>
          <cell r="B305" t="str">
            <v>Allocation Out - Out District</v>
          </cell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</row>
        <row r="306">
          <cell r="A306">
            <v>55010</v>
          </cell>
          <cell r="B306" t="str">
            <v>Salaries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</row>
        <row r="307">
          <cell r="A307">
            <v>55020</v>
          </cell>
          <cell r="B307" t="str">
            <v>Wages Regular</v>
          </cell>
          <cell r="E307">
            <v>4237.87</v>
          </cell>
          <cell r="F307">
            <v>3645.1</v>
          </cell>
          <cell r="G307">
            <v>5053.71</v>
          </cell>
          <cell r="H307">
            <v>3782.98</v>
          </cell>
          <cell r="I307">
            <v>4116.55</v>
          </cell>
          <cell r="J307">
            <v>4866.5600000000004</v>
          </cell>
          <cell r="K307">
            <v>3450.41</v>
          </cell>
          <cell r="L307">
            <v>-895.79</v>
          </cell>
          <cell r="M307">
            <v>2790.36</v>
          </cell>
          <cell r="N307">
            <v>2211.17</v>
          </cell>
          <cell r="O307">
            <v>1382.48</v>
          </cell>
          <cell r="P307">
            <v>2606.41</v>
          </cell>
          <cell r="Q307">
            <v>37247.81</v>
          </cell>
        </row>
        <row r="308">
          <cell r="A308">
            <v>55025</v>
          </cell>
          <cell r="B308" t="str">
            <v>Wages O.T.</v>
          </cell>
          <cell r="E308">
            <v>207.52</v>
          </cell>
          <cell r="F308">
            <v>12.82</v>
          </cell>
          <cell r="G308">
            <v>38.619999999999997</v>
          </cell>
          <cell r="H308">
            <v>37.99</v>
          </cell>
          <cell r="I308">
            <v>485</v>
          </cell>
          <cell r="J308">
            <v>319.70999999999998</v>
          </cell>
          <cell r="K308">
            <v>215.61</v>
          </cell>
          <cell r="L308">
            <v>-99.64</v>
          </cell>
          <cell r="M308">
            <v>16.27</v>
          </cell>
          <cell r="N308">
            <v>59.9</v>
          </cell>
          <cell r="O308">
            <v>192.29</v>
          </cell>
          <cell r="P308">
            <v>-41.94</v>
          </cell>
          <cell r="Q308">
            <v>1444.1499999999999</v>
          </cell>
        </row>
        <row r="309">
          <cell r="A309">
            <v>55035</v>
          </cell>
          <cell r="B309" t="str">
            <v>Safety Bonuses</v>
          </cell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</row>
        <row r="310">
          <cell r="A310">
            <v>55036</v>
          </cell>
          <cell r="B310" t="str">
            <v>Other Bonus/Commission - Non-Safety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</row>
        <row r="311">
          <cell r="A311">
            <v>55045</v>
          </cell>
          <cell r="B311" t="str">
            <v>Contract Labor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</row>
        <row r="312">
          <cell r="A312">
            <v>55050</v>
          </cell>
          <cell r="B312" t="str">
            <v>Payroll Taxes</v>
          </cell>
          <cell r="E312">
            <v>526.11</v>
          </cell>
          <cell r="F312">
            <v>376.89</v>
          </cell>
          <cell r="G312">
            <v>487.16</v>
          </cell>
          <cell r="H312">
            <v>433.36</v>
          </cell>
          <cell r="I312">
            <v>441.95</v>
          </cell>
          <cell r="J312">
            <v>479.57</v>
          </cell>
          <cell r="K312">
            <v>386.21</v>
          </cell>
          <cell r="L312">
            <v>296.14999999999998</v>
          </cell>
          <cell r="M312">
            <v>200.44</v>
          </cell>
          <cell r="N312">
            <v>209.02</v>
          </cell>
          <cell r="O312">
            <v>287.25</v>
          </cell>
          <cell r="P312">
            <v>160.52000000000001</v>
          </cell>
          <cell r="Q312">
            <v>4284.630000000001</v>
          </cell>
        </row>
        <row r="313">
          <cell r="A313">
            <v>55060</v>
          </cell>
          <cell r="B313" t="str">
            <v>Group Insurance</v>
          </cell>
          <cell r="E313">
            <v>592</v>
          </cell>
          <cell r="F313">
            <v>592</v>
          </cell>
          <cell r="G313">
            <v>488</v>
          </cell>
          <cell r="H313">
            <v>696</v>
          </cell>
          <cell r="I313">
            <v>592</v>
          </cell>
          <cell r="J313">
            <v>592</v>
          </cell>
          <cell r="K313">
            <v>592</v>
          </cell>
          <cell r="L313">
            <v>592</v>
          </cell>
          <cell r="M313">
            <v>589</v>
          </cell>
          <cell r="N313">
            <v>693</v>
          </cell>
          <cell r="O313">
            <v>641</v>
          </cell>
          <cell r="P313">
            <v>641</v>
          </cell>
          <cell r="Q313">
            <v>7300</v>
          </cell>
        </row>
        <row r="314">
          <cell r="A314">
            <v>55065</v>
          </cell>
          <cell r="B314" t="str">
            <v>Vacation Pay</v>
          </cell>
          <cell r="E314">
            <v>1530.51</v>
          </cell>
          <cell r="F314">
            <v>299.68</v>
          </cell>
          <cell r="G314">
            <v>-333.52</v>
          </cell>
          <cell r="H314">
            <v>791.16</v>
          </cell>
          <cell r="I314">
            <v>342.62</v>
          </cell>
          <cell r="J314">
            <v>95.96</v>
          </cell>
          <cell r="K314">
            <v>412.42</v>
          </cell>
          <cell r="L314">
            <v>663.21</v>
          </cell>
          <cell r="M314">
            <v>-476.38</v>
          </cell>
          <cell r="N314">
            <v>100.96</v>
          </cell>
          <cell r="O314">
            <v>-21.16</v>
          </cell>
          <cell r="P314">
            <v>202.89</v>
          </cell>
          <cell r="Q314">
            <v>3608.35</v>
          </cell>
        </row>
        <row r="315">
          <cell r="A315">
            <v>55070</v>
          </cell>
          <cell r="B315" t="str">
            <v>Sick Pay</v>
          </cell>
          <cell r="E315">
            <v>0</v>
          </cell>
          <cell r="F315">
            <v>106.8</v>
          </cell>
          <cell r="G315">
            <v>0</v>
          </cell>
          <cell r="H315">
            <v>207</v>
          </cell>
          <cell r="I315">
            <v>107.64</v>
          </cell>
          <cell r="J315">
            <v>-66.239999999999995</v>
          </cell>
          <cell r="K315">
            <v>386.4</v>
          </cell>
          <cell r="L315">
            <v>0</v>
          </cell>
          <cell r="M315">
            <v>0</v>
          </cell>
          <cell r="N315">
            <v>0</v>
          </cell>
          <cell r="O315">
            <v>1048.8</v>
          </cell>
          <cell r="P315">
            <v>-386.4</v>
          </cell>
          <cell r="Q315">
            <v>1404</v>
          </cell>
        </row>
        <row r="316">
          <cell r="A316">
            <v>55086</v>
          </cell>
          <cell r="B316" t="str">
            <v>Safety and Training</v>
          </cell>
          <cell r="E316">
            <v>0</v>
          </cell>
          <cell r="F316">
            <v>0</v>
          </cell>
          <cell r="G316">
            <v>0</v>
          </cell>
          <cell r="H316">
            <v>102.92</v>
          </cell>
          <cell r="I316">
            <v>87.01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25</v>
          </cell>
          <cell r="O316">
            <v>0</v>
          </cell>
          <cell r="P316">
            <v>0</v>
          </cell>
          <cell r="Q316">
            <v>214.93</v>
          </cell>
        </row>
        <row r="317">
          <cell r="A317">
            <v>55090</v>
          </cell>
          <cell r="B317" t="str">
            <v>Uniforms</v>
          </cell>
          <cell r="E317">
            <v>150.38</v>
          </cell>
          <cell r="F317">
            <v>176.83</v>
          </cell>
          <cell r="G317">
            <v>194.81</v>
          </cell>
          <cell r="H317">
            <v>160.08000000000001</v>
          </cell>
          <cell r="I317">
            <v>148.47</v>
          </cell>
          <cell r="J317">
            <v>225.16</v>
          </cell>
          <cell r="K317">
            <v>214.31</v>
          </cell>
          <cell r="L317">
            <v>616.44000000000005</v>
          </cell>
          <cell r="M317">
            <v>125.04</v>
          </cell>
          <cell r="N317">
            <v>178.98</v>
          </cell>
          <cell r="O317">
            <v>138.13999999999999</v>
          </cell>
          <cell r="P317">
            <v>154.04</v>
          </cell>
          <cell r="Q317">
            <v>2482.6799999999998</v>
          </cell>
        </row>
        <row r="318">
          <cell r="A318">
            <v>55115</v>
          </cell>
          <cell r="B318" t="str">
            <v>Pension and Profit Sharing</v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</row>
        <row r="319">
          <cell r="A319">
            <v>55116</v>
          </cell>
          <cell r="B319" t="str">
            <v>Union Benefit Expense</v>
          </cell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</row>
        <row r="320">
          <cell r="A320">
            <v>55117</v>
          </cell>
          <cell r="B320" t="str">
            <v>Union Pension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</row>
        <row r="321">
          <cell r="A321">
            <v>55120</v>
          </cell>
          <cell r="B321" t="str">
            <v>Parts and Materials</v>
          </cell>
          <cell r="E321">
            <v>8487.7999999999993</v>
          </cell>
          <cell r="F321">
            <v>7446.84</v>
          </cell>
          <cell r="G321">
            <v>15850.27</v>
          </cell>
          <cell r="H321">
            <v>18201.75</v>
          </cell>
          <cell r="I321">
            <v>9184.14</v>
          </cell>
          <cell r="J321">
            <v>13165.81</v>
          </cell>
          <cell r="K321">
            <v>11588.02</v>
          </cell>
          <cell r="L321">
            <v>15366.43</v>
          </cell>
          <cell r="M321">
            <v>-29929.23</v>
          </cell>
          <cell r="N321">
            <v>8572.4699999999993</v>
          </cell>
          <cell r="O321">
            <v>2939.21</v>
          </cell>
          <cell r="P321">
            <v>7744.74</v>
          </cell>
          <cell r="Q321">
            <v>88618.250000000015</v>
          </cell>
        </row>
        <row r="322">
          <cell r="A322">
            <v>55125</v>
          </cell>
          <cell r="B322" t="str">
            <v>Operating Supplies</v>
          </cell>
          <cell r="E322">
            <v>625.29999999999995</v>
          </cell>
          <cell r="F322">
            <v>287.99</v>
          </cell>
          <cell r="G322">
            <v>0</v>
          </cell>
          <cell r="H322">
            <v>809.74</v>
          </cell>
          <cell r="I322">
            <v>404.7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64.819999999999993</v>
          </cell>
          <cell r="P322">
            <v>0</v>
          </cell>
          <cell r="Q322">
            <v>2192.5500000000002</v>
          </cell>
        </row>
        <row r="323">
          <cell r="A323">
            <v>55135</v>
          </cell>
          <cell r="B323" t="str">
            <v>Equipment and Maint Repair</v>
          </cell>
          <cell r="E323">
            <v>0</v>
          </cell>
          <cell r="F323">
            <v>321.35000000000002</v>
          </cell>
          <cell r="G323">
            <v>309.18</v>
          </cell>
          <cell r="H323">
            <v>826.48</v>
          </cell>
          <cell r="I323">
            <v>87.89</v>
          </cell>
          <cell r="J323">
            <v>0</v>
          </cell>
          <cell r="K323">
            <v>0</v>
          </cell>
          <cell r="L323">
            <v>0</v>
          </cell>
          <cell r="M323">
            <v>531.54999999999995</v>
          </cell>
          <cell r="N323">
            <v>172.24</v>
          </cell>
          <cell r="O323">
            <v>0</v>
          </cell>
          <cell r="P323">
            <v>250.34</v>
          </cell>
          <cell r="Q323">
            <v>2499.0299999999997</v>
          </cell>
        </row>
        <row r="324">
          <cell r="A324">
            <v>55140</v>
          </cell>
          <cell r="B324" t="str">
            <v>Tires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</row>
        <row r="325">
          <cell r="A325">
            <v>55142</v>
          </cell>
          <cell r="B325" t="str">
            <v>Fuel Expense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</row>
        <row r="326">
          <cell r="A326">
            <v>55143</v>
          </cell>
          <cell r="B326" t="str">
            <v>Corporate Medical Waste Supplies</v>
          </cell>
          <cell r="E326">
            <v>0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</row>
        <row r="327">
          <cell r="A327">
            <v>55146</v>
          </cell>
          <cell r="B327" t="str">
            <v>Oil and Grease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</row>
        <row r="328">
          <cell r="A328">
            <v>55147</v>
          </cell>
          <cell r="B328" t="str">
            <v>Outside Repairs</v>
          </cell>
          <cell r="E328">
            <v>0</v>
          </cell>
          <cell r="F328">
            <v>292.57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292.57</v>
          </cell>
        </row>
        <row r="329">
          <cell r="A329">
            <v>55148</v>
          </cell>
          <cell r="B329" t="str">
            <v>Allocated Exp In - District</v>
          </cell>
          <cell r="E329">
            <v>0</v>
          </cell>
          <cell r="F329">
            <v>116.52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116.52</v>
          </cell>
        </row>
        <row r="330">
          <cell r="A330">
            <v>55149</v>
          </cell>
          <cell r="B330" t="str">
            <v>Allocated Exp In Out - District</v>
          </cell>
          <cell r="E330">
            <v>0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</row>
        <row r="331">
          <cell r="A331">
            <v>55150</v>
          </cell>
          <cell r="B331" t="str">
            <v>Utilities</v>
          </cell>
          <cell r="E331">
            <v>437.73</v>
          </cell>
          <cell r="F331">
            <v>510</v>
          </cell>
          <cell r="G331">
            <v>480.44</v>
          </cell>
          <cell r="H331">
            <v>460.73</v>
          </cell>
          <cell r="I331">
            <v>398.31</v>
          </cell>
          <cell r="J331">
            <v>372.03</v>
          </cell>
          <cell r="K331">
            <v>329.33</v>
          </cell>
          <cell r="L331">
            <v>0</v>
          </cell>
          <cell r="M331">
            <v>370.51</v>
          </cell>
          <cell r="N331">
            <v>344.08</v>
          </cell>
          <cell r="O331">
            <v>368.05</v>
          </cell>
          <cell r="P331">
            <v>368.05</v>
          </cell>
          <cell r="Q331">
            <v>4439.26</v>
          </cell>
        </row>
        <row r="332">
          <cell r="A332">
            <v>55181</v>
          </cell>
          <cell r="B332" t="str">
            <v>Freight</v>
          </cell>
          <cell r="E332">
            <v>0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</row>
        <row r="333">
          <cell r="A333">
            <v>55335</v>
          </cell>
          <cell r="B333" t="str">
            <v>Miscellaneous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</row>
        <row r="334">
          <cell r="A334">
            <v>55900</v>
          </cell>
          <cell r="B334" t="str">
            <v>Capitalized Costs</v>
          </cell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</row>
        <row r="335">
          <cell r="A335">
            <v>55998</v>
          </cell>
          <cell r="B335" t="str">
            <v>Allocation Out - District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</row>
        <row r="336">
          <cell r="A336">
            <v>55999</v>
          </cell>
          <cell r="B336" t="str">
            <v>Allocation Out - Out District</v>
          </cell>
          <cell r="E336">
            <v>-3211.72</v>
          </cell>
          <cell r="F336">
            <v>-1377.44</v>
          </cell>
          <cell r="G336">
            <v>-15514.36</v>
          </cell>
          <cell r="H336">
            <v>-20245.62</v>
          </cell>
          <cell r="I336">
            <v>-8044.68</v>
          </cell>
          <cell r="J336">
            <v>-1309.6400000000001</v>
          </cell>
          <cell r="K336">
            <v>-416.83</v>
          </cell>
          <cell r="L336">
            <v>-3864.87</v>
          </cell>
          <cell r="M336">
            <v>-3105</v>
          </cell>
          <cell r="N336">
            <v>-3070</v>
          </cell>
          <cell r="O336">
            <v>-7561.32</v>
          </cell>
          <cell r="P336">
            <v>-4472.33</v>
          </cell>
          <cell r="Q336">
            <v>-72193.810000000012</v>
          </cell>
        </row>
        <row r="337">
          <cell r="A337" t="str">
            <v>Total Container</v>
          </cell>
          <cell r="E337">
            <v>13583.499999999998</v>
          </cell>
          <cell r="F337">
            <v>12807.949999999999</v>
          </cell>
          <cell r="G337">
            <v>7054.3099999999977</v>
          </cell>
          <cell r="H337">
            <v>6264.57</v>
          </cell>
          <cell r="I337">
            <v>8351.6000000000022</v>
          </cell>
          <cell r="J337">
            <v>18740.919999999998</v>
          </cell>
          <cell r="K337">
            <v>17157.88</v>
          </cell>
          <cell r="L337">
            <v>12673.93</v>
          </cell>
          <cell r="M337">
            <v>-28887.440000000002</v>
          </cell>
          <cell r="N337">
            <v>9496.82</v>
          </cell>
          <cell r="O337">
            <v>-520.4399999999996</v>
          </cell>
          <cell r="P337">
            <v>7227.3199999999979</v>
          </cell>
          <cell r="Q337">
            <v>83950.92</v>
          </cell>
        </row>
        <row r="339">
          <cell r="A339" t="str">
            <v>Supervisor</v>
          </cell>
        </row>
        <row r="340">
          <cell r="A340">
            <v>56010</v>
          </cell>
          <cell r="B340" t="str">
            <v>Salaries</v>
          </cell>
          <cell r="E340">
            <v>8076.93</v>
          </cell>
          <cell r="F340">
            <v>7692.32</v>
          </cell>
          <cell r="G340">
            <v>8846.17</v>
          </cell>
          <cell r="H340">
            <v>8461.56</v>
          </cell>
          <cell r="I340">
            <v>8176.05</v>
          </cell>
          <cell r="J340">
            <v>8565.3799999999992</v>
          </cell>
          <cell r="K340">
            <v>8565.39</v>
          </cell>
          <cell r="L340">
            <v>8565.39</v>
          </cell>
          <cell r="M340">
            <v>8565.39</v>
          </cell>
          <cell r="N340">
            <v>8176.07</v>
          </cell>
          <cell r="O340">
            <v>8565.39</v>
          </cell>
          <cell r="P340">
            <v>8954.7199999999993</v>
          </cell>
          <cell r="Q340">
            <v>101210.76</v>
          </cell>
        </row>
        <row r="341">
          <cell r="A341">
            <v>56020</v>
          </cell>
          <cell r="B341" t="str">
            <v>Wages Regular</v>
          </cell>
          <cell r="E341">
            <v>2832.84</v>
          </cell>
          <cell r="F341">
            <v>5053.68</v>
          </cell>
          <cell r="G341">
            <v>4774.8999999999996</v>
          </cell>
          <cell r="H341">
            <v>4762.42</v>
          </cell>
          <cell r="I341">
            <v>2680.17</v>
          </cell>
          <cell r="J341">
            <v>3378.56</v>
          </cell>
          <cell r="K341">
            <v>5325.53</v>
          </cell>
          <cell r="L341">
            <v>3835.06</v>
          </cell>
          <cell r="M341">
            <v>4435.92</v>
          </cell>
          <cell r="N341">
            <v>4522.72</v>
          </cell>
          <cell r="O341">
            <v>4731.6499999999996</v>
          </cell>
          <cell r="P341">
            <v>4844.54</v>
          </cell>
          <cell r="Q341">
            <v>51177.990000000005</v>
          </cell>
        </row>
        <row r="342">
          <cell r="A342">
            <v>56025</v>
          </cell>
          <cell r="B342" t="str">
            <v>Wages O.T.</v>
          </cell>
          <cell r="E342">
            <v>274.88</v>
          </cell>
          <cell r="F342">
            <v>259.24</v>
          </cell>
          <cell r="G342">
            <v>649.44000000000005</v>
          </cell>
          <cell r="H342">
            <v>504.21</v>
          </cell>
          <cell r="I342">
            <v>341.07</v>
          </cell>
          <cell r="J342">
            <v>196.68</v>
          </cell>
          <cell r="K342">
            <v>716.35</v>
          </cell>
          <cell r="L342">
            <v>71.97</v>
          </cell>
          <cell r="M342">
            <v>716.15</v>
          </cell>
          <cell r="N342">
            <v>388.74</v>
          </cell>
          <cell r="O342">
            <v>560.69000000000005</v>
          </cell>
          <cell r="P342">
            <v>692.62</v>
          </cell>
          <cell r="Q342">
            <v>5372.04</v>
          </cell>
        </row>
        <row r="343">
          <cell r="A343">
            <v>56035</v>
          </cell>
          <cell r="B343" t="str">
            <v>Safety Bonuses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</row>
        <row r="344">
          <cell r="A344">
            <v>56036</v>
          </cell>
          <cell r="B344" t="str">
            <v>Other Bonus/Commission - Non-Safety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</row>
        <row r="345">
          <cell r="A345">
            <v>56037</v>
          </cell>
          <cell r="B345" t="str">
            <v>Termination Pay</v>
          </cell>
          <cell r="E345">
            <v>0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</row>
        <row r="346">
          <cell r="A346">
            <v>56045</v>
          </cell>
          <cell r="B346" t="str">
            <v>Contract Labor</v>
          </cell>
          <cell r="E346">
            <v>0</v>
          </cell>
          <cell r="F346">
            <v>0</v>
          </cell>
          <cell r="G346">
            <v>0</v>
          </cell>
          <cell r="H346">
            <v>0</v>
          </cell>
          <cell r="I346">
            <v>2127.6</v>
          </cell>
          <cell r="J346">
            <v>283.68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2411.2799999999997</v>
          </cell>
        </row>
        <row r="347">
          <cell r="A347">
            <v>56050</v>
          </cell>
          <cell r="B347" t="str">
            <v>Payroll Taxes</v>
          </cell>
          <cell r="E347">
            <v>1457.13</v>
          </cell>
          <cell r="F347">
            <v>1086.04</v>
          </cell>
          <cell r="G347">
            <v>1432.76</v>
          </cell>
          <cell r="H347">
            <v>1237.58</v>
          </cell>
          <cell r="I347">
            <v>1015.69</v>
          </cell>
          <cell r="J347">
            <v>1252.47</v>
          </cell>
          <cell r="K347">
            <v>1534.22</v>
          </cell>
          <cell r="L347">
            <v>1138.26</v>
          </cell>
          <cell r="M347">
            <v>1122.4100000000001</v>
          </cell>
          <cell r="N347">
            <v>1083.83</v>
          </cell>
          <cell r="O347">
            <v>1262.81</v>
          </cell>
          <cell r="P347">
            <v>1237.03</v>
          </cell>
          <cell r="Q347">
            <v>14860.230000000001</v>
          </cell>
        </row>
        <row r="348">
          <cell r="A348">
            <v>56060</v>
          </cell>
          <cell r="B348" t="str">
            <v>Group Insurance</v>
          </cell>
          <cell r="E348">
            <v>2260</v>
          </cell>
          <cell r="F348">
            <v>2260</v>
          </cell>
          <cell r="G348">
            <v>2015</v>
          </cell>
          <cell r="H348">
            <v>2505</v>
          </cell>
          <cell r="I348">
            <v>2286.75</v>
          </cell>
          <cell r="J348">
            <v>2260</v>
          </cell>
          <cell r="K348">
            <v>2233.2399999999998</v>
          </cell>
          <cell r="L348">
            <v>2260</v>
          </cell>
          <cell r="M348">
            <v>2015</v>
          </cell>
          <cell r="N348">
            <v>2505</v>
          </cell>
          <cell r="O348">
            <v>2260</v>
          </cell>
          <cell r="P348">
            <v>2260</v>
          </cell>
          <cell r="Q348">
            <v>27119.989999999998</v>
          </cell>
        </row>
        <row r="349">
          <cell r="A349">
            <v>56065</v>
          </cell>
          <cell r="B349" t="str">
            <v>Vacation Pay</v>
          </cell>
          <cell r="E349">
            <v>1525.21</v>
          </cell>
          <cell r="F349">
            <v>-107.25</v>
          </cell>
          <cell r="G349">
            <v>686</v>
          </cell>
          <cell r="H349">
            <v>651.78</v>
          </cell>
          <cell r="I349">
            <v>5006.99</v>
          </cell>
          <cell r="J349">
            <v>-77.53</v>
          </cell>
          <cell r="K349">
            <v>1031.8800000000001</v>
          </cell>
          <cell r="L349">
            <v>1229.18</v>
          </cell>
          <cell r="M349">
            <v>-193.57</v>
          </cell>
          <cell r="N349">
            <v>1097.0899999999999</v>
          </cell>
          <cell r="O349">
            <v>647.59</v>
          </cell>
          <cell r="P349">
            <v>92.16</v>
          </cell>
          <cell r="Q349">
            <v>11589.53</v>
          </cell>
        </row>
        <row r="350">
          <cell r="A350">
            <v>56070</v>
          </cell>
          <cell r="B350" t="str">
            <v>Sick Pay</v>
          </cell>
          <cell r="E350">
            <v>197.6</v>
          </cell>
          <cell r="F350">
            <v>-54.84</v>
          </cell>
          <cell r="G350">
            <v>58.3</v>
          </cell>
          <cell r="H350">
            <v>30.87</v>
          </cell>
          <cell r="I350">
            <v>0</v>
          </cell>
          <cell r="J350">
            <v>421.35</v>
          </cell>
          <cell r="K350">
            <v>0</v>
          </cell>
          <cell r="L350">
            <v>0</v>
          </cell>
          <cell r="M350">
            <v>371.67</v>
          </cell>
          <cell r="N350">
            <v>-106.19</v>
          </cell>
          <cell r="O350">
            <v>333.34</v>
          </cell>
          <cell r="P350">
            <v>-137.26</v>
          </cell>
          <cell r="Q350">
            <v>1114.8399999999999</v>
          </cell>
        </row>
        <row r="351">
          <cell r="A351">
            <v>56086</v>
          </cell>
          <cell r="B351" t="str">
            <v>Safety and Training</v>
          </cell>
          <cell r="E351">
            <v>259.02</v>
          </cell>
          <cell r="F351">
            <v>48.7</v>
          </cell>
          <cell r="G351">
            <v>93.68</v>
          </cell>
          <cell r="H351">
            <v>64.45</v>
          </cell>
          <cell r="I351">
            <v>0</v>
          </cell>
          <cell r="J351">
            <v>194.76</v>
          </cell>
          <cell r="K351">
            <v>1077.77</v>
          </cell>
          <cell r="L351">
            <v>241.93</v>
          </cell>
          <cell r="M351">
            <v>798.35</v>
          </cell>
          <cell r="N351">
            <v>821.91</v>
          </cell>
          <cell r="O351">
            <v>200.16</v>
          </cell>
          <cell r="P351">
            <v>135.97999999999999</v>
          </cell>
          <cell r="Q351">
            <v>3936.7099999999996</v>
          </cell>
        </row>
        <row r="352">
          <cell r="A352">
            <v>56090</v>
          </cell>
          <cell r="B352" t="str">
            <v>Uniforms</v>
          </cell>
          <cell r="E352">
            <v>1795.66</v>
          </cell>
          <cell r="F352">
            <v>143.75</v>
          </cell>
          <cell r="G352">
            <v>1117.68</v>
          </cell>
          <cell r="H352">
            <v>663</v>
          </cell>
          <cell r="I352">
            <v>503.29</v>
          </cell>
          <cell r="J352">
            <v>889.18</v>
          </cell>
          <cell r="K352">
            <v>1081.28</v>
          </cell>
          <cell r="L352">
            <v>680.36</v>
          </cell>
          <cell r="M352">
            <v>906.86</v>
          </cell>
          <cell r="N352">
            <v>144.98000000000002</v>
          </cell>
          <cell r="O352">
            <v>1093.78</v>
          </cell>
          <cell r="P352">
            <v>477.8</v>
          </cell>
          <cell r="Q352">
            <v>9497.619999999999</v>
          </cell>
        </row>
        <row r="353">
          <cell r="A353">
            <v>56095</v>
          </cell>
          <cell r="B353" t="str">
            <v>Empl &amp; Commun Activ</v>
          </cell>
          <cell r="E353">
            <v>727.54</v>
          </cell>
          <cell r="F353">
            <v>-266.95</v>
          </cell>
          <cell r="G353">
            <v>0</v>
          </cell>
          <cell r="H353">
            <v>92.48</v>
          </cell>
          <cell r="I353">
            <v>485.76</v>
          </cell>
          <cell r="J353">
            <v>463.36</v>
          </cell>
          <cell r="K353">
            <v>0</v>
          </cell>
          <cell r="L353">
            <v>0</v>
          </cell>
          <cell r="M353">
            <v>293.06</v>
          </cell>
          <cell r="N353">
            <v>28.73</v>
          </cell>
          <cell r="O353">
            <v>-181.04</v>
          </cell>
          <cell r="P353">
            <v>0</v>
          </cell>
          <cell r="Q353">
            <v>1642.94</v>
          </cell>
        </row>
        <row r="354">
          <cell r="A354">
            <v>56105</v>
          </cell>
          <cell r="B354" t="str">
            <v>Employee Relocation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</row>
        <row r="355">
          <cell r="A355">
            <v>56108</v>
          </cell>
          <cell r="B355" t="str">
            <v>School Tuition</v>
          </cell>
          <cell r="E355">
            <v>0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</row>
        <row r="356">
          <cell r="A356">
            <v>56115</v>
          </cell>
          <cell r="B356" t="str">
            <v>Pension and Profit Sharing</v>
          </cell>
          <cell r="E356">
            <v>226.28</v>
          </cell>
          <cell r="F356">
            <v>217.62</v>
          </cell>
          <cell r="G356">
            <v>333.09</v>
          </cell>
          <cell r="H356">
            <v>220.44</v>
          </cell>
          <cell r="I356">
            <v>189.47</v>
          </cell>
          <cell r="J356">
            <v>211.84</v>
          </cell>
          <cell r="K356">
            <v>270.73</v>
          </cell>
          <cell r="L356">
            <v>224.38</v>
          </cell>
          <cell r="M356">
            <v>228.09</v>
          </cell>
          <cell r="N356">
            <v>329.68</v>
          </cell>
          <cell r="O356">
            <v>224.86</v>
          </cell>
          <cell r="P356">
            <v>246.21</v>
          </cell>
          <cell r="Q356">
            <v>2922.69</v>
          </cell>
        </row>
        <row r="357">
          <cell r="A357">
            <v>56116</v>
          </cell>
          <cell r="B357" t="str">
            <v>Union Benefit Expense</v>
          </cell>
          <cell r="E357">
            <v>0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</row>
        <row r="358">
          <cell r="A358">
            <v>56117</v>
          </cell>
          <cell r="B358" t="str">
            <v>Union Pension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</row>
        <row r="359">
          <cell r="A359">
            <v>56125</v>
          </cell>
          <cell r="B359" t="str">
            <v>Operating Supplies</v>
          </cell>
          <cell r="E359">
            <v>1415.21</v>
          </cell>
          <cell r="F359">
            <v>1483.02</v>
          </cell>
          <cell r="G359">
            <v>1740.94</v>
          </cell>
          <cell r="H359">
            <v>445.37</v>
          </cell>
          <cell r="I359">
            <v>804.72</v>
          </cell>
          <cell r="J359">
            <v>164.82</v>
          </cell>
          <cell r="K359">
            <v>658.52</v>
          </cell>
          <cell r="L359">
            <v>1100.71</v>
          </cell>
          <cell r="M359">
            <v>1250.03</v>
          </cell>
          <cell r="N359">
            <v>1674.36</v>
          </cell>
          <cell r="O359">
            <v>765.8</v>
          </cell>
          <cell r="P359">
            <v>382.82</v>
          </cell>
          <cell r="Q359">
            <v>11886.32</v>
          </cell>
        </row>
        <row r="360">
          <cell r="A360">
            <v>56140</v>
          </cell>
          <cell r="B360" t="str">
            <v>Tires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</row>
        <row r="361">
          <cell r="A361">
            <v>56142</v>
          </cell>
          <cell r="B361" t="str">
            <v>Fuel Expense</v>
          </cell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20</v>
          </cell>
          <cell r="Q361">
            <v>20</v>
          </cell>
        </row>
        <row r="362">
          <cell r="A362">
            <v>56148</v>
          </cell>
          <cell r="B362" t="str">
            <v>Allocated Exp In - District</v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</row>
        <row r="363">
          <cell r="A363">
            <v>56149</v>
          </cell>
          <cell r="B363" t="str">
            <v>Allocated Exp In Out - District</v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</row>
        <row r="364">
          <cell r="A364">
            <v>56165</v>
          </cell>
          <cell r="B364" t="str">
            <v>Communications</v>
          </cell>
          <cell r="E364">
            <v>4606.6000000000004</v>
          </cell>
          <cell r="F364">
            <v>4350.2299999999996</v>
          </cell>
          <cell r="G364">
            <v>4615.41</v>
          </cell>
          <cell r="H364">
            <v>1003.34</v>
          </cell>
          <cell r="I364">
            <v>7555.03</v>
          </cell>
          <cell r="J364">
            <v>4491</v>
          </cell>
          <cell r="K364">
            <v>4590.99</v>
          </cell>
          <cell r="L364">
            <v>470.11</v>
          </cell>
          <cell r="M364">
            <v>4254.96</v>
          </cell>
          <cell r="N364">
            <v>4208.18</v>
          </cell>
          <cell r="O364">
            <v>512.84</v>
          </cell>
          <cell r="P364">
            <v>4070.45</v>
          </cell>
          <cell r="Q364">
            <v>44729.139999999992</v>
          </cell>
        </row>
        <row r="365">
          <cell r="A365">
            <v>56200</v>
          </cell>
          <cell r="B365" t="str">
            <v>Travel</v>
          </cell>
          <cell r="E365">
            <v>0</v>
          </cell>
          <cell r="F365">
            <v>69</v>
          </cell>
          <cell r="G365">
            <v>98.25</v>
          </cell>
          <cell r="H365">
            <v>52.88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5.62</v>
          </cell>
          <cell r="O365">
            <v>0</v>
          </cell>
          <cell r="P365">
            <v>0</v>
          </cell>
          <cell r="Q365">
            <v>225.75</v>
          </cell>
        </row>
        <row r="366">
          <cell r="A366">
            <v>56201</v>
          </cell>
          <cell r="B366" t="str">
            <v>Meal and Entertainment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103.1</v>
          </cell>
          <cell r="K366">
            <v>0</v>
          </cell>
          <cell r="L366">
            <v>0</v>
          </cell>
          <cell r="M366">
            <v>0</v>
          </cell>
          <cell r="N366">
            <v>44.52</v>
          </cell>
          <cell r="O366">
            <v>90.55</v>
          </cell>
          <cell r="P366">
            <v>110.62</v>
          </cell>
          <cell r="Q366">
            <v>348.79</v>
          </cell>
        </row>
        <row r="367">
          <cell r="A367">
            <v>56210</v>
          </cell>
          <cell r="B367" t="str">
            <v>Office Supply and Equip</v>
          </cell>
          <cell r="E367">
            <v>907.9</v>
          </cell>
          <cell r="F367">
            <v>1266.8599999999999</v>
          </cell>
          <cell r="G367">
            <v>1175.05</v>
          </cell>
          <cell r="H367">
            <v>2018.74</v>
          </cell>
          <cell r="I367">
            <v>1340.75</v>
          </cell>
          <cell r="J367">
            <v>1056.72</v>
          </cell>
          <cell r="K367">
            <v>1348.09</v>
          </cell>
          <cell r="L367">
            <v>2224.39</v>
          </cell>
          <cell r="M367">
            <v>1094.46</v>
          </cell>
          <cell r="N367">
            <v>1045.8699999999999</v>
          </cell>
          <cell r="O367">
            <v>1613.32</v>
          </cell>
          <cell r="P367">
            <v>1365.17</v>
          </cell>
          <cell r="Q367">
            <v>16457.32</v>
          </cell>
        </row>
        <row r="368">
          <cell r="A368">
            <v>56335</v>
          </cell>
          <cell r="B368" t="str">
            <v>Miscellaneous</v>
          </cell>
          <cell r="E368">
            <v>0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</row>
        <row r="369">
          <cell r="A369">
            <v>56998</v>
          </cell>
          <cell r="B369" t="str">
            <v>Allocation Out - District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</row>
        <row r="370">
          <cell r="A370">
            <v>56999</v>
          </cell>
          <cell r="B370" t="str">
            <v>Allocation Out - Out District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</row>
        <row r="371">
          <cell r="A371" t="str">
            <v>Total Supervisor</v>
          </cell>
          <cell r="E371">
            <v>26562.799999999996</v>
          </cell>
          <cell r="F371">
            <v>23501.42</v>
          </cell>
          <cell r="G371">
            <v>27636.67</v>
          </cell>
          <cell r="H371">
            <v>22714.119999999995</v>
          </cell>
          <cell r="I371">
            <v>32513.34</v>
          </cell>
          <cell r="J371">
            <v>23855.37</v>
          </cell>
          <cell r="K371">
            <v>28433.989999999994</v>
          </cell>
          <cell r="L371">
            <v>22041.739999999998</v>
          </cell>
          <cell r="M371">
            <v>25858.779999999995</v>
          </cell>
          <cell r="N371">
            <v>25971.11</v>
          </cell>
          <cell r="O371">
            <v>22681.739999999998</v>
          </cell>
          <cell r="P371">
            <v>24752.86</v>
          </cell>
          <cell r="Q371">
            <v>306523.94</v>
          </cell>
        </row>
        <row r="373">
          <cell r="A373" t="str">
            <v>Other Operating Expense</v>
          </cell>
        </row>
        <row r="374">
          <cell r="A374">
            <v>46020</v>
          </cell>
          <cell r="B374" t="str">
            <v>Post Closure Amortization</v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</row>
        <row r="375">
          <cell r="A375">
            <v>57051</v>
          </cell>
          <cell r="B375" t="str">
            <v>AA Premiums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</row>
        <row r="376">
          <cell r="A376">
            <v>57125</v>
          </cell>
          <cell r="B376" t="str">
            <v>Operating Supplies</v>
          </cell>
          <cell r="E376">
            <v>0</v>
          </cell>
          <cell r="F376">
            <v>0</v>
          </cell>
          <cell r="G376">
            <v>0</v>
          </cell>
          <cell r="H376">
            <v>427.66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224.45</v>
          </cell>
          <cell r="O376">
            <v>3002.92</v>
          </cell>
          <cell r="P376">
            <v>0</v>
          </cell>
          <cell r="Q376">
            <v>3655.03</v>
          </cell>
        </row>
        <row r="377">
          <cell r="A377">
            <v>57147</v>
          </cell>
          <cell r="B377" t="str">
            <v>Bldg &amp; Property</v>
          </cell>
          <cell r="E377">
            <v>8063.84</v>
          </cell>
          <cell r="F377">
            <v>8169.88</v>
          </cell>
          <cell r="G377">
            <v>6041.82</v>
          </cell>
          <cell r="H377">
            <v>6588.54</v>
          </cell>
          <cell r="I377">
            <v>4365.71</v>
          </cell>
          <cell r="J377">
            <v>4713.99</v>
          </cell>
          <cell r="K377">
            <v>10806.84</v>
          </cell>
          <cell r="L377">
            <v>9251.0400000000009</v>
          </cell>
          <cell r="M377">
            <v>6193.48</v>
          </cell>
          <cell r="N377">
            <v>8759.64</v>
          </cell>
          <cell r="O377">
            <v>5195.24</v>
          </cell>
          <cell r="P377">
            <v>16632.82</v>
          </cell>
          <cell r="Q377">
            <v>94782.84</v>
          </cell>
        </row>
        <row r="378">
          <cell r="A378">
            <v>57148</v>
          </cell>
          <cell r="B378" t="str">
            <v>Allocated In - District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</row>
        <row r="379">
          <cell r="A379">
            <v>57149</v>
          </cell>
          <cell r="B379" t="str">
            <v>Allocated In - Out District</v>
          </cell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</row>
        <row r="380">
          <cell r="A380">
            <v>57150</v>
          </cell>
          <cell r="B380" t="str">
            <v>Utilities</v>
          </cell>
          <cell r="E380">
            <v>1384.3</v>
          </cell>
          <cell r="F380">
            <v>289.72000000000003</v>
          </cell>
          <cell r="G380">
            <v>352.8</v>
          </cell>
          <cell r="H380">
            <v>250.3</v>
          </cell>
          <cell r="I380">
            <v>272.69</v>
          </cell>
          <cell r="J380">
            <v>171.46</v>
          </cell>
          <cell r="K380">
            <v>268.27</v>
          </cell>
          <cell r="L380">
            <v>157.77000000000001</v>
          </cell>
          <cell r="M380">
            <v>921.26</v>
          </cell>
          <cell r="N380">
            <v>178.68</v>
          </cell>
          <cell r="O380">
            <v>1625.08</v>
          </cell>
          <cell r="P380">
            <v>312.62</v>
          </cell>
          <cell r="Q380">
            <v>6184.95</v>
          </cell>
        </row>
        <row r="381">
          <cell r="A381">
            <v>57165</v>
          </cell>
          <cell r="B381" t="str">
            <v>Communications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</row>
        <row r="382">
          <cell r="A382">
            <v>57166</v>
          </cell>
          <cell r="B382" t="str">
            <v>Leachate Treatment</v>
          </cell>
          <cell r="E382">
            <v>0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</row>
        <row r="383">
          <cell r="A383">
            <v>57170</v>
          </cell>
          <cell r="B383" t="str">
            <v>Real Estate Rentals</v>
          </cell>
          <cell r="E383">
            <v>17643.07</v>
          </cell>
          <cell r="F383">
            <v>17035.48</v>
          </cell>
          <cell r="G383">
            <v>17673.07</v>
          </cell>
          <cell r="H383">
            <v>17402.849999999999</v>
          </cell>
          <cell r="I383">
            <v>17402.849999999999</v>
          </cell>
          <cell r="J383">
            <v>17402.849999999999</v>
          </cell>
          <cell r="K383">
            <v>17402.849999999999</v>
          </cell>
          <cell r="L383">
            <v>17402.849999999999</v>
          </cell>
          <cell r="M383">
            <v>18791.8</v>
          </cell>
          <cell r="N383">
            <v>17402.849999999999</v>
          </cell>
          <cell r="O383">
            <v>18791.8</v>
          </cell>
          <cell r="P383">
            <v>2852.62</v>
          </cell>
          <cell r="Q383">
            <v>197204.94</v>
          </cell>
        </row>
        <row r="384">
          <cell r="A384">
            <v>57175</v>
          </cell>
          <cell r="B384" t="str">
            <v>Equipment Vehicle Rental</v>
          </cell>
          <cell r="E384">
            <v>328.66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2091.2399999999998</v>
          </cell>
          <cell r="P384">
            <v>397.36</v>
          </cell>
          <cell r="Q384">
            <v>2817.2599999999998</v>
          </cell>
        </row>
        <row r="385">
          <cell r="A385">
            <v>57185</v>
          </cell>
          <cell r="B385" t="str">
            <v>Postage</v>
          </cell>
          <cell r="E385">
            <v>0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</row>
        <row r="386">
          <cell r="A386">
            <v>57252</v>
          </cell>
          <cell r="B386" t="str">
            <v>Subcontract Expense</v>
          </cell>
          <cell r="E386">
            <v>0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</row>
        <row r="387">
          <cell r="A387">
            <v>57254</v>
          </cell>
          <cell r="B387" t="str">
            <v>Drive Cam Fees</v>
          </cell>
          <cell r="E387">
            <v>5737.5</v>
          </cell>
          <cell r="F387">
            <v>5737.5</v>
          </cell>
          <cell r="G387">
            <v>5737.5</v>
          </cell>
          <cell r="H387">
            <v>5737.5</v>
          </cell>
          <cell r="I387">
            <v>3780</v>
          </cell>
          <cell r="J387">
            <v>3780</v>
          </cell>
          <cell r="K387">
            <v>3780</v>
          </cell>
          <cell r="L387">
            <v>3780</v>
          </cell>
          <cell r="M387">
            <v>3780</v>
          </cell>
          <cell r="N387">
            <v>3780</v>
          </cell>
          <cell r="O387">
            <v>3780</v>
          </cell>
          <cell r="P387">
            <v>3780</v>
          </cell>
          <cell r="Q387">
            <v>53190</v>
          </cell>
        </row>
        <row r="388">
          <cell r="A388">
            <v>57255</v>
          </cell>
          <cell r="B388" t="str">
            <v>Other Prof Fees</v>
          </cell>
          <cell r="E388">
            <v>0</v>
          </cell>
          <cell r="F388">
            <v>0</v>
          </cell>
          <cell r="G388">
            <v>13.5</v>
          </cell>
          <cell r="H388">
            <v>13.5</v>
          </cell>
          <cell r="I388">
            <v>13.5</v>
          </cell>
          <cell r="J388">
            <v>13.5</v>
          </cell>
          <cell r="K388">
            <v>0</v>
          </cell>
          <cell r="L388">
            <v>13.5</v>
          </cell>
          <cell r="M388">
            <v>13.5</v>
          </cell>
          <cell r="N388">
            <v>13.5</v>
          </cell>
          <cell r="O388">
            <v>13.5</v>
          </cell>
          <cell r="P388">
            <v>0</v>
          </cell>
          <cell r="Q388">
            <v>108</v>
          </cell>
        </row>
        <row r="389">
          <cell r="A389">
            <v>57256</v>
          </cell>
          <cell r="B389" t="str">
            <v>Laboratory Fees</v>
          </cell>
          <cell r="E389">
            <v>0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</row>
        <row r="390">
          <cell r="A390">
            <v>57257</v>
          </cell>
          <cell r="B390" t="str">
            <v>Engineering Fees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54300.08</v>
          </cell>
          <cell r="K390">
            <v>3763.13</v>
          </cell>
          <cell r="L390">
            <v>4344.38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62407.59</v>
          </cell>
        </row>
        <row r="391">
          <cell r="A391">
            <v>57275</v>
          </cell>
          <cell r="B391" t="str">
            <v>Property Taxes</v>
          </cell>
          <cell r="E391">
            <v>648.66999999999996</v>
          </cell>
          <cell r="F391">
            <v>748.26</v>
          </cell>
          <cell r="G391">
            <v>748.26</v>
          </cell>
          <cell r="H391">
            <v>931.59</v>
          </cell>
          <cell r="I391">
            <v>931.59</v>
          </cell>
          <cell r="J391">
            <v>931.61</v>
          </cell>
          <cell r="K391">
            <v>676.33</v>
          </cell>
          <cell r="L391">
            <v>676.33</v>
          </cell>
          <cell r="M391">
            <v>676.33</v>
          </cell>
          <cell r="N391">
            <v>676.33</v>
          </cell>
          <cell r="O391">
            <v>676.33</v>
          </cell>
          <cell r="P391">
            <v>676.33</v>
          </cell>
          <cell r="Q391">
            <v>8997.9599999999991</v>
          </cell>
        </row>
        <row r="392">
          <cell r="A392">
            <v>57280</v>
          </cell>
          <cell r="B392" t="str">
            <v>Other Taxes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</row>
        <row r="393">
          <cell r="A393">
            <v>57324</v>
          </cell>
          <cell r="B393" t="str">
            <v>Penalties and Violations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266.95</v>
          </cell>
          <cell r="O393">
            <v>266.95</v>
          </cell>
          <cell r="P393">
            <v>0</v>
          </cell>
          <cell r="Q393">
            <v>533.9</v>
          </cell>
        </row>
        <row r="394">
          <cell r="A394">
            <v>57335</v>
          </cell>
          <cell r="B394" t="str">
            <v>Miscellaneous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-33322.47</v>
          </cell>
          <cell r="K394">
            <v>33322.47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</row>
        <row r="395">
          <cell r="A395">
            <v>57345</v>
          </cell>
          <cell r="B395" t="str">
            <v>Secruity Services</v>
          </cell>
          <cell r="E395">
            <v>187.5</v>
          </cell>
          <cell r="F395">
            <v>187.5</v>
          </cell>
          <cell r="G395">
            <v>187.5</v>
          </cell>
          <cell r="H395">
            <v>187.5</v>
          </cell>
          <cell r="I395">
            <v>187.5</v>
          </cell>
          <cell r="J395">
            <v>187.5</v>
          </cell>
          <cell r="K395">
            <v>187.5</v>
          </cell>
          <cell r="L395">
            <v>187.5</v>
          </cell>
          <cell r="M395">
            <v>187.5</v>
          </cell>
          <cell r="N395">
            <v>187.5</v>
          </cell>
          <cell r="O395">
            <v>187.5</v>
          </cell>
          <cell r="P395">
            <v>250</v>
          </cell>
          <cell r="Q395">
            <v>2312.5</v>
          </cell>
        </row>
        <row r="396">
          <cell r="A396">
            <v>57353</v>
          </cell>
          <cell r="B396" t="str">
            <v>Monitoring and Maint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</row>
        <row r="397">
          <cell r="A397">
            <v>57356</v>
          </cell>
          <cell r="B397" t="str">
            <v>Cover Cost</v>
          </cell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</row>
        <row r="398">
          <cell r="A398">
            <v>57357</v>
          </cell>
          <cell r="B398" t="str">
            <v>Permits</v>
          </cell>
          <cell r="E398">
            <v>65</v>
          </cell>
          <cell r="F398">
            <v>0</v>
          </cell>
          <cell r="G398">
            <v>132.5</v>
          </cell>
          <cell r="H398">
            <v>0</v>
          </cell>
          <cell r="I398">
            <v>0</v>
          </cell>
          <cell r="J398">
            <v>132.5</v>
          </cell>
          <cell r="K398">
            <v>0</v>
          </cell>
          <cell r="L398">
            <v>0</v>
          </cell>
          <cell r="M398">
            <v>132.5</v>
          </cell>
          <cell r="N398">
            <v>1975</v>
          </cell>
          <cell r="O398">
            <v>0</v>
          </cell>
          <cell r="P398">
            <v>132.5</v>
          </cell>
          <cell r="Q398">
            <v>2570</v>
          </cell>
        </row>
        <row r="399">
          <cell r="A399">
            <v>57360</v>
          </cell>
          <cell r="B399" t="str">
            <v>Royalties</v>
          </cell>
          <cell r="E399">
            <v>0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</row>
        <row r="400">
          <cell r="A400">
            <v>57370</v>
          </cell>
          <cell r="B400" t="str">
            <v>Bonds Expense</v>
          </cell>
          <cell r="E400">
            <v>4619.28</v>
          </cell>
          <cell r="F400">
            <v>6292.28</v>
          </cell>
          <cell r="G400">
            <v>6547.28</v>
          </cell>
          <cell r="H400">
            <v>5761.53</v>
          </cell>
          <cell r="I400">
            <v>5761.53</v>
          </cell>
          <cell r="J400">
            <v>5761.53</v>
          </cell>
          <cell r="K400">
            <v>5761.49</v>
          </cell>
          <cell r="L400">
            <v>5761.53</v>
          </cell>
          <cell r="M400">
            <v>5761.53</v>
          </cell>
          <cell r="N400">
            <v>5761.53</v>
          </cell>
          <cell r="O400">
            <v>6186.53</v>
          </cell>
          <cell r="P400">
            <v>4741.53</v>
          </cell>
          <cell r="Q400">
            <v>68717.569999999992</v>
          </cell>
        </row>
        <row r="401">
          <cell r="A401">
            <v>57900</v>
          </cell>
          <cell r="B401" t="str">
            <v>Capitalized Costs</v>
          </cell>
          <cell r="E401">
            <v>0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</row>
        <row r="402">
          <cell r="A402">
            <v>57998</v>
          </cell>
          <cell r="B402" t="str">
            <v>Allocation Out - District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</row>
        <row r="403">
          <cell r="A403">
            <v>57999</v>
          </cell>
          <cell r="B403" t="str">
            <v>Allocation Out - Out District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</row>
        <row r="404">
          <cell r="A404">
            <v>70265</v>
          </cell>
          <cell r="B404" t="str">
            <v>Amortization of Long Term Contracts</v>
          </cell>
          <cell r="E404">
            <v>0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</row>
        <row r="405">
          <cell r="A405">
            <v>80050</v>
          </cell>
          <cell r="B405" t="str">
            <v>Interest Expense Closure/Post Closure</v>
          </cell>
          <cell r="E405">
            <v>0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</row>
        <row r="406">
          <cell r="A406" t="str">
            <v>Total Other Operating Expense</v>
          </cell>
          <cell r="E406">
            <v>38677.819999999992</v>
          </cell>
          <cell r="F406">
            <v>38460.620000000003</v>
          </cell>
          <cell r="G406">
            <v>37434.229999999996</v>
          </cell>
          <cell r="H406">
            <v>37300.97</v>
          </cell>
          <cell r="I406">
            <v>32715.37</v>
          </cell>
          <cell r="J406">
            <v>54072.55</v>
          </cell>
          <cell r="K406">
            <v>75968.88</v>
          </cell>
          <cell r="L406">
            <v>41574.9</v>
          </cell>
          <cell r="M406">
            <v>36457.9</v>
          </cell>
          <cell r="N406">
            <v>39226.43</v>
          </cell>
          <cell r="O406">
            <v>41817.089999999997</v>
          </cell>
          <cell r="P406">
            <v>29775.78</v>
          </cell>
          <cell r="Q406">
            <v>503482.54000000004</v>
          </cell>
        </row>
        <row r="408">
          <cell r="A408" t="str">
            <v>Insurance</v>
          </cell>
        </row>
        <row r="409">
          <cell r="A409">
            <v>59148</v>
          </cell>
          <cell r="B409" t="str">
            <v>Allocation In - District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</row>
        <row r="410">
          <cell r="A410">
            <v>59149</v>
          </cell>
          <cell r="B410" t="str">
            <v>Allocation In - Out District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</row>
        <row r="411">
          <cell r="A411">
            <v>59271</v>
          </cell>
          <cell r="B411" t="str">
            <v>Property and Liability Insurance</v>
          </cell>
          <cell r="E411">
            <v>0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</row>
        <row r="412">
          <cell r="A412">
            <v>59326</v>
          </cell>
          <cell r="B412" t="str">
            <v>Deductible - Current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</row>
        <row r="413">
          <cell r="A413">
            <v>59327</v>
          </cell>
          <cell r="B413" t="str">
            <v>Deductible - Damage</v>
          </cell>
          <cell r="E413">
            <v>0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</row>
        <row r="414">
          <cell r="A414">
            <v>59328</v>
          </cell>
          <cell r="B414" t="str">
            <v>Claim Recoveries</v>
          </cell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</row>
        <row r="415">
          <cell r="A415">
            <v>59330</v>
          </cell>
          <cell r="B415" t="str">
            <v>Deduct - Prior Year</v>
          </cell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</row>
        <row r="416">
          <cell r="A416">
            <v>59331</v>
          </cell>
          <cell r="B416" t="str">
            <v>RM Fixed Costs</v>
          </cell>
          <cell r="E416">
            <v>0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</row>
        <row r="417">
          <cell r="A417">
            <v>59340</v>
          </cell>
          <cell r="B417" t="str">
            <v>Self Insurance Premium</v>
          </cell>
          <cell r="E417">
            <v>10091.379999999999</v>
          </cell>
          <cell r="F417">
            <v>10091.379999999999</v>
          </cell>
          <cell r="G417">
            <v>10091.379999999999</v>
          </cell>
          <cell r="H417">
            <v>10091.379999999999</v>
          </cell>
          <cell r="I417">
            <v>10091.379999999999</v>
          </cell>
          <cell r="J417">
            <v>10091.379999999999</v>
          </cell>
          <cell r="K417">
            <v>10091.379999999999</v>
          </cell>
          <cell r="L417">
            <v>10091.379999999999</v>
          </cell>
          <cell r="M417">
            <v>10091.379999999999</v>
          </cell>
          <cell r="N417">
            <v>10091.379999999999</v>
          </cell>
          <cell r="O417">
            <v>10091.379999999999</v>
          </cell>
          <cell r="P417">
            <v>10091.379999999999</v>
          </cell>
          <cell r="Q417">
            <v>121096.56000000001</v>
          </cell>
        </row>
        <row r="418">
          <cell r="A418">
            <v>59341</v>
          </cell>
          <cell r="B418" t="str">
            <v>A&amp;L - Current Year Claims</v>
          </cell>
          <cell r="E418">
            <v>-6142.07</v>
          </cell>
          <cell r="F418">
            <v>-2400</v>
          </cell>
          <cell r="G418">
            <v>400</v>
          </cell>
          <cell r="H418">
            <v>9853.9</v>
          </cell>
          <cell r="I418">
            <v>0</v>
          </cell>
          <cell r="J418">
            <v>0</v>
          </cell>
          <cell r="K418">
            <v>0</v>
          </cell>
          <cell r="L418">
            <v>4250</v>
          </cell>
          <cell r="M418">
            <v>8924.2000000000007</v>
          </cell>
          <cell r="N418">
            <v>751</v>
          </cell>
          <cell r="O418">
            <v>2071.27</v>
          </cell>
          <cell r="P418">
            <v>24430</v>
          </cell>
          <cell r="Q418">
            <v>42138.3</v>
          </cell>
        </row>
        <row r="419">
          <cell r="A419">
            <v>59342</v>
          </cell>
          <cell r="B419" t="str">
            <v>A&amp;L - Prior Year Claims</v>
          </cell>
          <cell r="E419">
            <v>0</v>
          </cell>
          <cell r="F419">
            <v>0</v>
          </cell>
          <cell r="G419">
            <v>0</v>
          </cell>
          <cell r="H419">
            <v>-10802.07</v>
          </cell>
          <cell r="I419">
            <v>-2004.25</v>
          </cell>
          <cell r="J419">
            <v>1249.05</v>
          </cell>
          <cell r="K419">
            <v>6999.75</v>
          </cell>
          <cell r="L419">
            <v>0</v>
          </cell>
          <cell r="M419">
            <v>0</v>
          </cell>
          <cell r="N419">
            <v>2499.5</v>
          </cell>
          <cell r="O419">
            <v>0</v>
          </cell>
          <cell r="P419">
            <v>0</v>
          </cell>
          <cell r="Q419">
            <v>-2058.0200000000004</v>
          </cell>
        </row>
        <row r="420">
          <cell r="A420">
            <v>59343</v>
          </cell>
          <cell r="B420" t="str">
            <v>WC - Current Year Claims</v>
          </cell>
          <cell r="E420">
            <v>7290.88</v>
          </cell>
          <cell r="F420">
            <v>-17465.98</v>
          </cell>
          <cell r="G420">
            <v>13819.28</v>
          </cell>
          <cell r="H420">
            <v>8553.6</v>
          </cell>
          <cell r="I420">
            <v>5696</v>
          </cell>
          <cell r="J420">
            <v>3275.7</v>
          </cell>
          <cell r="K420">
            <v>6448.16</v>
          </cell>
          <cell r="L420">
            <v>2722</v>
          </cell>
          <cell r="M420">
            <v>820</v>
          </cell>
          <cell r="N420">
            <v>-18388.02</v>
          </cell>
          <cell r="O420">
            <v>-1818.92</v>
          </cell>
          <cell r="P420">
            <v>2266.29</v>
          </cell>
          <cell r="Q420">
            <v>13218.990000000002</v>
          </cell>
        </row>
        <row r="421">
          <cell r="A421">
            <v>59344</v>
          </cell>
          <cell r="B421" t="str">
            <v>WC - Prior Year Claims</v>
          </cell>
          <cell r="E421">
            <v>0</v>
          </cell>
          <cell r="F421">
            <v>0</v>
          </cell>
          <cell r="G421">
            <v>0</v>
          </cell>
          <cell r="H421">
            <v>-9078.02</v>
          </cell>
          <cell r="I421">
            <v>16579.04</v>
          </cell>
          <cell r="J421">
            <v>98644.06</v>
          </cell>
          <cell r="K421">
            <v>-15344.09</v>
          </cell>
          <cell r="L421">
            <v>-28729.19</v>
          </cell>
          <cell r="M421">
            <v>17918.650000000001</v>
          </cell>
          <cell r="N421">
            <v>-103.64</v>
          </cell>
          <cell r="O421">
            <v>1197.08</v>
          </cell>
          <cell r="P421">
            <v>-19684.740000000002</v>
          </cell>
          <cell r="Q421">
            <v>61399.150000000009</v>
          </cell>
        </row>
        <row r="422">
          <cell r="A422">
            <v>59350</v>
          </cell>
          <cell r="B422" t="str">
            <v>Self Isurance IBNR Estimates</v>
          </cell>
          <cell r="E422">
            <v>0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</row>
        <row r="423">
          <cell r="A423">
            <v>59400</v>
          </cell>
          <cell r="B423" t="str">
            <v>Damages paid by District</v>
          </cell>
          <cell r="E423">
            <v>5142.99</v>
          </cell>
          <cell r="F423">
            <v>1000</v>
          </cell>
          <cell r="G423">
            <v>2757.56</v>
          </cell>
          <cell r="H423">
            <v>0</v>
          </cell>
          <cell r="I423">
            <v>1701.74</v>
          </cell>
          <cell r="J423">
            <v>6490.95</v>
          </cell>
          <cell r="K423">
            <v>104.97</v>
          </cell>
          <cell r="L423">
            <v>48.7</v>
          </cell>
          <cell r="M423">
            <v>0</v>
          </cell>
          <cell r="N423">
            <v>11054.22</v>
          </cell>
          <cell r="O423">
            <v>655.83</v>
          </cell>
          <cell r="P423">
            <v>11383.6</v>
          </cell>
          <cell r="Q423">
            <v>40340.559999999998</v>
          </cell>
        </row>
        <row r="424">
          <cell r="A424">
            <v>59401</v>
          </cell>
          <cell r="B424" t="str">
            <v>Insurance claim repairs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10000</v>
          </cell>
          <cell r="O424">
            <v>31.43</v>
          </cell>
          <cell r="P424">
            <v>-10904.79</v>
          </cell>
          <cell r="Q424">
            <v>-873.36000000000058</v>
          </cell>
        </row>
        <row r="425">
          <cell r="A425">
            <v>59500</v>
          </cell>
          <cell r="B425" t="str">
            <v>Workers Comp Prem</v>
          </cell>
          <cell r="E425">
            <v>4000</v>
          </cell>
          <cell r="F425">
            <v>2000</v>
          </cell>
          <cell r="G425">
            <v>2000</v>
          </cell>
          <cell r="H425">
            <v>2000</v>
          </cell>
          <cell r="I425">
            <v>1000</v>
          </cell>
          <cell r="J425">
            <v>2000</v>
          </cell>
          <cell r="K425">
            <v>2000</v>
          </cell>
          <cell r="L425">
            <v>2000</v>
          </cell>
          <cell r="M425">
            <v>3000</v>
          </cell>
          <cell r="N425">
            <v>3000</v>
          </cell>
          <cell r="O425">
            <v>3000</v>
          </cell>
          <cell r="P425">
            <v>0</v>
          </cell>
          <cell r="Q425">
            <v>26000</v>
          </cell>
        </row>
        <row r="426">
          <cell r="A426">
            <v>59998</v>
          </cell>
          <cell r="B426" t="str">
            <v>Allocation Out - District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</row>
        <row r="427">
          <cell r="A427">
            <v>59999</v>
          </cell>
          <cell r="B427" t="str">
            <v>Allocation Out - Out District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</row>
        <row r="428">
          <cell r="A428" t="str">
            <v>Total Insurance</v>
          </cell>
          <cell r="E428">
            <v>20383.18</v>
          </cell>
          <cell r="F428">
            <v>-6774.6</v>
          </cell>
          <cell r="G428">
            <v>29068.22</v>
          </cell>
          <cell r="H428">
            <v>10618.789999999997</v>
          </cell>
          <cell r="I428">
            <v>33063.910000000003</v>
          </cell>
          <cell r="J428">
            <v>121751.14</v>
          </cell>
          <cell r="K428">
            <v>10300.169999999996</v>
          </cell>
          <cell r="L428">
            <v>-9617.11</v>
          </cell>
          <cell r="M428">
            <v>40754.230000000003</v>
          </cell>
          <cell r="N428">
            <v>18904.439999999999</v>
          </cell>
          <cell r="O428">
            <v>15228.07</v>
          </cell>
          <cell r="P428">
            <v>17581.739999999998</v>
          </cell>
          <cell r="Q428">
            <v>301262.18000000005</v>
          </cell>
        </row>
        <row r="430">
          <cell r="A430" t="str">
            <v>Disposal of Assets and Operations</v>
          </cell>
        </row>
        <row r="431">
          <cell r="A431">
            <v>72000</v>
          </cell>
          <cell r="B431" t="str">
            <v>Gain/Loss on Disposal of Operations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</row>
        <row r="432">
          <cell r="A432">
            <v>91010</v>
          </cell>
          <cell r="B432" t="str">
            <v>Gain/Loss on Sale of Asset</v>
          </cell>
          <cell r="E432">
            <v>0</v>
          </cell>
          <cell r="F432">
            <v>0</v>
          </cell>
          <cell r="G432">
            <v>0</v>
          </cell>
          <cell r="H432">
            <v>1319.45</v>
          </cell>
          <cell r="I432">
            <v>0</v>
          </cell>
          <cell r="J432">
            <v>24949.35</v>
          </cell>
          <cell r="K432">
            <v>-33354.22</v>
          </cell>
          <cell r="L432">
            <v>-3080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-10165.420000000002</v>
          </cell>
        </row>
        <row r="433">
          <cell r="A433" t="str">
            <v>Total Disposal of Assets and Operations</v>
          </cell>
          <cell r="E433">
            <v>0</v>
          </cell>
          <cell r="F433">
            <v>0</v>
          </cell>
          <cell r="G433">
            <v>0</v>
          </cell>
          <cell r="H433">
            <v>1319.45</v>
          </cell>
          <cell r="I433">
            <v>0</v>
          </cell>
          <cell r="J433">
            <v>24949.35</v>
          </cell>
          <cell r="K433">
            <v>-33354.22</v>
          </cell>
          <cell r="L433">
            <v>-3080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-10165.420000000002</v>
          </cell>
        </row>
        <row r="435">
          <cell r="A435" t="str">
            <v>Total Operating Costs</v>
          </cell>
          <cell r="E435">
            <v>691108.55</v>
          </cell>
          <cell r="F435">
            <v>591691.37000000011</v>
          </cell>
          <cell r="G435">
            <v>679572.21999999986</v>
          </cell>
          <cell r="H435">
            <v>649398.42000000004</v>
          </cell>
          <cell r="I435">
            <v>715012.80999999994</v>
          </cell>
          <cell r="J435">
            <v>823534.92999999993</v>
          </cell>
          <cell r="K435">
            <v>725146.60999999987</v>
          </cell>
          <cell r="L435">
            <v>671623.93</v>
          </cell>
          <cell r="M435">
            <v>721331.92999999993</v>
          </cell>
          <cell r="N435">
            <v>675314.14999999991</v>
          </cell>
          <cell r="O435">
            <v>713873.94</v>
          </cell>
          <cell r="P435">
            <v>696947.79999999981</v>
          </cell>
          <cell r="Q435">
            <v>8354556.6600000001</v>
          </cell>
        </row>
        <row r="437">
          <cell r="A437" t="str">
            <v>Gross Profit</v>
          </cell>
          <cell r="E437">
            <v>958596.29999999981</v>
          </cell>
          <cell r="F437">
            <v>1078399.0499999998</v>
          </cell>
          <cell r="G437">
            <v>980681.78999999992</v>
          </cell>
          <cell r="H437">
            <v>1060013.06</v>
          </cell>
          <cell r="I437">
            <v>998324.67999999935</v>
          </cell>
          <cell r="J437">
            <v>884006.14000000036</v>
          </cell>
          <cell r="K437">
            <v>999176.6099999994</v>
          </cell>
          <cell r="L437">
            <v>1029352.5499999995</v>
          </cell>
          <cell r="M437">
            <v>1005221.45</v>
          </cell>
          <cell r="N437">
            <v>1062170.0200000005</v>
          </cell>
          <cell r="O437">
            <v>1010676.3699999996</v>
          </cell>
          <cell r="P437">
            <v>1011952.0500000003</v>
          </cell>
          <cell r="Q437">
            <v>12078570.07</v>
          </cell>
        </row>
        <row r="439">
          <cell r="A439" t="str">
            <v>SG&amp;A</v>
          </cell>
        </row>
        <row r="440">
          <cell r="A440" t="str">
            <v>Sales</v>
          </cell>
        </row>
        <row r="441">
          <cell r="A441">
            <v>60010</v>
          </cell>
          <cell r="B441" t="str">
            <v>Salaries</v>
          </cell>
          <cell r="E441">
            <v>0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</row>
        <row r="442">
          <cell r="A442">
            <v>60020</v>
          </cell>
          <cell r="B442" t="str">
            <v>Wages Regular</v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</row>
        <row r="443">
          <cell r="A443">
            <v>60025</v>
          </cell>
          <cell r="B443" t="str">
            <v>Wages O.T.</v>
          </cell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</row>
        <row r="444">
          <cell r="A444">
            <v>60030</v>
          </cell>
          <cell r="B444" t="str">
            <v>Bonuses and Commissions</v>
          </cell>
          <cell r="E444">
            <v>0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</row>
        <row r="445">
          <cell r="A445">
            <v>60035</v>
          </cell>
          <cell r="B445" t="str">
            <v>Safety Bonuses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</row>
        <row r="446">
          <cell r="A446">
            <v>60037</v>
          </cell>
          <cell r="B446" t="str">
            <v>Termination Pay</v>
          </cell>
          <cell r="E446">
            <v>0</v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  <cell r="Q446">
            <v>0</v>
          </cell>
        </row>
        <row r="447">
          <cell r="A447">
            <v>60045</v>
          </cell>
          <cell r="B447" t="str">
            <v>Contract Labor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</row>
        <row r="448">
          <cell r="A448">
            <v>60050</v>
          </cell>
          <cell r="B448" t="str">
            <v>Payroll Taxes</v>
          </cell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</row>
        <row r="449">
          <cell r="A449">
            <v>60060</v>
          </cell>
          <cell r="B449" t="str">
            <v>Group Insurance</v>
          </cell>
          <cell r="E449">
            <v>0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</row>
        <row r="450">
          <cell r="A450">
            <v>60065</v>
          </cell>
          <cell r="B450" t="str">
            <v>Vacation Pay</v>
          </cell>
          <cell r="E450">
            <v>0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8.23</v>
          </cell>
          <cell r="M450">
            <v>-8.23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</row>
        <row r="451">
          <cell r="A451">
            <v>60070</v>
          </cell>
          <cell r="B451" t="str">
            <v>Sick Pay</v>
          </cell>
          <cell r="E451">
            <v>0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</row>
        <row r="452">
          <cell r="A452">
            <v>60086</v>
          </cell>
          <cell r="B452" t="str">
            <v>Safety and Training</v>
          </cell>
          <cell r="E452">
            <v>0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</row>
        <row r="453">
          <cell r="A453">
            <v>60095</v>
          </cell>
          <cell r="B453" t="str">
            <v>Empl &amp; Commun Activ</v>
          </cell>
          <cell r="E453">
            <v>0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</row>
        <row r="454">
          <cell r="A454">
            <v>60105</v>
          </cell>
          <cell r="B454" t="str">
            <v>Employee Relocation</v>
          </cell>
          <cell r="E454">
            <v>0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</row>
        <row r="455">
          <cell r="A455">
            <v>60115</v>
          </cell>
          <cell r="B455" t="str">
            <v>School Tuition</v>
          </cell>
          <cell r="E455">
            <v>0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</row>
        <row r="456">
          <cell r="A456">
            <v>60116</v>
          </cell>
          <cell r="B456" t="str">
            <v>Pension and Profit Sharing</v>
          </cell>
          <cell r="E456">
            <v>0</v>
          </cell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</row>
        <row r="457">
          <cell r="A457">
            <v>60117</v>
          </cell>
          <cell r="B457" t="str">
            <v>Union Pension</v>
          </cell>
          <cell r="E457">
            <v>0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</row>
        <row r="458">
          <cell r="A458">
            <v>60148</v>
          </cell>
          <cell r="B458" t="str">
            <v>Allocated Exp In - District</v>
          </cell>
          <cell r="E458">
            <v>2300</v>
          </cell>
          <cell r="F458">
            <v>2448</v>
          </cell>
          <cell r="G458">
            <v>2391</v>
          </cell>
          <cell r="H458">
            <v>2584.5</v>
          </cell>
          <cell r="I458">
            <v>2565</v>
          </cell>
          <cell r="J458">
            <v>3535</v>
          </cell>
          <cell r="K458">
            <v>2899</v>
          </cell>
          <cell r="L458">
            <v>2443</v>
          </cell>
          <cell r="M458">
            <v>1800</v>
          </cell>
          <cell r="N458">
            <v>2326</v>
          </cell>
          <cell r="O458">
            <v>2339</v>
          </cell>
          <cell r="P458">
            <v>0</v>
          </cell>
          <cell r="Q458">
            <v>27630.5</v>
          </cell>
        </row>
        <row r="459">
          <cell r="A459">
            <v>60149</v>
          </cell>
          <cell r="B459" t="str">
            <v>Allocated Exp In Out - District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</row>
        <row r="460">
          <cell r="A460">
            <v>60165</v>
          </cell>
          <cell r="B460" t="str">
            <v>Communications</v>
          </cell>
          <cell r="E460">
            <v>0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</row>
        <row r="461">
          <cell r="A461">
            <v>60170</v>
          </cell>
          <cell r="B461" t="str">
            <v>Real Estate Rentals</v>
          </cell>
          <cell r="E461">
            <v>0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</row>
        <row r="462">
          <cell r="A462">
            <v>60175</v>
          </cell>
          <cell r="B462" t="str">
            <v>Equip/Vehicle Rental</v>
          </cell>
          <cell r="E462">
            <v>0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</row>
        <row r="463">
          <cell r="A463">
            <v>60185</v>
          </cell>
          <cell r="B463" t="str">
            <v>Postage</v>
          </cell>
          <cell r="E463">
            <v>198.54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198.54</v>
          </cell>
        </row>
        <row r="464">
          <cell r="A464">
            <v>60195</v>
          </cell>
          <cell r="B464" t="str">
            <v>Dues and Subscriptions</v>
          </cell>
          <cell r="E464">
            <v>0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</row>
        <row r="465">
          <cell r="A465">
            <v>60196</v>
          </cell>
          <cell r="B465" t="str">
            <v>Club Dues</v>
          </cell>
          <cell r="E465">
            <v>0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</row>
        <row r="466">
          <cell r="A466">
            <v>60200</v>
          </cell>
          <cell r="B466" t="str">
            <v>Travel</v>
          </cell>
          <cell r="E466">
            <v>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</row>
        <row r="467">
          <cell r="A467">
            <v>60201</v>
          </cell>
          <cell r="B467" t="str">
            <v>Entertainment</v>
          </cell>
          <cell r="E467">
            <v>0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</row>
        <row r="468">
          <cell r="A468">
            <v>60205</v>
          </cell>
          <cell r="B468" t="str">
            <v>Travel - Auto</v>
          </cell>
          <cell r="E468">
            <v>0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58.5</v>
          </cell>
          <cell r="L468">
            <v>177.74</v>
          </cell>
          <cell r="M468">
            <v>-77.739999999999995</v>
          </cell>
          <cell r="N468">
            <v>0</v>
          </cell>
          <cell r="O468">
            <v>75.52</v>
          </cell>
          <cell r="P468">
            <v>23.74</v>
          </cell>
          <cell r="Q468">
            <v>257.76</v>
          </cell>
        </row>
        <row r="469">
          <cell r="A469">
            <v>60210</v>
          </cell>
          <cell r="B469" t="str">
            <v>Office Supplies and Equip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</row>
        <row r="470">
          <cell r="A470">
            <v>60225</v>
          </cell>
          <cell r="B470" t="str">
            <v>Advertising and Promotions</v>
          </cell>
          <cell r="E470">
            <v>12977.33</v>
          </cell>
          <cell r="F470">
            <v>949.64</v>
          </cell>
          <cell r="G470">
            <v>5900.84</v>
          </cell>
          <cell r="H470">
            <v>4161.1099999999997</v>
          </cell>
          <cell r="I470">
            <v>3165.78</v>
          </cell>
          <cell r="J470">
            <v>4520.0600000000004</v>
          </cell>
          <cell r="K470">
            <v>1806.35</v>
          </cell>
          <cell r="L470">
            <v>955.59</v>
          </cell>
          <cell r="M470">
            <v>28827.18</v>
          </cell>
          <cell r="N470">
            <v>25999.119999999999</v>
          </cell>
          <cell r="O470">
            <v>1245.2</v>
          </cell>
          <cell r="P470">
            <v>38523.21</v>
          </cell>
          <cell r="Q470">
            <v>129031.41</v>
          </cell>
        </row>
        <row r="471">
          <cell r="A471">
            <v>60234</v>
          </cell>
          <cell r="B471" t="str">
            <v>O/S Sales Exp</v>
          </cell>
          <cell r="E471">
            <v>0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</row>
        <row r="472">
          <cell r="A472">
            <v>60255</v>
          </cell>
          <cell r="B472" t="str">
            <v>Other Prof Fees</v>
          </cell>
          <cell r="E472">
            <v>0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</row>
        <row r="473">
          <cell r="A473">
            <v>60326</v>
          </cell>
          <cell r="B473" t="str">
            <v>Deduct - Current Yr</v>
          </cell>
          <cell r="E473">
            <v>0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</row>
        <row r="474">
          <cell r="A474">
            <v>60327</v>
          </cell>
          <cell r="B474" t="str">
            <v>Deduct - Damage</v>
          </cell>
          <cell r="E474">
            <v>0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</row>
        <row r="475">
          <cell r="A475">
            <v>60328</v>
          </cell>
          <cell r="B475" t="str">
            <v>Claim Recoveries</v>
          </cell>
          <cell r="E475">
            <v>0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</row>
        <row r="476">
          <cell r="A476">
            <v>60330</v>
          </cell>
          <cell r="B476" t="str">
            <v>Deduct Prior Year</v>
          </cell>
          <cell r="E476">
            <v>0</v>
          </cell>
          <cell r="F476">
            <v>0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</row>
        <row r="477">
          <cell r="A477">
            <v>60335</v>
          </cell>
          <cell r="B477" t="str">
            <v>Miscellaneous</v>
          </cell>
          <cell r="E477">
            <v>0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</row>
        <row r="478">
          <cell r="A478">
            <v>60998</v>
          </cell>
          <cell r="B478" t="str">
            <v>Allocation Out - District</v>
          </cell>
          <cell r="E478">
            <v>0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</row>
        <row r="479">
          <cell r="A479">
            <v>60999</v>
          </cell>
          <cell r="B479" t="str">
            <v>Allocation Out - Out District</v>
          </cell>
          <cell r="E479">
            <v>0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</row>
        <row r="480">
          <cell r="A480" t="str">
            <v>Total Sales</v>
          </cell>
          <cell r="E480">
            <v>15475.869999999999</v>
          </cell>
          <cell r="F480">
            <v>3397.64</v>
          </cell>
          <cell r="G480">
            <v>8291.84</v>
          </cell>
          <cell r="H480">
            <v>6745.61</v>
          </cell>
          <cell r="I480">
            <v>5730.7800000000007</v>
          </cell>
          <cell r="J480">
            <v>8055.06</v>
          </cell>
          <cell r="K480">
            <v>4763.8500000000004</v>
          </cell>
          <cell r="L480">
            <v>3584.5600000000004</v>
          </cell>
          <cell r="M480">
            <v>30541.21</v>
          </cell>
          <cell r="N480">
            <v>28325.119999999999</v>
          </cell>
          <cell r="O480">
            <v>3659.7200000000003</v>
          </cell>
          <cell r="P480">
            <v>38546.949999999997</v>
          </cell>
          <cell r="Q480">
            <v>157118.21</v>
          </cell>
        </row>
        <row r="482">
          <cell r="A482" t="str">
            <v>G&amp;A</v>
          </cell>
        </row>
        <row r="483">
          <cell r="A483">
            <v>70010</v>
          </cell>
          <cell r="B483" t="str">
            <v>Salaries</v>
          </cell>
          <cell r="E483">
            <v>31950.25</v>
          </cell>
          <cell r="F483">
            <v>29217.37</v>
          </cell>
          <cell r="G483">
            <v>34993.21</v>
          </cell>
          <cell r="H483">
            <v>32805.65</v>
          </cell>
          <cell r="I483">
            <v>33117.839999999997</v>
          </cell>
          <cell r="J483">
            <v>36102.11</v>
          </cell>
          <cell r="K483">
            <v>36862.230000000003</v>
          </cell>
          <cell r="L483">
            <v>32246.880000000001</v>
          </cell>
          <cell r="M483">
            <v>35474.660000000003</v>
          </cell>
          <cell r="N483">
            <v>34757.17</v>
          </cell>
          <cell r="O483">
            <v>34601.15</v>
          </cell>
          <cell r="P483">
            <v>36751.879999999997</v>
          </cell>
          <cell r="Q483">
            <v>408880.39999999997</v>
          </cell>
        </row>
        <row r="484">
          <cell r="A484">
            <v>70015</v>
          </cell>
          <cell r="B484" t="str">
            <v>Deferred Comp Earnings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</row>
        <row r="485">
          <cell r="A485">
            <v>70020</v>
          </cell>
          <cell r="B485" t="str">
            <v>Wages Regular</v>
          </cell>
          <cell r="E485">
            <v>39238.25</v>
          </cell>
          <cell r="F485">
            <v>41055.800000000003</v>
          </cell>
          <cell r="G485">
            <v>43441.67</v>
          </cell>
          <cell r="H485">
            <v>43159.68</v>
          </cell>
          <cell r="I485">
            <v>40707.99</v>
          </cell>
          <cell r="J485">
            <v>44340.75</v>
          </cell>
          <cell r="K485">
            <v>44034.15</v>
          </cell>
          <cell r="L485">
            <v>37123.65</v>
          </cell>
          <cell r="M485">
            <v>40606.129999999997</v>
          </cell>
          <cell r="N485">
            <v>42194.06</v>
          </cell>
          <cell r="O485">
            <v>45471.69</v>
          </cell>
          <cell r="P485">
            <v>48949.11</v>
          </cell>
          <cell r="Q485">
            <v>510322.93</v>
          </cell>
        </row>
        <row r="486">
          <cell r="A486">
            <v>70025</v>
          </cell>
          <cell r="B486" t="str">
            <v>Wages O.T.</v>
          </cell>
          <cell r="E486">
            <v>2096.58</v>
          </cell>
          <cell r="F486">
            <v>2256.92</v>
          </cell>
          <cell r="G486">
            <v>520.88</v>
          </cell>
          <cell r="H486">
            <v>1862.34</v>
          </cell>
          <cell r="I486">
            <v>3126.98</v>
          </cell>
          <cell r="J486">
            <v>1540.45</v>
          </cell>
          <cell r="K486">
            <v>2442.46</v>
          </cell>
          <cell r="L486">
            <v>2985.84</v>
          </cell>
          <cell r="M486">
            <v>1455.97</v>
          </cell>
          <cell r="N486">
            <v>1845.98</v>
          </cell>
          <cell r="O486">
            <v>2373.81</v>
          </cell>
          <cell r="P486">
            <v>1626.79</v>
          </cell>
          <cell r="Q486">
            <v>24135.000000000004</v>
          </cell>
        </row>
        <row r="487">
          <cell r="A487">
            <v>70030</v>
          </cell>
          <cell r="B487" t="str">
            <v>Corp Allocated Bonus</v>
          </cell>
          <cell r="E487">
            <v>0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</row>
        <row r="488">
          <cell r="A488">
            <v>70035</v>
          </cell>
          <cell r="B488" t="str">
            <v>Safety Bonuses</v>
          </cell>
          <cell r="E488">
            <v>0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</row>
        <row r="489">
          <cell r="A489">
            <v>70036</v>
          </cell>
          <cell r="B489" t="str">
            <v>Other Bonus/Commission - Non-Safety</v>
          </cell>
          <cell r="E489">
            <v>4809.7700000000004</v>
          </cell>
          <cell r="F489">
            <v>2140.23</v>
          </cell>
          <cell r="G489">
            <v>5107.6499999999996</v>
          </cell>
          <cell r="H489">
            <v>4226.5600000000004</v>
          </cell>
          <cell r="I489">
            <v>1425.85</v>
          </cell>
          <cell r="J489">
            <v>387.84</v>
          </cell>
          <cell r="K489">
            <v>100</v>
          </cell>
          <cell r="L489">
            <v>3426.61</v>
          </cell>
          <cell r="M489">
            <v>665.4</v>
          </cell>
          <cell r="N489">
            <v>-1015.84</v>
          </cell>
          <cell r="O489">
            <v>581.19000000000005</v>
          </cell>
          <cell r="P489">
            <v>5025.8500000000004</v>
          </cell>
          <cell r="Q489">
            <v>26881.11</v>
          </cell>
        </row>
        <row r="490">
          <cell r="A490">
            <v>70037</v>
          </cell>
          <cell r="B490" t="str">
            <v>Termination Pay</v>
          </cell>
          <cell r="E490">
            <v>0</v>
          </cell>
          <cell r="F490">
            <v>0</v>
          </cell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</row>
        <row r="491">
          <cell r="A491">
            <v>70045</v>
          </cell>
          <cell r="B491" t="str">
            <v>Contract Labor</v>
          </cell>
          <cell r="E491">
            <v>6680.67</v>
          </cell>
          <cell r="F491">
            <v>232.03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L491">
            <v>10440.92</v>
          </cell>
          <cell r="M491">
            <v>7401.37</v>
          </cell>
          <cell r="N491">
            <v>14152.75</v>
          </cell>
          <cell r="O491">
            <v>1820.49</v>
          </cell>
          <cell r="P491">
            <v>6453.68</v>
          </cell>
          <cell r="Q491">
            <v>47181.909999999996</v>
          </cell>
        </row>
        <row r="492">
          <cell r="A492">
            <v>70050</v>
          </cell>
          <cell r="B492" t="str">
            <v>Payroll Taxes</v>
          </cell>
          <cell r="E492">
            <v>9179.65</v>
          </cell>
          <cell r="F492">
            <v>6291.4</v>
          </cell>
          <cell r="G492">
            <v>7661.43</v>
          </cell>
          <cell r="H492">
            <v>6697.51</v>
          </cell>
          <cell r="I492">
            <v>6629.71</v>
          </cell>
          <cell r="J492">
            <v>7324.51</v>
          </cell>
          <cell r="K492">
            <v>5887.85</v>
          </cell>
          <cell r="L492">
            <v>5608.72</v>
          </cell>
          <cell r="M492">
            <v>5768.98</v>
          </cell>
          <cell r="N492">
            <v>5999.27</v>
          </cell>
          <cell r="O492">
            <v>6190.7</v>
          </cell>
          <cell r="P492">
            <v>6776.28</v>
          </cell>
          <cell r="Q492">
            <v>80016.009999999995</v>
          </cell>
        </row>
        <row r="493">
          <cell r="A493">
            <v>70060</v>
          </cell>
          <cell r="B493" t="str">
            <v>Group Insurance</v>
          </cell>
          <cell r="E493">
            <v>10365.61</v>
          </cell>
          <cell r="F493">
            <v>10230.65</v>
          </cell>
          <cell r="G493">
            <v>8851.43</v>
          </cell>
          <cell r="H493">
            <v>12049.32</v>
          </cell>
          <cell r="I493">
            <v>9943.51</v>
          </cell>
          <cell r="J493">
            <v>9742.43</v>
          </cell>
          <cell r="K493">
            <v>9734.74</v>
          </cell>
          <cell r="L493">
            <v>9561.06</v>
          </cell>
          <cell r="M493">
            <v>8494.4699999999993</v>
          </cell>
          <cell r="N493">
            <v>11177.83</v>
          </cell>
          <cell r="O493">
            <v>11411.65</v>
          </cell>
          <cell r="P493">
            <v>11731.69</v>
          </cell>
          <cell r="Q493">
            <v>123294.39</v>
          </cell>
        </row>
        <row r="494">
          <cell r="A494">
            <v>70065</v>
          </cell>
          <cell r="B494" t="str">
            <v>Vacation Pay</v>
          </cell>
          <cell r="E494">
            <v>5445.15</v>
          </cell>
          <cell r="F494">
            <v>2867.53</v>
          </cell>
          <cell r="G494">
            <v>2000.31</v>
          </cell>
          <cell r="H494">
            <v>3981.39</v>
          </cell>
          <cell r="I494">
            <v>4870.18</v>
          </cell>
          <cell r="J494">
            <v>3114.5</v>
          </cell>
          <cell r="K494">
            <v>4765.6099999999997</v>
          </cell>
          <cell r="L494">
            <v>2058.0100000000002</v>
          </cell>
          <cell r="M494">
            <v>3147.12</v>
          </cell>
          <cell r="N494">
            <v>4048.56</v>
          </cell>
          <cell r="O494">
            <v>2256.75</v>
          </cell>
          <cell r="P494">
            <v>3468.68</v>
          </cell>
          <cell r="Q494">
            <v>42023.79</v>
          </cell>
        </row>
        <row r="495">
          <cell r="A495">
            <v>70070</v>
          </cell>
          <cell r="B495" t="str">
            <v>Sick Pay</v>
          </cell>
          <cell r="E495">
            <v>334.55</v>
          </cell>
          <cell r="F495">
            <v>550.89</v>
          </cell>
          <cell r="G495">
            <v>1270.23</v>
          </cell>
          <cell r="H495">
            <v>745.77</v>
          </cell>
          <cell r="I495">
            <v>1246.57</v>
          </cell>
          <cell r="J495">
            <v>334.08</v>
          </cell>
          <cell r="K495">
            <v>365.29</v>
          </cell>
          <cell r="L495">
            <v>1258.6099999999999</v>
          </cell>
          <cell r="M495">
            <v>594.48</v>
          </cell>
          <cell r="N495">
            <v>799.28</v>
          </cell>
          <cell r="O495">
            <v>359.64</v>
          </cell>
          <cell r="P495">
            <v>428.72</v>
          </cell>
          <cell r="Q495">
            <v>8288.1099999999988</v>
          </cell>
        </row>
        <row r="496">
          <cell r="A496">
            <v>70086</v>
          </cell>
          <cell r="B496" t="str">
            <v>Safety and Training</v>
          </cell>
          <cell r="E496">
            <v>307.08999999999997</v>
          </cell>
          <cell r="F496">
            <v>-262.68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146.11000000000001</v>
          </cell>
          <cell r="N496">
            <v>550</v>
          </cell>
          <cell r="O496">
            <v>70</v>
          </cell>
          <cell r="P496">
            <v>2091.2399999999998</v>
          </cell>
          <cell r="Q496">
            <v>2901.7599999999998</v>
          </cell>
        </row>
        <row r="497">
          <cell r="A497">
            <v>70090</v>
          </cell>
          <cell r="B497" t="str">
            <v>WCN Training</v>
          </cell>
          <cell r="E497">
            <v>0</v>
          </cell>
          <cell r="F497">
            <v>912.78</v>
          </cell>
          <cell r="G497">
            <v>0</v>
          </cell>
          <cell r="H497">
            <v>0</v>
          </cell>
          <cell r="I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  <cell r="Q497">
            <v>912.78</v>
          </cell>
        </row>
        <row r="498">
          <cell r="A498">
            <v>70095</v>
          </cell>
          <cell r="B498" t="str">
            <v>Empl &amp; Commun Activ</v>
          </cell>
          <cell r="E498">
            <v>14055.36</v>
          </cell>
          <cell r="F498">
            <v>3129.49</v>
          </cell>
          <cell r="G498">
            <v>-8366.42</v>
          </cell>
          <cell r="H498">
            <v>1482.03</v>
          </cell>
          <cell r="I498">
            <v>4740.3999999999996</v>
          </cell>
          <cell r="J498">
            <v>5688.11</v>
          </cell>
          <cell r="K498">
            <v>11283.12</v>
          </cell>
          <cell r="L498">
            <v>21266.09</v>
          </cell>
          <cell r="M498">
            <v>1553.42</v>
          </cell>
          <cell r="N498">
            <v>3453.38</v>
          </cell>
          <cell r="O498">
            <v>4558.05</v>
          </cell>
          <cell r="P498">
            <v>3947.63</v>
          </cell>
          <cell r="Q498">
            <v>66790.659999999989</v>
          </cell>
        </row>
        <row r="499">
          <cell r="A499">
            <v>70105</v>
          </cell>
          <cell r="B499" t="str">
            <v>Employee Relocation</v>
          </cell>
          <cell r="E499">
            <v>0</v>
          </cell>
          <cell r="F499">
            <v>0</v>
          </cell>
          <cell r="G499">
            <v>0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</row>
        <row r="500">
          <cell r="A500">
            <v>70107</v>
          </cell>
          <cell r="B500" t="str">
            <v>Housing Subsidy</v>
          </cell>
          <cell r="E500">
            <v>0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</row>
        <row r="501">
          <cell r="A501">
            <v>70108</v>
          </cell>
          <cell r="B501" t="str">
            <v>School Tuition</v>
          </cell>
          <cell r="E501">
            <v>0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</row>
        <row r="502">
          <cell r="A502">
            <v>70110</v>
          </cell>
          <cell r="B502" t="str">
            <v>Contributions</v>
          </cell>
          <cell r="E502">
            <v>937.5</v>
          </cell>
          <cell r="F502">
            <v>-1250</v>
          </cell>
          <cell r="G502">
            <v>500</v>
          </cell>
          <cell r="H502">
            <v>2250</v>
          </cell>
          <cell r="I502">
            <v>250</v>
          </cell>
          <cell r="J502">
            <v>500</v>
          </cell>
          <cell r="K502">
            <v>1191.54</v>
          </cell>
          <cell r="L502">
            <v>500</v>
          </cell>
          <cell r="M502">
            <v>0</v>
          </cell>
          <cell r="N502">
            <v>0</v>
          </cell>
          <cell r="O502">
            <v>500</v>
          </cell>
          <cell r="P502">
            <v>0</v>
          </cell>
          <cell r="Q502">
            <v>5379.04</v>
          </cell>
        </row>
        <row r="503">
          <cell r="A503">
            <v>70111</v>
          </cell>
          <cell r="B503" t="str">
            <v>Non Cash Charitable</v>
          </cell>
          <cell r="E503">
            <v>0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</row>
        <row r="504">
          <cell r="A504">
            <v>70112</v>
          </cell>
          <cell r="B504" t="str">
            <v>Political Contributions</v>
          </cell>
          <cell r="E504">
            <v>0</v>
          </cell>
          <cell r="F504">
            <v>0</v>
          </cell>
          <cell r="G504">
            <v>0</v>
          </cell>
          <cell r="H504">
            <v>1250</v>
          </cell>
          <cell r="I504">
            <v>0</v>
          </cell>
          <cell r="J504">
            <v>0</v>
          </cell>
          <cell r="K504">
            <v>1250</v>
          </cell>
          <cell r="L504">
            <v>0</v>
          </cell>
          <cell r="M504">
            <v>500</v>
          </cell>
          <cell r="N504">
            <v>250</v>
          </cell>
          <cell r="O504">
            <v>0</v>
          </cell>
          <cell r="P504">
            <v>0</v>
          </cell>
          <cell r="Q504">
            <v>3250</v>
          </cell>
        </row>
        <row r="505">
          <cell r="A505">
            <v>70116</v>
          </cell>
          <cell r="B505" t="str">
            <v>Pension and Profit Sharing</v>
          </cell>
          <cell r="E505">
            <v>991.8</v>
          </cell>
          <cell r="F505">
            <v>1061.8</v>
          </cell>
          <cell r="G505">
            <v>1561.6</v>
          </cell>
          <cell r="H505">
            <v>1001.55</v>
          </cell>
          <cell r="I505">
            <v>1064.48</v>
          </cell>
          <cell r="J505">
            <v>880.04</v>
          </cell>
          <cell r="K505">
            <v>837.46</v>
          </cell>
          <cell r="L505">
            <v>818.44</v>
          </cell>
          <cell r="M505">
            <v>814.08</v>
          </cell>
          <cell r="N505">
            <v>1291.5999999999999</v>
          </cell>
          <cell r="O505">
            <v>832.75</v>
          </cell>
          <cell r="P505">
            <v>978.78</v>
          </cell>
          <cell r="Q505">
            <v>12134.380000000001</v>
          </cell>
        </row>
        <row r="506">
          <cell r="A506">
            <v>70117</v>
          </cell>
          <cell r="B506" t="str">
            <v>Union Pension</v>
          </cell>
          <cell r="E506">
            <v>0</v>
          </cell>
          <cell r="F506">
            <v>0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</row>
        <row r="507">
          <cell r="A507">
            <v>70142</v>
          </cell>
          <cell r="B507" t="str">
            <v>Fuel Expense</v>
          </cell>
          <cell r="E507">
            <v>0</v>
          </cell>
          <cell r="F507">
            <v>0</v>
          </cell>
          <cell r="G507">
            <v>0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</row>
        <row r="508">
          <cell r="A508">
            <v>70145</v>
          </cell>
          <cell r="B508" t="str">
            <v>Outside Repairs</v>
          </cell>
          <cell r="E508">
            <v>0</v>
          </cell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</row>
        <row r="509">
          <cell r="A509">
            <v>70147</v>
          </cell>
          <cell r="B509" t="str">
            <v>Bldg &amp; Property Maint</v>
          </cell>
          <cell r="E509">
            <v>0</v>
          </cell>
          <cell r="F509">
            <v>0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</row>
        <row r="510">
          <cell r="A510">
            <v>70148</v>
          </cell>
          <cell r="B510" t="str">
            <v>Allocated Exp In - District</v>
          </cell>
          <cell r="E510">
            <v>9455.33</v>
          </cell>
          <cell r="F510">
            <v>10366.76</v>
          </cell>
          <cell r="G510">
            <v>12777.28</v>
          </cell>
          <cell r="H510">
            <v>9429.9599999999991</v>
          </cell>
          <cell r="I510">
            <v>4111.67</v>
          </cell>
          <cell r="J510">
            <v>13752.97</v>
          </cell>
          <cell r="K510">
            <v>28825.42</v>
          </cell>
          <cell r="L510">
            <v>23366.78</v>
          </cell>
          <cell r="M510">
            <v>-1234.82</v>
          </cell>
          <cell r="N510">
            <v>8735.3799999999992</v>
          </cell>
          <cell r="O510">
            <v>11153.09</v>
          </cell>
          <cell r="P510">
            <v>9005.61</v>
          </cell>
          <cell r="Q510">
            <v>139745.43</v>
          </cell>
        </row>
        <row r="511">
          <cell r="A511">
            <v>70150</v>
          </cell>
          <cell r="B511" t="str">
            <v>Utilities</v>
          </cell>
          <cell r="E511">
            <v>1142.2</v>
          </cell>
          <cell r="F511">
            <v>1092.4000000000001</v>
          </cell>
          <cell r="G511">
            <v>1092.57</v>
          </cell>
          <cell r="H511">
            <v>1056.2</v>
          </cell>
          <cell r="I511">
            <v>971.23</v>
          </cell>
          <cell r="J511">
            <v>927.16</v>
          </cell>
          <cell r="K511">
            <v>0</v>
          </cell>
          <cell r="L511">
            <v>869.77</v>
          </cell>
          <cell r="M511">
            <v>868.91</v>
          </cell>
          <cell r="N511">
            <v>878.75</v>
          </cell>
          <cell r="O511">
            <v>973.97</v>
          </cell>
          <cell r="P511">
            <v>1678.97</v>
          </cell>
          <cell r="Q511">
            <v>11552.13</v>
          </cell>
        </row>
        <row r="512">
          <cell r="A512">
            <v>70165</v>
          </cell>
          <cell r="B512" t="str">
            <v>Communications</v>
          </cell>
          <cell r="E512">
            <v>1837.34</v>
          </cell>
          <cell r="F512">
            <v>1811.33</v>
          </cell>
          <cell r="G512">
            <v>2247.1</v>
          </cell>
          <cell r="H512">
            <v>1908.93</v>
          </cell>
          <cell r="I512">
            <v>2066.65</v>
          </cell>
          <cell r="J512">
            <v>2198.11</v>
          </cell>
          <cell r="K512">
            <v>2042.44</v>
          </cell>
          <cell r="L512">
            <v>2129.4</v>
          </cell>
          <cell r="M512">
            <v>2270.06</v>
          </cell>
          <cell r="N512">
            <v>2682.39</v>
          </cell>
          <cell r="O512">
            <v>1762.11</v>
          </cell>
          <cell r="P512">
            <v>2834.19</v>
          </cell>
          <cell r="Q512">
            <v>25790.05</v>
          </cell>
        </row>
        <row r="513">
          <cell r="A513">
            <v>70166</v>
          </cell>
          <cell r="B513" t="str">
            <v>Office Telephone</v>
          </cell>
          <cell r="E513">
            <v>0</v>
          </cell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</row>
        <row r="514">
          <cell r="A514">
            <v>70167</v>
          </cell>
          <cell r="B514" t="str">
            <v>Cellular Telephone</v>
          </cell>
          <cell r="E514">
            <v>156.94999999999999</v>
          </cell>
          <cell r="F514">
            <v>186.7</v>
          </cell>
          <cell r="G514">
            <v>355.41</v>
          </cell>
          <cell r="H514">
            <v>205.54</v>
          </cell>
          <cell r="I514">
            <v>168.04</v>
          </cell>
          <cell r="J514">
            <v>205.54</v>
          </cell>
          <cell r="K514">
            <v>356.92</v>
          </cell>
          <cell r="L514">
            <v>187.5</v>
          </cell>
          <cell r="M514">
            <v>75</v>
          </cell>
          <cell r="N514">
            <v>223.5</v>
          </cell>
          <cell r="O514">
            <v>226.5</v>
          </cell>
          <cell r="P514">
            <v>150</v>
          </cell>
          <cell r="Q514">
            <v>2497.6</v>
          </cell>
        </row>
        <row r="515">
          <cell r="A515">
            <v>70170</v>
          </cell>
          <cell r="B515" t="str">
            <v>Real Estate Rentals</v>
          </cell>
          <cell r="E515">
            <v>0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</row>
        <row r="516">
          <cell r="A516">
            <v>70175</v>
          </cell>
          <cell r="B516" t="str">
            <v>Equip/Vehicle Rental</v>
          </cell>
          <cell r="E516">
            <v>0</v>
          </cell>
          <cell r="F516">
            <v>0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</row>
        <row r="517">
          <cell r="A517">
            <v>70185</v>
          </cell>
          <cell r="B517" t="str">
            <v>Postage</v>
          </cell>
          <cell r="E517">
            <v>1663.37</v>
          </cell>
          <cell r="F517">
            <v>1464.26</v>
          </cell>
          <cell r="G517">
            <v>492.87</v>
          </cell>
          <cell r="H517">
            <v>1792.31</v>
          </cell>
          <cell r="I517">
            <v>1736.3</v>
          </cell>
          <cell r="J517">
            <v>1600.37</v>
          </cell>
          <cell r="K517">
            <v>417.65</v>
          </cell>
          <cell r="L517">
            <v>1589.73</v>
          </cell>
          <cell r="M517">
            <v>1686.05</v>
          </cell>
          <cell r="N517">
            <v>1653.87</v>
          </cell>
          <cell r="O517">
            <v>1642.82</v>
          </cell>
          <cell r="P517">
            <v>1641.55</v>
          </cell>
          <cell r="Q517">
            <v>17381.149999999998</v>
          </cell>
        </row>
        <row r="518">
          <cell r="A518">
            <v>70190</v>
          </cell>
          <cell r="B518" t="str">
            <v>Registration Fees</v>
          </cell>
          <cell r="E518">
            <v>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244</v>
          </cell>
          <cell r="K518">
            <v>-244</v>
          </cell>
          <cell r="L518">
            <v>0</v>
          </cell>
          <cell r="M518">
            <v>0</v>
          </cell>
          <cell r="N518">
            <v>450</v>
          </cell>
          <cell r="O518">
            <v>80</v>
          </cell>
          <cell r="P518">
            <v>5</v>
          </cell>
          <cell r="Q518">
            <v>535</v>
          </cell>
        </row>
        <row r="519">
          <cell r="A519">
            <v>70195</v>
          </cell>
          <cell r="B519" t="str">
            <v>Dues and Subscriptions</v>
          </cell>
          <cell r="E519">
            <v>734.67</v>
          </cell>
          <cell r="F519">
            <v>3500</v>
          </cell>
          <cell r="G519">
            <v>654.66999999999996</v>
          </cell>
          <cell r="H519">
            <v>3788.33</v>
          </cell>
          <cell r="I519">
            <v>831.17</v>
          </cell>
          <cell r="J519">
            <v>2522.33</v>
          </cell>
          <cell r="K519">
            <v>3255.67</v>
          </cell>
          <cell r="L519">
            <v>3419.03</v>
          </cell>
          <cell r="M519">
            <v>1208.23</v>
          </cell>
          <cell r="N519">
            <v>2099.1799999999998</v>
          </cell>
          <cell r="O519">
            <v>3420.89</v>
          </cell>
          <cell r="P519">
            <v>1716.89</v>
          </cell>
          <cell r="Q519">
            <v>27151.059999999998</v>
          </cell>
        </row>
        <row r="520">
          <cell r="A520">
            <v>70196</v>
          </cell>
          <cell r="B520" t="str">
            <v>Club Dues</v>
          </cell>
          <cell r="E520">
            <v>0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</row>
        <row r="521">
          <cell r="A521">
            <v>70200</v>
          </cell>
          <cell r="B521" t="str">
            <v>Travel</v>
          </cell>
          <cell r="E521">
            <v>225.54</v>
          </cell>
          <cell r="F521">
            <v>769.5</v>
          </cell>
          <cell r="G521">
            <v>907.05</v>
          </cell>
          <cell r="H521">
            <v>0</v>
          </cell>
          <cell r="I521">
            <v>627.9</v>
          </cell>
          <cell r="J521">
            <v>18.75</v>
          </cell>
          <cell r="K521">
            <v>51</v>
          </cell>
          <cell r="L521">
            <v>-46.5</v>
          </cell>
          <cell r="M521">
            <v>1021.88</v>
          </cell>
          <cell r="N521">
            <v>876</v>
          </cell>
          <cell r="O521">
            <v>92.25</v>
          </cell>
          <cell r="P521">
            <v>339.6</v>
          </cell>
          <cell r="Q521">
            <v>4882.97</v>
          </cell>
        </row>
        <row r="522">
          <cell r="A522">
            <v>70201</v>
          </cell>
          <cell r="B522" t="str">
            <v>Entertainment</v>
          </cell>
          <cell r="E522">
            <v>0</v>
          </cell>
          <cell r="F522">
            <v>23.53</v>
          </cell>
          <cell r="G522">
            <v>0</v>
          </cell>
          <cell r="H522">
            <v>321.41000000000003</v>
          </cell>
          <cell r="I522">
            <v>0</v>
          </cell>
          <cell r="J522">
            <v>341.1</v>
          </cell>
          <cell r="K522">
            <v>728.42</v>
          </cell>
          <cell r="L522">
            <v>-72.099999999999994</v>
          </cell>
          <cell r="M522">
            <v>0</v>
          </cell>
          <cell r="N522">
            <v>41.89</v>
          </cell>
          <cell r="O522">
            <v>0</v>
          </cell>
          <cell r="P522">
            <v>0</v>
          </cell>
          <cell r="Q522">
            <v>1384.2500000000002</v>
          </cell>
        </row>
        <row r="523">
          <cell r="A523">
            <v>70202</v>
          </cell>
          <cell r="B523" t="str">
            <v>Excursions Meetings</v>
          </cell>
          <cell r="E523">
            <v>300</v>
          </cell>
          <cell r="F523">
            <v>345.51</v>
          </cell>
          <cell r="G523">
            <v>0</v>
          </cell>
          <cell r="H523">
            <v>0</v>
          </cell>
          <cell r="I523">
            <v>485</v>
          </cell>
          <cell r="J523">
            <v>1248.75</v>
          </cell>
          <cell r="K523">
            <v>0</v>
          </cell>
          <cell r="L523">
            <v>288.39999999999998</v>
          </cell>
          <cell r="M523">
            <v>0</v>
          </cell>
          <cell r="N523">
            <v>0</v>
          </cell>
          <cell r="O523">
            <v>279</v>
          </cell>
          <cell r="P523">
            <v>0</v>
          </cell>
          <cell r="Q523">
            <v>2946.6600000000003</v>
          </cell>
        </row>
        <row r="524">
          <cell r="A524">
            <v>70203</v>
          </cell>
          <cell r="B524" t="str">
            <v>Lodging</v>
          </cell>
          <cell r="E524">
            <v>462.54</v>
          </cell>
          <cell r="F524">
            <v>0</v>
          </cell>
          <cell r="G524">
            <v>0</v>
          </cell>
          <cell r="H524">
            <v>653.4</v>
          </cell>
          <cell r="I524">
            <v>579</v>
          </cell>
          <cell r="J524">
            <v>0</v>
          </cell>
          <cell r="K524">
            <v>797.67</v>
          </cell>
          <cell r="L524">
            <v>618.57000000000005</v>
          </cell>
          <cell r="M524">
            <v>382.5</v>
          </cell>
          <cell r="N524">
            <v>140.19999999999999</v>
          </cell>
          <cell r="O524">
            <v>457.4</v>
          </cell>
          <cell r="P524">
            <v>1133.44</v>
          </cell>
          <cell r="Q524">
            <v>5224.72</v>
          </cell>
        </row>
        <row r="525">
          <cell r="A525">
            <v>70204</v>
          </cell>
          <cell r="B525" t="str">
            <v>Gifts to Customers</v>
          </cell>
          <cell r="E525">
            <v>0</v>
          </cell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  <cell r="Q525">
            <v>0</v>
          </cell>
        </row>
        <row r="526">
          <cell r="A526">
            <v>70205</v>
          </cell>
          <cell r="B526" t="str">
            <v>Travel - Auto</v>
          </cell>
          <cell r="E526">
            <v>592.16</v>
          </cell>
          <cell r="F526">
            <v>812.81</v>
          </cell>
          <cell r="G526">
            <v>372.79</v>
          </cell>
          <cell r="H526">
            <v>924.67</v>
          </cell>
          <cell r="I526">
            <v>591.26</v>
          </cell>
          <cell r="J526">
            <v>614.52</v>
          </cell>
          <cell r="K526">
            <v>370.59</v>
          </cell>
          <cell r="L526">
            <v>811.62</v>
          </cell>
          <cell r="M526">
            <v>291.60000000000002</v>
          </cell>
          <cell r="N526">
            <v>789.52</v>
          </cell>
          <cell r="O526">
            <v>730.2</v>
          </cell>
          <cell r="P526">
            <v>523.23</v>
          </cell>
          <cell r="Q526">
            <v>7424.9699999999993</v>
          </cell>
        </row>
        <row r="527">
          <cell r="A527">
            <v>70206</v>
          </cell>
          <cell r="B527" t="str">
            <v>Meals</v>
          </cell>
          <cell r="E527">
            <v>155.22</v>
          </cell>
          <cell r="F527">
            <v>199.8</v>
          </cell>
          <cell r="G527">
            <v>112.98</v>
          </cell>
          <cell r="H527">
            <v>115.92</v>
          </cell>
          <cell r="I527">
            <v>277.83</v>
          </cell>
          <cell r="J527">
            <v>270.38</v>
          </cell>
          <cell r="K527">
            <v>579.17999999999995</v>
          </cell>
          <cell r="L527">
            <v>-136.55000000000001</v>
          </cell>
          <cell r="M527">
            <v>50</v>
          </cell>
          <cell r="N527">
            <v>287</v>
          </cell>
          <cell r="O527">
            <v>150.02000000000001</v>
          </cell>
          <cell r="P527">
            <v>59.7</v>
          </cell>
          <cell r="Q527">
            <v>2121.48</v>
          </cell>
        </row>
        <row r="528">
          <cell r="A528">
            <v>70207</v>
          </cell>
          <cell r="B528" t="str">
            <v>Meals with Customers</v>
          </cell>
          <cell r="E528">
            <v>0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3.75</v>
          </cell>
          <cell r="O528">
            <v>0</v>
          </cell>
          <cell r="P528">
            <v>0</v>
          </cell>
          <cell r="Q528">
            <v>3.75</v>
          </cell>
        </row>
        <row r="529">
          <cell r="A529">
            <v>70209</v>
          </cell>
          <cell r="B529" t="str">
            <v>Photo Supplies</v>
          </cell>
          <cell r="E529">
            <v>0</v>
          </cell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</row>
        <row r="530">
          <cell r="A530">
            <v>70210</v>
          </cell>
          <cell r="B530" t="str">
            <v>Office Supplies and Equip</v>
          </cell>
          <cell r="E530">
            <v>7068.1</v>
          </cell>
          <cell r="F530">
            <v>6155.01</v>
          </cell>
          <cell r="G530">
            <v>3868.92</v>
          </cell>
          <cell r="H530">
            <v>3782.02</v>
          </cell>
          <cell r="I530">
            <v>2862.22</v>
          </cell>
          <cell r="J530">
            <v>4721.92</v>
          </cell>
          <cell r="K530">
            <v>5210.1099999999997</v>
          </cell>
          <cell r="L530">
            <v>4854.1400000000003</v>
          </cell>
          <cell r="M530">
            <v>4059.64</v>
          </cell>
          <cell r="N530">
            <v>7017.47</v>
          </cell>
          <cell r="O530">
            <v>1056.94</v>
          </cell>
          <cell r="P530">
            <v>7841.63</v>
          </cell>
          <cell r="Q530">
            <v>58498.12</v>
          </cell>
        </row>
        <row r="531">
          <cell r="A531">
            <v>70213</v>
          </cell>
          <cell r="B531" t="str">
            <v>P-Card Rebate</v>
          </cell>
          <cell r="E531">
            <v>0</v>
          </cell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</row>
        <row r="532">
          <cell r="A532">
            <v>70214</v>
          </cell>
          <cell r="B532" t="str">
            <v>Credit Card Fees</v>
          </cell>
          <cell r="E532">
            <v>7453.96</v>
          </cell>
          <cell r="F532">
            <v>8072.47</v>
          </cell>
          <cell r="G532">
            <v>8471.26</v>
          </cell>
          <cell r="H532">
            <v>7487.53</v>
          </cell>
          <cell r="I532">
            <v>7402.35</v>
          </cell>
          <cell r="J532">
            <v>8604.07</v>
          </cell>
          <cell r="K532">
            <v>8742.07</v>
          </cell>
          <cell r="L532">
            <v>9298.84</v>
          </cell>
          <cell r="M532">
            <v>9731.43</v>
          </cell>
          <cell r="N532">
            <v>9257.65</v>
          </cell>
          <cell r="O532">
            <v>10120.43</v>
          </cell>
          <cell r="P532">
            <v>9008.27</v>
          </cell>
          <cell r="Q532">
            <v>103650.33</v>
          </cell>
        </row>
        <row r="533">
          <cell r="A533">
            <v>70215</v>
          </cell>
          <cell r="B533" t="str">
            <v>Bank Charges</v>
          </cell>
          <cell r="E533">
            <v>520.58000000000004</v>
          </cell>
          <cell r="F533">
            <v>527.17999999999995</v>
          </cell>
          <cell r="G533">
            <v>539.19000000000005</v>
          </cell>
          <cell r="H533">
            <v>530.33000000000004</v>
          </cell>
          <cell r="I533">
            <v>471.57</v>
          </cell>
          <cell r="J533">
            <v>491.42</v>
          </cell>
          <cell r="K533">
            <v>465.31</v>
          </cell>
          <cell r="L533">
            <v>559.30999999999995</v>
          </cell>
          <cell r="M533">
            <v>476.99</v>
          </cell>
          <cell r="N533">
            <v>385.37</v>
          </cell>
          <cell r="O533">
            <v>367.56</v>
          </cell>
          <cell r="P533">
            <v>638.20000000000005</v>
          </cell>
          <cell r="Q533">
            <v>5973.01</v>
          </cell>
        </row>
        <row r="534">
          <cell r="A534">
            <v>70216</v>
          </cell>
          <cell r="B534" t="str">
            <v>Outside Storages</v>
          </cell>
          <cell r="E534">
            <v>0</v>
          </cell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</row>
        <row r="535">
          <cell r="A535">
            <v>70217</v>
          </cell>
          <cell r="B535" t="str">
            <v>Invoice Printing Costs</v>
          </cell>
          <cell r="E535">
            <v>0</v>
          </cell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</row>
        <row r="536">
          <cell r="A536">
            <v>70225</v>
          </cell>
          <cell r="B536" t="str">
            <v>Advertising and Promotions</v>
          </cell>
          <cell r="E536">
            <v>2100</v>
          </cell>
          <cell r="F536">
            <v>-679.79</v>
          </cell>
          <cell r="G536">
            <v>0</v>
          </cell>
          <cell r="H536">
            <v>31.64</v>
          </cell>
          <cell r="I536">
            <v>0</v>
          </cell>
          <cell r="J536">
            <v>0</v>
          </cell>
          <cell r="K536">
            <v>500</v>
          </cell>
          <cell r="L536">
            <v>710.94</v>
          </cell>
          <cell r="M536">
            <v>0</v>
          </cell>
          <cell r="N536">
            <v>3049.29</v>
          </cell>
          <cell r="O536">
            <v>5336.83</v>
          </cell>
          <cell r="P536">
            <v>0</v>
          </cell>
          <cell r="Q536">
            <v>11048.91</v>
          </cell>
        </row>
        <row r="537">
          <cell r="A537">
            <v>70230</v>
          </cell>
          <cell r="B537" t="str">
            <v>External Recruiter Fees</v>
          </cell>
          <cell r="E537">
            <v>0</v>
          </cell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</row>
        <row r="538">
          <cell r="A538">
            <v>70231</v>
          </cell>
          <cell r="B538" t="str">
            <v>Recruitment Advertising &amp; Expenses</v>
          </cell>
          <cell r="E538">
            <v>0</v>
          </cell>
          <cell r="F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25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  <cell r="Q538">
            <v>25</v>
          </cell>
        </row>
        <row r="539">
          <cell r="A539">
            <v>70232</v>
          </cell>
          <cell r="B539" t="str">
            <v>Recruitment Travel Expenses</v>
          </cell>
          <cell r="E539">
            <v>0</v>
          </cell>
          <cell r="F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</row>
        <row r="540">
          <cell r="A540">
            <v>70235</v>
          </cell>
          <cell r="B540" t="str">
            <v>Legal</v>
          </cell>
          <cell r="E540">
            <v>134.16</v>
          </cell>
          <cell r="F540">
            <v>0</v>
          </cell>
          <cell r="G540">
            <v>198.36</v>
          </cell>
          <cell r="H540">
            <v>3699.71</v>
          </cell>
          <cell r="I540">
            <v>1056.02</v>
          </cell>
          <cell r="J540">
            <v>682.19</v>
          </cell>
          <cell r="K540">
            <v>3008.78</v>
          </cell>
          <cell r="L540">
            <v>-2300.2800000000002</v>
          </cell>
          <cell r="M540">
            <v>3301.28</v>
          </cell>
          <cell r="N540">
            <v>0.2</v>
          </cell>
          <cell r="O540">
            <v>-0.2</v>
          </cell>
          <cell r="P540">
            <v>1207.32</v>
          </cell>
          <cell r="Q540">
            <v>10987.54</v>
          </cell>
        </row>
        <row r="541">
          <cell r="A541">
            <v>70240</v>
          </cell>
          <cell r="B541" t="str">
            <v>Accounting Professional Fees</v>
          </cell>
          <cell r="E541">
            <v>0</v>
          </cell>
          <cell r="F541">
            <v>0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</row>
        <row r="542">
          <cell r="A542">
            <v>70245</v>
          </cell>
          <cell r="B542" t="str">
            <v>Payroll Processing Fees</v>
          </cell>
          <cell r="E542">
            <v>324.20999999999998</v>
          </cell>
          <cell r="F542">
            <v>333.23</v>
          </cell>
          <cell r="G542">
            <v>333.23</v>
          </cell>
          <cell r="H542">
            <v>333.23</v>
          </cell>
          <cell r="I542">
            <v>333.23</v>
          </cell>
          <cell r="J542">
            <v>333.23</v>
          </cell>
          <cell r="K542">
            <v>333.23</v>
          </cell>
          <cell r="L542">
            <v>300.73</v>
          </cell>
          <cell r="M542">
            <v>300.73</v>
          </cell>
          <cell r="N542">
            <v>300.73</v>
          </cell>
          <cell r="O542">
            <v>300.86</v>
          </cell>
          <cell r="P542">
            <v>300.86</v>
          </cell>
          <cell r="Q542">
            <v>3827.5000000000005</v>
          </cell>
        </row>
        <row r="543">
          <cell r="A543">
            <v>70250</v>
          </cell>
          <cell r="B543" t="str">
            <v>Acquisition Cost Write Off</v>
          </cell>
          <cell r="E543">
            <v>0</v>
          </cell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  <cell r="Q543">
            <v>0</v>
          </cell>
        </row>
        <row r="544">
          <cell r="A544">
            <v>70254</v>
          </cell>
          <cell r="B544" t="str">
            <v>Corporate Capitalized Expenses</v>
          </cell>
          <cell r="E544">
            <v>0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</row>
        <row r="545">
          <cell r="A545">
            <v>70255</v>
          </cell>
          <cell r="B545" t="str">
            <v>Other Prof Fees</v>
          </cell>
          <cell r="E545">
            <v>0</v>
          </cell>
          <cell r="F545">
            <v>659.25</v>
          </cell>
          <cell r="G545">
            <v>168.64</v>
          </cell>
          <cell r="H545">
            <v>0</v>
          </cell>
          <cell r="I545">
            <v>900</v>
          </cell>
          <cell r="J545">
            <v>168.64</v>
          </cell>
          <cell r="K545">
            <v>-900</v>
          </cell>
          <cell r="L545">
            <v>0</v>
          </cell>
          <cell r="M545">
            <v>168.64</v>
          </cell>
          <cell r="N545">
            <v>0</v>
          </cell>
          <cell r="O545">
            <v>548.44000000000005</v>
          </cell>
          <cell r="P545">
            <v>243.29</v>
          </cell>
          <cell r="Q545">
            <v>1956.8999999999996</v>
          </cell>
        </row>
        <row r="546">
          <cell r="A546">
            <v>70271</v>
          </cell>
          <cell r="B546" t="str">
            <v>Property and Liability Insurance</v>
          </cell>
          <cell r="E546">
            <v>0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</row>
        <row r="547">
          <cell r="A547">
            <v>70272</v>
          </cell>
          <cell r="B547" t="str">
            <v>Keyman Life Insurance</v>
          </cell>
          <cell r="E547">
            <v>0</v>
          </cell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</row>
        <row r="548">
          <cell r="A548">
            <v>70273</v>
          </cell>
          <cell r="B548" t="str">
            <v>Directors and Officers Insurance</v>
          </cell>
          <cell r="E548">
            <v>0</v>
          </cell>
          <cell r="F548">
            <v>0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</row>
        <row r="549">
          <cell r="A549">
            <v>70275</v>
          </cell>
          <cell r="B549" t="str">
            <v>Property Taxes</v>
          </cell>
          <cell r="E549">
            <v>3633</v>
          </cell>
          <cell r="F549">
            <v>3633</v>
          </cell>
          <cell r="G549">
            <v>4280.66</v>
          </cell>
          <cell r="H549">
            <v>5100.2</v>
          </cell>
          <cell r="I549">
            <v>5100.2</v>
          </cell>
          <cell r="J549">
            <v>5100.2</v>
          </cell>
          <cell r="K549">
            <v>6353.54</v>
          </cell>
          <cell r="L549">
            <v>4787.74</v>
          </cell>
          <cell r="M549">
            <v>4507.07</v>
          </cell>
          <cell r="N549">
            <v>4985.55</v>
          </cell>
          <cell r="O549">
            <v>5021.75</v>
          </cell>
          <cell r="P549">
            <v>4949.34</v>
          </cell>
          <cell r="Q549">
            <v>57452.25</v>
          </cell>
        </row>
        <row r="550">
          <cell r="A550">
            <v>70280</v>
          </cell>
          <cell r="B550" t="str">
            <v>Other Taxes</v>
          </cell>
          <cell r="E550">
            <v>0</v>
          </cell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</row>
        <row r="551">
          <cell r="A551">
            <v>70300</v>
          </cell>
          <cell r="B551" t="str">
            <v>Data Processing</v>
          </cell>
          <cell r="E551">
            <v>3053.24</v>
          </cell>
          <cell r="F551">
            <v>27123.4</v>
          </cell>
          <cell r="G551">
            <v>1994.05</v>
          </cell>
          <cell r="H551">
            <v>25497.25</v>
          </cell>
          <cell r="I551">
            <v>4148.7299999999996</v>
          </cell>
          <cell r="J551">
            <v>12634.95</v>
          </cell>
          <cell r="K551">
            <v>2733.27</v>
          </cell>
          <cell r="L551">
            <v>28900.27</v>
          </cell>
          <cell r="M551">
            <v>2744.08</v>
          </cell>
          <cell r="N551">
            <v>23341.62</v>
          </cell>
          <cell r="O551">
            <v>2653.19</v>
          </cell>
          <cell r="P551">
            <v>25630.6</v>
          </cell>
          <cell r="Q551">
            <v>160454.65000000002</v>
          </cell>
        </row>
        <row r="552">
          <cell r="A552">
            <v>70301</v>
          </cell>
          <cell r="B552" t="str">
            <v>Computer Software</v>
          </cell>
          <cell r="E552">
            <v>0</v>
          </cell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</row>
        <row r="553">
          <cell r="A553">
            <v>70302</v>
          </cell>
          <cell r="B553" t="str">
            <v>Computer Supplies</v>
          </cell>
          <cell r="E553">
            <v>0</v>
          </cell>
          <cell r="F553">
            <v>435.77</v>
          </cell>
          <cell r="G553">
            <v>693.82</v>
          </cell>
          <cell r="H553">
            <v>0</v>
          </cell>
          <cell r="I553">
            <v>0</v>
          </cell>
          <cell r="J553">
            <v>0</v>
          </cell>
          <cell r="K553">
            <v>71.819999999999993</v>
          </cell>
          <cell r="L553">
            <v>73.77</v>
          </cell>
          <cell r="M553">
            <v>0</v>
          </cell>
          <cell r="N553">
            <v>0</v>
          </cell>
          <cell r="O553">
            <v>0</v>
          </cell>
          <cell r="P553">
            <v>561.86</v>
          </cell>
          <cell r="Q553">
            <v>1837.04</v>
          </cell>
        </row>
        <row r="554">
          <cell r="A554">
            <v>70310</v>
          </cell>
          <cell r="B554" t="str">
            <v>Bad Debt Provision</v>
          </cell>
          <cell r="E554">
            <v>-38144.620000000003</v>
          </cell>
          <cell r="F554">
            <v>34133.97</v>
          </cell>
          <cell r="G554">
            <v>-43595.040000000001</v>
          </cell>
          <cell r="H554">
            <v>39178.03</v>
          </cell>
          <cell r="I554">
            <v>-23435.439999999999</v>
          </cell>
          <cell r="J554">
            <v>54303.69</v>
          </cell>
          <cell r="K554">
            <v>-33171.480000000003</v>
          </cell>
          <cell r="L554">
            <v>54213.2</v>
          </cell>
          <cell r="M554">
            <v>-34096.239999999998</v>
          </cell>
          <cell r="N554">
            <v>57772.45</v>
          </cell>
          <cell r="O554">
            <v>-39518.949999999997</v>
          </cell>
          <cell r="P554">
            <v>53267.67</v>
          </cell>
          <cell r="Q554">
            <v>80907.239999999991</v>
          </cell>
        </row>
        <row r="555">
          <cell r="A555">
            <v>70315</v>
          </cell>
          <cell r="B555" t="str">
            <v>Bad Debt Recoveries</v>
          </cell>
          <cell r="E555">
            <v>0</v>
          </cell>
          <cell r="F555">
            <v>0</v>
          </cell>
          <cell r="G555">
            <v>0</v>
          </cell>
          <cell r="H555">
            <v>0</v>
          </cell>
          <cell r="I555">
            <v>0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</row>
        <row r="556">
          <cell r="A556">
            <v>70320</v>
          </cell>
          <cell r="B556" t="str">
            <v>Credit and Collection</v>
          </cell>
          <cell r="E556">
            <v>6198.28</v>
          </cell>
          <cell r="F556">
            <v>9319.4599999999991</v>
          </cell>
          <cell r="G556">
            <v>5273.3</v>
          </cell>
          <cell r="H556">
            <v>8215.32</v>
          </cell>
          <cell r="I556">
            <v>5615.84</v>
          </cell>
          <cell r="J556">
            <v>3201.73</v>
          </cell>
          <cell r="K556">
            <v>4767.67</v>
          </cell>
          <cell r="L556">
            <v>2810.14</v>
          </cell>
          <cell r="M556">
            <v>5490.95</v>
          </cell>
          <cell r="N556">
            <v>4968.87</v>
          </cell>
          <cell r="O556">
            <v>5918.1</v>
          </cell>
          <cell r="P556">
            <v>0</v>
          </cell>
          <cell r="Q556">
            <v>61779.659999999996</v>
          </cell>
        </row>
        <row r="557">
          <cell r="A557">
            <v>70324</v>
          </cell>
          <cell r="B557" t="str">
            <v>Penalties and Violations</v>
          </cell>
          <cell r="E557">
            <v>0</v>
          </cell>
          <cell r="F557">
            <v>0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</row>
        <row r="558">
          <cell r="A558">
            <v>70325</v>
          </cell>
          <cell r="B558" t="str">
            <v>Legal Settlement Payments</v>
          </cell>
          <cell r="E558">
            <v>0</v>
          </cell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</row>
        <row r="559">
          <cell r="A559">
            <v>70326</v>
          </cell>
          <cell r="B559" t="str">
            <v>Deductible Current Year</v>
          </cell>
          <cell r="E559">
            <v>0</v>
          </cell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</row>
        <row r="560">
          <cell r="A560">
            <v>70327</v>
          </cell>
          <cell r="B560" t="str">
            <v>Deductible Dammage</v>
          </cell>
          <cell r="E560">
            <v>0</v>
          </cell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</row>
        <row r="561">
          <cell r="A561">
            <v>70328</v>
          </cell>
          <cell r="B561" t="str">
            <v>Claim Recoveries</v>
          </cell>
          <cell r="E561">
            <v>0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</row>
        <row r="562">
          <cell r="A562">
            <v>70330</v>
          </cell>
          <cell r="B562" t="str">
            <v>Deductible Prior Year</v>
          </cell>
          <cell r="E562">
            <v>0</v>
          </cell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</row>
        <row r="563">
          <cell r="A563">
            <v>70335</v>
          </cell>
          <cell r="B563" t="str">
            <v>Miscellaneous</v>
          </cell>
          <cell r="E563">
            <v>0</v>
          </cell>
          <cell r="F563">
            <v>-78.28</v>
          </cell>
          <cell r="G563">
            <v>0</v>
          </cell>
          <cell r="H563">
            <v>-123.75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-202.03</v>
          </cell>
        </row>
        <row r="564">
          <cell r="A564">
            <v>70336</v>
          </cell>
          <cell r="B564" t="str">
            <v>Coffe Bar</v>
          </cell>
          <cell r="E564">
            <v>0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38.020000000000003</v>
          </cell>
          <cell r="M564">
            <v>0</v>
          </cell>
          <cell r="N564">
            <v>-38.020000000000003</v>
          </cell>
          <cell r="O564">
            <v>0</v>
          </cell>
          <cell r="P564">
            <v>0</v>
          </cell>
          <cell r="Q564">
            <v>0</v>
          </cell>
        </row>
        <row r="565">
          <cell r="A565">
            <v>70345</v>
          </cell>
          <cell r="B565" t="str">
            <v>Security Services</v>
          </cell>
          <cell r="E565">
            <v>0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</row>
        <row r="566">
          <cell r="A566">
            <v>70357</v>
          </cell>
          <cell r="B566" t="str">
            <v>Permits</v>
          </cell>
          <cell r="E566">
            <v>0</v>
          </cell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</row>
        <row r="567">
          <cell r="A567">
            <v>70370</v>
          </cell>
          <cell r="B567" t="str">
            <v>Bonds Expense</v>
          </cell>
          <cell r="E567">
            <v>0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</row>
        <row r="568">
          <cell r="A568">
            <v>70371</v>
          </cell>
          <cell r="B568" t="str">
            <v>Board of Directors Fees</v>
          </cell>
          <cell r="E568">
            <v>0</v>
          </cell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</row>
        <row r="569">
          <cell r="A569">
            <v>70372</v>
          </cell>
          <cell r="B569" t="str">
            <v>Board of Directors Expense Report</v>
          </cell>
          <cell r="E569">
            <v>0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</row>
        <row r="570">
          <cell r="A570">
            <v>70475</v>
          </cell>
          <cell r="B570" t="str">
            <v>Trade Shows</v>
          </cell>
          <cell r="E570">
            <v>0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</row>
        <row r="571">
          <cell r="A571">
            <v>70900</v>
          </cell>
          <cell r="B571" t="str">
            <v>Entitiy Formation Costs</v>
          </cell>
          <cell r="E571">
            <v>0</v>
          </cell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</row>
        <row r="572">
          <cell r="A572">
            <v>70998</v>
          </cell>
          <cell r="B572" t="str">
            <v>Allocation Out - District</v>
          </cell>
          <cell r="E572">
            <v>0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</row>
        <row r="573">
          <cell r="A573">
            <v>70999</v>
          </cell>
          <cell r="B573" t="str">
            <v>Allocation Out - Out District</v>
          </cell>
          <cell r="E573">
            <v>0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</row>
        <row r="574">
          <cell r="A574">
            <v>71000</v>
          </cell>
          <cell r="B574" t="str">
            <v>Stock Comp Expense</v>
          </cell>
          <cell r="E574">
            <v>0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</row>
        <row r="575">
          <cell r="A575" t="str">
            <v>Total G&amp;A</v>
          </cell>
          <cell r="E575">
            <v>135458.46000000002</v>
          </cell>
          <cell r="F575">
            <v>208641.47999999992</v>
          </cell>
          <cell r="G575">
            <v>98781.099999999962</v>
          </cell>
          <cell r="H575">
            <v>225439.98</v>
          </cell>
          <cell r="I575">
            <v>124024.28</v>
          </cell>
          <cell r="J575">
            <v>224140.84000000008</v>
          </cell>
          <cell r="K575">
            <v>154049.73000000004</v>
          </cell>
          <cell r="L575">
            <v>264592.3</v>
          </cell>
          <cell r="M575">
            <v>109926.17</v>
          </cell>
          <cell r="N575">
            <v>249406.65000000005</v>
          </cell>
          <cell r="O575">
            <v>123801.06999999996</v>
          </cell>
          <cell r="P575">
            <v>250967.55000000005</v>
          </cell>
          <cell r="Q575">
            <v>2169229.61</v>
          </cell>
        </row>
        <row r="577">
          <cell r="A577" t="str">
            <v>Overhead</v>
          </cell>
        </row>
        <row r="578">
          <cell r="A578">
            <v>70149</v>
          </cell>
          <cell r="B578" t="str">
            <v>Corporate Overhead Allocation In</v>
          </cell>
          <cell r="E578">
            <v>95576.95</v>
          </cell>
          <cell r="F578">
            <v>93754.57</v>
          </cell>
          <cell r="G578">
            <v>96892.32</v>
          </cell>
          <cell r="H578">
            <v>96287.7</v>
          </cell>
          <cell r="I578">
            <v>98950.95</v>
          </cell>
          <cell r="J578">
            <v>99254.64</v>
          </cell>
          <cell r="K578">
            <v>97352.26</v>
          </cell>
          <cell r="L578">
            <v>97777.96</v>
          </cell>
          <cell r="M578">
            <v>98592.93</v>
          </cell>
          <cell r="N578">
            <v>101400.48</v>
          </cell>
          <cell r="O578">
            <v>100544.01</v>
          </cell>
          <cell r="P578">
            <v>100617.72</v>
          </cell>
          <cell r="Q578">
            <v>1177002.49</v>
          </cell>
        </row>
        <row r="579">
          <cell r="A579">
            <v>70159</v>
          </cell>
          <cell r="B579" t="str">
            <v>Region Overhead Allocation In</v>
          </cell>
          <cell r="E579">
            <v>0</v>
          </cell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</row>
        <row r="580">
          <cell r="A580" t="str">
            <v>Total Overhead</v>
          </cell>
          <cell r="E580">
            <v>95576.95</v>
          </cell>
          <cell r="F580">
            <v>93754.57</v>
          </cell>
          <cell r="G580">
            <v>96892.32</v>
          </cell>
          <cell r="H580">
            <v>96287.7</v>
          </cell>
          <cell r="I580">
            <v>98950.95</v>
          </cell>
          <cell r="J580">
            <v>99254.64</v>
          </cell>
          <cell r="K580">
            <v>97352.26</v>
          </cell>
          <cell r="L580">
            <v>97777.96</v>
          </cell>
          <cell r="M580">
            <v>98592.93</v>
          </cell>
          <cell r="N580">
            <v>101400.48</v>
          </cell>
          <cell r="O580">
            <v>100544.01</v>
          </cell>
          <cell r="P580">
            <v>100617.72</v>
          </cell>
          <cell r="Q580">
            <v>1177002.49</v>
          </cell>
        </row>
        <row r="582">
          <cell r="A582" t="str">
            <v>Total SG&amp;A</v>
          </cell>
          <cell r="E582">
            <v>246511.28000000003</v>
          </cell>
          <cell r="F582">
            <v>305793.68999999994</v>
          </cell>
          <cell r="G582">
            <v>203965.25999999998</v>
          </cell>
          <cell r="H582">
            <v>328473.28999999998</v>
          </cell>
          <cell r="I582">
            <v>228706.00999999998</v>
          </cell>
          <cell r="J582">
            <v>331450.5400000001</v>
          </cell>
          <cell r="K582">
            <v>256165.84000000005</v>
          </cell>
          <cell r="L582">
            <v>365954.82</v>
          </cell>
          <cell r="M582">
            <v>239060.30999999997</v>
          </cell>
          <cell r="N582">
            <v>379132.25000000006</v>
          </cell>
          <cell r="O582">
            <v>228004.79999999996</v>
          </cell>
          <cell r="P582">
            <v>390132.22000000003</v>
          </cell>
          <cell r="Q582">
            <v>3503350.3099999996</v>
          </cell>
        </row>
        <row r="584">
          <cell r="A584" t="str">
            <v>EBITDA</v>
          </cell>
          <cell r="E584">
            <v>712085.01999999979</v>
          </cell>
          <cell r="F584">
            <v>772605.35999999987</v>
          </cell>
          <cell r="G584">
            <v>776716.52999999991</v>
          </cell>
          <cell r="H584">
            <v>731539.77</v>
          </cell>
          <cell r="I584">
            <v>769618.66999999934</v>
          </cell>
          <cell r="J584">
            <v>552555.60000000033</v>
          </cell>
          <cell r="K584">
            <v>743010.76999999932</v>
          </cell>
          <cell r="L584">
            <v>663397.72999999952</v>
          </cell>
          <cell r="M584">
            <v>766161.14</v>
          </cell>
          <cell r="N584">
            <v>683037.77000000048</v>
          </cell>
          <cell r="O584">
            <v>782671.56999999972</v>
          </cell>
          <cell r="P584">
            <v>621819.83000000031</v>
          </cell>
          <cell r="Q584">
            <v>8575219.7600000016</v>
          </cell>
        </row>
        <row r="586">
          <cell r="A586" t="str">
            <v>DD&amp;A</v>
          </cell>
        </row>
        <row r="587">
          <cell r="A587" t="str">
            <v>Depreciation</v>
          </cell>
        </row>
        <row r="588">
          <cell r="A588">
            <v>51260</v>
          </cell>
          <cell r="B588" t="str">
            <v>Depreciation</v>
          </cell>
          <cell r="E588">
            <v>128653.02</v>
          </cell>
          <cell r="F588">
            <v>131370.81</v>
          </cell>
          <cell r="G588">
            <v>131344.75</v>
          </cell>
          <cell r="H588">
            <v>130833.62</v>
          </cell>
          <cell r="I588">
            <v>128898.54</v>
          </cell>
          <cell r="J588">
            <v>124756.98</v>
          </cell>
          <cell r="K588">
            <v>129780.01</v>
          </cell>
          <cell r="L588">
            <v>124499.33</v>
          </cell>
          <cell r="M588">
            <v>116250.86</v>
          </cell>
          <cell r="N588">
            <v>116469.34</v>
          </cell>
          <cell r="O588">
            <v>115552.67</v>
          </cell>
          <cell r="P588">
            <v>115400.84</v>
          </cell>
          <cell r="Q588">
            <v>1493810.77</v>
          </cell>
        </row>
        <row r="589">
          <cell r="A589">
            <v>54260</v>
          </cell>
          <cell r="B589" t="str">
            <v>Depreciation</v>
          </cell>
          <cell r="E589">
            <v>44644.21</v>
          </cell>
          <cell r="F589">
            <v>45130.14</v>
          </cell>
          <cell r="G589">
            <v>45176.2</v>
          </cell>
          <cell r="H589">
            <v>45736.24</v>
          </cell>
          <cell r="I589">
            <v>45872.49</v>
          </cell>
          <cell r="J589">
            <v>46097.22</v>
          </cell>
          <cell r="K589">
            <v>46974.19</v>
          </cell>
          <cell r="L589">
            <v>47668</v>
          </cell>
          <cell r="M589">
            <v>47777.17</v>
          </cell>
          <cell r="N589">
            <v>47529.919999999998</v>
          </cell>
          <cell r="O589">
            <v>47583.6</v>
          </cell>
          <cell r="P589">
            <v>47682.03</v>
          </cell>
          <cell r="Q589">
            <v>557871.40999999992</v>
          </cell>
        </row>
        <row r="590">
          <cell r="A590">
            <v>56260</v>
          </cell>
          <cell r="B590" t="str">
            <v>Depreciation</v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</row>
        <row r="591">
          <cell r="A591">
            <v>57260</v>
          </cell>
          <cell r="B591" t="str">
            <v>Depreciation</v>
          </cell>
          <cell r="E591">
            <v>5579.13</v>
          </cell>
          <cell r="F591">
            <v>5579.15</v>
          </cell>
          <cell r="G591">
            <v>5579.14</v>
          </cell>
          <cell r="H591">
            <v>5579.12</v>
          </cell>
          <cell r="I591">
            <v>5579.14</v>
          </cell>
          <cell r="J591">
            <v>5579.19</v>
          </cell>
          <cell r="K591">
            <v>5579.09</v>
          </cell>
          <cell r="L591">
            <v>5579.1</v>
          </cell>
          <cell r="M591">
            <v>5521.44</v>
          </cell>
          <cell r="N591">
            <v>5521.33</v>
          </cell>
          <cell r="O591">
            <v>5521.37</v>
          </cell>
          <cell r="P591">
            <v>5521.3</v>
          </cell>
          <cell r="Q591">
            <v>66718.5</v>
          </cell>
        </row>
        <row r="592">
          <cell r="A592">
            <v>60260</v>
          </cell>
          <cell r="B592" t="str">
            <v>Depreciation</v>
          </cell>
          <cell r="E592">
            <v>0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</row>
        <row r="593">
          <cell r="A593">
            <v>70257</v>
          </cell>
          <cell r="B593" t="str">
            <v>Depreciation</v>
          </cell>
          <cell r="E593">
            <v>0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</row>
        <row r="594">
          <cell r="A594">
            <v>70260</v>
          </cell>
          <cell r="B594" t="str">
            <v>Depreciation</v>
          </cell>
          <cell r="E594">
            <v>819.53</v>
          </cell>
          <cell r="F594">
            <v>819.52</v>
          </cell>
          <cell r="G594">
            <v>819.52</v>
          </cell>
          <cell r="H594">
            <v>819.45</v>
          </cell>
          <cell r="I594">
            <v>622.97</v>
          </cell>
          <cell r="J594">
            <v>622.99</v>
          </cell>
          <cell r="K594">
            <v>622.98</v>
          </cell>
          <cell r="L594">
            <v>622.91</v>
          </cell>
          <cell r="M594">
            <v>451.09</v>
          </cell>
          <cell r="N594">
            <v>451.1</v>
          </cell>
          <cell r="O594">
            <v>430.18</v>
          </cell>
          <cell r="P594">
            <v>386.57</v>
          </cell>
          <cell r="Q594">
            <v>7488.8099999999995</v>
          </cell>
        </row>
        <row r="595">
          <cell r="A595" t="str">
            <v>Total Depreciation</v>
          </cell>
          <cell r="E595">
            <v>179695.89</v>
          </cell>
          <cell r="F595">
            <v>182899.62</v>
          </cell>
          <cell r="G595">
            <v>182919.61000000002</v>
          </cell>
          <cell r="H595">
            <v>182968.43</v>
          </cell>
          <cell r="I595">
            <v>180973.14</v>
          </cell>
          <cell r="J595">
            <v>177056.38</v>
          </cell>
          <cell r="K595">
            <v>182956.27000000002</v>
          </cell>
          <cell r="L595">
            <v>178369.34000000003</v>
          </cell>
          <cell r="M595">
            <v>170000.56</v>
          </cell>
          <cell r="N595">
            <v>169971.69</v>
          </cell>
          <cell r="O595">
            <v>169087.81999999998</v>
          </cell>
          <cell r="P595">
            <v>168990.74</v>
          </cell>
          <cell r="Q595">
            <v>2125889.4899999998</v>
          </cell>
        </row>
        <row r="597">
          <cell r="A597" t="str">
            <v>Depletion</v>
          </cell>
        </row>
        <row r="598">
          <cell r="A598">
            <v>46000</v>
          </cell>
          <cell r="B598" t="str">
            <v>Depletion</v>
          </cell>
          <cell r="E598">
            <v>0</v>
          </cell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</row>
        <row r="599">
          <cell r="A599">
            <v>46010</v>
          </cell>
          <cell r="B599" t="str">
            <v>Closure Amortization</v>
          </cell>
          <cell r="E599">
            <v>0</v>
          </cell>
          <cell r="F599">
            <v>0</v>
          </cell>
          <cell r="G599">
            <v>0</v>
          </cell>
          <cell r="H599">
            <v>0</v>
          </cell>
          <cell r="I599">
            <v>0</v>
          </cell>
          <cell r="J599">
            <v>0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</row>
        <row r="600">
          <cell r="A600">
            <v>57261</v>
          </cell>
          <cell r="B600" t="str">
            <v>Airspace Amortization</v>
          </cell>
          <cell r="E600">
            <v>0</v>
          </cell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</row>
        <row r="601">
          <cell r="A601" t="str">
            <v>Total Depletion</v>
          </cell>
          <cell r="E601">
            <v>0</v>
          </cell>
          <cell r="F601">
            <v>0</v>
          </cell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</row>
        <row r="603">
          <cell r="A603" t="str">
            <v>Amortization</v>
          </cell>
        </row>
        <row r="604">
          <cell r="A604">
            <v>70264</v>
          </cell>
          <cell r="B604" t="str">
            <v>Amortization</v>
          </cell>
          <cell r="E604">
            <v>0</v>
          </cell>
          <cell r="F604">
            <v>0</v>
          </cell>
          <cell r="G604">
            <v>0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</row>
        <row r="605">
          <cell r="A605">
            <v>70266</v>
          </cell>
          <cell r="B605" t="str">
            <v>Cov. Not to Compete</v>
          </cell>
          <cell r="E605">
            <v>1987.84</v>
          </cell>
          <cell r="F605">
            <v>1987.84</v>
          </cell>
          <cell r="G605">
            <v>1987.83</v>
          </cell>
          <cell r="H605">
            <v>1987.84</v>
          </cell>
          <cell r="I605">
            <v>1987.83</v>
          </cell>
          <cell r="J605">
            <v>1987.83</v>
          </cell>
          <cell r="K605">
            <v>1987.84</v>
          </cell>
          <cell r="L605">
            <v>1987.8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15902.65</v>
          </cell>
        </row>
        <row r="606">
          <cell r="A606">
            <v>70267</v>
          </cell>
          <cell r="B606" t="str">
            <v>Amortization of Goodwill - Taxable</v>
          </cell>
          <cell r="E606">
            <v>0</v>
          </cell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</row>
        <row r="607">
          <cell r="A607">
            <v>70268</v>
          </cell>
          <cell r="B607" t="str">
            <v>Amortization of Goodwill - Non-Taxable</v>
          </cell>
          <cell r="E607">
            <v>0</v>
          </cell>
          <cell r="F607">
            <v>0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</row>
        <row r="608">
          <cell r="A608">
            <v>70269</v>
          </cell>
          <cell r="B608" t="str">
            <v>Long Term Contract Amort</v>
          </cell>
          <cell r="E608">
            <v>0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</row>
        <row r="609">
          <cell r="A609" t="str">
            <v>Total Amortization</v>
          </cell>
          <cell r="E609">
            <v>1987.84</v>
          </cell>
          <cell r="F609">
            <v>1987.84</v>
          </cell>
          <cell r="G609">
            <v>1987.83</v>
          </cell>
          <cell r="H609">
            <v>1987.84</v>
          </cell>
          <cell r="I609">
            <v>1987.83</v>
          </cell>
          <cell r="J609">
            <v>1987.83</v>
          </cell>
          <cell r="K609">
            <v>1987.84</v>
          </cell>
          <cell r="L609">
            <v>1987.8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Q609">
            <v>15902.65</v>
          </cell>
        </row>
        <row r="611">
          <cell r="A611" t="str">
            <v>Total DDA</v>
          </cell>
          <cell r="E611">
            <v>181683.73</v>
          </cell>
          <cell r="F611">
            <v>184887.46</v>
          </cell>
          <cell r="G611">
            <v>184907.44</v>
          </cell>
          <cell r="H611">
            <v>184956.27</v>
          </cell>
          <cell r="I611">
            <v>182960.97</v>
          </cell>
          <cell r="J611">
            <v>179044.21</v>
          </cell>
          <cell r="K611">
            <v>184944.11000000002</v>
          </cell>
          <cell r="L611">
            <v>180357.14</v>
          </cell>
          <cell r="M611">
            <v>170000.56</v>
          </cell>
          <cell r="N611">
            <v>169971.69</v>
          </cell>
          <cell r="O611">
            <v>169087.81999999998</v>
          </cell>
          <cell r="P611">
            <v>168990.74</v>
          </cell>
          <cell r="Q611">
            <v>2141792.1399999997</v>
          </cell>
        </row>
        <row r="613">
          <cell r="A613" t="str">
            <v>EBIT</v>
          </cell>
          <cell r="E613">
            <v>530401.2899999998</v>
          </cell>
          <cell r="F613">
            <v>587717.89999999991</v>
          </cell>
          <cell r="G613">
            <v>591809.08999999985</v>
          </cell>
          <cell r="H613">
            <v>546583.5</v>
          </cell>
          <cell r="I613">
            <v>586657.69999999937</v>
          </cell>
          <cell r="J613">
            <v>373511.39000000036</v>
          </cell>
          <cell r="K613">
            <v>558066.65999999933</v>
          </cell>
          <cell r="L613">
            <v>483040.5899999995</v>
          </cell>
          <cell r="M613">
            <v>596160.58000000007</v>
          </cell>
          <cell r="N613">
            <v>513066.08000000048</v>
          </cell>
          <cell r="O613">
            <v>613583.74999999977</v>
          </cell>
          <cell r="P613">
            <v>452829.09000000032</v>
          </cell>
          <cell r="Q613">
            <v>6433427.620000002</v>
          </cell>
        </row>
        <row r="615">
          <cell r="A615" t="str">
            <v>Interest Expense</v>
          </cell>
        </row>
        <row r="616">
          <cell r="A616">
            <v>80000</v>
          </cell>
          <cell r="B616" t="str">
            <v>Interest Expense</v>
          </cell>
          <cell r="E616">
            <v>0</v>
          </cell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</row>
        <row r="617">
          <cell r="A617">
            <v>80001</v>
          </cell>
          <cell r="B617" t="str">
            <v>Debt Accretion</v>
          </cell>
          <cell r="E617">
            <v>0</v>
          </cell>
          <cell r="F617">
            <v>0</v>
          </cell>
          <cell r="G617">
            <v>0</v>
          </cell>
          <cell r="H617">
            <v>0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</row>
        <row r="618">
          <cell r="A618">
            <v>80009</v>
          </cell>
          <cell r="B618" t="str">
            <v>Capitalized Interest</v>
          </cell>
          <cell r="E618">
            <v>0</v>
          </cell>
          <cell r="F618">
            <v>0</v>
          </cell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</row>
        <row r="619">
          <cell r="A619">
            <v>80099</v>
          </cell>
          <cell r="B619" t="str">
            <v>Interest Allocation</v>
          </cell>
          <cell r="E619">
            <v>0</v>
          </cell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</row>
        <row r="620">
          <cell r="A620" t="str">
            <v>Total Interest Expense</v>
          </cell>
          <cell r="E620">
            <v>0</v>
          </cell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</row>
        <row r="622">
          <cell r="A622" t="str">
            <v>Interest Income</v>
          </cell>
        </row>
        <row r="623">
          <cell r="A623">
            <v>80010</v>
          </cell>
          <cell r="B623" t="str">
            <v>Interest Income</v>
          </cell>
          <cell r="E623">
            <v>0</v>
          </cell>
          <cell r="F623">
            <v>0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</row>
        <row r="624">
          <cell r="A624" t="str">
            <v>Total Interest Income</v>
          </cell>
          <cell r="E624">
            <v>0</v>
          </cell>
          <cell r="F624">
            <v>0</v>
          </cell>
          <cell r="G624">
            <v>0</v>
          </cell>
          <cell r="H624">
            <v>0</v>
          </cell>
          <cell r="I624">
            <v>0</v>
          </cell>
          <cell r="J624">
            <v>0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</row>
        <row r="626">
          <cell r="A626" t="str">
            <v>Other (Income) and Expense</v>
          </cell>
        </row>
        <row r="627">
          <cell r="A627">
            <v>70901</v>
          </cell>
          <cell r="B627" t="str">
            <v>Pooling Costs</v>
          </cell>
          <cell r="E627">
            <v>0</v>
          </cell>
          <cell r="F627">
            <v>0</v>
          </cell>
          <cell r="G627">
            <v>0</v>
          </cell>
          <cell r="H627">
            <v>0</v>
          </cell>
          <cell r="I627">
            <v>0</v>
          </cell>
          <cell r="J627">
            <v>0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</row>
        <row r="628">
          <cell r="A628">
            <v>91000</v>
          </cell>
          <cell r="B628" t="str">
            <v>Unusual Gain/Loss</v>
          </cell>
          <cell r="E628">
            <v>0</v>
          </cell>
          <cell r="F628">
            <v>0</v>
          </cell>
          <cell r="G628">
            <v>0</v>
          </cell>
          <cell r="H628">
            <v>0</v>
          </cell>
          <cell r="I628">
            <v>0</v>
          </cell>
          <cell r="J628">
            <v>0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</row>
        <row r="629">
          <cell r="A629">
            <v>91001</v>
          </cell>
          <cell r="B629" t="str">
            <v>Investment Distribution Income</v>
          </cell>
          <cell r="E629">
            <v>0</v>
          </cell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</row>
        <row r="630">
          <cell r="A630">
            <v>91002</v>
          </cell>
          <cell r="B630" t="str">
            <v>NSF Fees</v>
          </cell>
          <cell r="E630">
            <v>0</v>
          </cell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</row>
        <row r="631">
          <cell r="A631" t="str">
            <v>Total Other (Income) and Expense</v>
          </cell>
          <cell r="E631">
            <v>0</v>
          </cell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</row>
        <row r="633">
          <cell r="A633" t="str">
            <v>Income Before Taxes and Extraordinary Items</v>
          </cell>
          <cell r="E633">
            <v>530401.2899999998</v>
          </cell>
          <cell r="F633">
            <v>587717.89999999991</v>
          </cell>
          <cell r="G633">
            <v>591809.08999999985</v>
          </cell>
          <cell r="H633">
            <v>546583.5</v>
          </cell>
          <cell r="I633">
            <v>586657.69999999937</v>
          </cell>
          <cell r="J633">
            <v>373511.39000000036</v>
          </cell>
          <cell r="K633">
            <v>558066.65999999933</v>
          </cell>
          <cell r="L633">
            <v>483040.5899999995</v>
          </cell>
          <cell r="M633">
            <v>596160.58000000007</v>
          </cell>
          <cell r="N633">
            <v>513066.08000000048</v>
          </cell>
          <cell r="O633">
            <v>613583.74999999977</v>
          </cell>
          <cell r="P633">
            <v>452829.09000000032</v>
          </cell>
          <cell r="Q633">
            <v>6433427.620000002</v>
          </cell>
        </row>
        <row r="635">
          <cell r="A635" t="str">
            <v>Extraordinary Income and Expense</v>
          </cell>
        </row>
        <row r="636">
          <cell r="A636">
            <v>92999</v>
          </cell>
          <cell r="B636" t="str">
            <v>Extraordinary Gain/Loss</v>
          </cell>
          <cell r="E636">
            <v>0</v>
          </cell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</row>
        <row r="637">
          <cell r="A637" t="str">
            <v>Total Extraordinary Income and Expense</v>
          </cell>
          <cell r="E637">
            <v>0</v>
          </cell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</row>
        <row r="639">
          <cell r="A639" t="str">
            <v>Net Income Before Taxes</v>
          </cell>
          <cell r="E639">
            <v>530401.2899999998</v>
          </cell>
          <cell r="F639">
            <v>587717.89999999991</v>
          </cell>
          <cell r="G639">
            <v>591809.08999999985</v>
          </cell>
          <cell r="H639">
            <v>546583.5</v>
          </cell>
          <cell r="I639">
            <v>586657.69999999937</v>
          </cell>
          <cell r="J639">
            <v>373511.39000000036</v>
          </cell>
          <cell r="K639">
            <v>558066.65999999933</v>
          </cell>
          <cell r="L639">
            <v>483040.5899999995</v>
          </cell>
          <cell r="M639">
            <v>596160.58000000007</v>
          </cell>
          <cell r="N639">
            <v>513066.08000000048</v>
          </cell>
          <cell r="O639">
            <v>613583.74999999977</v>
          </cell>
          <cell r="P639">
            <v>452829.09000000032</v>
          </cell>
          <cell r="Q639">
            <v>6433427.620000002</v>
          </cell>
        </row>
        <row r="641">
          <cell r="A641" t="str">
            <v>Income Taxes</v>
          </cell>
        </row>
        <row r="642">
          <cell r="A642">
            <v>90000</v>
          </cell>
          <cell r="B642" t="str">
            <v>Taxes -Federal</v>
          </cell>
          <cell r="E642">
            <v>0</v>
          </cell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</row>
        <row r="643">
          <cell r="A643">
            <v>90010</v>
          </cell>
          <cell r="B643" t="str">
            <v>Taxes - State</v>
          </cell>
          <cell r="E643">
            <v>0</v>
          </cell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</row>
        <row r="644">
          <cell r="A644" t="str">
            <v>Total Income Taxes</v>
          </cell>
          <cell r="E644">
            <v>0</v>
          </cell>
          <cell r="F644">
            <v>0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</row>
        <row r="646">
          <cell r="A646" t="str">
            <v>Net Income</v>
          </cell>
          <cell r="E646">
            <v>530401.2899999998</v>
          </cell>
          <cell r="F646">
            <v>587717.89999999991</v>
          </cell>
          <cell r="G646">
            <v>591809.08999999985</v>
          </cell>
          <cell r="H646">
            <v>546583.5</v>
          </cell>
          <cell r="I646">
            <v>586657.69999999937</v>
          </cell>
          <cell r="J646">
            <v>373511.39000000036</v>
          </cell>
          <cell r="K646">
            <v>558066.65999999933</v>
          </cell>
          <cell r="L646">
            <v>483040.5899999995</v>
          </cell>
          <cell r="M646">
            <v>596160.58000000007</v>
          </cell>
          <cell r="N646">
            <v>513066.08000000048</v>
          </cell>
          <cell r="O646">
            <v>613583.74999999977</v>
          </cell>
          <cell r="P646">
            <v>452829.09000000032</v>
          </cell>
          <cell r="Q646">
            <v>6433427.620000002</v>
          </cell>
        </row>
        <row r="648">
          <cell r="A648" t="str">
            <v>Noncontrolling Interests Expense</v>
          </cell>
        </row>
        <row r="649">
          <cell r="A649">
            <v>92000</v>
          </cell>
          <cell r="B649" t="str">
            <v>Noncontrolling interests</v>
          </cell>
          <cell r="E649">
            <v>0</v>
          </cell>
          <cell r="F649">
            <v>0</v>
          </cell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</row>
        <row r="650">
          <cell r="A650" t="str">
            <v>Total Noncontrolling Interests</v>
          </cell>
          <cell r="E650">
            <v>0</v>
          </cell>
          <cell r="F650">
            <v>0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</row>
        <row r="652">
          <cell r="A652" t="str">
            <v>Net Income Attributable to Waste Connections</v>
          </cell>
          <cell r="E652">
            <v>530401.2899999998</v>
          </cell>
          <cell r="F652">
            <v>587717.89999999991</v>
          </cell>
          <cell r="G652">
            <v>591809.08999999985</v>
          </cell>
          <cell r="H652">
            <v>546583.5</v>
          </cell>
          <cell r="I652">
            <v>586657.69999999937</v>
          </cell>
          <cell r="J652">
            <v>373511.39000000036</v>
          </cell>
          <cell r="K652">
            <v>558066.65999999933</v>
          </cell>
          <cell r="L652">
            <v>483040.5899999995</v>
          </cell>
          <cell r="M652">
            <v>596160.58000000007</v>
          </cell>
          <cell r="N652">
            <v>513066.08000000048</v>
          </cell>
          <cell r="O652">
            <v>613583.74999999977</v>
          </cell>
          <cell r="P652">
            <v>452829.09000000032</v>
          </cell>
          <cell r="Q652">
            <v>6433427.620000002</v>
          </cell>
        </row>
        <row r="654">
          <cell r="A654" t="str">
            <v>Net Income Attributable to Waste Connections per categories</v>
          </cell>
          <cell r="E654">
            <v>530401.29</v>
          </cell>
          <cell r="F654">
            <v>587717.9</v>
          </cell>
          <cell r="G654">
            <v>591809.09</v>
          </cell>
          <cell r="H654">
            <v>546583.5</v>
          </cell>
          <cell r="I654">
            <v>586657.69999999995</v>
          </cell>
          <cell r="J654">
            <v>373511.39</v>
          </cell>
          <cell r="K654">
            <v>558066.66</v>
          </cell>
          <cell r="L654">
            <v>483040.59</v>
          </cell>
          <cell r="M654">
            <v>596160.57999999996</v>
          </cell>
          <cell r="N654">
            <v>513066.08</v>
          </cell>
          <cell r="O654">
            <v>613583.75</v>
          </cell>
          <cell r="P654">
            <v>452829.09</v>
          </cell>
        </row>
      </sheetData>
      <sheetData sheetId="6" refreshError="1"/>
      <sheetData sheetId="7" refreshError="1">
        <row r="18">
          <cell r="Z18">
            <v>0.33073677436726834</v>
          </cell>
        </row>
        <row r="20">
          <cell r="AC20">
            <v>0.2095860832011289</v>
          </cell>
          <cell r="AK20">
            <v>0.43549015768657823</v>
          </cell>
        </row>
        <row r="39">
          <cell r="AC39">
            <v>0.37964780853584096</v>
          </cell>
        </row>
        <row r="40">
          <cell r="AC40">
            <v>0.36547527560558957</v>
          </cell>
        </row>
        <row r="120">
          <cell r="AE120">
            <v>0.43886061148837213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lass A IS"/>
      <sheetName val="2009 BS"/>
      <sheetName val="2010 BS"/>
      <sheetName val="Combined BS"/>
      <sheetName val="2009 IS"/>
      <sheetName val="2010 IS"/>
      <sheetName val="Combined 12 mo IS"/>
      <sheetName val="Consolidated IS 2009 2010"/>
      <sheetName val="Consolidated IS - IRMGARD"/>
      <sheetName val="Pro forma "/>
      <sheetName val="Pro forma-Line of Service"/>
      <sheetName val="Restatements"/>
      <sheetName val="Proforma Adjusts"/>
      <sheetName val="2009 Price Out (REG)"/>
      <sheetName val="GL Recon"/>
      <sheetName val="Customer Count Summary"/>
      <sheetName val="2009 Payroll"/>
      <sheetName val="2010 Payroll"/>
      <sheetName val="2009,2010 Depr Summary"/>
      <sheetName val="Time Study"/>
      <sheetName val="2009 Insurance"/>
      <sheetName val="2010 Insurance"/>
      <sheetName val="2009 Disposal"/>
      <sheetName val="2010 Disposal"/>
      <sheetName val="2009 Fuel"/>
      <sheetName val="2009 Depr Summary"/>
      <sheetName val="2009 Trks"/>
      <sheetName val="2009 Cont, DB"/>
      <sheetName val="2009 Serv, Shop"/>
      <sheetName val="2009 Office"/>
      <sheetName val="2009 Leasehold"/>
      <sheetName val="2010 Fuel"/>
      <sheetName val="2010 Deprec Summary"/>
      <sheetName val="2010 Trks"/>
      <sheetName val="2010 Cont, DB"/>
      <sheetName val="2010 Serv, Shop"/>
      <sheetName val="2010 Office"/>
      <sheetName val="2010 Leasehold"/>
      <sheetName val="Region Allocation (2)"/>
      <sheetName val="LG-Total Company before DF"/>
      <sheetName val="LG-Packer Rts before DF"/>
      <sheetName val="LG-RO Rts before DF"/>
      <sheetName val="LG-Total Company"/>
      <sheetName val="LG-Packer Rts"/>
      <sheetName val="LG-RO Rts"/>
      <sheetName val="LG-Recycl"/>
      <sheetName val="Scenarios"/>
      <sheetName val="Scenarios (2)"/>
      <sheetName val="Not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2">
          <cell r="A12" t="str">
            <v>Revenue</v>
          </cell>
        </row>
        <row r="13">
          <cell r="A13" t="str">
            <v>Hauling</v>
          </cell>
        </row>
        <row r="14">
          <cell r="A14">
            <v>31000</v>
          </cell>
          <cell r="B14" t="str">
            <v>Hauling Revenue - Roll Off Permanent</v>
          </cell>
          <cell r="E14">
            <v>41429.11</v>
          </cell>
          <cell r="F14">
            <v>39826.22</v>
          </cell>
          <cell r="G14">
            <v>49022.75</v>
          </cell>
          <cell r="H14">
            <v>45137.86</v>
          </cell>
          <cell r="I14">
            <v>48263.81</v>
          </cell>
          <cell r="J14">
            <v>55314.5</v>
          </cell>
          <cell r="K14">
            <v>60046.02</v>
          </cell>
          <cell r="L14">
            <v>64582.7</v>
          </cell>
          <cell r="M14">
            <v>55932.07</v>
          </cell>
          <cell r="N14">
            <v>50932.34</v>
          </cell>
          <cell r="O14">
            <v>38587.67</v>
          </cell>
          <cell r="P14">
            <v>43420.76</v>
          </cell>
          <cell r="Q14">
            <v>592495.81000000006</v>
          </cell>
        </row>
        <row r="15">
          <cell r="A15">
            <v>31001</v>
          </cell>
          <cell r="B15" t="str">
            <v>Hauling Revenue - Roll Off Temporary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</row>
        <row r="16">
          <cell r="A16">
            <v>31002</v>
          </cell>
          <cell r="B16" t="str">
            <v>Hauling Revenue - Roll Off Rental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</row>
        <row r="17">
          <cell r="A17">
            <v>31003</v>
          </cell>
          <cell r="B17" t="str">
            <v>Hauling Revenue - Roll Off Compactor Ren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</row>
        <row r="18">
          <cell r="A18">
            <v>31004</v>
          </cell>
          <cell r="B18" t="str">
            <v>Hauling Revenue - Roll Off Recycling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</row>
        <row r="19">
          <cell r="A19">
            <v>31005</v>
          </cell>
          <cell r="B19" t="str">
            <v>Corporate Roll Off Disposal Charge</v>
          </cell>
          <cell r="E19">
            <v>93946.63</v>
          </cell>
          <cell r="F19">
            <v>91101.8</v>
          </cell>
          <cell r="G19">
            <v>108743.12</v>
          </cell>
          <cell r="H19">
            <v>100411.54</v>
          </cell>
          <cell r="I19">
            <v>109421.85</v>
          </cell>
          <cell r="J19">
            <v>119111.11</v>
          </cell>
          <cell r="K19">
            <v>114939.05</v>
          </cell>
          <cell r="L19">
            <v>123201.29</v>
          </cell>
          <cell r="M19">
            <v>128616.56</v>
          </cell>
          <cell r="N19">
            <v>103849.76</v>
          </cell>
          <cell r="O19">
            <v>87162.7</v>
          </cell>
          <cell r="P19">
            <v>101585.44</v>
          </cell>
          <cell r="Q19">
            <v>1282090.8499999999</v>
          </cell>
        </row>
        <row r="20">
          <cell r="A20">
            <v>31008</v>
          </cell>
          <cell r="B20" t="str">
            <v>Hauling Revenue - Roll Off Adjustments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</row>
        <row r="21">
          <cell r="A21">
            <v>31009</v>
          </cell>
          <cell r="B21" t="str">
            <v>Hauling Revenue - Roll Off Intercompany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</row>
        <row r="22">
          <cell r="A22">
            <v>31010</v>
          </cell>
          <cell r="B22" t="str">
            <v>Hauling Revenue - Roll Off Extras</v>
          </cell>
          <cell r="E22">
            <v>16354.41</v>
          </cell>
          <cell r="F22">
            <v>16430.849999999999</v>
          </cell>
          <cell r="G22">
            <v>18226.63</v>
          </cell>
          <cell r="H22">
            <v>17972.400000000001</v>
          </cell>
          <cell r="I22">
            <v>18790.919999999998</v>
          </cell>
          <cell r="J22">
            <v>19705.3</v>
          </cell>
          <cell r="K22">
            <v>21354.080000000002</v>
          </cell>
          <cell r="L22">
            <v>22365.29</v>
          </cell>
          <cell r="M22">
            <v>20804.36</v>
          </cell>
          <cell r="N22">
            <v>18374.21</v>
          </cell>
          <cell r="O22">
            <v>17346.11</v>
          </cell>
          <cell r="P22">
            <v>15627.2</v>
          </cell>
          <cell r="Q22">
            <v>223351.76</v>
          </cell>
        </row>
        <row r="23">
          <cell r="A23">
            <v>31020</v>
          </cell>
          <cell r="B23" t="str">
            <v>Hauling Revenue - Roll Off Special Waste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</row>
        <row r="24">
          <cell r="A24">
            <v>31021</v>
          </cell>
          <cell r="B24" t="str">
            <v>Hauling Revenue - Roll Off Special Waste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</row>
        <row r="25">
          <cell r="A25">
            <v>31029</v>
          </cell>
          <cell r="B25" t="str">
            <v>Hauling Revenue - Roll Off Special Waste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</row>
        <row r="26">
          <cell r="A26">
            <v>32000</v>
          </cell>
          <cell r="B26" t="str">
            <v>Hauling Revenue - Residential MSW</v>
          </cell>
          <cell r="E26">
            <v>754535.74</v>
          </cell>
          <cell r="F26">
            <v>750848.79</v>
          </cell>
          <cell r="G26">
            <v>751484.07</v>
          </cell>
          <cell r="H26">
            <v>759461.88</v>
          </cell>
          <cell r="I26">
            <v>756344.84</v>
          </cell>
          <cell r="J26">
            <v>762351.19</v>
          </cell>
          <cell r="K26">
            <v>763571.04</v>
          </cell>
          <cell r="L26">
            <v>762014.08</v>
          </cell>
          <cell r="M26">
            <v>763381.19</v>
          </cell>
          <cell r="N26">
            <v>760410.82</v>
          </cell>
          <cell r="O26">
            <v>760222.53</v>
          </cell>
          <cell r="P26">
            <v>757663.07</v>
          </cell>
          <cell r="Q26">
            <v>9102289.2400000002</v>
          </cell>
        </row>
        <row r="27">
          <cell r="A27">
            <v>32001</v>
          </cell>
          <cell r="B27" t="str">
            <v>Hauling Revenue - Residential MSW Extras</v>
          </cell>
          <cell r="E27">
            <v>48676.93</v>
          </cell>
          <cell r="F27">
            <v>46005.81</v>
          </cell>
          <cell r="G27">
            <v>44057.39</v>
          </cell>
          <cell r="H27">
            <v>54145.79</v>
          </cell>
          <cell r="I27">
            <v>47089.22</v>
          </cell>
          <cell r="J27">
            <v>62711.39</v>
          </cell>
          <cell r="K27">
            <v>60222.84</v>
          </cell>
          <cell r="L27">
            <v>63321.38</v>
          </cell>
          <cell r="M27">
            <v>48663.92</v>
          </cell>
          <cell r="N27">
            <v>45750.71</v>
          </cell>
          <cell r="O27">
            <v>44578.41</v>
          </cell>
          <cell r="P27">
            <v>66011.64</v>
          </cell>
          <cell r="Q27">
            <v>631235.43000000005</v>
          </cell>
        </row>
        <row r="28">
          <cell r="A28">
            <v>32002</v>
          </cell>
          <cell r="B28" t="str">
            <v>Hauling Revenue - Residential MSW Adjust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</row>
        <row r="29">
          <cell r="A29">
            <v>32003</v>
          </cell>
          <cell r="B29" t="str">
            <v>Hauling Revenue - Residential MSW Specia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</row>
        <row r="30">
          <cell r="A30">
            <v>32009</v>
          </cell>
          <cell r="B30" t="str">
            <v>Hauling Revenue - Residential MSW Interc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</row>
        <row r="31">
          <cell r="A31">
            <v>32100</v>
          </cell>
          <cell r="B31" t="str">
            <v>Hauling Revenue - Residential Recycling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</row>
        <row r="32">
          <cell r="A32">
            <v>32101</v>
          </cell>
          <cell r="B32" t="str">
            <v>Hauling Revenue - Residential Recycling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</row>
        <row r="33">
          <cell r="A33">
            <v>32102</v>
          </cell>
          <cell r="B33" t="str">
            <v>Hauling Revenue - Residential Recycling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</row>
        <row r="34">
          <cell r="A34">
            <v>32103</v>
          </cell>
          <cell r="B34" t="str">
            <v>Hauling Revenue - Residential Recycling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</row>
        <row r="35">
          <cell r="A35">
            <v>32109</v>
          </cell>
          <cell r="B35" t="str">
            <v>Hauling Revenue - Residential Recycling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</row>
        <row r="36">
          <cell r="A36">
            <v>32110</v>
          </cell>
          <cell r="B36" t="str">
            <v>Hauling Revenue - Residential Composting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</row>
        <row r="37">
          <cell r="A37">
            <v>32111</v>
          </cell>
          <cell r="B37" t="str">
            <v>Hauling Revenue - Residential Composting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</row>
        <row r="38">
          <cell r="A38">
            <v>32112</v>
          </cell>
          <cell r="B38" t="str">
            <v>Hauling Revenue - Residential Composting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</row>
        <row r="39">
          <cell r="A39">
            <v>32113</v>
          </cell>
          <cell r="B39" t="str">
            <v>Hauling Revenue - Residential Composting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</row>
        <row r="40">
          <cell r="A40">
            <v>32119</v>
          </cell>
          <cell r="B40" t="str">
            <v>Hauling Revenue - Residential Composting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</row>
        <row r="41">
          <cell r="A41">
            <v>33000</v>
          </cell>
          <cell r="B41" t="str">
            <v>Hauling Revenue - Commercial FEL</v>
          </cell>
          <cell r="E41">
            <v>414760.73</v>
          </cell>
          <cell r="F41">
            <v>412841.01</v>
          </cell>
          <cell r="G41">
            <v>416757.93</v>
          </cell>
          <cell r="H41">
            <v>417298.76</v>
          </cell>
          <cell r="I41">
            <v>417121.97</v>
          </cell>
          <cell r="J41">
            <v>421939.51</v>
          </cell>
          <cell r="K41">
            <v>420917.49</v>
          </cell>
          <cell r="L41">
            <v>425821.47</v>
          </cell>
          <cell r="M41">
            <v>424192</v>
          </cell>
          <cell r="N41">
            <v>415412.9</v>
          </cell>
          <cell r="O41">
            <v>413023.47</v>
          </cell>
          <cell r="P41">
            <v>411406.25</v>
          </cell>
          <cell r="Q41">
            <v>5011493.49</v>
          </cell>
        </row>
        <row r="42">
          <cell r="A42">
            <v>33001</v>
          </cell>
          <cell r="B42" t="str">
            <v>Hauling Revenue - Commercial FEL Extras</v>
          </cell>
          <cell r="E42">
            <v>16369.94</v>
          </cell>
          <cell r="F42">
            <v>15223.46</v>
          </cell>
          <cell r="G42">
            <v>18054.59</v>
          </cell>
          <cell r="H42">
            <v>17483.330000000002</v>
          </cell>
          <cell r="I42">
            <v>19168.46</v>
          </cell>
          <cell r="J42">
            <v>18357.68</v>
          </cell>
          <cell r="K42">
            <v>21453.19</v>
          </cell>
          <cell r="L42">
            <v>22591.22</v>
          </cell>
          <cell r="M42">
            <v>16352.74</v>
          </cell>
          <cell r="N42">
            <v>17430.650000000001</v>
          </cell>
          <cell r="O42">
            <v>16278.67</v>
          </cell>
          <cell r="P42">
            <v>16972.88</v>
          </cell>
          <cell r="Q42">
            <v>215736.81</v>
          </cell>
        </row>
        <row r="43">
          <cell r="A43">
            <v>33002</v>
          </cell>
          <cell r="B43" t="str">
            <v>Hauling Revenue - Commercial FEL Adjustm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</row>
        <row r="44">
          <cell r="A44">
            <v>33009</v>
          </cell>
          <cell r="B44" t="str">
            <v>Hauling Revenue - Commercial FEL Interco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</row>
        <row r="45">
          <cell r="A45">
            <v>33010</v>
          </cell>
          <cell r="B45" t="str">
            <v>Hauling Revenue - Commercial REL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</row>
        <row r="46">
          <cell r="A46">
            <v>33011</v>
          </cell>
          <cell r="B46" t="str">
            <v>Hauling Revenue - Commercial REL Extras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</row>
        <row r="47">
          <cell r="A47">
            <v>33012</v>
          </cell>
          <cell r="B47" t="str">
            <v>Hauling Revenue - Commercial REL Adjustm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</row>
        <row r="48">
          <cell r="A48">
            <v>33019</v>
          </cell>
          <cell r="B48" t="str">
            <v>Hauling Revenue - Commercial REL Interco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</row>
        <row r="49">
          <cell r="A49">
            <v>33020</v>
          </cell>
          <cell r="B49" t="str">
            <v>Hauling Revenue - Commercial Recycling F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</row>
        <row r="50">
          <cell r="A50">
            <v>33021</v>
          </cell>
          <cell r="B50" t="str">
            <v>Hauling Revenue - Commercial Recycling F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</row>
        <row r="51">
          <cell r="A51">
            <v>33022</v>
          </cell>
          <cell r="B51" t="str">
            <v>Hauling Revenue - Commercial Recycling F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</row>
        <row r="52">
          <cell r="A52">
            <v>33029</v>
          </cell>
          <cell r="B52" t="str">
            <v>Hauling Revenue - Commercial Recycling F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</row>
        <row r="53">
          <cell r="A53">
            <v>33030</v>
          </cell>
          <cell r="B53" t="str">
            <v>Hauling Revenue - Commercial Recycling R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</row>
        <row r="54">
          <cell r="A54">
            <v>33031</v>
          </cell>
          <cell r="B54" t="str">
            <v>Hauling Revenue - Commercial Recycling R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</row>
        <row r="55">
          <cell r="A55">
            <v>33032</v>
          </cell>
          <cell r="B55" t="str">
            <v>Hauling Revenue - Commercial Recycling R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</row>
        <row r="56">
          <cell r="A56">
            <v>33039</v>
          </cell>
          <cell r="B56" t="str">
            <v>Hauling Revenue - Commercial Recycling R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</row>
        <row r="57">
          <cell r="A57">
            <v>33500</v>
          </cell>
          <cell r="B57" t="str">
            <v>Portable Toilet Revenue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</row>
        <row r="58">
          <cell r="A58">
            <v>33501</v>
          </cell>
          <cell r="B58" t="str">
            <v>Portable Toilet Extras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</row>
        <row r="59">
          <cell r="A59">
            <v>33502</v>
          </cell>
          <cell r="B59" t="str">
            <v>Portable Toilet Adjustments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</row>
        <row r="60">
          <cell r="A60">
            <v>33509</v>
          </cell>
          <cell r="B60" t="str">
            <v>Portable Toilet Intercompany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</row>
        <row r="61">
          <cell r="A61" t="str">
            <v>Total Hauling</v>
          </cell>
          <cell r="E61">
            <v>1386073.49</v>
          </cell>
          <cell r="F61">
            <v>1372277.94</v>
          </cell>
          <cell r="G61">
            <v>1406346.48</v>
          </cell>
          <cell r="H61">
            <v>1411911.56</v>
          </cell>
          <cell r="I61">
            <v>1416201.0699999998</v>
          </cell>
          <cell r="J61">
            <v>1459490.68</v>
          </cell>
          <cell r="K61">
            <v>1462503.71</v>
          </cell>
          <cell r="L61">
            <v>1483897.43</v>
          </cell>
          <cell r="M61">
            <v>1457942.84</v>
          </cell>
          <cell r="N61">
            <v>1412161.3899999997</v>
          </cell>
          <cell r="O61">
            <v>1377199.56</v>
          </cell>
          <cell r="P61">
            <v>1412687.2399999998</v>
          </cell>
          <cell r="Q61">
            <v>17058693.389999997</v>
          </cell>
        </row>
        <row r="63">
          <cell r="A63" t="str">
            <v>Transfer</v>
          </cell>
        </row>
        <row r="64">
          <cell r="A64">
            <v>35000</v>
          </cell>
          <cell r="B64" t="str">
            <v>Transfer Station - Third Party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</row>
        <row r="65">
          <cell r="A65">
            <v>35001</v>
          </cell>
          <cell r="B65" t="str">
            <v>Transfer Station - Third Party Adjustmen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</row>
        <row r="66">
          <cell r="A66">
            <v>35009</v>
          </cell>
          <cell r="B66" t="str">
            <v>Transfer Station - Intercompany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</row>
        <row r="67">
          <cell r="A67">
            <v>35500</v>
          </cell>
          <cell r="B67" t="str">
            <v>MRF Processing Charge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</row>
        <row r="68">
          <cell r="A68">
            <v>35501</v>
          </cell>
          <cell r="B68" t="str">
            <v>MRF Processing Charge Adjustments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</row>
        <row r="69">
          <cell r="A69">
            <v>35509</v>
          </cell>
          <cell r="B69" t="str">
            <v>MRF Processing Charge Intercompany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</row>
        <row r="70">
          <cell r="A70" t="str">
            <v>Total Transfer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</row>
        <row r="72">
          <cell r="A72" t="str">
            <v>MRF</v>
          </cell>
        </row>
        <row r="73">
          <cell r="A73">
            <v>35510</v>
          </cell>
          <cell r="B73" t="str">
            <v>Proceeds - OCC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</row>
        <row r="74">
          <cell r="A74">
            <v>35511</v>
          </cell>
          <cell r="B74" t="str">
            <v>Proceeds - ONP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</row>
        <row r="75">
          <cell r="A75">
            <v>35512</v>
          </cell>
          <cell r="B75" t="str">
            <v>Proceeds - Other Paper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</row>
        <row r="76">
          <cell r="A76">
            <v>35513</v>
          </cell>
          <cell r="B76" t="str">
            <v>Proceeds - Aluminum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</row>
        <row r="77">
          <cell r="A77">
            <v>35514</v>
          </cell>
          <cell r="B77" t="str">
            <v>Proceeds - Metal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</row>
        <row r="78">
          <cell r="A78">
            <v>35515</v>
          </cell>
          <cell r="B78" t="str">
            <v>Proceeds - Glass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</row>
        <row r="79">
          <cell r="A79">
            <v>35516</v>
          </cell>
          <cell r="B79" t="str">
            <v>Proceeds - Plastic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</row>
        <row r="80">
          <cell r="A80">
            <v>35517</v>
          </cell>
          <cell r="B80" t="str">
            <v>Proceeds - Other Recyclables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</row>
        <row r="81">
          <cell r="A81">
            <v>35518</v>
          </cell>
          <cell r="B81" t="str">
            <v>Proceeds - Commingled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</row>
        <row r="82">
          <cell r="A82">
            <v>35519</v>
          </cell>
          <cell r="B82" t="str">
            <v>Proceeds - Intercompany Material Sales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</row>
        <row r="83">
          <cell r="A83">
            <v>35520</v>
          </cell>
          <cell r="B83" t="str">
            <v>Support - OCC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</row>
        <row r="84">
          <cell r="A84">
            <v>35521</v>
          </cell>
          <cell r="B84" t="str">
            <v>Support - ONP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</row>
        <row r="85">
          <cell r="A85">
            <v>35522</v>
          </cell>
          <cell r="B85" t="str">
            <v>Support - Other Paper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</row>
        <row r="86">
          <cell r="A86">
            <v>35523</v>
          </cell>
          <cell r="B86" t="str">
            <v>Support - Aluminum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</row>
        <row r="87">
          <cell r="A87">
            <v>35524</v>
          </cell>
          <cell r="B87" t="str">
            <v>Support - Metal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</row>
        <row r="88">
          <cell r="A88">
            <v>35525</v>
          </cell>
          <cell r="B88" t="str">
            <v>Support - Glass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</row>
        <row r="89">
          <cell r="A89">
            <v>35526</v>
          </cell>
          <cell r="B89" t="str">
            <v>Support - Plastic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</row>
        <row r="90">
          <cell r="A90">
            <v>35527</v>
          </cell>
          <cell r="B90" t="str">
            <v>Support - Other Recyclables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</row>
        <row r="91">
          <cell r="A91">
            <v>35529</v>
          </cell>
          <cell r="B91" t="str">
            <v>Support - Intercompany Material Sales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</row>
        <row r="92">
          <cell r="A92">
            <v>35551</v>
          </cell>
          <cell r="B92" t="str">
            <v>Proceeds - Compost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</row>
        <row r="93">
          <cell r="A93">
            <v>35552</v>
          </cell>
          <cell r="B93" t="str">
            <v>Proceeds - Fuel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</row>
        <row r="94">
          <cell r="A94">
            <v>35553</v>
          </cell>
          <cell r="B94" t="str">
            <v>Proceeds - Landscape Materials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</row>
        <row r="95">
          <cell r="A95" t="str">
            <v>Total MRF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</row>
        <row r="97">
          <cell r="A97" t="str">
            <v>Landfill</v>
          </cell>
        </row>
        <row r="98">
          <cell r="A98">
            <v>36000</v>
          </cell>
          <cell r="B98" t="str">
            <v>Landfill Revenue - MSW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</row>
        <row r="99">
          <cell r="A99">
            <v>36001</v>
          </cell>
          <cell r="B99" t="str">
            <v>Landfill Revenue - MSW Adjustments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</row>
        <row r="100">
          <cell r="A100">
            <v>36002</v>
          </cell>
          <cell r="B100" t="str">
            <v>Landfill Revenue - Extras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</row>
        <row r="101">
          <cell r="A101">
            <v>36009</v>
          </cell>
          <cell r="B101" t="str">
            <v>Landfill Revenue - MSW Intercompany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</row>
        <row r="102">
          <cell r="A102">
            <v>36010</v>
          </cell>
          <cell r="B102" t="str">
            <v>Landfill Revenue - C&amp;D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</row>
        <row r="103">
          <cell r="A103">
            <v>36011</v>
          </cell>
          <cell r="B103" t="str">
            <v>Landfill Revenue - C&amp;D Adjustments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</row>
        <row r="104">
          <cell r="A104">
            <v>36019</v>
          </cell>
          <cell r="B104" t="str">
            <v>Landfill Revenue - C&amp;D Intercompany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</row>
        <row r="105">
          <cell r="A105">
            <v>36020</v>
          </cell>
          <cell r="B105" t="str">
            <v>Landfill Revenue - Special Waste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</row>
        <row r="106">
          <cell r="A106">
            <v>36021</v>
          </cell>
          <cell r="B106" t="str">
            <v>Landfill Revenue - Special Waste Adjustm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</row>
        <row r="107">
          <cell r="A107">
            <v>36029</v>
          </cell>
          <cell r="B107" t="str">
            <v>Landfill Revenue - Special Waste Interco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</row>
        <row r="108">
          <cell r="A108">
            <v>36030</v>
          </cell>
          <cell r="B108" t="str">
            <v>Landfill Revenue - Asbestos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</row>
        <row r="109">
          <cell r="A109">
            <v>36031</v>
          </cell>
          <cell r="B109" t="str">
            <v>Landfill Revenue - Asbestos Adjustments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</row>
        <row r="110">
          <cell r="A110">
            <v>36039</v>
          </cell>
          <cell r="B110" t="str">
            <v>Landfill Revenue - Asbestos Intercompany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</row>
        <row r="111">
          <cell r="A111">
            <v>36040</v>
          </cell>
          <cell r="B111" t="str">
            <v>Landfill Revenue - Contaminated Soil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</row>
        <row r="112">
          <cell r="A112">
            <v>36041</v>
          </cell>
          <cell r="B112" t="str">
            <v>Landfill Revenue - Contaminated Soil Adj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</row>
        <row r="113">
          <cell r="A113">
            <v>36049</v>
          </cell>
          <cell r="B113" t="str">
            <v>Landfill Revenue - Contaminated Soil Int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</row>
        <row r="114">
          <cell r="A114">
            <v>36050</v>
          </cell>
          <cell r="B114" t="str">
            <v>Landfill Revenue - Yard Waste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</row>
        <row r="115">
          <cell r="A115">
            <v>36051</v>
          </cell>
          <cell r="B115" t="str">
            <v>Landfill Revenue - Yard Waste Adjustment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</row>
        <row r="116">
          <cell r="A116">
            <v>36059</v>
          </cell>
          <cell r="B116" t="str">
            <v>Landfill Revenue - Yard Waste Intercompa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</row>
        <row r="117">
          <cell r="A117">
            <v>36090</v>
          </cell>
          <cell r="B117" t="str">
            <v>Landfill Pass Through Revenue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</row>
        <row r="118">
          <cell r="A118">
            <v>36099</v>
          </cell>
          <cell r="B118" t="str">
            <v>Landfill Pass Through Revenue Intercompany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</row>
        <row r="119">
          <cell r="A119">
            <v>36301</v>
          </cell>
          <cell r="B119" t="str">
            <v>E&amp;P Liquids - Non Count Waste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</row>
        <row r="120">
          <cell r="A120">
            <v>36309</v>
          </cell>
          <cell r="B120" t="str">
            <v>E&amp;P Liquids - Non Count Waste Intercompany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</row>
        <row r="121">
          <cell r="A121">
            <v>36311</v>
          </cell>
          <cell r="B121" t="str">
            <v>E&amp;P Liquids - Count Waste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</row>
        <row r="122">
          <cell r="A122">
            <v>36319</v>
          </cell>
          <cell r="B122" t="str">
            <v>E&amp;P Liquids - Count Waste Intercompany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</row>
        <row r="123">
          <cell r="A123">
            <v>36321</v>
          </cell>
          <cell r="B123" t="str">
            <v>Other Liquids - Non E&amp;P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</row>
        <row r="124">
          <cell r="A124">
            <v>36329</v>
          </cell>
          <cell r="B124" t="str">
            <v>Other Liquids - Non E&amp;P Intercompany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</row>
        <row r="125">
          <cell r="A125">
            <v>36331</v>
          </cell>
          <cell r="B125" t="str">
            <v>E&amp;P Solids - Count Waste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</row>
        <row r="126">
          <cell r="A126">
            <v>36339</v>
          </cell>
          <cell r="B126" t="str">
            <v>E&amp;P Solids - Count Waste Intercompany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</row>
        <row r="127">
          <cell r="A127" t="str">
            <v>Total Landfill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</row>
        <row r="129">
          <cell r="A129" t="str">
            <v>Intermodal</v>
          </cell>
        </row>
        <row r="130">
          <cell r="A130">
            <v>36101</v>
          </cell>
          <cell r="B130" t="str">
            <v>Rail Drayage Revenue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</row>
        <row r="131">
          <cell r="A131">
            <v>36109</v>
          </cell>
          <cell r="B131" t="str">
            <v>Rail Drayage Revenue - Intercompany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</row>
        <row r="132">
          <cell r="A132">
            <v>36111</v>
          </cell>
          <cell r="B132" t="str">
            <v>Truck Drayage Revenue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</row>
        <row r="133">
          <cell r="A133">
            <v>36119</v>
          </cell>
          <cell r="B133" t="str">
            <v>Truck Drayage Revenue - Intercompany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</row>
        <row r="134">
          <cell r="A134">
            <v>36121</v>
          </cell>
          <cell r="B134" t="str">
            <v>Barge Drayage Revenue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</row>
        <row r="135">
          <cell r="A135">
            <v>36131</v>
          </cell>
          <cell r="B135" t="str">
            <v>Service Labor Revenue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</row>
        <row r="136">
          <cell r="A136">
            <v>36141</v>
          </cell>
          <cell r="B136" t="str">
            <v>Refrigeration Labor Revenue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</row>
        <row r="137">
          <cell r="A137">
            <v>36145</v>
          </cell>
          <cell r="B137" t="str">
            <v>Parts Revenue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</row>
        <row r="138">
          <cell r="A138">
            <v>36151</v>
          </cell>
          <cell r="B138" t="str">
            <v>Container Sales Revenue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</row>
        <row r="139">
          <cell r="A139">
            <v>36161</v>
          </cell>
          <cell r="B139" t="str">
            <v>Container Rental Revenue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</row>
        <row r="140">
          <cell r="A140">
            <v>36171</v>
          </cell>
          <cell r="B140" t="str">
            <v>Intermodal Revenue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</row>
        <row r="141">
          <cell r="A141">
            <v>36181</v>
          </cell>
          <cell r="B141" t="str">
            <v>Chassis Lease Revenue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</row>
        <row r="142">
          <cell r="A142">
            <v>36191</v>
          </cell>
          <cell r="B142" t="str">
            <v>Interchanges Revenue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</row>
        <row r="143">
          <cell r="A143">
            <v>36201</v>
          </cell>
          <cell r="B143" t="str">
            <v>Storage Revenue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</row>
        <row r="144">
          <cell r="A144">
            <v>36211</v>
          </cell>
          <cell r="B144" t="str">
            <v>Empty Lifts Revenue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</row>
        <row r="145">
          <cell r="A145">
            <v>36221</v>
          </cell>
          <cell r="B145" t="str">
            <v>Load Lifts Revenue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</row>
        <row r="146">
          <cell r="A146" t="str">
            <v>Total Intermodal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</row>
        <row r="148">
          <cell r="A148" t="str">
            <v>Other Revenue</v>
          </cell>
        </row>
        <row r="149">
          <cell r="A149">
            <v>37001</v>
          </cell>
          <cell r="B149" t="str">
            <v>Sale of Equipment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</row>
        <row r="150">
          <cell r="A150">
            <v>37010</v>
          </cell>
          <cell r="B150" t="str">
            <v>Tire Processing Revenue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</row>
        <row r="151">
          <cell r="A151">
            <v>37019</v>
          </cell>
          <cell r="B151" t="str">
            <v>Tire Processing Revenue - Intercompany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</row>
        <row r="152">
          <cell r="A152">
            <v>38000</v>
          </cell>
          <cell r="B152" t="str">
            <v>Corporate Other Revenue</v>
          </cell>
          <cell r="E152">
            <v>3459.12</v>
          </cell>
          <cell r="F152">
            <v>7799.57</v>
          </cell>
          <cell r="G152">
            <v>2100.42</v>
          </cell>
          <cell r="H152">
            <v>7267.51</v>
          </cell>
          <cell r="I152">
            <v>3376.39</v>
          </cell>
          <cell r="J152">
            <v>7176.57</v>
          </cell>
          <cell r="K152">
            <v>3493.22</v>
          </cell>
          <cell r="L152">
            <v>8060.32</v>
          </cell>
          <cell r="M152">
            <v>2594</v>
          </cell>
          <cell r="N152">
            <v>7784.1</v>
          </cell>
          <cell r="O152">
            <v>6369.79</v>
          </cell>
          <cell r="P152">
            <v>9281.82</v>
          </cell>
          <cell r="Q152">
            <v>68762.829999999987</v>
          </cell>
        </row>
        <row r="153">
          <cell r="A153">
            <v>38001</v>
          </cell>
          <cell r="B153" t="str">
            <v>P-Card Rebate Revenue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</row>
        <row r="154">
          <cell r="A154" t="str">
            <v>Total Other Revenue</v>
          </cell>
          <cell r="E154">
            <v>3459.12</v>
          </cell>
          <cell r="F154">
            <v>7799.57</v>
          </cell>
          <cell r="G154">
            <v>2100.42</v>
          </cell>
          <cell r="H154">
            <v>7267.51</v>
          </cell>
          <cell r="I154">
            <v>3376.39</v>
          </cell>
          <cell r="J154">
            <v>7176.57</v>
          </cell>
          <cell r="K154">
            <v>3493.22</v>
          </cell>
          <cell r="L154">
            <v>8060.32</v>
          </cell>
          <cell r="M154">
            <v>2594</v>
          </cell>
          <cell r="N154">
            <v>7784.1</v>
          </cell>
          <cell r="O154">
            <v>6369.79</v>
          </cell>
          <cell r="P154">
            <v>9281.82</v>
          </cell>
          <cell r="Q154">
            <v>68762.829999999987</v>
          </cell>
        </row>
        <row r="156">
          <cell r="A156" t="str">
            <v>Total Revenue</v>
          </cell>
          <cell r="E156">
            <v>1389532.61</v>
          </cell>
          <cell r="F156">
            <v>1380077.51</v>
          </cell>
          <cell r="G156">
            <v>1408446.9</v>
          </cell>
          <cell r="H156">
            <v>1419179.07</v>
          </cell>
          <cell r="I156">
            <v>1419577.4599999997</v>
          </cell>
          <cell r="J156">
            <v>1466667.25</v>
          </cell>
          <cell r="K156">
            <v>1465996.93</v>
          </cell>
          <cell r="L156">
            <v>1491957.75</v>
          </cell>
          <cell r="M156">
            <v>1460536.84</v>
          </cell>
          <cell r="N156">
            <v>1419945.4899999998</v>
          </cell>
          <cell r="O156">
            <v>1383569.35</v>
          </cell>
          <cell r="P156">
            <v>1421969.0599999998</v>
          </cell>
          <cell r="Q156">
            <v>17127456.219999995</v>
          </cell>
        </row>
        <row r="158">
          <cell r="A158" t="str">
            <v>Revenue Reductions</v>
          </cell>
        </row>
        <row r="159">
          <cell r="A159" t="str">
            <v>Disposal</v>
          </cell>
        </row>
        <row r="160">
          <cell r="A160">
            <v>40101</v>
          </cell>
          <cell r="B160" t="str">
            <v>Disposal Landfill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</row>
        <row r="161">
          <cell r="A161">
            <v>40109</v>
          </cell>
          <cell r="B161" t="str">
            <v>Disposal Landfill Intercompany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</row>
        <row r="162">
          <cell r="A162">
            <v>40121</v>
          </cell>
          <cell r="B162" t="str">
            <v>Disposal Incineration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</row>
        <row r="163">
          <cell r="A163">
            <v>40122</v>
          </cell>
          <cell r="B163" t="str">
            <v>Disposal Other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</row>
        <row r="164">
          <cell r="A164">
            <v>40129</v>
          </cell>
          <cell r="B164" t="str">
            <v>Disposal Other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</row>
        <row r="165">
          <cell r="A165">
            <v>40131</v>
          </cell>
          <cell r="B165" t="str">
            <v>Disposal Transfer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</row>
        <row r="166">
          <cell r="A166">
            <v>40139</v>
          </cell>
          <cell r="B166" t="str">
            <v>Disposal Transfer Intercompany</v>
          </cell>
          <cell r="E166">
            <v>522940.33</v>
          </cell>
          <cell r="F166">
            <v>473522.39</v>
          </cell>
          <cell r="G166">
            <v>554204.89</v>
          </cell>
          <cell r="H166">
            <v>538277.64</v>
          </cell>
          <cell r="I166">
            <v>535071.71</v>
          </cell>
          <cell r="J166">
            <v>582693.4</v>
          </cell>
          <cell r="K166">
            <v>571614.11</v>
          </cell>
          <cell r="L166">
            <v>571380.55000000005</v>
          </cell>
          <cell r="M166">
            <v>569779.74</v>
          </cell>
          <cell r="N166">
            <v>537814.68999999994</v>
          </cell>
          <cell r="O166">
            <v>530807.82999999996</v>
          </cell>
          <cell r="P166">
            <v>576009.71</v>
          </cell>
          <cell r="Q166">
            <v>6564116.9899999993</v>
          </cell>
        </row>
        <row r="167">
          <cell r="A167" t="str">
            <v>Total Disposal</v>
          </cell>
          <cell r="E167">
            <v>522940.33</v>
          </cell>
          <cell r="F167">
            <v>473522.39</v>
          </cell>
          <cell r="G167">
            <v>554204.89</v>
          </cell>
          <cell r="H167">
            <v>538277.64</v>
          </cell>
          <cell r="I167">
            <v>535071.71</v>
          </cell>
          <cell r="J167">
            <v>582693.4</v>
          </cell>
          <cell r="K167">
            <v>571614.11</v>
          </cell>
          <cell r="L167">
            <v>571380.55000000005</v>
          </cell>
          <cell r="M167">
            <v>569779.74</v>
          </cell>
          <cell r="N167">
            <v>537814.68999999994</v>
          </cell>
          <cell r="O167">
            <v>530807.82999999996</v>
          </cell>
          <cell r="P167">
            <v>576009.71</v>
          </cell>
          <cell r="Q167">
            <v>6564116.9899999993</v>
          </cell>
        </row>
        <row r="169">
          <cell r="A169" t="str">
            <v>MRF Processing</v>
          </cell>
        </row>
        <row r="170">
          <cell r="A170">
            <v>40861</v>
          </cell>
          <cell r="B170" t="str">
            <v>Processing Fees MRF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</row>
        <row r="171">
          <cell r="A171">
            <v>40869</v>
          </cell>
          <cell r="B171" t="str">
            <v>Processing Fees MRF Intercompany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</row>
        <row r="172">
          <cell r="A172" t="str">
            <v>Total MRF Processing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</row>
        <row r="174">
          <cell r="A174" t="str">
            <v>Brokerage, Rebates and Taxes</v>
          </cell>
        </row>
        <row r="175">
          <cell r="A175">
            <v>41121</v>
          </cell>
          <cell r="B175" t="str">
            <v>Brokerage Cost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</row>
        <row r="176">
          <cell r="A176">
            <v>41129</v>
          </cell>
          <cell r="B176" t="str">
            <v>Brokerage Cost Intercompany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</row>
        <row r="177">
          <cell r="A177">
            <v>41131</v>
          </cell>
          <cell r="B177" t="str">
            <v>Rail Drayage Expenses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</row>
        <row r="178">
          <cell r="A178">
            <v>41135</v>
          </cell>
          <cell r="B178" t="str">
            <v>Resale Parts - Cost of Goods Sold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</row>
        <row r="179">
          <cell r="A179">
            <v>41139</v>
          </cell>
          <cell r="B179" t="str">
            <v>Rail Drayage Expenses - Intercompany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</row>
        <row r="180">
          <cell r="A180">
            <v>41141</v>
          </cell>
          <cell r="B180" t="str">
            <v>Truck Drayage Expenses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</row>
        <row r="181">
          <cell r="A181">
            <v>41149</v>
          </cell>
          <cell r="B181" t="str">
            <v>Truck Drayage Expenses - Intercompany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</row>
        <row r="182">
          <cell r="A182">
            <v>41151</v>
          </cell>
          <cell r="B182" t="str">
            <v>Intermodal Expenses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</row>
        <row r="183">
          <cell r="A183">
            <v>41201</v>
          </cell>
          <cell r="B183" t="str">
            <v>Rebates and Revenue Sharing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</row>
        <row r="184">
          <cell r="A184">
            <v>43001</v>
          </cell>
          <cell r="B184" t="str">
            <v>Taxes and Pass Thru Fees</v>
          </cell>
          <cell r="E184">
            <v>21087.73</v>
          </cell>
          <cell r="F184">
            <v>20959.080000000002</v>
          </cell>
          <cell r="G184">
            <v>21310.05</v>
          </cell>
          <cell r="H184">
            <v>15944.56</v>
          </cell>
          <cell r="I184">
            <v>23292.27</v>
          </cell>
          <cell r="J184">
            <v>26639.14</v>
          </cell>
          <cell r="K184">
            <v>26629.39</v>
          </cell>
          <cell r="L184">
            <v>27074.49</v>
          </cell>
          <cell r="M184">
            <v>26539.13</v>
          </cell>
          <cell r="N184">
            <v>25799.21</v>
          </cell>
          <cell r="O184">
            <v>25079.16</v>
          </cell>
          <cell r="P184">
            <v>25860.43</v>
          </cell>
          <cell r="Q184">
            <v>286214.64</v>
          </cell>
        </row>
        <row r="185">
          <cell r="A185">
            <v>43002</v>
          </cell>
          <cell r="B185" t="str">
            <v>WUTC Taxes</v>
          </cell>
          <cell r="E185">
            <v>5546.62</v>
          </cell>
          <cell r="F185">
            <v>5496.04</v>
          </cell>
          <cell r="G185">
            <v>5619.91</v>
          </cell>
          <cell r="H185">
            <v>5691.97</v>
          </cell>
          <cell r="I185">
            <v>5646.5</v>
          </cell>
          <cell r="J185">
            <v>5841.42</v>
          </cell>
          <cell r="K185">
            <v>5857.81</v>
          </cell>
          <cell r="L185">
            <v>5948.97</v>
          </cell>
          <cell r="M185">
            <v>5802.43</v>
          </cell>
          <cell r="N185">
            <v>5678.9</v>
          </cell>
          <cell r="O185">
            <v>5511.15</v>
          </cell>
          <cell r="P185">
            <v>5695</v>
          </cell>
          <cell r="Q185">
            <v>68336.72</v>
          </cell>
        </row>
        <row r="186">
          <cell r="A186">
            <v>43090</v>
          </cell>
          <cell r="B186" t="str">
            <v>Pass Through Expenses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</row>
        <row r="187">
          <cell r="A187">
            <v>43099</v>
          </cell>
          <cell r="B187" t="str">
            <v>Pass Through Expenses Intercompany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</row>
        <row r="188">
          <cell r="A188" t="str">
            <v>Total Brokerage, Rebates and Taxes</v>
          </cell>
          <cell r="E188">
            <v>26634.35</v>
          </cell>
          <cell r="F188">
            <v>26455.120000000003</v>
          </cell>
          <cell r="G188">
            <v>26929.96</v>
          </cell>
          <cell r="H188">
            <v>21636.53</v>
          </cell>
          <cell r="I188">
            <v>28938.77</v>
          </cell>
          <cell r="J188">
            <v>32480.559999999998</v>
          </cell>
          <cell r="K188">
            <v>32487.200000000001</v>
          </cell>
          <cell r="L188">
            <v>33023.46</v>
          </cell>
          <cell r="M188">
            <v>32341.56</v>
          </cell>
          <cell r="N188">
            <v>31478.11</v>
          </cell>
          <cell r="O188">
            <v>30590.309999999998</v>
          </cell>
          <cell r="P188">
            <v>31555.43</v>
          </cell>
          <cell r="Q188">
            <v>354551.36</v>
          </cell>
        </row>
        <row r="190">
          <cell r="A190" t="str">
            <v>Recycling Materials Expense</v>
          </cell>
        </row>
        <row r="191">
          <cell r="A191">
            <v>44161</v>
          </cell>
          <cell r="B191" t="str">
            <v>Cost of Materials - OCC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</row>
        <row r="192">
          <cell r="A192">
            <v>44162</v>
          </cell>
          <cell r="B192" t="str">
            <v>Cost of Materials - ONP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</row>
        <row r="193">
          <cell r="A193">
            <v>44163</v>
          </cell>
          <cell r="B193" t="str">
            <v>Cost of Materials - Other Paper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</row>
        <row r="194">
          <cell r="A194">
            <v>44164</v>
          </cell>
          <cell r="B194" t="str">
            <v>Cost of Materials - Aluminum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</row>
        <row r="195">
          <cell r="A195">
            <v>44165</v>
          </cell>
          <cell r="B195" t="str">
            <v>Cost of Materials - Metal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</row>
        <row r="196">
          <cell r="A196">
            <v>44166</v>
          </cell>
          <cell r="B196" t="str">
            <v>Cost of Materials - Glass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</row>
        <row r="197">
          <cell r="A197">
            <v>44167</v>
          </cell>
          <cell r="B197" t="str">
            <v>Cost of Materials - Plastic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</row>
        <row r="198">
          <cell r="A198">
            <v>44168</v>
          </cell>
          <cell r="B198" t="str">
            <v>Cost of Materials - Other Recyclables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</row>
        <row r="199">
          <cell r="A199">
            <v>44169</v>
          </cell>
          <cell r="B199" t="str">
            <v>Cost of Materials - Intercompany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</row>
        <row r="200">
          <cell r="A200">
            <v>44261</v>
          </cell>
          <cell r="B200" t="str">
            <v>Cost of Materials - Organics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</row>
        <row r="201">
          <cell r="A201">
            <v>44262</v>
          </cell>
          <cell r="B201" t="str">
            <v>Cost of Materials - Clean Wood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</row>
        <row r="202">
          <cell r="A202">
            <v>44263</v>
          </cell>
          <cell r="B202" t="str">
            <v>Cost of Materials - Landscaping Materials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</row>
        <row r="203">
          <cell r="A203" t="str">
            <v>Total Recycling Materials Expense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</row>
        <row r="205">
          <cell r="A205" t="str">
            <v>Other Expense</v>
          </cell>
        </row>
        <row r="206">
          <cell r="A206">
            <v>47000</v>
          </cell>
          <cell r="B206" t="str">
            <v>Cost of Containers Sold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</row>
        <row r="207">
          <cell r="A207">
            <v>47001</v>
          </cell>
          <cell r="B207" t="str">
            <v>Cost of Equipment Sold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</row>
        <row r="208">
          <cell r="A208">
            <v>47010</v>
          </cell>
          <cell r="B208" t="str">
            <v>Tire Processing Expenses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</row>
        <row r="209">
          <cell r="A209">
            <v>47019</v>
          </cell>
          <cell r="B209" t="str">
            <v>Tire Processing Expenses - Intercompany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</row>
        <row r="210">
          <cell r="A210" t="str">
            <v>Total Other Expense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</row>
        <row r="212">
          <cell r="A212" t="str">
            <v>Total Revenue Reductions</v>
          </cell>
          <cell r="E212">
            <v>549574.68000000005</v>
          </cell>
          <cell r="F212">
            <v>499977.51</v>
          </cell>
          <cell r="G212">
            <v>581134.85</v>
          </cell>
          <cell r="H212">
            <v>559914.17000000004</v>
          </cell>
          <cell r="I212">
            <v>564010.48</v>
          </cell>
          <cell r="J212">
            <v>615173.96</v>
          </cell>
          <cell r="K212">
            <v>604101.30999999994</v>
          </cell>
          <cell r="L212">
            <v>604404.01</v>
          </cell>
          <cell r="M212">
            <v>602121.30000000005</v>
          </cell>
          <cell r="N212">
            <v>569292.79999999993</v>
          </cell>
          <cell r="O212">
            <v>561398.1399999999</v>
          </cell>
          <cell r="P212">
            <v>607565.14</v>
          </cell>
          <cell r="Q212">
            <v>6918668.3499999996</v>
          </cell>
        </row>
        <row r="214">
          <cell r="A214" t="str">
            <v>Net Revenue</v>
          </cell>
          <cell r="E214">
            <v>839957.93</v>
          </cell>
          <cell r="F214">
            <v>880100</v>
          </cell>
          <cell r="G214">
            <v>827312.04999999993</v>
          </cell>
          <cell r="H214">
            <v>859264.9</v>
          </cell>
          <cell r="I214">
            <v>855566.97999999975</v>
          </cell>
          <cell r="J214">
            <v>851493.29</v>
          </cell>
          <cell r="K214">
            <v>861895.62</v>
          </cell>
          <cell r="L214">
            <v>887553.74</v>
          </cell>
          <cell r="M214">
            <v>858415.54</v>
          </cell>
          <cell r="N214">
            <v>850652.68999999983</v>
          </cell>
          <cell r="O214">
            <v>822171.2100000002</v>
          </cell>
          <cell r="P214">
            <v>814403.91999999981</v>
          </cell>
          <cell r="Q214">
            <v>10208787.869999995</v>
          </cell>
        </row>
        <row r="216">
          <cell r="A216" t="str">
            <v>Cost of Operations</v>
          </cell>
        </row>
        <row r="217">
          <cell r="A217" t="str">
            <v>Labor</v>
          </cell>
        </row>
        <row r="218">
          <cell r="A218">
            <v>50010</v>
          </cell>
          <cell r="B218" t="str">
            <v>Salaries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</row>
        <row r="219">
          <cell r="A219">
            <v>50020</v>
          </cell>
          <cell r="B219" t="str">
            <v>Wages Regular</v>
          </cell>
          <cell r="E219">
            <v>148506.62</v>
          </cell>
          <cell r="F219">
            <v>147781.52000000002</v>
          </cell>
          <cell r="G219">
            <v>162872.48000000001</v>
          </cell>
          <cell r="H219">
            <v>152426.56</v>
          </cell>
          <cell r="I219">
            <v>133250.6</v>
          </cell>
          <cell r="J219">
            <v>141014.94</v>
          </cell>
          <cell r="K219">
            <v>138800.41999999998</v>
          </cell>
          <cell r="L219">
            <v>144467.28999999998</v>
          </cell>
          <cell r="M219">
            <v>139411.4</v>
          </cell>
          <cell r="N219">
            <v>131255.16</v>
          </cell>
          <cell r="O219">
            <v>135440.33000000002</v>
          </cell>
          <cell r="P219">
            <v>141049.91999999998</v>
          </cell>
          <cell r="Q219">
            <v>1716277.2399999998</v>
          </cell>
        </row>
        <row r="220">
          <cell r="A220">
            <v>50025</v>
          </cell>
          <cell r="B220" t="str">
            <v>Wages O.T.</v>
          </cell>
          <cell r="E220">
            <v>22975.54</v>
          </cell>
          <cell r="F220">
            <v>6810.35</v>
          </cell>
          <cell r="G220">
            <v>14008.81</v>
          </cell>
          <cell r="H220">
            <v>20795.96</v>
          </cell>
          <cell r="I220">
            <v>28625.24</v>
          </cell>
          <cell r="J220">
            <v>22652.750000000004</v>
          </cell>
          <cell r="K220">
            <v>20035.850000000002</v>
          </cell>
          <cell r="L220">
            <v>20754.88</v>
          </cell>
          <cell r="M220">
            <v>29699.32</v>
          </cell>
          <cell r="N220">
            <v>20332.329999999998</v>
          </cell>
          <cell r="O220">
            <v>32459.590000000004</v>
          </cell>
          <cell r="P220">
            <v>20007.580000000002</v>
          </cell>
          <cell r="Q220">
            <v>259158.2</v>
          </cell>
        </row>
        <row r="221">
          <cell r="A221">
            <v>50035</v>
          </cell>
          <cell r="B221" t="str">
            <v>Safety Bonuses</v>
          </cell>
          <cell r="E221">
            <v>3200</v>
          </cell>
          <cell r="F221">
            <v>3200</v>
          </cell>
          <cell r="G221">
            <v>3200</v>
          </cell>
          <cell r="H221">
            <v>3200</v>
          </cell>
          <cell r="I221">
            <v>3950</v>
          </cell>
          <cell r="J221">
            <v>3950</v>
          </cell>
          <cell r="K221">
            <v>3950</v>
          </cell>
          <cell r="L221">
            <v>3950</v>
          </cell>
          <cell r="M221">
            <v>2000</v>
          </cell>
          <cell r="N221">
            <v>2000</v>
          </cell>
          <cell r="O221">
            <v>3200</v>
          </cell>
          <cell r="P221">
            <v>0</v>
          </cell>
          <cell r="Q221">
            <v>35800</v>
          </cell>
        </row>
        <row r="222">
          <cell r="A222">
            <v>50036</v>
          </cell>
          <cell r="B222" t="str">
            <v>Other Bonus/Commission - Non-Safety</v>
          </cell>
          <cell r="E222">
            <v>0</v>
          </cell>
          <cell r="F222">
            <v>0</v>
          </cell>
          <cell r="G222">
            <v>1125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1125</v>
          </cell>
        </row>
        <row r="223">
          <cell r="A223">
            <v>50045</v>
          </cell>
          <cell r="B223" t="str">
            <v>Contract Labor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</row>
        <row r="224">
          <cell r="A224">
            <v>50050</v>
          </cell>
          <cell r="B224" t="str">
            <v>Payroll Taxes</v>
          </cell>
          <cell r="E224">
            <v>21085.43</v>
          </cell>
          <cell r="F224">
            <v>16517.190000000002</v>
          </cell>
          <cell r="G224">
            <v>17618.89</v>
          </cell>
          <cell r="H224">
            <v>17201.14</v>
          </cell>
          <cell r="I224">
            <v>16035.320000000002</v>
          </cell>
          <cell r="J224">
            <v>17468.87</v>
          </cell>
          <cell r="K224">
            <v>16392.41</v>
          </cell>
          <cell r="L224">
            <v>16351.01</v>
          </cell>
          <cell r="M224">
            <v>17217.28</v>
          </cell>
          <cell r="N224">
            <v>14701.12</v>
          </cell>
          <cell r="O224">
            <v>17942.59</v>
          </cell>
          <cell r="P224">
            <v>10482.15</v>
          </cell>
          <cell r="Q224">
            <v>199013.4</v>
          </cell>
        </row>
        <row r="225">
          <cell r="A225">
            <v>50060</v>
          </cell>
          <cell r="B225" t="str">
            <v>Group Insurance</v>
          </cell>
          <cell r="E225">
            <v>1330</v>
          </cell>
          <cell r="F225">
            <v>1226</v>
          </cell>
          <cell r="G225">
            <v>729.5</v>
          </cell>
          <cell r="H225">
            <v>1026.5</v>
          </cell>
          <cell r="I225">
            <v>878</v>
          </cell>
          <cell r="J225">
            <v>878</v>
          </cell>
          <cell r="K225">
            <v>878.77</v>
          </cell>
          <cell r="L225">
            <v>826</v>
          </cell>
          <cell r="M225">
            <v>1077.5</v>
          </cell>
          <cell r="N225">
            <v>1826.5</v>
          </cell>
          <cell r="O225">
            <v>1678.77</v>
          </cell>
          <cell r="P225">
            <v>1088.4199999999998</v>
          </cell>
          <cell r="Q225">
            <v>13443.960000000001</v>
          </cell>
        </row>
        <row r="226">
          <cell r="A226">
            <v>50065</v>
          </cell>
          <cell r="B226" t="str">
            <v>Vacation Pay</v>
          </cell>
          <cell r="E226">
            <v>13381.59</v>
          </cell>
          <cell r="F226">
            <v>8706.9500000000007</v>
          </cell>
          <cell r="G226">
            <v>9543.1899999999987</v>
          </cell>
          <cell r="H226">
            <v>7013.4</v>
          </cell>
          <cell r="I226">
            <v>14309.95</v>
          </cell>
          <cell r="J226">
            <v>8179.11</v>
          </cell>
          <cell r="K226">
            <v>14227.68</v>
          </cell>
          <cell r="L226">
            <v>7288.4699999999993</v>
          </cell>
          <cell r="M226">
            <v>15009.16</v>
          </cell>
          <cell r="N226">
            <v>10400.879999999999</v>
          </cell>
          <cell r="O226">
            <v>16702.490000000002</v>
          </cell>
          <cell r="P226">
            <v>14167.710000000001</v>
          </cell>
          <cell r="Q226">
            <v>138930.58000000002</v>
          </cell>
        </row>
        <row r="227">
          <cell r="A227">
            <v>50070</v>
          </cell>
          <cell r="B227" t="str">
            <v>Sick Pay</v>
          </cell>
          <cell r="E227">
            <v>510.84</v>
          </cell>
          <cell r="F227">
            <v>-249.9</v>
          </cell>
          <cell r="G227">
            <v>257.39999999999998</v>
          </cell>
          <cell r="H227">
            <v>14.4</v>
          </cell>
          <cell r="I227">
            <v>0</v>
          </cell>
          <cell r="J227">
            <v>722.88</v>
          </cell>
          <cell r="K227">
            <v>80.319999999999993</v>
          </cell>
          <cell r="L227">
            <v>92</v>
          </cell>
          <cell r="M227">
            <v>0</v>
          </cell>
          <cell r="N227">
            <v>200.8</v>
          </cell>
          <cell r="O227">
            <v>156.4</v>
          </cell>
          <cell r="P227">
            <v>27.6</v>
          </cell>
          <cell r="Q227">
            <v>1812.7399999999998</v>
          </cell>
        </row>
        <row r="228">
          <cell r="A228">
            <v>50086</v>
          </cell>
          <cell r="B228" t="str">
            <v>Safety and Training</v>
          </cell>
          <cell r="E228">
            <v>52.5</v>
          </cell>
          <cell r="F228">
            <v>57.5</v>
          </cell>
          <cell r="G228">
            <v>269.42</v>
          </cell>
          <cell r="H228">
            <v>-147.5</v>
          </cell>
          <cell r="I228">
            <v>423.2</v>
          </cell>
          <cell r="J228">
            <v>0</v>
          </cell>
          <cell r="K228">
            <v>0</v>
          </cell>
          <cell r="L228">
            <v>0</v>
          </cell>
          <cell r="M228">
            <v>1724.48</v>
          </cell>
          <cell r="N228">
            <v>1092.78</v>
          </cell>
          <cell r="O228">
            <v>642.78</v>
          </cell>
          <cell r="P228">
            <v>0</v>
          </cell>
          <cell r="Q228">
            <v>4115.16</v>
          </cell>
        </row>
        <row r="229">
          <cell r="A229">
            <v>50087</v>
          </cell>
          <cell r="B229" t="str">
            <v>Drug Testing</v>
          </cell>
          <cell r="E229">
            <v>60</v>
          </cell>
          <cell r="F229">
            <v>0</v>
          </cell>
          <cell r="G229">
            <v>0</v>
          </cell>
          <cell r="H229">
            <v>240</v>
          </cell>
          <cell r="I229">
            <v>120</v>
          </cell>
          <cell r="J229">
            <v>240</v>
          </cell>
          <cell r="K229">
            <v>694</v>
          </cell>
          <cell r="L229">
            <v>180</v>
          </cell>
          <cell r="M229">
            <v>420</v>
          </cell>
          <cell r="N229">
            <v>60</v>
          </cell>
          <cell r="O229">
            <v>360</v>
          </cell>
          <cell r="P229">
            <v>60</v>
          </cell>
          <cell r="Q229">
            <v>2434</v>
          </cell>
        </row>
        <row r="230">
          <cell r="A230">
            <v>50090</v>
          </cell>
          <cell r="B230" t="str">
            <v>Uniforms</v>
          </cell>
          <cell r="E230">
            <v>6868.59</v>
          </cell>
          <cell r="F230">
            <v>9292.77</v>
          </cell>
          <cell r="G230">
            <v>8124.38</v>
          </cell>
          <cell r="H230">
            <v>7694.95</v>
          </cell>
          <cell r="I230">
            <v>4128.24</v>
          </cell>
          <cell r="J230">
            <v>12100.73</v>
          </cell>
          <cell r="K230">
            <v>9167.7900000000009</v>
          </cell>
          <cell r="L230">
            <v>12042.49</v>
          </cell>
          <cell r="M230">
            <v>8237.0400000000009</v>
          </cell>
          <cell r="N230">
            <v>8038.55</v>
          </cell>
          <cell r="O230">
            <v>7814.48</v>
          </cell>
          <cell r="P230">
            <v>9358.16</v>
          </cell>
          <cell r="Q230">
            <v>102868.17000000001</v>
          </cell>
        </row>
        <row r="231">
          <cell r="A231">
            <v>50115</v>
          </cell>
          <cell r="B231" t="str">
            <v>Pension and Profit Sharing</v>
          </cell>
          <cell r="E231">
            <v>20881.310000000001</v>
          </cell>
          <cell r="F231">
            <v>19908.310000000001</v>
          </cell>
          <cell r="G231">
            <v>22571.059999999998</v>
          </cell>
          <cell r="H231">
            <v>20908.93</v>
          </cell>
          <cell r="I231">
            <v>20644.87</v>
          </cell>
          <cell r="J231">
            <v>20431.82</v>
          </cell>
          <cell r="K231">
            <v>19793.68</v>
          </cell>
          <cell r="L231">
            <v>25409.94</v>
          </cell>
          <cell r="M231">
            <v>19345.43</v>
          </cell>
          <cell r="N231">
            <v>18963.18</v>
          </cell>
          <cell r="O231">
            <v>19131.61</v>
          </cell>
          <cell r="P231">
            <v>16610.04</v>
          </cell>
          <cell r="Q231">
            <v>244600.17999999996</v>
          </cell>
        </row>
        <row r="232">
          <cell r="A232">
            <v>50116</v>
          </cell>
          <cell r="B232" t="str">
            <v>Union Benefit Expense</v>
          </cell>
          <cell r="E232">
            <v>55955.6</v>
          </cell>
          <cell r="F232">
            <v>54981.08</v>
          </cell>
          <cell r="G232">
            <v>57124.76</v>
          </cell>
          <cell r="H232">
            <v>59521.61</v>
          </cell>
          <cell r="I232">
            <v>55020.61</v>
          </cell>
          <cell r="J232">
            <v>53907.77</v>
          </cell>
          <cell r="K232">
            <v>51487.79</v>
          </cell>
          <cell r="L232">
            <v>50364.490000000005</v>
          </cell>
          <cell r="M232">
            <v>51135.950000000004</v>
          </cell>
          <cell r="N232">
            <v>51271.57</v>
          </cell>
          <cell r="O232">
            <v>52010.640000000007</v>
          </cell>
          <cell r="P232">
            <v>49943.11</v>
          </cell>
          <cell r="Q232">
            <v>642724.98</v>
          </cell>
        </row>
        <row r="233">
          <cell r="A233">
            <v>50117</v>
          </cell>
          <cell r="B233" t="str">
            <v>Union Pension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</row>
        <row r="234">
          <cell r="A234">
            <v>50148</v>
          </cell>
          <cell r="B234" t="str">
            <v>Allocated Exp In - District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</row>
        <row r="235">
          <cell r="A235">
            <v>50149</v>
          </cell>
          <cell r="B235" t="str">
            <v>Allocated Exp In Out - District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</row>
        <row r="236">
          <cell r="A236">
            <v>50335</v>
          </cell>
          <cell r="B236" t="str">
            <v>Miscellaneous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</row>
        <row r="237">
          <cell r="A237">
            <v>50900</v>
          </cell>
          <cell r="B237" t="str">
            <v>Capitalized Costs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</row>
        <row r="238">
          <cell r="A238">
            <v>50998</v>
          </cell>
          <cell r="B238" t="str">
            <v>Allocation Out - District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</row>
        <row r="239">
          <cell r="A239">
            <v>50999</v>
          </cell>
          <cell r="B239" t="str">
            <v>Allocation Out - Out District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</row>
        <row r="240">
          <cell r="A240" t="str">
            <v>Total Labor</v>
          </cell>
          <cell r="E240">
            <v>294808.01999999996</v>
          </cell>
          <cell r="F240">
            <v>268231.77</v>
          </cell>
          <cell r="G240">
            <v>297444.89</v>
          </cell>
          <cell r="H240">
            <v>289895.94999999995</v>
          </cell>
          <cell r="I240">
            <v>277386.03000000003</v>
          </cell>
          <cell r="J240">
            <v>281546.87</v>
          </cell>
          <cell r="K240">
            <v>275508.70999999996</v>
          </cell>
          <cell r="L240">
            <v>281726.57</v>
          </cell>
          <cell r="M240">
            <v>285277.56</v>
          </cell>
          <cell r="N240">
            <v>260142.86999999997</v>
          </cell>
          <cell r="O240">
            <v>287539.68</v>
          </cell>
          <cell r="P240">
            <v>262794.69</v>
          </cell>
          <cell r="Q240">
            <v>3362303.6100000003</v>
          </cell>
        </row>
        <row r="242">
          <cell r="A242" t="str">
            <v>Truck Fixed Expenses</v>
          </cell>
        </row>
        <row r="243">
          <cell r="A243">
            <v>51148</v>
          </cell>
          <cell r="B243" t="str">
            <v>Allocation In - District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</row>
        <row r="244">
          <cell r="A244">
            <v>51149</v>
          </cell>
          <cell r="B244" t="str">
            <v>Allocation In - Out District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</row>
        <row r="245">
          <cell r="A245">
            <v>51175</v>
          </cell>
          <cell r="B245" t="str">
            <v>Equipment/Vehicle Rental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</row>
        <row r="246">
          <cell r="A246">
            <v>51275</v>
          </cell>
          <cell r="B246" t="str">
            <v>Property Taxes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</row>
        <row r="247">
          <cell r="A247">
            <v>51295</v>
          </cell>
          <cell r="B247" t="str">
            <v>Licenses</v>
          </cell>
          <cell r="E247">
            <v>2602.56</v>
          </cell>
          <cell r="F247">
            <v>2531.56</v>
          </cell>
          <cell r="G247">
            <v>2595.5500000000002</v>
          </cell>
          <cell r="H247">
            <v>2489.9299999999998</v>
          </cell>
          <cell r="I247">
            <v>2160.58</v>
          </cell>
          <cell r="J247">
            <v>2256.83</v>
          </cell>
          <cell r="K247">
            <v>2128.83</v>
          </cell>
          <cell r="L247">
            <v>2085.83</v>
          </cell>
          <cell r="M247">
            <v>2085.83</v>
          </cell>
          <cell r="N247">
            <v>2190.83</v>
          </cell>
          <cell r="O247">
            <v>2085.83</v>
          </cell>
          <cell r="P247">
            <v>2550.89</v>
          </cell>
          <cell r="Q247">
            <v>27765.050000000003</v>
          </cell>
        </row>
        <row r="248">
          <cell r="A248">
            <v>51335</v>
          </cell>
          <cell r="B248" t="str">
            <v>Miscellaneous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</row>
        <row r="249">
          <cell r="A249">
            <v>51998</v>
          </cell>
          <cell r="B249" t="str">
            <v>Allocation Out - District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</row>
        <row r="250">
          <cell r="A250">
            <v>51999</v>
          </cell>
          <cell r="B250" t="str">
            <v>Allocation Out - Out District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</row>
        <row r="251">
          <cell r="A251" t="str">
            <v>Total Truck Fixed Expenses</v>
          </cell>
          <cell r="E251">
            <v>2602.56</v>
          </cell>
          <cell r="F251">
            <v>2531.56</v>
          </cell>
          <cell r="G251">
            <v>2595.5500000000002</v>
          </cell>
          <cell r="H251">
            <v>2489.9299999999998</v>
          </cell>
          <cell r="I251">
            <v>2160.58</v>
          </cell>
          <cell r="J251">
            <v>2256.83</v>
          </cell>
          <cell r="K251">
            <v>2128.83</v>
          </cell>
          <cell r="L251">
            <v>2085.83</v>
          </cell>
          <cell r="M251">
            <v>2085.83</v>
          </cell>
          <cell r="N251">
            <v>2190.83</v>
          </cell>
          <cell r="O251">
            <v>2085.83</v>
          </cell>
          <cell r="P251">
            <v>2550.89</v>
          </cell>
          <cell r="Q251">
            <v>27765.050000000003</v>
          </cell>
        </row>
        <row r="253">
          <cell r="A253" t="str">
            <v>Truck Variable Expenses</v>
          </cell>
        </row>
        <row r="254">
          <cell r="A254">
            <v>52010</v>
          </cell>
          <cell r="B254" t="str">
            <v>Salaries</v>
          </cell>
          <cell r="E254">
            <v>6209.13</v>
          </cell>
          <cell r="F254">
            <v>5913.46</v>
          </cell>
          <cell r="G254">
            <v>6800.48</v>
          </cell>
          <cell r="H254">
            <v>6504.81</v>
          </cell>
          <cell r="I254">
            <v>6209.13</v>
          </cell>
          <cell r="J254">
            <v>6504.8</v>
          </cell>
          <cell r="K254">
            <v>6504.81</v>
          </cell>
          <cell r="L254">
            <v>6504.81</v>
          </cell>
          <cell r="M254">
            <v>6504.8</v>
          </cell>
          <cell r="N254">
            <v>6209.14</v>
          </cell>
          <cell r="O254">
            <v>6504.8</v>
          </cell>
          <cell r="P254">
            <v>6800.48</v>
          </cell>
          <cell r="Q254">
            <v>77170.649999999994</v>
          </cell>
        </row>
        <row r="255">
          <cell r="A255">
            <v>52020</v>
          </cell>
          <cell r="B255" t="str">
            <v>Wages Regular</v>
          </cell>
          <cell r="E255">
            <v>11640.62</v>
          </cell>
          <cell r="F255">
            <v>14929.71</v>
          </cell>
          <cell r="G255">
            <v>14082.73</v>
          </cell>
          <cell r="H255">
            <v>13654.74</v>
          </cell>
          <cell r="I255">
            <v>14918.37</v>
          </cell>
          <cell r="J255">
            <v>14754.95</v>
          </cell>
          <cell r="K255">
            <v>12181.44</v>
          </cell>
          <cell r="L255">
            <v>11315.17</v>
          </cell>
          <cell r="M255">
            <v>11931.83</v>
          </cell>
          <cell r="N255">
            <v>11946.65</v>
          </cell>
          <cell r="O255">
            <v>12371.33</v>
          </cell>
          <cell r="P255">
            <v>15662.7</v>
          </cell>
          <cell r="Q255">
            <v>159390.24</v>
          </cell>
        </row>
        <row r="256">
          <cell r="A256">
            <v>52025</v>
          </cell>
          <cell r="B256" t="str">
            <v>Wages O.T.</v>
          </cell>
          <cell r="E256">
            <v>2614.52</v>
          </cell>
          <cell r="F256">
            <v>2473.63</v>
          </cell>
          <cell r="G256">
            <v>2117.09</v>
          </cell>
          <cell r="H256">
            <v>2164.7199999999998</v>
          </cell>
          <cell r="I256">
            <v>2848.44</v>
          </cell>
          <cell r="J256">
            <v>3075.19</v>
          </cell>
          <cell r="K256">
            <v>3378.52</v>
          </cell>
          <cell r="L256">
            <v>1747.37</v>
          </cell>
          <cell r="M256">
            <v>2402.91</v>
          </cell>
          <cell r="N256">
            <v>2322.34</v>
          </cell>
          <cell r="O256">
            <v>3755.06</v>
          </cell>
          <cell r="P256">
            <v>2288.11</v>
          </cell>
          <cell r="Q256">
            <v>31187.9</v>
          </cell>
        </row>
        <row r="257">
          <cell r="A257">
            <v>52035</v>
          </cell>
          <cell r="B257" t="str">
            <v>Safety Bonuses</v>
          </cell>
          <cell r="E257">
            <v>833</v>
          </cell>
          <cell r="F257">
            <v>833</v>
          </cell>
          <cell r="G257">
            <v>833</v>
          </cell>
          <cell r="H257">
            <v>833</v>
          </cell>
          <cell r="I257">
            <v>1583</v>
          </cell>
          <cell r="J257">
            <v>1583</v>
          </cell>
          <cell r="K257">
            <v>1583</v>
          </cell>
          <cell r="L257">
            <v>1583</v>
          </cell>
          <cell r="M257">
            <v>500</v>
          </cell>
          <cell r="N257">
            <v>500</v>
          </cell>
          <cell r="O257">
            <v>1000</v>
          </cell>
          <cell r="P257">
            <v>0</v>
          </cell>
          <cell r="Q257">
            <v>11664</v>
          </cell>
        </row>
        <row r="258">
          <cell r="A258">
            <v>52036</v>
          </cell>
          <cell r="B258" t="str">
            <v>Other Bonus/Commission - Non-Safety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</row>
        <row r="259">
          <cell r="A259">
            <v>52045</v>
          </cell>
          <cell r="B259" t="str">
            <v>Contract Labor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</row>
        <row r="260">
          <cell r="A260">
            <v>52050</v>
          </cell>
          <cell r="B260" t="str">
            <v>Payroll Taxes</v>
          </cell>
          <cell r="E260">
            <v>2869.35</v>
          </cell>
          <cell r="F260">
            <v>2242.16</v>
          </cell>
          <cell r="G260">
            <v>2468.5100000000002</v>
          </cell>
          <cell r="H260">
            <v>2064.63</v>
          </cell>
          <cell r="I260">
            <v>2186.88</v>
          </cell>
          <cell r="J260">
            <v>2344.56</v>
          </cell>
          <cell r="K260">
            <v>1962.2</v>
          </cell>
          <cell r="L260">
            <v>1763.36</v>
          </cell>
          <cell r="M260">
            <v>1881.81</v>
          </cell>
          <cell r="N260">
            <v>1731.74</v>
          </cell>
          <cell r="O260">
            <v>2453.91</v>
          </cell>
          <cell r="P260">
            <v>1757.74</v>
          </cell>
          <cell r="Q260">
            <v>25726.850000000006</v>
          </cell>
        </row>
        <row r="261">
          <cell r="A261">
            <v>52060</v>
          </cell>
          <cell r="B261" t="str">
            <v>Group Insurance</v>
          </cell>
          <cell r="E261">
            <v>1441</v>
          </cell>
          <cell r="F261">
            <v>1441</v>
          </cell>
          <cell r="G261">
            <v>561.5</v>
          </cell>
          <cell r="H261">
            <v>720.5</v>
          </cell>
          <cell r="I261">
            <v>641</v>
          </cell>
          <cell r="J261">
            <v>641</v>
          </cell>
          <cell r="K261">
            <v>641</v>
          </cell>
          <cell r="L261">
            <v>641</v>
          </cell>
          <cell r="M261">
            <v>561.5</v>
          </cell>
          <cell r="N261">
            <v>720.5</v>
          </cell>
          <cell r="O261">
            <v>641</v>
          </cell>
          <cell r="P261">
            <v>583.48</v>
          </cell>
          <cell r="Q261">
            <v>9234.48</v>
          </cell>
        </row>
        <row r="262">
          <cell r="A262">
            <v>52065</v>
          </cell>
          <cell r="B262" t="str">
            <v>Vacation Pay</v>
          </cell>
          <cell r="E262">
            <v>1511.38</v>
          </cell>
          <cell r="F262">
            <v>-838.54</v>
          </cell>
          <cell r="G262">
            <v>2800.68</v>
          </cell>
          <cell r="H262">
            <v>381.27</v>
          </cell>
          <cell r="I262">
            <v>800.29</v>
          </cell>
          <cell r="J262">
            <v>1912.65</v>
          </cell>
          <cell r="K262">
            <v>745.69</v>
          </cell>
          <cell r="L262">
            <v>1755.74</v>
          </cell>
          <cell r="M262">
            <v>996.88</v>
          </cell>
          <cell r="N262">
            <v>1492.04</v>
          </cell>
          <cell r="O262">
            <v>2476.17</v>
          </cell>
          <cell r="P262">
            <v>1846.32</v>
          </cell>
          <cell r="Q262">
            <v>15880.569999999998</v>
          </cell>
        </row>
        <row r="263">
          <cell r="A263">
            <v>52070</v>
          </cell>
          <cell r="B263" t="str">
            <v>Sick Pay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</row>
        <row r="264">
          <cell r="A264">
            <v>52086</v>
          </cell>
          <cell r="B264" t="str">
            <v>Safety and Training</v>
          </cell>
          <cell r="E264">
            <v>104.55</v>
          </cell>
          <cell r="F264">
            <v>112.64</v>
          </cell>
          <cell r="G264">
            <v>154.71</v>
          </cell>
          <cell r="H264">
            <v>299.60000000000002</v>
          </cell>
          <cell r="I264">
            <v>846.98</v>
          </cell>
          <cell r="J264">
            <v>185.38</v>
          </cell>
          <cell r="K264">
            <v>78.989999999999995</v>
          </cell>
          <cell r="L264">
            <v>145.65</v>
          </cell>
          <cell r="M264">
            <v>0</v>
          </cell>
          <cell r="N264">
            <v>876.33</v>
          </cell>
          <cell r="O264">
            <v>-395.59</v>
          </cell>
          <cell r="P264">
            <v>1720.49</v>
          </cell>
          <cell r="Q264">
            <v>4129.7300000000005</v>
          </cell>
        </row>
        <row r="265">
          <cell r="A265">
            <v>52087</v>
          </cell>
          <cell r="B265" t="str">
            <v>Drug Screening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</row>
        <row r="266">
          <cell r="A266">
            <v>52090</v>
          </cell>
          <cell r="B266" t="str">
            <v>Uniforms</v>
          </cell>
          <cell r="E266">
            <v>1040.42</v>
          </cell>
          <cell r="F266">
            <v>1033.9000000000001</v>
          </cell>
          <cell r="G266">
            <v>1397.48</v>
          </cell>
          <cell r="H266">
            <v>1377.31</v>
          </cell>
          <cell r="I266">
            <v>475.1</v>
          </cell>
          <cell r="J266">
            <v>1617.7</v>
          </cell>
          <cell r="K266">
            <v>910.5</v>
          </cell>
          <cell r="L266">
            <v>1633.6</v>
          </cell>
          <cell r="M266">
            <v>1021.73</v>
          </cell>
          <cell r="N266">
            <v>756.54</v>
          </cell>
          <cell r="O266">
            <v>828.81</v>
          </cell>
          <cell r="P266">
            <v>987.61</v>
          </cell>
          <cell r="Q266">
            <v>13080.699999999999</v>
          </cell>
        </row>
        <row r="267">
          <cell r="A267">
            <v>52115</v>
          </cell>
          <cell r="B267" t="str">
            <v>Pension and Profit Sharing</v>
          </cell>
          <cell r="E267">
            <v>2995.29</v>
          </cell>
          <cell r="F267">
            <v>2862.61</v>
          </cell>
          <cell r="G267">
            <v>3299.63</v>
          </cell>
          <cell r="H267">
            <v>2999.06</v>
          </cell>
          <cell r="I267">
            <v>2963.05</v>
          </cell>
          <cell r="J267">
            <v>2934</v>
          </cell>
          <cell r="K267">
            <v>2846.98</v>
          </cell>
          <cell r="L267">
            <v>2774.57</v>
          </cell>
          <cell r="M267">
            <v>2785.85</v>
          </cell>
          <cell r="N267">
            <v>2807.65</v>
          </cell>
          <cell r="O267">
            <v>2756.7</v>
          </cell>
          <cell r="P267">
            <v>2412.85</v>
          </cell>
          <cell r="Q267">
            <v>34438.239999999998</v>
          </cell>
        </row>
        <row r="268">
          <cell r="A268">
            <v>52116</v>
          </cell>
          <cell r="B268" t="str">
            <v>Union Benefit Expense</v>
          </cell>
          <cell r="E268">
            <v>7876.76</v>
          </cell>
          <cell r="F268">
            <v>7880.62</v>
          </cell>
          <cell r="G268">
            <v>7872.8</v>
          </cell>
          <cell r="H268">
            <v>7884.58</v>
          </cell>
          <cell r="I268">
            <v>7878.69</v>
          </cell>
          <cell r="J268">
            <v>7878.69</v>
          </cell>
          <cell r="K268">
            <v>7881.97</v>
          </cell>
          <cell r="L268">
            <v>6752.1</v>
          </cell>
          <cell r="M268">
            <v>6747.85</v>
          </cell>
          <cell r="N268">
            <v>6756.35</v>
          </cell>
          <cell r="O268">
            <v>7182.94</v>
          </cell>
          <cell r="P268">
            <v>7779.69</v>
          </cell>
          <cell r="Q268">
            <v>90373.040000000023</v>
          </cell>
        </row>
        <row r="269">
          <cell r="A269">
            <v>52117</v>
          </cell>
          <cell r="B269" t="str">
            <v>Union Pension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</row>
        <row r="270">
          <cell r="A270">
            <v>52120</v>
          </cell>
          <cell r="B270" t="str">
            <v>Parts and Materials</v>
          </cell>
          <cell r="E270">
            <v>13715.59</v>
          </cell>
          <cell r="F270">
            <v>21102.71</v>
          </cell>
          <cell r="G270">
            <v>18678.920000000006</v>
          </cell>
          <cell r="H270">
            <v>30064.99</v>
          </cell>
          <cell r="I270">
            <v>11133.51</v>
          </cell>
          <cell r="J270">
            <v>9706.94</v>
          </cell>
          <cell r="K270">
            <v>12873.069999999998</v>
          </cell>
          <cell r="L270">
            <v>12811.720000000001</v>
          </cell>
          <cell r="M270">
            <v>13514.23</v>
          </cell>
          <cell r="N270">
            <v>8953.7200000000012</v>
          </cell>
          <cell r="O270">
            <v>16547.27</v>
          </cell>
          <cell r="P270">
            <v>15817.25</v>
          </cell>
          <cell r="Q270">
            <v>184919.91999999998</v>
          </cell>
        </row>
        <row r="271">
          <cell r="A271">
            <v>52125</v>
          </cell>
          <cell r="B271" t="str">
            <v>Operating Supplies</v>
          </cell>
          <cell r="E271">
            <v>568.15</v>
          </cell>
          <cell r="F271">
            <v>288.02999999999997</v>
          </cell>
          <cell r="G271">
            <v>385.62</v>
          </cell>
          <cell r="H271">
            <v>179.18</v>
          </cell>
          <cell r="I271">
            <v>339.98</v>
          </cell>
          <cell r="J271">
            <v>264.08</v>
          </cell>
          <cell r="K271">
            <v>131.13</v>
          </cell>
          <cell r="L271">
            <v>13.55</v>
          </cell>
          <cell r="M271">
            <v>9.8699999999999992</v>
          </cell>
          <cell r="N271">
            <v>372.92</v>
          </cell>
          <cell r="O271">
            <v>819.61</v>
          </cell>
          <cell r="P271">
            <v>414.71</v>
          </cell>
          <cell r="Q271">
            <v>3786.8300000000004</v>
          </cell>
        </row>
        <row r="272">
          <cell r="A272">
            <v>52135</v>
          </cell>
          <cell r="B272" t="str">
            <v>Equipment and Maint Repair</v>
          </cell>
          <cell r="E272">
            <v>0</v>
          </cell>
          <cell r="F272">
            <v>0</v>
          </cell>
          <cell r="G272">
            <v>149.16</v>
          </cell>
          <cell r="H272">
            <v>681.98</v>
          </cell>
          <cell r="I272">
            <v>545.25</v>
          </cell>
          <cell r="J272">
            <v>332.59</v>
          </cell>
          <cell r="K272">
            <v>984.37</v>
          </cell>
          <cell r="L272">
            <v>173.37</v>
          </cell>
          <cell r="M272">
            <v>0</v>
          </cell>
          <cell r="N272">
            <v>156.19999999999999</v>
          </cell>
          <cell r="O272">
            <v>-156.19999999999999</v>
          </cell>
          <cell r="P272">
            <v>27.01</v>
          </cell>
          <cell r="Q272">
            <v>2893.73</v>
          </cell>
        </row>
        <row r="273">
          <cell r="A273">
            <v>52140</v>
          </cell>
          <cell r="B273" t="str">
            <v>Tires</v>
          </cell>
          <cell r="E273">
            <v>11282.69</v>
          </cell>
          <cell r="F273">
            <v>1664.63</v>
          </cell>
          <cell r="G273">
            <v>5175.3999999999996</v>
          </cell>
          <cell r="H273">
            <v>8753.43</v>
          </cell>
          <cell r="I273">
            <v>9084.64</v>
          </cell>
          <cell r="J273">
            <v>1370.04</v>
          </cell>
          <cell r="K273">
            <v>8864.5</v>
          </cell>
          <cell r="L273">
            <v>438.2</v>
          </cell>
          <cell r="M273">
            <v>5010.1400000000003</v>
          </cell>
          <cell r="N273">
            <v>1896.06</v>
          </cell>
          <cell r="O273">
            <v>7161.25</v>
          </cell>
          <cell r="P273">
            <v>3395.56</v>
          </cell>
          <cell r="Q273">
            <v>64096.539999999994</v>
          </cell>
        </row>
        <row r="274">
          <cell r="A274">
            <v>52142</v>
          </cell>
          <cell r="B274" t="str">
            <v>Fuel Expense</v>
          </cell>
          <cell r="E274">
            <v>54158.289999999994</v>
          </cell>
          <cell r="F274">
            <v>50956.94</v>
          </cell>
          <cell r="G274">
            <v>60111.49</v>
          </cell>
          <cell r="H274">
            <v>62505</v>
          </cell>
          <cell r="I274">
            <v>58155.18</v>
          </cell>
          <cell r="J274">
            <v>61304.36</v>
          </cell>
          <cell r="K274">
            <v>60908.59</v>
          </cell>
          <cell r="L274">
            <v>64096.240000000005</v>
          </cell>
          <cell r="M274">
            <v>63144.08</v>
          </cell>
          <cell r="N274">
            <v>63868.340000000004</v>
          </cell>
          <cell r="O274">
            <v>56605.93</v>
          </cell>
          <cell r="P274">
            <v>67191.64</v>
          </cell>
          <cell r="Q274">
            <v>723006.08</v>
          </cell>
        </row>
        <row r="275">
          <cell r="A275">
            <v>52143</v>
          </cell>
          <cell r="B275" t="str">
            <v>Transmontagne Fuel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</row>
        <row r="276">
          <cell r="A276">
            <v>52144</v>
          </cell>
          <cell r="B276" t="str">
            <v>Urea Expense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</row>
        <row r="277">
          <cell r="A277">
            <v>52146</v>
          </cell>
          <cell r="B277" t="str">
            <v>Oil and Grease</v>
          </cell>
          <cell r="E277">
            <v>3179.71</v>
          </cell>
          <cell r="F277">
            <v>7401.66</v>
          </cell>
          <cell r="G277">
            <v>5696.15</v>
          </cell>
          <cell r="H277">
            <v>6990.25</v>
          </cell>
          <cell r="I277">
            <v>4918.58</v>
          </cell>
          <cell r="J277">
            <v>3341.27</v>
          </cell>
          <cell r="K277">
            <v>1599.94</v>
          </cell>
          <cell r="L277">
            <v>9095.31</v>
          </cell>
          <cell r="M277">
            <v>5629.35</v>
          </cell>
          <cell r="N277">
            <v>4937.97</v>
          </cell>
          <cell r="O277">
            <v>5285.37</v>
          </cell>
          <cell r="P277">
            <v>5402.36</v>
          </cell>
          <cell r="Q277">
            <v>63477.919999999998</v>
          </cell>
        </row>
        <row r="278">
          <cell r="A278">
            <v>52147</v>
          </cell>
          <cell r="B278" t="str">
            <v>Outside Repairs</v>
          </cell>
          <cell r="E278">
            <v>2520.1099999999997</v>
          </cell>
          <cell r="F278">
            <v>148.44</v>
          </cell>
          <cell r="G278">
            <v>4753.75</v>
          </cell>
          <cell r="H278">
            <v>2049.4</v>
          </cell>
          <cell r="I278">
            <v>568.04999999999995</v>
          </cell>
          <cell r="J278">
            <v>4319.34</v>
          </cell>
          <cell r="K278">
            <v>3088.65</v>
          </cell>
          <cell r="L278">
            <v>4131.92</v>
          </cell>
          <cell r="M278">
            <v>939.12</v>
          </cell>
          <cell r="N278">
            <v>4227.5600000000004</v>
          </cell>
          <cell r="O278">
            <v>38.909999999999997</v>
          </cell>
          <cell r="P278">
            <v>448.88</v>
          </cell>
          <cell r="Q278">
            <v>27234.129999999997</v>
          </cell>
        </row>
        <row r="279">
          <cell r="A279">
            <v>52148</v>
          </cell>
          <cell r="B279" t="str">
            <v>Allocated Exp In - District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</row>
        <row r="280">
          <cell r="A280">
            <v>52149</v>
          </cell>
          <cell r="B280" t="str">
            <v>Allocated Exp In Out - District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</row>
        <row r="281">
          <cell r="A281">
            <v>52150</v>
          </cell>
          <cell r="B281" t="str">
            <v>Utilities</v>
          </cell>
          <cell r="E281">
            <v>1060.3800000000001</v>
          </cell>
          <cell r="F281">
            <v>764.22</v>
          </cell>
          <cell r="G281">
            <v>713.08</v>
          </cell>
          <cell r="H281">
            <v>617.6</v>
          </cell>
          <cell r="I281">
            <v>412.22</v>
          </cell>
          <cell r="J281">
            <v>355.41</v>
          </cell>
          <cell r="K281">
            <v>1187.46</v>
          </cell>
          <cell r="L281">
            <v>314.74</v>
          </cell>
          <cell r="M281">
            <v>291.92</v>
          </cell>
          <cell r="N281">
            <v>296.52999999999997</v>
          </cell>
          <cell r="O281">
            <v>545.01</v>
          </cell>
          <cell r="P281">
            <v>997.3</v>
          </cell>
          <cell r="Q281">
            <v>7555.87</v>
          </cell>
        </row>
        <row r="282">
          <cell r="A282">
            <v>52165</v>
          </cell>
          <cell r="B282" t="str">
            <v>Communications</v>
          </cell>
          <cell r="E282">
            <v>497.52</v>
          </cell>
          <cell r="F282">
            <v>509.58</v>
          </cell>
          <cell r="G282">
            <v>521.71</v>
          </cell>
          <cell r="H282">
            <v>497.47</v>
          </cell>
          <cell r="I282">
            <v>622.69000000000005</v>
          </cell>
          <cell r="J282">
            <v>534.09</v>
          </cell>
          <cell r="K282">
            <v>-388.32</v>
          </cell>
          <cell r="L282">
            <v>662.93</v>
          </cell>
          <cell r="M282">
            <v>678.76</v>
          </cell>
          <cell r="N282">
            <v>509.78</v>
          </cell>
          <cell r="O282">
            <v>678.67</v>
          </cell>
          <cell r="P282">
            <v>546.71</v>
          </cell>
          <cell r="Q282">
            <v>5871.59</v>
          </cell>
        </row>
        <row r="283">
          <cell r="A283">
            <v>52170</v>
          </cell>
          <cell r="B283" t="str">
            <v>Real Estate Rentals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</row>
        <row r="284">
          <cell r="A284">
            <v>52172</v>
          </cell>
          <cell r="B284" t="str">
            <v>Chassis Lease Expense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</row>
        <row r="285">
          <cell r="A285">
            <v>52175</v>
          </cell>
          <cell r="B285" t="str">
            <v>Equip/Vehicle Rental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</row>
        <row r="286">
          <cell r="A286">
            <v>52181</v>
          </cell>
          <cell r="B286" t="str">
            <v>Freight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</row>
        <row r="287">
          <cell r="A287">
            <v>52182</v>
          </cell>
          <cell r="B287" t="str">
            <v>Towing Expense</v>
          </cell>
          <cell r="E287">
            <v>243.9</v>
          </cell>
          <cell r="F287">
            <v>678.32</v>
          </cell>
          <cell r="G287">
            <v>518.41999999999996</v>
          </cell>
          <cell r="H287">
            <v>0</v>
          </cell>
          <cell r="I287">
            <v>0</v>
          </cell>
          <cell r="J287">
            <v>271</v>
          </cell>
          <cell r="K287">
            <v>0</v>
          </cell>
          <cell r="L287">
            <v>211.38</v>
          </cell>
          <cell r="M287">
            <v>563.67999999999995</v>
          </cell>
          <cell r="N287">
            <v>0</v>
          </cell>
          <cell r="O287">
            <v>0</v>
          </cell>
          <cell r="P287">
            <v>243.9</v>
          </cell>
          <cell r="Q287">
            <v>2730.6</v>
          </cell>
        </row>
        <row r="288">
          <cell r="A288">
            <v>52185</v>
          </cell>
          <cell r="B288" t="str">
            <v>Travel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397.98</v>
          </cell>
          <cell r="O288">
            <v>-397.98</v>
          </cell>
          <cell r="P288">
            <v>0</v>
          </cell>
          <cell r="Q288">
            <v>0</v>
          </cell>
        </row>
        <row r="289">
          <cell r="A289">
            <v>52200</v>
          </cell>
          <cell r="B289" t="str">
            <v>Office Supply and Equip</v>
          </cell>
          <cell r="E289">
            <v>100.76</v>
          </cell>
          <cell r="F289">
            <v>168.31</v>
          </cell>
          <cell r="G289">
            <v>81.760000000000005</v>
          </cell>
          <cell r="H289">
            <v>538.53</v>
          </cell>
          <cell r="I289">
            <v>50.95</v>
          </cell>
          <cell r="J289">
            <v>51.81</v>
          </cell>
          <cell r="K289">
            <v>0</v>
          </cell>
          <cell r="L289">
            <v>226.01</v>
          </cell>
          <cell r="M289">
            <v>51.5</v>
          </cell>
          <cell r="N289">
            <v>0</v>
          </cell>
          <cell r="O289">
            <v>556.91</v>
          </cell>
          <cell r="P289">
            <v>324.24</v>
          </cell>
          <cell r="Q289">
            <v>2150.7799999999997</v>
          </cell>
        </row>
        <row r="290">
          <cell r="A290">
            <v>52275</v>
          </cell>
          <cell r="B290" t="str">
            <v>Property Taxes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</row>
        <row r="291">
          <cell r="A291">
            <v>52335</v>
          </cell>
          <cell r="B291" t="str">
            <v>Miscellaneous</v>
          </cell>
          <cell r="E291">
            <v>9</v>
          </cell>
          <cell r="F291">
            <v>0</v>
          </cell>
          <cell r="G291">
            <v>4.5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13.5</v>
          </cell>
        </row>
        <row r="292">
          <cell r="A292">
            <v>52900</v>
          </cell>
          <cell r="B292" t="str">
            <v>Capitalized Costs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</row>
        <row r="293">
          <cell r="A293">
            <v>52901</v>
          </cell>
          <cell r="B293" t="str">
            <v>Costs Awaiting Capitilization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</row>
        <row r="294">
          <cell r="A294">
            <v>52998</v>
          </cell>
          <cell r="B294" t="str">
            <v>Allocation Out - District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</row>
        <row r="295">
          <cell r="A295">
            <v>52999</v>
          </cell>
          <cell r="B295" t="str">
            <v>Allocation Out - Out District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</row>
        <row r="296">
          <cell r="A296" t="str">
            <v>Total Truck Variable</v>
          </cell>
          <cell r="E296">
            <v>126472.12</v>
          </cell>
          <cell r="F296">
            <v>122567.03000000001</v>
          </cell>
          <cell r="G296">
            <v>139178.57</v>
          </cell>
          <cell r="H296">
            <v>151762.04999999999</v>
          </cell>
          <cell r="I296">
            <v>127181.98000000001</v>
          </cell>
          <cell r="J296">
            <v>125282.85</v>
          </cell>
          <cell r="K296">
            <v>127964.48999999999</v>
          </cell>
          <cell r="L296">
            <v>128791.74</v>
          </cell>
          <cell r="M296">
            <v>125167.81</v>
          </cell>
          <cell r="N296">
            <v>121736.34</v>
          </cell>
          <cell r="O296">
            <v>127259.88000000002</v>
          </cell>
          <cell r="P296">
            <v>136649.02999999997</v>
          </cell>
          <cell r="Q296">
            <v>1560013.8900000001</v>
          </cell>
        </row>
        <row r="298">
          <cell r="A298" t="str">
            <v>Container</v>
          </cell>
        </row>
        <row r="299">
          <cell r="A299">
            <v>54148</v>
          </cell>
          <cell r="B299" t="str">
            <v>Allocation In - District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</row>
        <row r="300">
          <cell r="A300">
            <v>54149</v>
          </cell>
          <cell r="B300" t="str">
            <v>Allocation In - Out District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</row>
        <row r="301">
          <cell r="A301">
            <v>54175</v>
          </cell>
          <cell r="B301" t="str">
            <v>Equipment/Vehicle Rental</v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</row>
        <row r="302">
          <cell r="A302">
            <v>54275</v>
          </cell>
          <cell r="B302" t="str">
            <v>Property Taxes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</row>
        <row r="303">
          <cell r="A303">
            <v>54335</v>
          </cell>
          <cell r="B303" t="str">
            <v>Miscellaneous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</row>
        <row r="304">
          <cell r="A304">
            <v>54998</v>
          </cell>
          <cell r="B304" t="str">
            <v>Allocation Out - District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</row>
        <row r="305">
          <cell r="A305">
            <v>54999</v>
          </cell>
          <cell r="B305" t="str">
            <v>Allocation Out - Out District</v>
          </cell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</row>
        <row r="306">
          <cell r="A306">
            <v>55010</v>
          </cell>
          <cell r="B306" t="str">
            <v>Salaries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</row>
        <row r="307">
          <cell r="A307">
            <v>55020</v>
          </cell>
          <cell r="B307" t="str">
            <v>Wages Regular</v>
          </cell>
          <cell r="E307">
            <v>10121.69</v>
          </cell>
          <cell r="F307">
            <v>8242.4699999999993</v>
          </cell>
          <cell r="G307">
            <v>12061.67</v>
          </cell>
          <cell r="H307">
            <v>10915.7</v>
          </cell>
          <cell r="I307">
            <v>8008.44</v>
          </cell>
          <cell r="J307">
            <v>8531.7900000000009</v>
          </cell>
          <cell r="K307">
            <v>9525.08</v>
          </cell>
          <cell r="L307">
            <v>11641.49</v>
          </cell>
          <cell r="M307">
            <v>9358.9</v>
          </cell>
          <cell r="N307">
            <v>9463.3700000000008</v>
          </cell>
          <cell r="O307">
            <v>10355.24</v>
          </cell>
          <cell r="P307">
            <v>9802.01</v>
          </cell>
          <cell r="Q307">
            <v>118027.84999999999</v>
          </cell>
        </row>
        <row r="308">
          <cell r="A308">
            <v>55025</v>
          </cell>
          <cell r="B308" t="str">
            <v>Wages O.T.</v>
          </cell>
          <cell r="E308">
            <v>636.62</v>
          </cell>
          <cell r="F308">
            <v>425.9</v>
          </cell>
          <cell r="G308">
            <v>278.45999999999998</v>
          </cell>
          <cell r="H308">
            <v>1269.6099999999999</v>
          </cell>
          <cell r="I308">
            <v>580.07000000000005</v>
          </cell>
          <cell r="J308">
            <v>803.54</v>
          </cell>
          <cell r="K308">
            <v>467.98</v>
          </cell>
          <cell r="L308">
            <v>832.02</v>
          </cell>
          <cell r="M308">
            <v>17.989999999999998</v>
          </cell>
          <cell r="N308">
            <v>412.16</v>
          </cell>
          <cell r="O308">
            <v>650.38</v>
          </cell>
          <cell r="P308">
            <v>65.599999999999994</v>
          </cell>
          <cell r="Q308">
            <v>6440.3300000000008</v>
          </cell>
        </row>
        <row r="309">
          <cell r="A309">
            <v>55035</v>
          </cell>
          <cell r="B309" t="str">
            <v>Safety Bonuses</v>
          </cell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</row>
        <row r="310">
          <cell r="A310">
            <v>55036</v>
          </cell>
          <cell r="B310" t="str">
            <v>Other Bonus/Commission - Non-Safety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</row>
        <row r="311">
          <cell r="A311">
            <v>55045</v>
          </cell>
          <cell r="B311" t="str">
            <v>Contract Labor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</row>
        <row r="312">
          <cell r="A312">
            <v>55050</v>
          </cell>
          <cell r="B312" t="str">
            <v>Payroll Taxes</v>
          </cell>
          <cell r="E312">
            <v>1302.32</v>
          </cell>
          <cell r="F312">
            <v>934.4</v>
          </cell>
          <cell r="G312">
            <v>1150.47</v>
          </cell>
          <cell r="H312">
            <v>1167.9000000000001</v>
          </cell>
          <cell r="I312">
            <v>860.19</v>
          </cell>
          <cell r="J312">
            <v>884.97</v>
          </cell>
          <cell r="K312">
            <v>1058.24</v>
          </cell>
          <cell r="L312">
            <v>1180.19</v>
          </cell>
          <cell r="M312">
            <v>1055.3399999999999</v>
          </cell>
          <cell r="N312">
            <v>1038.93</v>
          </cell>
          <cell r="O312">
            <v>1185.43</v>
          </cell>
          <cell r="P312">
            <v>525.12</v>
          </cell>
          <cell r="Q312">
            <v>12343.500000000002</v>
          </cell>
        </row>
        <row r="313">
          <cell r="A313">
            <v>55060</v>
          </cell>
          <cell r="B313" t="str">
            <v>Group Insurance</v>
          </cell>
          <cell r="E313">
            <v>2215</v>
          </cell>
          <cell r="F313">
            <v>2215</v>
          </cell>
          <cell r="G313">
            <v>1935</v>
          </cell>
          <cell r="H313">
            <v>2495</v>
          </cell>
          <cell r="I313">
            <v>2215</v>
          </cell>
          <cell r="J313">
            <v>1919</v>
          </cell>
          <cell r="K313">
            <v>1919</v>
          </cell>
          <cell r="L313">
            <v>1919</v>
          </cell>
          <cell r="M313">
            <v>1691</v>
          </cell>
          <cell r="N313">
            <v>2147</v>
          </cell>
          <cell r="O313">
            <v>1711</v>
          </cell>
          <cell r="P313">
            <v>2215</v>
          </cell>
          <cell r="Q313">
            <v>24596</v>
          </cell>
        </row>
        <row r="314">
          <cell r="A314">
            <v>55065</v>
          </cell>
          <cell r="B314" t="str">
            <v>Vacation Pay</v>
          </cell>
          <cell r="E314">
            <v>303.81</v>
          </cell>
          <cell r="F314">
            <v>1016.29</v>
          </cell>
          <cell r="G314">
            <v>-198.06</v>
          </cell>
          <cell r="H314">
            <v>1145.3599999999999</v>
          </cell>
          <cell r="I314">
            <v>1042.8699999999999</v>
          </cell>
          <cell r="J314">
            <v>-719.54</v>
          </cell>
          <cell r="K314">
            <v>1222.3399999999999</v>
          </cell>
          <cell r="L314">
            <v>925.15</v>
          </cell>
          <cell r="M314">
            <v>1907.53</v>
          </cell>
          <cell r="N314">
            <v>789.75</v>
          </cell>
          <cell r="O314">
            <v>394.38</v>
          </cell>
          <cell r="P314">
            <v>930.27</v>
          </cell>
          <cell r="Q314">
            <v>8760.15</v>
          </cell>
        </row>
        <row r="315">
          <cell r="A315">
            <v>55070</v>
          </cell>
          <cell r="B315" t="str">
            <v>Sick Pay</v>
          </cell>
          <cell r="E315">
            <v>255.74</v>
          </cell>
          <cell r="F315">
            <v>163.92</v>
          </cell>
          <cell r="G315">
            <v>253.25</v>
          </cell>
          <cell r="H315">
            <v>-42.31</v>
          </cell>
          <cell r="I315">
            <v>0</v>
          </cell>
          <cell r="J315">
            <v>317.39999999999998</v>
          </cell>
          <cell r="K315">
            <v>165.6</v>
          </cell>
          <cell r="L315">
            <v>-138</v>
          </cell>
          <cell r="M315">
            <v>138</v>
          </cell>
          <cell r="N315">
            <v>216.36</v>
          </cell>
          <cell r="O315">
            <v>0</v>
          </cell>
          <cell r="P315">
            <v>317.60000000000002</v>
          </cell>
          <cell r="Q315">
            <v>1647.56</v>
          </cell>
        </row>
        <row r="316">
          <cell r="A316">
            <v>55086</v>
          </cell>
          <cell r="B316" t="str">
            <v>Safety and Training</v>
          </cell>
          <cell r="E316">
            <v>0</v>
          </cell>
          <cell r="F316">
            <v>0</v>
          </cell>
          <cell r="G316">
            <v>0</v>
          </cell>
          <cell r="H316">
            <v>34.299999999999997</v>
          </cell>
          <cell r="I316">
            <v>29.01</v>
          </cell>
          <cell r="J316">
            <v>0</v>
          </cell>
          <cell r="K316">
            <v>0</v>
          </cell>
          <cell r="L316">
            <v>1292.83</v>
          </cell>
          <cell r="M316">
            <v>425.23</v>
          </cell>
          <cell r="N316">
            <v>50</v>
          </cell>
          <cell r="O316">
            <v>0</v>
          </cell>
          <cell r="P316">
            <v>0</v>
          </cell>
          <cell r="Q316">
            <v>1831.37</v>
          </cell>
        </row>
        <row r="317">
          <cell r="A317">
            <v>55090</v>
          </cell>
          <cell r="B317" t="str">
            <v>Uniforms</v>
          </cell>
          <cell r="E317">
            <v>711.08</v>
          </cell>
          <cell r="F317">
            <v>516.91999999999996</v>
          </cell>
          <cell r="G317">
            <v>548.66</v>
          </cell>
          <cell r="H317">
            <v>420.37</v>
          </cell>
          <cell r="I317">
            <v>237.53</v>
          </cell>
          <cell r="J317">
            <v>620.41999999999996</v>
          </cell>
          <cell r="K317">
            <v>488.2</v>
          </cell>
          <cell r="L317">
            <v>1071.5999999999999</v>
          </cell>
          <cell r="M317">
            <v>360.8</v>
          </cell>
          <cell r="N317">
            <v>378.21</v>
          </cell>
          <cell r="O317">
            <v>414.33</v>
          </cell>
          <cell r="P317">
            <v>378.31</v>
          </cell>
          <cell r="Q317">
            <v>6146.43</v>
          </cell>
        </row>
        <row r="318">
          <cell r="A318">
            <v>55115</v>
          </cell>
          <cell r="B318" t="str">
            <v>Pension and Profit Sharing</v>
          </cell>
          <cell r="E318">
            <v>75.61</v>
          </cell>
          <cell r="F318">
            <v>80.2</v>
          </cell>
          <cell r="G318">
            <v>115.17</v>
          </cell>
          <cell r="H318">
            <v>81.77</v>
          </cell>
          <cell r="I318">
            <v>90.46</v>
          </cell>
          <cell r="J318">
            <v>86.97</v>
          </cell>
          <cell r="K318">
            <v>86.46</v>
          </cell>
          <cell r="L318">
            <v>85.09</v>
          </cell>
          <cell r="M318">
            <v>75.69</v>
          </cell>
          <cell r="N318">
            <v>120.4</v>
          </cell>
          <cell r="O318">
            <v>78.64</v>
          </cell>
          <cell r="P318">
            <v>73.08</v>
          </cell>
          <cell r="Q318">
            <v>1049.54</v>
          </cell>
        </row>
        <row r="319">
          <cell r="A319">
            <v>55116</v>
          </cell>
          <cell r="B319" t="str">
            <v>Union Benefit Expense</v>
          </cell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</row>
        <row r="320">
          <cell r="A320">
            <v>55117</v>
          </cell>
          <cell r="B320" t="str">
            <v>Union Pension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</row>
        <row r="321">
          <cell r="A321">
            <v>55120</v>
          </cell>
          <cell r="B321" t="str">
            <v>Parts and Materials</v>
          </cell>
          <cell r="E321">
            <v>6822.4</v>
          </cell>
          <cell r="F321">
            <v>7408.98</v>
          </cell>
          <cell r="G321">
            <v>6676.59</v>
          </cell>
          <cell r="H321">
            <v>10883.54</v>
          </cell>
          <cell r="I321">
            <v>6756.74</v>
          </cell>
          <cell r="J321">
            <v>6992.66</v>
          </cell>
          <cell r="K321">
            <v>7598.15</v>
          </cell>
          <cell r="L321">
            <v>6124.07</v>
          </cell>
          <cell r="M321">
            <v>6075.32</v>
          </cell>
          <cell r="N321">
            <v>1985.95</v>
          </cell>
          <cell r="O321">
            <v>4110.71</v>
          </cell>
          <cell r="P321">
            <v>5007.25</v>
          </cell>
          <cell r="Q321">
            <v>76442.360000000015</v>
          </cell>
        </row>
        <row r="322">
          <cell r="A322">
            <v>55125</v>
          </cell>
          <cell r="B322" t="str">
            <v>Operating Supplies</v>
          </cell>
          <cell r="E322">
            <v>208.43</v>
          </cell>
          <cell r="F322">
            <v>96</v>
          </cell>
          <cell r="G322">
            <v>0</v>
          </cell>
          <cell r="H322">
            <v>269.91000000000003</v>
          </cell>
          <cell r="I322">
            <v>134.9</v>
          </cell>
          <cell r="J322">
            <v>0</v>
          </cell>
          <cell r="K322">
            <v>0</v>
          </cell>
          <cell r="L322">
            <v>242.16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951.4</v>
          </cell>
        </row>
        <row r="323">
          <cell r="A323">
            <v>55135</v>
          </cell>
          <cell r="B323" t="str">
            <v>Equipment and Maint Repair</v>
          </cell>
          <cell r="E323">
            <v>0</v>
          </cell>
          <cell r="F323">
            <v>107.12</v>
          </cell>
          <cell r="G323">
            <v>103.06</v>
          </cell>
          <cell r="H323">
            <v>127.6</v>
          </cell>
          <cell r="I323">
            <v>177.2</v>
          </cell>
          <cell r="J323">
            <v>0</v>
          </cell>
          <cell r="K323">
            <v>402.9</v>
          </cell>
          <cell r="L323">
            <v>0</v>
          </cell>
          <cell r="M323">
            <v>1045.6400000000001</v>
          </cell>
          <cell r="N323">
            <v>613.79999999999995</v>
          </cell>
          <cell r="O323">
            <v>0.01</v>
          </cell>
          <cell r="P323">
            <v>0</v>
          </cell>
          <cell r="Q323">
            <v>2577.33</v>
          </cell>
        </row>
        <row r="324">
          <cell r="A324">
            <v>55140</v>
          </cell>
          <cell r="B324" t="str">
            <v>Tires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</row>
        <row r="325">
          <cell r="A325">
            <v>55142</v>
          </cell>
          <cell r="B325" t="str">
            <v>Fuel Expense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</row>
        <row r="326">
          <cell r="A326">
            <v>55143</v>
          </cell>
          <cell r="B326" t="str">
            <v>Corporate Medical Waste Supplies</v>
          </cell>
          <cell r="E326">
            <v>0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</row>
        <row r="327">
          <cell r="A327">
            <v>55146</v>
          </cell>
          <cell r="B327" t="str">
            <v>Oil and Grease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</row>
        <row r="328">
          <cell r="A328">
            <v>55147</v>
          </cell>
          <cell r="B328" t="str">
            <v>Outside Repairs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</row>
        <row r="329">
          <cell r="A329">
            <v>55148</v>
          </cell>
          <cell r="B329" t="str">
            <v>Allocated Exp In - District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</row>
        <row r="330">
          <cell r="A330">
            <v>55149</v>
          </cell>
          <cell r="B330" t="str">
            <v>Allocated Exp In Out - District</v>
          </cell>
          <cell r="E330">
            <v>0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</row>
        <row r="331">
          <cell r="A331">
            <v>55150</v>
          </cell>
          <cell r="B331" t="str">
            <v>Utilities</v>
          </cell>
          <cell r="E331">
            <v>145.91</v>
          </cell>
          <cell r="F331">
            <v>170</v>
          </cell>
          <cell r="G331">
            <v>160.13999999999999</v>
          </cell>
          <cell r="H331">
            <v>153.57</v>
          </cell>
          <cell r="I331">
            <v>132.77000000000001</v>
          </cell>
          <cell r="J331">
            <v>124.01</v>
          </cell>
          <cell r="K331">
            <v>109.77</v>
          </cell>
          <cell r="L331">
            <v>522.32000000000005</v>
          </cell>
          <cell r="M331">
            <v>123.5</v>
          </cell>
          <cell r="N331">
            <v>114.69</v>
          </cell>
          <cell r="O331">
            <v>122.68</v>
          </cell>
          <cell r="P331">
            <v>122.68</v>
          </cell>
          <cell r="Q331">
            <v>2002.04</v>
          </cell>
        </row>
        <row r="332">
          <cell r="A332">
            <v>55181</v>
          </cell>
          <cell r="B332" t="str">
            <v>Freight</v>
          </cell>
          <cell r="E332">
            <v>0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</row>
        <row r="333">
          <cell r="A333">
            <v>55335</v>
          </cell>
          <cell r="B333" t="str">
            <v>Miscellaneous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</row>
        <row r="334">
          <cell r="A334">
            <v>55900</v>
          </cell>
          <cell r="B334" t="str">
            <v>Capitalized Costs</v>
          </cell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</row>
        <row r="335">
          <cell r="A335">
            <v>55998</v>
          </cell>
          <cell r="B335" t="str">
            <v>Allocation Out - District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</row>
        <row r="336">
          <cell r="A336">
            <v>55999</v>
          </cell>
          <cell r="B336" t="str">
            <v>Allocation Out - Out District</v>
          </cell>
          <cell r="E336">
            <v>0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</row>
        <row r="337">
          <cell r="A337" t="str">
            <v>Total Container</v>
          </cell>
          <cell r="E337">
            <v>22798.61</v>
          </cell>
          <cell r="F337">
            <v>21377.199999999997</v>
          </cell>
          <cell r="G337">
            <v>23084.41</v>
          </cell>
          <cell r="H337">
            <v>28922.319999999996</v>
          </cell>
          <cell r="I337">
            <v>20265.18</v>
          </cell>
          <cell r="J337">
            <v>19561.219999999998</v>
          </cell>
          <cell r="K337">
            <v>23043.72</v>
          </cell>
          <cell r="L337">
            <v>25697.919999999998</v>
          </cell>
          <cell r="M337">
            <v>22274.94</v>
          </cell>
          <cell r="N337">
            <v>17330.62</v>
          </cell>
          <cell r="O337">
            <v>19022.799999999996</v>
          </cell>
          <cell r="P337">
            <v>19436.920000000002</v>
          </cell>
          <cell r="Q337">
            <v>262815.86</v>
          </cell>
        </row>
        <row r="339">
          <cell r="A339" t="str">
            <v>Supervisor</v>
          </cell>
        </row>
        <row r="340">
          <cell r="A340">
            <v>56010</v>
          </cell>
          <cell r="B340" t="str">
            <v>Salaries</v>
          </cell>
          <cell r="E340">
            <v>21484.6</v>
          </cell>
          <cell r="F340">
            <v>20461.52</v>
          </cell>
          <cell r="G340">
            <v>23530.74</v>
          </cell>
          <cell r="H340">
            <v>22507.68</v>
          </cell>
          <cell r="I340">
            <v>21484.6</v>
          </cell>
          <cell r="J340">
            <v>22507.66</v>
          </cell>
          <cell r="K340">
            <v>22636.52</v>
          </cell>
          <cell r="L340">
            <v>22649.4</v>
          </cell>
          <cell r="M340">
            <v>22649.39</v>
          </cell>
          <cell r="N340">
            <v>21768.59</v>
          </cell>
          <cell r="O340">
            <v>22733.7</v>
          </cell>
          <cell r="P340">
            <v>23898.34</v>
          </cell>
          <cell r="Q340">
            <v>268312.74</v>
          </cell>
        </row>
        <row r="341">
          <cell r="A341">
            <v>56020</v>
          </cell>
          <cell r="B341" t="str">
            <v>Wages Regular</v>
          </cell>
          <cell r="E341">
            <v>4948.7299999999996</v>
          </cell>
          <cell r="F341">
            <v>4243.8599999999997</v>
          </cell>
          <cell r="G341">
            <v>5249.43</v>
          </cell>
          <cell r="H341">
            <v>5618.66</v>
          </cell>
          <cell r="I341">
            <v>4920.93</v>
          </cell>
          <cell r="J341">
            <v>5799.39</v>
          </cell>
          <cell r="K341">
            <v>5404.71</v>
          </cell>
          <cell r="L341">
            <v>5365.56</v>
          </cell>
          <cell r="M341">
            <v>4903.59</v>
          </cell>
          <cell r="N341">
            <v>5263.01</v>
          </cell>
          <cell r="O341">
            <v>5800.6</v>
          </cell>
          <cell r="P341">
            <v>5428.54</v>
          </cell>
          <cell r="Q341">
            <v>62947.01</v>
          </cell>
        </row>
        <row r="342">
          <cell r="A342">
            <v>56025</v>
          </cell>
          <cell r="B342" t="str">
            <v>Wages O.T.</v>
          </cell>
          <cell r="E342">
            <v>515.38</v>
          </cell>
          <cell r="F342">
            <v>23.34</v>
          </cell>
          <cell r="G342">
            <v>199.47</v>
          </cell>
          <cell r="H342">
            <v>439.74</v>
          </cell>
          <cell r="I342">
            <v>937.69</v>
          </cell>
          <cell r="J342">
            <v>676.04</v>
          </cell>
          <cell r="K342">
            <v>89.23</v>
          </cell>
          <cell r="L342">
            <v>691.05</v>
          </cell>
          <cell r="M342">
            <v>707.32</v>
          </cell>
          <cell r="N342">
            <v>322.20999999999998</v>
          </cell>
          <cell r="O342">
            <v>737.63</v>
          </cell>
          <cell r="P342">
            <v>791.29</v>
          </cell>
          <cell r="Q342">
            <v>6130.3899999999994</v>
          </cell>
        </row>
        <row r="343">
          <cell r="A343">
            <v>56035</v>
          </cell>
          <cell r="B343" t="str">
            <v>Safety Bonuses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</row>
        <row r="344">
          <cell r="A344">
            <v>56036</v>
          </cell>
          <cell r="B344" t="str">
            <v>Other Bonus/Commission - Non-Safety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</row>
        <row r="345">
          <cell r="A345">
            <v>56037</v>
          </cell>
          <cell r="B345" t="str">
            <v>Termination Pay</v>
          </cell>
          <cell r="E345">
            <v>0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</row>
        <row r="346">
          <cell r="A346">
            <v>56045</v>
          </cell>
          <cell r="B346" t="str">
            <v>Contract Labor</v>
          </cell>
          <cell r="E346">
            <v>0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</row>
        <row r="347">
          <cell r="A347">
            <v>56050</v>
          </cell>
          <cell r="B347" t="str">
            <v>Payroll Taxes</v>
          </cell>
          <cell r="E347">
            <v>3178.64</v>
          </cell>
          <cell r="F347">
            <v>2251.66</v>
          </cell>
          <cell r="G347">
            <v>2524.9499999999998</v>
          </cell>
          <cell r="H347">
            <v>2497.5100000000002</v>
          </cell>
          <cell r="I347">
            <v>2309.15</v>
          </cell>
          <cell r="J347">
            <v>2588.5</v>
          </cell>
          <cell r="K347">
            <v>2219.94</v>
          </cell>
          <cell r="L347">
            <v>1586.57</v>
          </cell>
          <cell r="M347">
            <v>1804.92</v>
          </cell>
          <cell r="N347">
            <v>1787.26</v>
          </cell>
          <cell r="O347">
            <v>1971.2</v>
          </cell>
          <cell r="P347">
            <v>1725.76</v>
          </cell>
          <cell r="Q347">
            <v>26446.059999999994</v>
          </cell>
        </row>
        <row r="348">
          <cell r="A348">
            <v>56060</v>
          </cell>
          <cell r="B348" t="str">
            <v>Group Insurance</v>
          </cell>
          <cell r="E348">
            <v>2508.5</v>
          </cell>
          <cell r="F348">
            <v>2315.5</v>
          </cell>
          <cell r="G348">
            <v>2043</v>
          </cell>
          <cell r="H348">
            <v>2781</v>
          </cell>
          <cell r="I348">
            <v>2412</v>
          </cell>
          <cell r="J348">
            <v>1237</v>
          </cell>
          <cell r="K348">
            <v>1237</v>
          </cell>
          <cell r="L348">
            <v>1237</v>
          </cell>
          <cell r="M348">
            <v>868</v>
          </cell>
          <cell r="N348">
            <v>1606</v>
          </cell>
          <cell r="O348">
            <v>1237</v>
          </cell>
          <cell r="P348">
            <v>1237</v>
          </cell>
          <cell r="Q348">
            <v>20719</v>
          </cell>
        </row>
        <row r="349">
          <cell r="A349">
            <v>56065</v>
          </cell>
          <cell r="B349" t="str">
            <v>Vacation Pay</v>
          </cell>
          <cell r="E349">
            <v>2015.83</v>
          </cell>
          <cell r="F349">
            <v>1112.7</v>
          </cell>
          <cell r="G349">
            <v>1240.4000000000001</v>
          </cell>
          <cell r="H349">
            <v>1221.3699999999999</v>
          </cell>
          <cell r="I349">
            <v>1789.21</v>
          </cell>
          <cell r="J349">
            <v>2096.9899999999998</v>
          </cell>
          <cell r="K349">
            <v>-3773.2</v>
          </cell>
          <cell r="L349">
            <v>-940.29</v>
          </cell>
          <cell r="M349">
            <v>2549.7399999999998</v>
          </cell>
          <cell r="N349">
            <v>360.95</v>
          </cell>
          <cell r="O349">
            <v>2162.4499999999998</v>
          </cell>
          <cell r="P349">
            <v>2200.5700000000002</v>
          </cell>
          <cell r="Q349">
            <v>12036.72</v>
          </cell>
        </row>
        <row r="350">
          <cell r="A350">
            <v>56070</v>
          </cell>
          <cell r="B350" t="str">
            <v>Sick Pay</v>
          </cell>
          <cell r="E350">
            <v>-88.92</v>
          </cell>
          <cell r="F350">
            <v>208.16</v>
          </cell>
          <cell r="G350">
            <v>-102.08</v>
          </cell>
          <cell r="H350">
            <v>0</v>
          </cell>
          <cell r="I350">
            <v>487.17</v>
          </cell>
          <cell r="J350">
            <v>-182.69</v>
          </cell>
          <cell r="K350">
            <v>304.48</v>
          </cell>
          <cell r="L350">
            <v>182.69</v>
          </cell>
          <cell r="M350">
            <v>124.67</v>
          </cell>
          <cell r="N350">
            <v>66.48</v>
          </cell>
          <cell r="O350">
            <v>0</v>
          </cell>
          <cell r="P350">
            <v>0</v>
          </cell>
          <cell r="Q350">
            <v>999.96000000000015</v>
          </cell>
        </row>
        <row r="351">
          <cell r="A351">
            <v>56086</v>
          </cell>
          <cell r="B351" t="str">
            <v>Safety and Training</v>
          </cell>
          <cell r="E351">
            <v>86.34</v>
          </cell>
          <cell r="F351">
            <v>16.23</v>
          </cell>
          <cell r="G351">
            <v>31.23</v>
          </cell>
          <cell r="H351">
            <v>21.48</v>
          </cell>
          <cell r="I351">
            <v>0</v>
          </cell>
          <cell r="J351">
            <v>64.92</v>
          </cell>
          <cell r="K351">
            <v>0</v>
          </cell>
          <cell r="L351">
            <v>80.650000000000006</v>
          </cell>
          <cell r="M351">
            <v>0</v>
          </cell>
          <cell r="N351">
            <v>121.71</v>
          </cell>
          <cell r="O351">
            <v>0</v>
          </cell>
          <cell r="P351">
            <v>0</v>
          </cell>
          <cell r="Q351">
            <v>422.56</v>
          </cell>
        </row>
        <row r="352">
          <cell r="A352">
            <v>56090</v>
          </cell>
          <cell r="B352" t="str">
            <v>Uniforms</v>
          </cell>
          <cell r="E352">
            <v>356.19</v>
          </cell>
          <cell r="F352">
            <v>519.97</v>
          </cell>
          <cell r="G352">
            <v>1421.43</v>
          </cell>
          <cell r="H352">
            <v>967.63</v>
          </cell>
          <cell r="I352">
            <v>1153.95</v>
          </cell>
          <cell r="J352">
            <v>1314.26</v>
          </cell>
          <cell r="K352">
            <v>1629.69</v>
          </cell>
          <cell r="L352">
            <v>1082.08</v>
          </cell>
          <cell r="M352">
            <v>1087.67</v>
          </cell>
          <cell r="N352">
            <v>1240.51</v>
          </cell>
          <cell r="O352">
            <v>1230.1199999999999</v>
          </cell>
          <cell r="P352">
            <v>1719.85</v>
          </cell>
          <cell r="Q352">
            <v>13723.35</v>
          </cell>
        </row>
        <row r="353">
          <cell r="A353">
            <v>56095</v>
          </cell>
          <cell r="B353" t="str">
            <v>Empl &amp; Commun Activ</v>
          </cell>
          <cell r="E353">
            <v>242.51</v>
          </cell>
          <cell r="F353">
            <v>-88.98</v>
          </cell>
          <cell r="G353">
            <v>0</v>
          </cell>
          <cell r="H353">
            <v>30.82</v>
          </cell>
          <cell r="I353">
            <v>161.91999999999999</v>
          </cell>
          <cell r="J353">
            <v>154.44999999999999</v>
          </cell>
          <cell r="K353">
            <v>0</v>
          </cell>
          <cell r="L353">
            <v>81.739999999999995</v>
          </cell>
          <cell r="M353">
            <v>97.68</v>
          </cell>
          <cell r="N353">
            <v>250.97</v>
          </cell>
          <cell r="O353">
            <v>-60.35</v>
          </cell>
          <cell r="P353">
            <v>0</v>
          </cell>
          <cell r="Q353">
            <v>870.75999999999988</v>
          </cell>
        </row>
        <row r="354">
          <cell r="A354">
            <v>56105</v>
          </cell>
          <cell r="B354" t="str">
            <v>Employee Relocation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</row>
        <row r="355">
          <cell r="A355">
            <v>56108</v>
          </cell>
          <cell r="B355" t="str">
            <v>School Tuition</v>
          </cell>
          <cell r="E355">
            <v>0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</row>
        <row r="356">
          <cell r="A356">
            <v>56115</v>
          </cell>
          <cell r="B356" t="str">
            <v>Pension and Profit Sharing</v>
          </cell>
          <cell r="E356">
            <v>259.32</v>
          </cell>
          <cell r="F356">
            <v>257.68</v>
          </cell>
          <cell r="G356">
            <v>386.43</v>
          </cell>
          <cell r="H356">
            <v>258.10000000000002</v>
          </cell>
          <cell r="I356">
            <v>332.41</v>
          </cell>
          <cell r="J356">
            <v>433.93</v>
          </cell>
          <cell r="K356">
            <v>427.05</v>
          </cell>
          <cell r="L356">
            <v>424.39</v>
          </cell>
          <cell r="M356">
            <v>428.34</v>
          </cell>
          <cell r="N356">
            <v>657.37</v>
          </cell>
          <cell r="O356">
            <v>545.69000000000005</v>
          </cell>
          <cell r="P356">
            <v>433.37</v>
          </cell>
          <cell r="Q356">
            <v>4844.0800000000008</v>
          </cell>
        </row>
        <row r="357">
          <cell r="A357">
            <v>56116</v>
          </cell>
          <cell r="B357" t="str">
            <v>Union Benefit Expense</v>
          </cell>
          <cell r="E357">
            <v>0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</row>
        <row r="358">
          <cell r="A358">
            <v>56117</v>
          </cell>
          <cell r="B358" t="str">
            <v>Union Pension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</row>
        <row r="359">
          <cell r="A359">
            <v>56125</v>
          </cell>
          <cell r="B359" t="str">
            <v>Operating Supplies</v>
          </cell>
          <cell r="E359">
            <v>391.66</v>
          </cell>
          <cell r="F359">
            <v>526.79999999999995</v>
          </cell>
          <cell r="G359">
            <v>580.32000000000005</v>
          </cell>
          <cell r="H359">
            <v>1039.98</v>
          </cell>
          <cell r="I359">
            <v>-623.28</v>
          </cell>
          <cell r="J359">
            <v>102.55</v>
          </cell>
          <cell r="K359">
            <v>582.14</v>
          </cell>
          <cell r="L359">
            <v>366.9</v>
          </cell>
          <cell r="M359">
            <v>350.1</v>
          </cell>
          <cell r="N359">
            <v>0</v>
          </cell>
          <cell r="O359">
            <v>255.27</v>
          </cell>
          <cell r="P359">
            <v>127.61</v>
          </cell>
          <cell r="Q359">
            <v>3700.05</v>
          </cell>
        </row>
        <row r="360">
          <cell r="A360">
            <v>56140</v>
          </cell>
          <cell r="B360" t="str">
            <v>Tires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</row>
        <row r="361">
          <cell r="A361">
            <v>56142</v>
          </cell>
          <cell r="B361" t="str">
            <v>Fuel Expense</v>
          </cell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</row>
        <row r="362">
          <cell r="A362">
            <v>56148</v>
          </cell>
          <cell r="B362" t="str">
            <v>Allocated Exp In - District</v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</row>
        <row r="363">
          <cell r="A363">
            <v>56149</v>
          </cell>
          <cell r="B363" t="str">
            <v>Allocated Exp In Out - District</v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</row>
        <row r="364">
          <cell r="A364">
            <v>56165</v>
          </cell>
          <cell r="B364" t="str">
            <v>Communications</v>
          </cell>
          <cell r="E364">
            <v>1519.45</v>
          </cell>
          <cell r="F364">
            <v>1450.07</v>
          </cell>
          <cell r="G364">
            <v>1554.65</v>
          </cell>
          <cell r="H364">
            <v>4434.3500000000004</v>
          </cell>
          <cell r="I364">
            <v>-1597.73</v>
          </cell>
          <cell r="J364">
            <v>1513.67</v>
          </cell>
          <cell r="K364">
            <v>1505.33</v>
          </cell>
          <cell r="L364">
            <v>5156.7</v>
          </cell>
          <cell r="M364">
            <v>1422.01</v>
          </cell>
          <cell r="N364">
            <v>1404.71</v>
          </cell>
          <cell r="O364">
            <v>4969.07</v>
          </cell>
          <cell r="P364">
            <v>2885.81</v>
          </cell>
          <cell r="Q364">
            <v>26218.09</v>
          </cell>
        </row>
        <row r="365">
          <cell r="A365">
            <v>56200</v>
          </cell>
          <cell r="B365" t="str">
            <v>Travel</v>
          </cell>
          <cell r="E365">
            <v>0</v>
          </cell>
          <cell r="F365">
            <v>23</v>
          </cell>
          <cell r="G365">
            <v>32.75</v>
          </cell>
          <cell r="H365">
            <v>17.62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14.84</v>
          </cell>
          <cell r="O365">
            <v>-12.97</v>
          </cell>
          <cell r="P365">
            <v>0</v>
          </cell>
          <cell r="Q365">
            <v>75.240000000000009</v>
          </cell>
        </row>
        <row r="366">
          <cell r="A366">
            <v>56201</v>
          </cell>
          <cell r="B366" t="str">
            <v>Meal and Entertainment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34.36</v>
          </cell>
          <cell r="K366">
            <v>0</v>
          </cell>
          <cell r="L366">
            <v>0</v>
          </cell>
          <cell r="M366">
            <v>0</v>
          </cell>
          <cell r="N366">
            <v>348.63</v>
          </cell>
          <cell r="O366">
            <v>-333.79</v>
          </cell>
          <cell r="P366">
            <v>0</v>
          </cell>
          <cell r="Q366">
            <v>49.199999999999989</v>
          </cell>
        </row>
        <row r="367">
          <cell r="A367">
            <v>56210</v>
          </cell>
          <cell r="B367" t="str">
            <v>Office Supply and Equip</v>
          </cell>
          <cell r="E367">
            <v>302.63</v>
          </cell>
          <cell r="F367">
            <v>422.29</v>
          </cell>
          <cell r="G367">
            <v>391.69</v>
          </cell>
          <cell r="H367">
            <v>179.55</v>
          </cell>
          <cell r="I367">
            <v>722.74</v>
          </cell>
          <cell r="J367">
            <v>352.24</v>
          </cell>
          <cell r="K367">
            <v>0</v>
          </cell>
          <cell r="L367">
            <v>741.46</v>
          </cell>
          <cell r="M367">
            <v>364.82</v>
          </cell>
          <cell r="N367">
            <v>0</v>
          </cell>
          <cell r="O367">
            <v>886.4</v>
          </cell>
          <cell r="P367">
            <v>0</v>
          </cell>
          <cell r="Q367">
            <v>4363.8200000000006</v>
          </cell>
        </row>
        <row r="368">
          <cell r="A368">
            <v>56335</v>
          </cell>
          <cell r="B368" t="str">
            <v>Miscellaneous</v>
          </cell>
          <cell r="E368">
            <v>0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</row>
        <row r="369">
          <cell r="A369">
            <v>56998</v>
          </cell>
          <cell r="B369" t="str">
            <v>Allocation Out - District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</row>
        <row r="370">
          <cell r="A370">
            <v>56999</v>
          </cell>
          <cell r="B370" t="str">
            <v>Allocation Out - Out District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</row>
        <row r="371">
          <cell r="A371" t="str">
            <v>Total Supervisor</v>
          </cell>
          <cell r="E371">
            <v>37720.86</v>
          </cell>
          <cell r="F371">
            <v>33743.800000000003</v>
          </cell>
          <cell r="G371">
            <v>39084.410000000011</v>
          </cell>
          <cell r="H371">
            <v>42015.490000000013</v>
          </cell>
          <cell r="I371">
            <v>34490.759999999995</v>
          </cell>
          <cell r="J371">
            <v>38693.26999999999</v>
          </cell>
          <cell r="K371">
            <v>32262.889999999992</v>
          </cell>
          <cell r="L371">
            <v>38705.899999999994</v>
          </cell>
          <cell r="M371">
            <v>37358.249999999993</v>
          </cell>
          <cell r="N371">
            <v>35213.239999999991</v>
          </cell>
          <cell r="O371">
            <v>42122.020000000004</v>
          </cell>
          <cell r="P371">
            <v>40448.14</v>
          </cell>
          <cell r="Q371">
            <v>451859.03</v>
          </cell>
        </row>
        <row r="373">
          <cell r="A373" t="str">
            <v>Other Operating Expense</v>
          </cell>
        </row>
        <row r="374">
          <cell r="A374">
            <v>46020</v>
          </cell>
          <cell r="B374" t="str">
            <v>Post Closure Amortization</v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</row>
        <row r="375">
          <cell r="A375">
            <v>57051</v>
          </cell>
          <cell r="B375" t="str">
            <v>AA Premiums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</row>
        <row r="376">
          <cell r="A376">
            <v>57125</v>
          </cell>
          <cell r="B376" t="str">
            <v>Operating Supplies</v>
          </cell>
          <cell r="E376">
            <v>0</v>
          </cell>
          <cell r="F376">
            <v>0</v>
          </cell>
          <cell r="G376">
            <v>0</v>
          </cell>
          <cell r="H376">
            <v>142.55000000000001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1177.5899999999999</v>
          </cell>
          <cell r="O376">
            <v>-1102.77</v>
          </cell>
          <cell r="P376">
            <v>0</v>
          </cell>
          <cell r="Q376">
            <v>217.36999999999989</v>
          </cell>
        </row>
        <row r="377">
          <cell r="A377">
            <v>57147</v>
          </cell>
          <cell r="B377" t="str">
            <v>Bldg &amp; Property</v>
          </cell>
          <cell r="E377">
            <v>5273.81</v>
          </cell>
          <cell r="F377">
            <v>1312.43</v>
          </cell>
          <cell r="G377">
            <v>1899.21</v>
          </cell>
          <cell r="H377">
            <v>1309.79</v>
          </cell>
          <cell r="I377">
            <v>1872.61</v>
          </cell>
          <cell r="J377">
            <v>1128</v>
          </cell>
          <cell r="K377">
            <v>1740.26</v>
          </cell>
          <cell r="L377">
            <v>3083.68</v>
          </cell>
          <cell r="M377">
            <v>2114.81</v>
          </cell>
          <cell r="N377">
            <v>1811.92</v>
          </cell>
          <cell r="O377">
            <v>3002.6</v>
          </cell>
          <cell r="P377">
            <v>2169.63</v>
          </cell>
          <cell r="Q377">
            <v>26718.750000000004</v>
          </cell>
        </row>
        <row r="378">
          <cell r="A378">
            <v>57148</v>
          </cell>
          <cell r="B378" t="str">
            <v>Allocated In - District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</row>
        <row r="379">
          <cell r="A379">
            <v>57149</v>
          </cell>
          <cell r="B379" t="str">
            <v>Allocated In - Out District</v>
          </cell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</row>
        <row r="380">
          <cell r="A380">
            <v>57150</v>
          </cell>
          <cell r="B380" t="str">
            <v>Utilities</v>
          </cell>
          <cell r="E380">
            <v>461.43</v>
          </cell>
          <cell r="F380">
            <v>96.57</v>
          </cell>
          <cell r="G380">
            <v>117.6</v>
          </cell>
          <cell r="H380">
            <v>83.43</v>
          </cell>
          <cell r="I380">
            <v>90.9</v>
          </cell>
          <cell r="J380">
            <v>57.15</v>
          </cell>
          <cell r="K380">
            <v>89.42</v>
          </cell>
          <cell r="L380">
            <v>52.59</v>
          </cell>
          <cell r="M380">
            <v>307.08</v>
          </cell>
          <cell r="N380">
            <v>59.56</v>
          </cell>
          <cell r="O380">
            <v>541.69000000000005</v>
          </cell>
          <cell r="P380">
            <v>104.21</v>
          </cell>
          <cell r="Q380">
            <v>2061.6299999999997</v>
          </cell>
        </row>
        <row r="381">
          <cell r="A381">
            <v>57165</v>
          </cell>
          <cell r="B381" t="str">
            <v>Communications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</row>
        <row r="382">
          <cell r="A382">
            <v>57166</v>
          </cell>
          <cell r="B382" t="str">
            <v>Leachate Treatment</v>
          </cell>
          <cell r="E382">
            <v>0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</row>
        <row r="383">
          <cell r="A383">
            <v>57170</v>
          </cell>
          <cell r="B383" t="str">
            <v>Real Estate Rentals</v>
          </cell>
          <cell r="E383">
            <v>5891.03</v>
          </cell>
          <cell r="F383">
            <v>6528.62</v>
          </cell>
          <cell r="G383">
            <v>5891.03</v>
          </cell>
          <cell r="H383">
            <v>5800.95</v>
          </cell>
          <cell r="I383">
            <v>5800.95</v>
          </cell>
          <cell r="J383">
            <v>5800.95</v>
          </cell>
          <cell r="K383">
            <v>5800.95</v>
          </cell>
          <cell r="L383">
            <v>5800.95</v>
          </cell>
          <cell r="M383">
            <v>4412</v>
          </cell>
          <cell r="N383">
            <v>4412</v>
          </cell>
          <cell r="O383">
            <v>5800.95</v>
          </cell>
          <cell r="P383">
            <v>13259</v>
          </cell>
          <cell r="Q383">
            <v>75199.37999999999</v>
          </cell>
        </row>
        <row r="384">
          <cell r="A384">
            <v>57175</v>
          </cell>
          <cell r="B384" t="str">
            <v>Equipment Vehicle Rental</v>
          </cell>
          <cell r="E384">
            <v>0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</row>
        <row r="385">
          <cell r="A385">
            <v>57185</v>
          </cell>
          <cell r="B385" t="str">
            <v>Postage</v>
          </cell>
          <cell r="E385">
            <v>0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</row>
        <row r="386">
          <cell r="A386">
            <v>57252</v>
          </cell>
          <cell r="B386" t="str">
            <v>Subcontract Expense</v>
          </cell>
          <cell r="E386">
            <v>0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</row>
        <row r="387">
          <cell r="A387">
            <v>57254</v>
          </cell>
          <cell r="B387" t="str">
            <v>Drive Cam Fees</v>
          </cell>
          <cell r="E387">
            <v>1912.5</v>
          </cell>
          <cell r="F387">
            <v>1912.5</v>
          </cell>
          <cell r="G387">
            <v>1912.5</v>
          </cell>
          <cell r="H387">
            <v>1912.5</v>
          </cell>
          <cell r="I387">
            <v>2520</v>
          </cell>
          <cell r="J387">
            <v>2520</v>
          </cell>
          <cell r="K387">
            <v>2678.73</v>
          </cell>
          <cell r="L387">
            <v>2580.4699999999998</v>
          </cell>
          <cell r="M387">
            <v>2576.33</v>
          </cell>
          <cell r="N387">
            <v>2636.37</v>
          </cell>
          <cell r="O387">
            <v>2511.33</v>
          </cell>
          <cell r="P387">
            <v>2531.54</v>
          </cell>
          <cell r="Q387">
            <v>28204.769999999997</v>
          </cell>
        </row>
        <row r="388">
          <cell r="A388">
            <v>57255</v>
          </cell>
          <cell r="B388" t="str">
            <v>Other Prof Fees</v>
          </cell>
          <cell r="E388">
            <v>0</v>
          </cell>
          <cell r="F388">
            <v>0</v>
          </cell>
          <cell r="G388">
            <v>4.5</v>
          </cell>
          <cell r="H388">
            <v>4.5</v>
          </cell>
          <cell r="I388">
            <v>4.5</v>
          </cell>
          <cell r="J388">
            <v>4.5</v>
          </cell>
          <cell r="K388">
            <v>18</v>
          </cell>
          <cell r="L388">
            <v>4.5</v>
          </cell>
          <cell r="M388">
            <v>4.5</v>
          </cell>
          <cell r="N388">
            <v>4.5</v>
          </cell>
          <cell r="O388">
            <v>4.5</v>
          </cell>
          <cell r="P388">
            <v>0</v>
          </cell>
          <cell r="Q388">
            <v>54</v>
          </cell>
        </row>
        <row r="389">
          <cell r="A389">
            <v>57256</v>
          </cell>
          <cell r="B389" t="str">
            <v>Laboratory Fees</v>
          </cell>
          <cell r="E389">
            <v>0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</row>
        <row r="390">
          <cell r="A390">
            <v>57257</v>
          </cell>
          <cell r="B390" t="str">
            <v>Engineering Fees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18100.03</v>
          </cell>
          <cell r="K390">
            <v>1254.3699999999999</v>
          </cell>
          <cell r="L390">
            <v>1448.12</v>
          </cell>
          <cell r="M390">
            <v>-11585</v>
          </cell>
          <cell r="N390">
            <v>0</v>
          </cell>
          <cell r="O390">
            <v>0</v>
          </cell>
          <cell r="P390">
            <v>0</v>
          </cell>
          <cell r="Q390">
            <v>9217.5199999999968</v>
          </cell>
        </row>
        <row r="391">
          <cell r="A391">
            <v>57275</v>
          </cell>
          <cell r="B391" t="str">
            <v>Property Taxes</v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</row>
        <row r="392">
          <cell r="A392">
            <v>57280</v>
          </cell>
          <cell r="B392" t="str">
            <v>Other Taxes</v>
          </cell>
          <cell r="E392">
            <v>459</v>
          </cell>
          <cell r="F392">
            <v>459</v>
          </cell>
          <cell r="G392">
            <v>459</v>
          </cell>
          <cell r="H392">
            <v>459</v>
          </cell>
          <cell r="I392">
            <v>459</v>
          </cell>
          <cell r="J392">
            <v>459</v>
          </cell>
          <cell r="K392">
            <v>459</v>
          </cell>
          <cell r="L392">
            <v>459</v>
          </cell>
          <cell r="M392">
            <v>459</v>
          </cell>
          <cell r="N392">
            <v>459</v>
          </cell>
          <cell r="O392">
            <v>459</v>
          </cell>
          <cell r="P392">
            <v>459</v>
          </cell>
          <cell r="Q392">
            <v>5508</v>
          </cell>
        </row>
        <row r="393">
          <cell r="A393">
            <v>57324</v>
          </cell>
          <cell r="B393" t="str">
            <v>Penalties and Violations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266.95</v>
          </cell>
          <cell r="O393">
            <v>0</v>
          </cell>
          <cell r="P393">
            <v>631.95000000000005</v>
          </cell>
          <cell r="Q393">
            <v>898.90000000000009</v>
          </cell>
        </row>
        <row r="394">
          <cell r="A394">
            <v>57335</v>
          </cell>
          <cell r="B394" t="str">
            <v>Miscellaneous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</row>
        <row r="395">
          <cell r="A395">
            <v>57345</v>
          </cell>
          <cell r="B395" t="str">
            <v>Secruity Services</v>
          </cell>
          <cell r="E395">
            <v>62.5</v>
          </cell>
          <cell r="F395">
            <v>62.5</v>
          </cell>
          <cell r="G395">
            <v>62.5</v>
          </cell>
          <cell r="H395">
            <v>62.5</v>
          </cell>
          <cell r="I395">
            <v>62.5</v>
          </cell>
          <cell r="J395">
            <v>62.5</v>
          </cell>
          <cell r="K395">
            <v>62.5</v>
          </cell>
          <cell r="L395">
            <v>62.5</v>
          </cell>
          <cell r="M395">
            <v>62.5</v>
          </cell>
          <cell r="N395">
            <v>0</v>
          </cell>
          <cell r="O395">
            <v>125</v>
          </cell>
          <cell r="P395">
            <v>0</v>
          </cell>
          <cell r="Q395">
            <v>687.5</v>
          </cell>
        </row>
        <row r="396">
          <cell r="A396">
            <v>57353</v>
          </cell>
          <cell r="B396" t="str">
            <v>Monitoring and Maint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</row>
        <row r="397">
          <cell r="A397">
            <v>57356</v>
          </cell>
          <cell r="B397" t="str">
            <v>Cover Cost</v>
          </cell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</row>
        <row r="398">
          <cell r="A398">
            <v>57357</v>
          </cell>
          <cell r="B398" t="str">
            <v>Permits</v>
          </cell>
          <cell r="E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15</v>
          </cell>
          <cell r="O398">
            <v>0</v>
          </cell>
          <cell r="P398">
            <v>80</v>
          </cell>
          <cell r="Q398">
            <v>95</v>
          </cell>
        </row>
        <row r="399">
          <cell r="A399">
            <v>57360</v>
          </cell>
          <cell r="B399" t="str">
            <v>Royalties</v>
          </cell>
          <cell r="E399">
            <v>0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</row>
        <row r="400">
          <cell r="A400">
            <v>57370</v>
          </cell>
          <cell r="B400" t="str">
            <v>Bonds Expense</v>
          </cell>
          <cell r="E400">
            <v>79.209999999999994</v>
          </cell>
          <cell r="F400">
            <v>79.209999999999994</v>
          </cell>
          <cell r="G400">
            <v>79.209999999999994</v>
          </cell>
          <cell r="H400">
            <v>129.57</v>
          </cell>
          <cell r="I400">
            <v>342.55</v>
          </cell>
          <cell r="J400">
            <v>129.55000000000001</v>
          </cell>
          <cell r="K400">
            <v>129.55000000000001</v>
          </cell>
          <cell r="L400">
            <v>129.55000000000001</v>
          </cell>
          <cell r="M400">
            <v>129.55000000000001</v>
          </cell>
          <cell r="N400">
            <v>129.55000000000001</v>
          </cell>
          <cell r="O400">
            <v>129.55000000000001</v>
          </cell>
          <cell r="P400">
            <v>39.549999999999997</v>
          </cell>
          <cell r="Q400">
            <v>1526.5999999999997</v>
          </cell>
        </row>
        <row r="401">
          <cell r="A401">
            <v>57900</v>
          </cell>
          <cell r="B401" t="str">
            <v>Capitalized Costs</v>
          </cell>
          <cell r="E401">
            <v>0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</row>
        <row r="402">
          <cell r="A402">
            <v>57998</v>
          </cell>
          <cell r="B402" t="str">
            <v>Allocation Out - District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</row>
        <row r="403">
          <cell r="A403">
            <v>57999</v>
          </cell>
          <cell r="B403" t="str">
            <v>Allocation Out - Out District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</row>
        <row r="404">
          <cell r="A404">
            <v>70265</v>
          </cell>
          <cell r="B404" t="str">
            <v>Amortization of Long Term Contracts</v>
          </cell>
          <cell r="E404">
            <v>0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</row>
        <row r="405">
          <cell r="A405">
            <v>80050</v>
          </cell>
          <cell r="B405" t="str">
            <v>Interest Expense Closure/Post Closure</v>
          </cell>
          <cell r="E405">
            <v>0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</row>
        <row r="406">
          <cell r="A406" t="str">
            <v>Total Other Operating Expense</v>
          </cell>
          <cell r="E406">
            <v>14139.48</v>
          </cell>
          <cell r="F406">
            <v>10450.829999999998</v>
          </cell>
          <cell r="G406">
            <v>10425.549999999999</v>
          </cell>
          <cell r="H406">
            <v>9904.7899999999991</v>
          </cell>
          <cell r="I406">
            <v>11153.009999999998</v>
          </cell>
          <cell r="J406">
            <v>28261.679999999997</v>
          </cell>
          <cell r="K406">
            <v>12232.779999999999</v>
          </cell>
          <cell r="L406">
            <v>13621.359999999997</v>
          </cell>
          <cell r="M406">
            <v>-1519.2300000000007</v>
          </cell>
          <cell r="N406">
            <v>10972.439999999999</v>
          </cell>
          <cell r="O406">
            <v>11471.849999999999</v>
          </cell>
          <cell r="P406">
            <v>19274.88</v>
          </cell>
          <cell r="Q406">
            <v>150389.41999999998</v>
          </cell>
        </row>
        <row r="408">
          <cell r="A408" t="str">
            <v>Insurance</v>
          </cell>
        </row>
        <row r="409">
          <cell r="A409">
            <v>59148</v>
          </cell>
          <cell r="B409" t="str">
            <v>Allocation In - District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</row>
        <row r="410">
          <cell r="A410">
            <v>59149</v>
          </cell>
          <cell r="B410" t="str">
            <v>Allocation In - Out District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</row>
        <row r="411">
          <cell r="A411">
            <v>59271</v>
          </cell>
          <cell r="B411" t="str">
            <v>Property and Liability Insurance</v>
          </cell>
          <cell r="E411">
            <v>0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</row>
        <row r="412">
          <cell r="A412">
            <v>59326</v>
          </cell>
          <cell r="B412" t="str">
            <v>Deductible - Current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</row>
        <row r="413">
          <cell r="A413">
            <v>59327</v>
          </cell>
          <cell r="B413" t="str">
            <v>Deductible - Damage</v>
          </cell>
          <cell r="E413">
            <v>0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</row>
        <row r="414">
          <cell r="A414">
            <v>59328</v>
          </cell>
          <cell r="B414" t="str">
            <v>Claim Recoveries</v>
          </cell>
          <cell r="E414">
            <v>0</v>
          </cell>
          <cell r="F414">
            <v>0</v>
          </cell>
          <cell r="G414">
            <v>-2328.46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-2328.46</v>
          </cell>
        </row>
        <row r="415">
          <cell r="A415">
            <v>59330</v>
          </cell>
          <cell r="B415" t="str">
            <v>Deduct - Prior Year</v>
          </cell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</row>
        <row r="416">
          <cell r="A416">
            <v>59331</v>
          </cell>
          <cell r="B416" t="str">
            <v>RM Fixed Costs</v>
          </cell>
          <cell r="E416">
            <v>0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</row>
        <row r="417">
          <cell r="A417">
            <v>59340</v>
          </cell>
          <cell r="B417" t="str">
            <v>Self Insurance Premium</v>
          </cell>
          <cell r="E417">
            <v>6884.94</v>
          </cell>
          <cell r="F417">
            <v>6884.94</v>
          </cell>
          <cell r="G417">
            <v>6884.94</v>
          </cell>
          <cell r="H417">
            <v>6884.94</v>
          </cell>
          <cell r="I417">
            <v>6884.94</v>
          </cell>
          <cell r="J417">
            <v>6884.94</v>
          </cell>
          <cell r="K417">
            <v>6884.94</v>
          </cell>
          <cell r="L417">
            <v>6884.94</v>
          </cell>
          <cell r="M417">
            <v>6884.94</v>
          </cell>
          <cell r="N417">
            <v>6884.94</v>
          </cell>
          <cell r="O417">
            <v>6884.94</v>
          </cell>
          <cell r="P417">
            <v>6884.94</v>
          </cell>
          <cell r="Q417">
            <v>82619.280000000013</v>
          </cell>
        </row>
        <row r="418">
          <cell r="A418">
            <v>59341</v>
          </cell>
          <cell r="B418" t="str">
            <v>A&amp;L - Current Year Claims</v>
          </cell>
          <cell r="E418">
            <v>0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2600</v>
          </cell>
          <cell r="Q418">
            <v>2600</v>
          </cell>
        </row>
        <row r="419">
          <cell r="A419">
            <v>59342</v>
          </cell>
          <cell r="B419" t="str">
            <v>A&amp;L - Prior Year Claims</v>
          </cell>
          <cell r="E419">
            <v>0</v>
          </cell>
          <cell r="F419">
            <v>0</v>
          </cell>
          <cell r="G419">
            <v>0</v>
          </cell>
          <cell r="H419">
            <v>0</v>
          </cell>
          <cell r="I419">
            <v>0.3</v>
          </cell>
          <cell r="J419">
            <v>-0.15</v>
          </cell>
          <cell r="K419">
            <v>1577.07</v>
          </cell>
          <cell r="L419">
            <v>0.05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1577.27</v>
          </cell>
        </row>
        <row r="420">
          <cell r="A420">
            <v>59343</v>
          </cell>
          <cell r="B420" t="str">
            <v>WC - Current Year Claims</v>
          </cell>
          <cell r="E420">
            <v>53330.6</v>
          </cell>
          <cell r="F420">
            <v>13301</v>
          </cell>
          <cell r="G420">
            <v>13532.93</v>
          </cell>
          <cell r="H420">
            <v>-35945.980000000003</v>
          </cell>
          <cell r="I420">
            <v>151.47999999999999</v>
          </cell>
          <cell r="J420">
            <v>0</v>
          </cell>
          <cell r="K420">
            <v>-5630.29</v>
          </cell>
          <cell r="L420">
            <v>19.420000000000002</v>
          </cell>
          <cell r="M420">
            <v>28.64</v>
          </cell>
          <cell r="N420">
            <v>6955.88</v>
          </cell>
          <cell r="O420">
            <v>11900</v>
          </cell>
          <cell r="P420">
            <v>2180.23</v>
          </cell>
          <cell r="Q420">
            <v>59823.909999999996</v>
          </cell>
        </row>
        <row r="421">
          <cell r="A421">
            <v>59344</v>
          </cell>
          <cell r="B421" t="str">
            <v>WC - Prior Year Claims</v>
          </cell>
          <cell r="E421">
            <v>0</v>
          </cell>
          <cell r="F421">
            <v>0</v>
          </cell>
          <cell r="G421">
            <v>0</v>
          </cell>
          <cell r="H421">
            <v>66006.16</v>
          </cell>
          <cell r="I421">
            <v>2800</v>
          </cell>
          <cell r="J421">
            <v>-3742.81</v>
          </cell>
          <cell r="K421">
            <v>36406.36</v>
          </cell>
          <cell r="L421">
            <v>0</v>
          </cell>
          <cell r="M421">
            <v>28.28</v>
          </cell>
          <cell r="N421">
            <v>4000</v>
          </cell>
          <cell r="O421">
            <v>-547</v>
          </cell>
          <cell r="P421">
            <v>12729.61</v>
          </cell>
          <cell r="Q421">
            <v>117680.6</v>
          </cell>
        </row>
        <row r="422">
          <cell r="A422">
            <v>59350</v>
          </cell>
          <cell r="B422" t="str">
            <v>Self Isurance IBNR Estimates</v>
          </cell>
          <cell r="E422">
            <v>0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</row>
        <row r="423">
          <cell r="A423">
            <v>59400</v>
          </cell>
          <cell r="B423" t="str">
            <v>Damages paid by District</v>
          </cell>
          <cell r="E423">
            <v>-3539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2099.67</v>
          </cell>
          <cell r="Q423">
            <v>-1439.33</v>
          </cell>
        </row>
        <row r="424">
          <cell r="A424">
            <v>59401</v>
          </cell>
          <cell r="B424" t="str">
            <v>Insurance claim repairs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</row>
        <row r="425">
          <cell r="A425">
            <v>59500</v>
          </cell>
          <cell r="B425" t="str">
            <v>Workers Comp Prem</v>
          </cell>
          <cell r="E425">
            <v>1104</v>
          </cell>
          <cell r="F425">
            <v>4000</v>
          </cell>
          <cell r="G425">
            <v>4000</v>
          </cell>
          <cell r="H425">
            <v>2000</v>
          </cell>
          <cell r="I425">
            <v>1000</v>
          </cell>
          <cell r="J425">
            <v>2000</v>
          </cell>
          <cell r="K425">
            <v>2000</v>
          </cell>
          <cell r="L425">
            <v>2000</v>
          </cell>
          <cell r="M425">
            <v>3000</v>
          </cell>
          <cell r="N425">
            <v>3000</v>
          </cell>
          <cell r="O425">
            <v>3000</v>
          </cell>
          <cell r="P425">
            <v>0</v>
          </cell>
          <cell r="Q425">
            <v>27104</v>
          </cell>
        </row>
        <row r="426">
          <cell r="A426">
            <v>59998</v>
          </cell>
          <cell r="B426" t="str">
            <v>Allocation Out - District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</row>
        <row r="427">
          <cell r="A427">
            <v>59999</v>
          </cell>
          <cell r="B427" t="str">
            <v>Allocation Out - Out District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</row>
        <row r="428">
          <cell r="A428" t="str">
            <v>Total Insurance</v>
          </cell>
          <cell r="E428">
            <v>57780.54</v>
          </cell>
          <cell r="F428">
            <v>24185.94</v>
          </cell>
          <cell r="G428">
            <v>22089.41</v>
          </cell>
          <cell r="H428">
            <v>38945.119999999995</v>
          </cell>
          <cell r="I428">
            <v>10836.72</v>
          </cell>
          <cell r="J428">
            <v>5141.9799999999996</v>
          </cell>
          <cell r="K428">
            <v>41238.080000000002</v>
          </cell>
          <cell r="L428">
            <v>8904.41</v>
          </cell>
          <cell r="M428">
            <v>9941.86</v>
          </cell>
          <cell r="N428">
            <v>20840.82</v>
          </cell>
          <cell r="O428">
            <v>21237.94</v>
          </cell>
          <cell r="P428">
            <v>26494.449999999997</v>
          </cell>
          <cell r="Q428">
            <v>287637.27</v>
          </cell>
        </row>
        <row r="430">
          <cell r="A430" t="str">
            <v>Disposal of Assets and Operations</v>
          </cell>
        </row>
        <row r="431">
          <cell r="A431">
            <v>72000</v>
          </cell>
          <cell r="B431" t="str">
            <v>Gain/Loss on Disposal of Operations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</row>
        <row r="432">
          <cell r="A432">
            <v>91010</v>
          </cell>
          <cell r="B432" t="str">
            <v>Gain/Loss on Sale of Asset</v>
          </cell>
          <cell r="E432">
            <v>0</v>
          </cell>
          <cell r="F432">
            <v>0</v>
          </cell>
          <cell r="G432">
            <v>0</v>
          </cell>
          <cell r="H432">
            <v>145.82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145.82</v>
          </cell>
        </row>
        <row r="433">
          <cell r="A433" t="str">
            <v>Total Disposal of Assets and Operations</v>
          </cell>
          <cell r="E433">
            <v>0</v>
          </cell>
          <cell r="F433">
            <v>0</v>
          </cell>
          <cell r="G433">
            <v>0</v>
          </cell>
          <cell r="H433">
            <v>145.82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145.82</v>
          </cell>
        </row>
        <row r="435">
          <cell r="A435" t="str">
            <v>Total Operating Costs</v>
          </cell>
          <cell r="E435">
            <v>556322.18999999994</v>
          </cell>
          <cell r="F435">
            <v>483088.13</v>
          </cell>
          <cell r="G435">
            <v>533902.79</v>
          </cell>
          <cell r="H435">
            <v>564081.47</v>
          </cell>
          <cell r="I435">
            <v>483474.26</v>
          </cell>
          <cell r="J435">
            <v>500744.69999999995</v>
          </cell>
          <cell r="K435">
            <v>514379.49999999994</v>
          </cell>
          <cell r="L435">
            <v>499533.73</v>
          </cell>
          <cell r="M435">
            <v>480587.02</v>
          </cell>
          <cell r="N435">
            <v>468427.15999999992</v>
          </cell>
          <cell r="O435">
            <v>510740</v>
          </cell>
          <cell r="P435">
            <v>507649</v>
          </cell>
          <cell r="Q435">
            <v>6102929.9500000002</v>
          </cell>
        </row>
        <row r="437">
          <cell r="A437" t="str">
            <v>Gross Profit</v>
          </cell>
          <cell r="E437">
            <v>283635.74000000011</v>
          </cell>
          <cell r="F437">
            <v>397011.87</v>
          </cell>
          <cell r="G437">
            <v>293409.25999999989</v>
          </cell>
          <cell r="H437">
            <v>295183.43000000005</v>
          </cell>
          <cell r="I437">
            <v>372092.71999999974</v>
          </cell>
          <cell r="J437">
            <v>350748.59000000008</v>
          </cell>
          <cell r="K437">
            <v>347516.12000000005</v>
          </cell>
          <cell r="L437">
            <v>388020.01</v>
          </cell>
          <cell r="M437">
            <v>377828.52</v>
          </cell>
          <cell r="N437">
            <v>382225.52999999991</v>
          </cell>
          <cell r="O437">
            <v>311431.2100000002</v>
          </cell>
          <cell r="P437">
            <v>306754.91999999981</v>
          </cell>
          <cell r="Q437">
            <v>4105857.9199999953</v>
          </cell>
        </row>
        <row r="439">
          <cell r="A439" t="str">
            <v>SG&amp;A</v>
          </cell>
        </row>
        <row r="440">
          <cell r="A440" t="str">
            <v>Sales</v>
          </cell>
        </row>
        <row r="441">
          <cell r="A441">
            <v>60010</v>
          </cell>
          <cell r="B441" t="str">
            <v>Salaries</v>
          </cell>
          <cell r="E441">
            <v>0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</row>
        <row r="442">
          <cell r="A442">
            <v>60020</v>
          </cell>
          <cell r="B442" t="str">
            <v>Wages Regular</v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</row>
        <row r="443">
          <cell r="A443">
            <v>60025</v>
          </cell>
          <cell r="B443" t="str">
            <v>Wages O.T.</v>
          </cell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</row>
        <row r="444">
          <cell r="A444">
            <v>60030</v>
          </cell>
          <cell r="B444" t="str">
            <v>Bonuses and Commissions</v>
          </cell>
          <cell r="E444">
            <v>0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</row>
        <row r="445">
          <cell r="A445">
            <v>60035</v>
          </cell>
          <cell r="B445" t="str">
            <v>Safety Bonuses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</row>
        <row r="446">
          <cell r="A446">
            <v>60037</v>
          </cell>
          <cell r="B446" t="str">
            <v>Termination Pay</v>
          </cell>
          <cell r="E446">
            <v>0</v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  <cell r="Q446">
            <v>0</v>
          </cell>
        </row>
        <row r="447">
          <cell r="A447">
            <v>60045</v>
          </cell>
          <cell r="B447" t="str">
            <v>Contract Labor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</row>
        <row r="448">
          <cell r="A448">
            <v>60050</v>
          </cell>
          <cell r="B448" t="str">
            <v>Payroll Taxes</v>
          </cell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</row>
        <row r="449">
          <cell r="A449">
            <v>60060</v>
          </cell>
          <cell r="B449" t="str">
            <v>Group Insurance</v>
          </cell>
          <cell r="E449">
            <v>0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</row>
        <row r="450">
          <cell r="A450">
            <v>60065</v>
          </cell>
          <cell r="B450" t="str">
            <v>Vacation Pay</v>
          </cell>
          <cell r="E450">
            <v>0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</row>
        <row r="451">
          <cell r="A451">
            <v>60070</v>
          </cell>
          <cell r="B451" t="str">
            <v>Sick Pay</v>
          </cell>
          <cell r="E451">
            <v>0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</row>
        <row r="452">
          <cell r="A452">
            <v>60086</v>
          </cell>
          <cell r="B452" t="str">
            <v>Safety and Training</v>
          </cell>
          <cell r="E452">
            <v>0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</row>
        <row r="453">
          <cell r="A453">
            <v>60095</v>
          </cell>
          <cell r="B453" t="str">
            <v>Empl &amp; Commun Activ</v>
          </cell>
          <cell r="E453">
            <v>0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</row>
        <row r="454">
          <cell r="A454">
            <v>60105</v>
          </cell>
          <cell r="B454" t="str">
            <v>Employee Relocation</v>
          </cell>
          <cell r="E454">
            <v>0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</row>
        <row r="455">
          <cell r="A455">
            <v>60115</v>
          </cell>
          <cell r="B455" t="str">
            <v>School Tuition</v>
          </cell>
          <cell r="E455">
            <v>0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</row>
        <row r="456">
          <cell r="A456">
            <v>60116</v>
          </cell>
          <cell r="B456" t="str">
            <v>Pension and Profit Sharing</v>
          </cell>
          <cell r="E456">
            <v>0</v>
          </cell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</row>
        <row r="457">
          <cell r="A457">
            <v>60117</v>
          </cell>
          <cell r="B457" t="str">
            <v>Union Pension</v>
          </cell>
          <cell r="E457">
            <v>0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</row>
        <row r="458">
          <cell r="A458">
            <v>60148</v>
          </cell>
          <cell r="B458" t="str">
            <v>Allocated Exp In - District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</row>
        <row r="459">
          <cell r="A459">
            <v>60149</v>
          </cell>
          <cell r="B459" t="str">
            <v>Allocated Exp In Out - District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</row>
        <row r="460">
          <cell r="A460">
            <v>60165</v>
          </cell>
          <cell r="B460" t="str">
            <v>Communications</v>
          </cell>
          <cell r="E460">
            <v>0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</row>
        <row r="461">
          <cell r="A461">
            <v>60170</v>
          </cell>
          <cell r="B461" t="str">
            <v>Real Estate Rentals</v>
          </cell>
          <cell r="E461">
            <v>0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</row>
        <row r="462">
          <cell r="A462">
            <v>60175</v>
          </cell>
          <cell r="B462" t="str">
            <v>Equip/Vehicle Rental</v>
          </cell>
          <cell r="E462">
            <v>0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</row>
        <row r="463">
          <cell r="A463">
            <v>60185</v>
          </cell>
          <cell r="B463" t="str">
            <v>Postage</v>
          </cell>
          <cell r="E463">
            <v>0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</row>
        <row r="464">
          <cell r="A464">
            <v>60195</v>
          </cell>
          <cell r="B464" t="str">
            <v>Dues and Subscriptions</v>
          </cell>
          <cell r="E464">
            <v>0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</row>
        <row r="465">
          <cell r="A465">
            <v>60196</v>
          </cell>
          <cell r="B465" t="str">
            <v>Club Dues</v>
          </cell>
          <cell r="E465">
            <v>0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</row>
        <row r="466">
          <cell r="A466">
            <v>60200</v>
          </cell>
          <cell r="B466" t="str">
            <v>Travel</v>
          </cell>
          <cell r="E466">
            <v>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</row>
        <row r="467">
          <cell r="A467">
            <v>60201</v>
          </cell>
          <cell r="B467" t="str">
            <v>Entertainment</v>
          </cell>
          <cell r="E467">
            <v>0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</row>
        <row r="468">
          <cell r="A468">
            <v>60205</v>
          </cell>
          <cell r="B468" t="str">
            <v>Travel - Auto</v>
          </cell>
          <cell r="E468">
            <v>0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</row>
        <row r="469">
          <cell r="A469">
            <v>60210</v>
          </cell>
          <cell r="B469" t="str">
            <v>Office Supplies and Equip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</row>
        <row r="470">
          <cell r="A470">
            <v>60225</v>
          </cell>
          <cell r="B470" t="str">
            <v>Advertising and Promotions</v>
          </cell>
          <cell r="E470">
            <v>0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3237.6</v>
          </cell>
          <cell r="Q470">
            <v>3237.6</v>
          </cell>
        </row>
        <row r="471">
          <cell r="A471">
            <v>60234</v>
          </cell>
          <cell r="B471" t="str">
            <v>O/S Sales Exp</v>
          </cell>
          <cell r="E471">
            <v>0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</row>
        <row r="472">
          <cell r="A472">
            <v>60255</v>
          </cell>
          <cell r="B472" t="str">
            <v>Other Prof Fees</v>
          </cell>
          <cell r="E472">
            <v>0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</row>
        <row r="473">
          <cell r="A473">
            <v>60326</v>
          </cell>
          <cell r="B473" t="str">
            <v>Deduct - Current Yr</v>
          </cell>
          <cell r="E473">
            <v>0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</row>
        <row r="474">
          <cell r="A474">
            <v>60327</v>
          </cell>
          <cell r="B474" t="str">
            <v>Deduct - Damage</v>
          </cell>
          <cell r="E474">
            <v>0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</row>
        <row r="475">
          <cell r="A475">
            <v>60328</v>
          </cell>
          <cell r="B475" t="str">
            <v>Claim Recoveries</v>
          </cell>
          <cell r="E475">
            <v>0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</row>
        <row r="476">
          <cell r="A476">
            <v>60330</v>
          </cell>
          <cell r="B476" t="str">
            <v>Deduct Prior Year</v>
          </cell>
          <cell r="E476">
            <v>0</v>
          </cell>
          <cell r="F476">
            <v>0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</row>
        <row r="477">
          <cell r="A477">
            <v>60335</v>
          </cell>
          <cell r="B477" t="str">
            <v>Miscellaneous</v>
          </cell>
          <cell r="E477">
            <v>0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</row>
        <row r="478">
          <cell r="A478">
            <v>60998</v>
          </cell>
          <cell r="B478" t="str">
            <v>Allocation Out - District</v>
          </cell>
          <cell r="E478">
            <v>0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</row>
        <row r="479">
          <cell r="A479">
            <v>60999</v>
          </cell>
          <cell r="B479" t="str">
            <v>Allocation Out - Out District</v>
          </cell>
          <cell r="E479">
            <v>0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</row>
        <row r="480">
          <cell r="A480" t="str">
            <v>Total Sales</v>
          </cell>
          <cell r="E480">
            <v>0</v>
          </cell>
          <cell r="F480">
            <v>0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3237.6</v>
          </cell>
          <cell r="Q480">
            <v>3237.6</v>
          </cell>
        </row>
        <row r="482">
          <cell r="A482" t="str">
            <v>G&amp;A</v>
          </cell>
        </row>
        <row r="483">
          <cell r="A483">
            <v>70010</v>
          </cell>
          <cell r="B483" t="str">
            <v>Salaries</v>
          </cell>
          <cell r="E483">
            <v>28808.37</v>
          </cell>
          <cell r="F483">
            <v>29237.93</v>
          </cell>
          <cell r="G483">
            <v>34055.660000000003</v>
          </cell>
          <cell r="H483">
            <v>32303.54</v>
          </cell>
          <cell r="I483">
            <v>32394.99</v>
          </cell>
          <cell r="J483">
            <v>34374</v>
          </cell>
          <cell r="K483">
            <v>35547.46</v>
          </cell>
          <cell r="L483">
            <v>34794.910000000003</v>
          </cell>
          <cell r="M483">
            <v>35448.120000000003</v>
          </cell>
          <cell r="N483">
            <v>34195.99</v>
          </cell>
          <cell r="O483">
            <v>35269.089999999997</v>
          </cell>
          <cell r="P483">
            <v>37099.64</v>
          </cell>
          <cell r="Q483">
            <v>403529.69999999995</v>
          </cell>
        </row>
        <row r="484">
          <cell r="A484">
            <v>70015</v>
          </cell>
          <cell r="B484" t="str">
            <v>Deferred Comp Earnings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</row>
        <row r="485">
          <cell r="A485">
            <v>70020</v>
          </cell>
          <cell r="B485" t="str">
            <v>Wages Regular</v>
          </cell>
          <cell r="E485">
            <v>28572.240000000002</v>
          </cell>
          <cell r="F485">
            <v>30096.06</v>
          </cell>
          <cell r="G485">
            <v>32883.68</v>
          </cell>
          <cell r="H485">
            <v>33553.279999999999</v>
          </cell>
          <cell r="I485">
            <v>27323.32</v>
          </cell>
          <cell r="J485">
            <v>31281.360000000001</v>
          </cell>
          <cell r="K485">
            <v>28636.82</v>
          </cell>
          <cell r="L485">
            <v>32591.07</v>
          </cell>
          <cell r="M485">
            <v>25152.99</v>
          </cell>
          <cell r="N485">
            <v>26476.49</v>
          </cell>
          <cell r="O485">
            <v>29556.5</v>
          </cell>
          <cell r="P485">
            <v>26409.97</v>
          </cell>
          <cell r="Q485">
            <v>352533.78</v>
          </cell>
        </row>
        <row r="486">
          <cell r="A486">
            <v>70025</v>
          </cell>
          <cell r="B486" t="str">
            <v>Wages O.T.</v>
          </cell>
          <cell r="E486">
            <v>1534.05</v>
          </cell>
          <cell r="F486">
            <v>1546.14</v>
          </cell>
          <cell r="G486">
            <v>1142.1400000000001</v>
          </cell>
          <cell r="H486">
            <v>1991.39</v>
          </cell>
          <cell r="I486">
            <v>1423.14</v>
          </cell>
          <cell r="J486">
            <v>1581.5</v>
          </cell>
          <cell r="K486">
            <v>577.54</v>
          </cell>
          <cell r="L486">
            <v>3583.2</v>
          </cell>
          <cell r="M486">
            <v>1079.97</v>
          </cell>
          <cell r="N486">
            <v>1516.27</v>
          </cell>
          <cell r="O486">
            <v>2000.96</v>
          </cell>
          <cell r="P486">
            <v>1477.46</v>
          </cell>
          <cell r="Q486">
            <v>19453.760000000002</v>
          </cell>
        </row>
        <row r="487">
          <cell r="A487">
            <v>70030</v>
          </cell>
          <cell r="B487" t="str">
            <v>Corp Allocated Bonus</v>
          </cell>
          <cell r="E487">
            <v>0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</row>
        <row r="488">
          <cell r="A488">
            <v>70035</v>
          </cell>
          <cell r="B488" t="str">
            <v>Safety Bonuses</v>
          </cell>
          <cell r="E488">
            <v>0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</row>
        <row r="489">
          <cell r="A489">
            <v>70036</v>
          </cell>
          <cell r="B489" t="str">
            <v>Other Bonus/Commission - Non-Safety</v>
          </cell>
          <cell r="E489">
            <v>1075</v>
          </cell>
          <cell r="F489">
            <v>1675</v>
          </cell>
          <cell r="G489">
            <v>7455.5</v>
          </cell>
          <cell r="H489">
            <v>3066.38</v>
          </cell>
          <cell r="I489">
            <v>1438.95</v>
          </cell>
          <cell r="J489">
            <v>3016.36</v>
          </cell>
          <cell r="K489">
            <v>2625</v>
          </cell>
          <cell r="L489">
            <v>2678.43</v>
          </cell>
          <cell r="M489">
            <v>2913.79</v>
          </cell>
          <cell r="N489">
            <v>1746.4</v>
          </cell>
          <cell r="O489">
            <v>2652.32</v>
          </cell>
          <cell r="P489">
            <v>5362.05</v>
          </cell>
          <cell r="Q489">
            <v>35705.180000000008</v>
          </cell>
        </row>
        <row r="490">
          <cell r="A490">
            <v>70037</v>
          </cell>
          <cell r="B490" t="str">
            <v>Termination Pay</v>
          </cell>
          <cell r="E490">
            <v>0</v>
          </cell>
          <cell r="F490">
            <v>0</v>
          </cell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</row>
        <row r="491">
          <cell r="A491">
            <v>70045</v>
          </cell>
          <cell r="B491" t="str">
            <v>Contract Labor</v>
          </cell>
          <cell r="E491">
            <v>0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  <cell r="Q491">
            <v>0</v>
          </cell>
        </row>
        <row r="492">
          <cell r="A492">
            <v>70050</v>
          </cell>
          <cell r="B492" t="str">
            <v>Payroll Taxes</v>
          </cell>
          <cell r="E492">
            <v>7335.33</v>
          </cell>
          <cell r="F492">
            <v>5253.85</v>
          </cell>
          <cell r="G492">
            <v>6887.21</v>
          </cell>
          <cell r="H492">
            <v>5839.13</v>
          </cell>
          <cell r="I492">
            <v>4643.53</v>
          </cell>
          <cell r="J492">
            <v>5669.76</v>
          </cell>
          <cell r="K492">
            <v>4555.33</v>
          </cell>
          <cell r="L492">
            <v>5742.05</v>
          </cell>
          <cell r="M492">
            <v>4517.6899999999996</v>
          </cell>
          <cell r="N492">
            <v>4408.2</v>
          </cell>
          <cell r="O492">
            <v>4942.4399999999996</v>
          </cell>
          <cell r="P492">
            <v>5199.09</v>
          </cell>
          <cell r="Q492">
            <v>64993.61</v>
          </cell>
        </row>
        <row r="493">
          <cell r="A493">
            <v>70060</v>
          </cell>
          <cell r="B493" t="str">
            <v>Group Insurance</v>
          </cell>
          <cell r="E493">
            <v>11410.52</v>
          </cell>
          <cell r="F493">
            <v>11524.58</v>
          </cell>
          <cell r="G493">
            <v>10554.24</v>
          </cell>
          <cell r="H493">
            <v>13084.2</v>
          </cell>
          <cell r="I493">
            <v>12115.75</v>
          </cell>
          <cell r="J493">
            <v>12494.37</v>
          </cell>
          <cell r="K493">
            <v>12559.75</v>
          </cell>
          <cell r="L493">
            <v>12415.93</v>
          </cell>
          <cell r="M493">
            <v>11362.28</v>
          </cell>
          <cell r="N493">
            <v>13749.11</v>
          </cell>
          <cell r="O493">
            <v>12593.52</v>
          </cell>
          <cell r="P493">
            <v>12600.59</v>
          </cell>
          <cell r="Q493">
            <v>146464.84</v>
          </cell>
        </row>
        <row r="494">
          <cell r="A494">
            <v>70065</v>
          </cell>
          <cell r="B494" t="str">
            <v>Vacation Pay</v>
          </cell>
          <cell r="E494">
            <v>1582.88</v>
          </cell>
          <cell r="F494">
            <v>4413.99</v>
          </cell>
          <cell r="G494">
            <v>48.78</v>
          </cell>
          <cell r="H494">
            <v>2185.79</v>
          </cell>
          <cell r="I494">
            <v>4000.59</v>
          </cell>
          <cell r="J494">
            <v>-891.88</v>
          </cell>
          <cell r="K494">
            <v>4756.8500000000004</v>
          </cell>
          <cell r="L494">
            <v>2920.08</v>
          </cell>
          <cell r="M494">
            <v>4784.29</v>
          </cell>
          <cell r="N494">
            <v>3124.36</v>
          </cell>
          <cell r="O494">
            <v>2610.1999999999998</v>
          </cell>
          <cell r="P494">
            <v>4173.68</v>
          </cell>
          <cell r="Q494">
            <v>33709.61</v>
          </cell>
        </row>
        <row r="495">
          <cell r="A495">
            <v>70070</v>
          </cell>
          <cell r="B495" t="str">
            <v>Sick Pay</v>
          </cell>
          <cell r="E495">
            <v>396.68</v>
          </cell>
          <cell r="F495">
            <v>680.36</v>
          </cell>
          <cell r="G495">
            <v>1133.57</v>
          </cell>
          <cell r="H495">
            <v>674.93</v>
          </cell>
          <cell r="I495">
            <v>892.47</v>
          </cell>
          <cell r="J495">
            <v>554.58000000000004</v>
          </cell>
          <cell r="K495">
            <v>198.93</v>
          </cell>
          <cell r="L495">
            <v>122.21</v>
          </cell>
          <cell r="M495">
            <v>727.21</v>
          </cell>
          <cell r="N495">
            <v>366.82</v>
          </cell>
          <cell r="O495">
            <v>768.29</v>
          </cell>
          <cell r="P495">
            <v>121.28</v>
          </cell>
          <cell r="Q495">
            <v>6637.329999999999</v>
          </cell>
        </row>
        <row r="496">
          <cell r="A496">
            <v>70086</v>
          </cell>
          <cell r="B496" t="str">
            <v>Safety and Training</v>
          </cell>
          <cell r="E496">
            <v>14.8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35.6</v>
          </cell>
          <cell r="K496">
            <v>0</v>
          </cell>
          <cell r="L496">
            <v>70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120.4</v>
          </cell>
        </row>
        <row r="497">
          <cell r="A497">
            <v>70090</v>
          </cell>
          <cell r="B497" t="str">
            <v>WCN Training</v>
          </cell>
          <cell r="E497">
            <v>0</v>
          </cell>
          <cell r="F497">
            <v>0</v>
          </cell>
          <cell r="G497">
            <v>0</v>
          </cell>
          <cell r="H497">
            <v>0</v>
          </cell>
          <cell r="I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708.81</v>
          </cell>
          <cell r="O497">
            <v>-708.81</v>
          </cell>
          <cell r="P497">
            <v>0</v>
          </cell>
          <cell r="Q497">
            <v>0</v>
          </cell>
        </row>
        <row r="498">
          <cell r="A498">
            <v>70095</v>
          </cell>
          <cell r="B498" t="str">
            <v>Empl &amp; Commun Activ</v>
          </cell>
          <cell r="E498">
            <v>16986.41</v>
          </cell>
          <cell r="F498">
            <v>158.86000000000001</v>
          </cell>
          <cell r="G498">
            <v>1019.92</v>
          </cell>
          <cell r="H498">
            <v>210.51</v>
          </cell>
          <cell r="I498">
            <v>1580.13</v>
          </cell>
          <cell r="J498">
            <v>4162.7</v>
          </cell>
          <cell r="K498">
            <v>660.39</v>
          </cell>
          <cell r="L498">
            <v>2656.19</v>
          </cell>
          <cell r="M498">
            <v>517.80999999999995</v>
          </cell>
          <cell r="N498">
            <v>54.01</v>
          </cell>
          <cell r="O498">
            <v>1519.35</v>
          </cell>
          <cell r="P498">
            <v>3351.61</v>
          </cell>
          <cell r="Q498">
            <v>32877.889999999992</v>
          </cell>
        </row>
        <row r="499">
          <cell r="A499">
            <v>70105</v>
          </cell>
          <cell r="B499" t="str">
            <v>Employee Relocation</v>
          </cell>
          <cell r="E499">
            <v>381.64</v>
          </cell>
          <cell r="F499">
            <v>381.64</v>
          </cell>
          <cell r="G499">
            <v>381.64</v>
          </cell>
          <cell r="H499">
            <v>381.64</v>
          </cell>
          <cell r="I499">
            <v>381.64</v>
          </cell>
          <cell r="J499">
            <v>381.64</v>
          </cell>
          <cell r="K499">
            <v>381.64</v>
          </cell>
          <cell r="L499">
            <v>381.64</v>
          </cell>
          <cell r="M499">
            <v>381.64</v>
          </cell>
          <cell r="N499">
            <v>381.64</v>
          </cell>
          <cell r="O499">
            <v>381.64</v>
          </cell>
          <cell r="P499">
            <v>381.64</v>
          </cell>
          <cell r="Q499">
            <v>4579.6799999999994</v>
          </cell>
        </row>
        <row r="500">
          <cell r="A500">
            <v>70107</v>
          </cell>
          <cell r="B500" t="str">
            <v>Housing Subsidy</v>
          </cell>
          <cell r="E500">
            <v>0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</row>
        <row r="501">
          <cell r="A501">
            <v>70108</v>
          </cell>
          <cell r="B501" t="str">
            <v>School Tuition</v>
          </cell>
          <cell r="E501">
            <v>0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</row>
        <row r="502">
          <cell r="A502">
            <v>70110</v>
          </cell>
          <cell r="B502" t="str">
            <v>Contributions</v>
          </cell>
          <cell r="E502">
            <v>312.5</v>
          </cell>
          <cell r="F502">
            <v>5000</v>
          </cell>
          <cell r="G502">
            <v>0</v>
          </cell>
          <cell r="H502">
            <v>0</v>
          </cell>
          <cell r="I502">
            <v>0</v>
          </cell>
          <cell r="J502">
            <v>0</v>
          </cell>
          <cell r="K502">
            <v>1308.46</v>
          </cell>
          <cell r="L502">
            <v>0</v>
          </cell>
          <cell r="M502">
            <v>250</v>
          </cell>
          <cell r="N502">
            <v>0</v>
          </cell>
          <cell r="O502">
            <v>0</v>
          </cell>
          <cell r="P502">
            <v>0</v>
          </cell>
          <cell r="Q502">
            <v>6870.96</v>
          </cell>
        </row>
        <row r="503">
          <cell r="A503">
            <v>70111</v>
          </cell>
          <cell r="B503" t="str">
            <v>Non Cash Charitable</v>
          </cell>
          <cell r="E503">
            <v>0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</row>
        <row r="504">
          <cell r="A504">
            <v>70112</v>
          </cell>
          <cell r="B504" t="str">
            <v>Political Contributions</v>
          </cell>
          <cell r="E504">
            <v>0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</row>
        <row r="505">
          <cell r="A505">
            <v>70116</v>
          </cell>
          <cell r="B505" t="str">
            <v>Pension and Profit Sharing</v>
          </cell>
          <cell r="E505">
            <v>775.31</v>
          </cell>
          <cell r="F505">
            <v>784.92</v>
          </cell>
          <cell r="G505">
            <v>1191.3900000000001</v>
          </cell>
          <cell r="H505">
            <v>882.19</v>
          </cell>
          <cell r="I505">
            <v>848.69</v>
          </cell>
          <cell r="J505">
            <v>942.95</v>
          </cell>
          <cell r="K505">
            <v>949.67</v>
          </cell>
          <cell r="L505">
            <v>1042.08</v>
          </cell>
          <cell r="M505">
            <v>979.97</v>
          </cell>
          <cell r="N505">
            <v>1418.44</v>
          </cell>
          <cell r="O505">
            <v>969.88</v>
          </cell>
          <cell r="P505">
            <v>1066.9100000000001</v>
          </cell>
          <cell r="Q505">
            <v>11852.4</v>
          </cell>
        </row>
        <row r="506">
          <cell r="A506">
            <v>70117</v>
          </cell>
          <cell r="B506" t="str">
            <v>Union Pension</v>
          </cell>
          <cell r="E506">
            <v>0</v>
          </cell>
          <cell r="F506">
            <v>0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</row>
        <row r="507">
          <cell r="A507">
            <v>70142</v>
          </cell>
          <cell r="B507" t="str">
            <v>Fuel Expense</v>
          </cell>
          <cell r="E507">
            <v>0</v>
          </cell>
          <cell r="F507">
            <v>0</v>
          </cell>
          <cell r="G507">
            <v>0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</row>
        <row r="508">
          <cell r="A508">
            <v>70145</v>
          </cell>
          <cell r="B508" t="str">
            <v>Outside Repairs</v>
          </cell>
          <cell r="E508">
            <v>0</v>
          </cell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</row>
        <row r="509">
          <cell r="A509">
            <v>70147</v>
          </cell>
          <cell r="B509" t="str">
            <v>Bldg &amp; Property Maint</v>
          </cell>
          <cell r="E509">
            <v>0</v>
          </cell>
          <cell r="F509">
            <v>0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</row>
        <row r="510">
          <cell r="A510">
            <v>70148</v>
          </cell>
          <cell r="B510" t="str">
            <v>Allocated Exp In - District</v>
          </cell>
          <cell r="E510">
            <v>2932.61</v>
          </cell>
          <cell r="F510">
            <v>3215.3</v>
          </cell>
          <cell r="G510">
            <v>3962.99</v>
          </cell>
          <cell r="H510">
            <v>2924.73</v>
          </cell>
          <cell r="I510">
            <v>1275.23</v>
          </cell>
          <cell r="J510">
            <v>4265.58</v>
          </cell>
          <cell r="K510">
            <v>8940.42</v>
          </cell>
          <cell r="L510">
            <v>7247.4</v>
          </cell>
          <cell r="M510">
            <v>-383</v>
          </cell>
          <cell r="N510">
            <v>2709.33</v>
          </cell>
          <cell r="O510">
            <v>3459.2</v>
          </cell>
          <cell r="P510">
            <v>2793.15</v>
          </cell>
          <cell r="Q510">
            <v>43342.94</v>
          </cell>
        </row>
        <row r="511">
          <cell r="A511">
            <v>70150</v>
          </cell>
          <cell r="B511" t="str">
            <v>Utilities</v>
          </cell>
          <cell r="E511">
            <v>380.73</v>
          </cell>
          <cell r="F511">
            <v>364.13</v>
          </cell>
          <cell r="G511">
            <v>364.19</v>
          </cell>
          <cell r="H511">
            <v>352.07</v>
          </cell>
          <cell r="I511">
            <v>323.74</v>
          </cell>
          <cell r="J511">
            <v>309.05</v>
          </cell>
          <cell r="K511">
            <v>1116.01</v>
          </cell>
          <cell r="L511">
            <v>325.92</v>
          </cell>
          <cell r="M511">
            <v>289.63</v>
          </cell>
          <cell r="N511">
            <v>300.67</v>
          </cell>
          <cell r="O511">
            <v>324.64999999999998</v>
          </cell>
          <cell r="P511">
            <v>559.65</v>
          </cell>
          <cell r="Q511">
            <v>5010.4399999999996</v>
          </cell>
        </row>
        <row r="512">
          <cell r="A512">
            <v>70165</v>
          </cell>
          <cell r="B512" t="str">
            <v>Communications</v>
          </cell>
          <cell r="E512">
            <v>471.39</v>
          </cell>
          <cell r="F512">
            <v>299.95</v>
          </cell>
          <cell r="G512">
            <v>548.38</v>
          </cell>
          <cell r="H512">
            <v>403.25</v>
          </cell>
          <cell r="I512">
            <v>472.01</v>
          </cell>
          <cell r="J512">
            <v>532</v>
          </cell>
          <cell r="K512">
            <v>463.52</v>
          </cell>
          <cell r="L512">
            <v>1173.68</v>
          </cell>
          <cell r="M512">
            <v>539.39</v>
          </cell>
          <cell r="N512">
            <v>124.82</v>
          </cell>
          <cell r="O512">
            <v>370.1</v>
          </cell>
          <cell r="P512">
            <v>2409.2399999999998</v>
          </cell>
          <cell r="Q512">
            <v>7807.73</v>
          </cell>
        </row>
        <row r="513">
          <cell r="A513">
            <v>70166</v>
          </cell>
          <cell r="B513" t="str">
            <v>Office Telephone</v>
          </cell>
          <cell r="E513">
            <v>0</v>
          </cell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</row>
        <row r="514">
          <cell r="A514">
            <v>70167</v>
          </cell>
          <cell r="B514" t="str">
            <v>Cellular Telephone</v>
          </cell>
          <cell r="E514">
            <v>18.989999999999998</v>
          </cell>
          <cell r="F514">
            <v>62.24</v>
          </cell>
          <cell r="G514">
            <v>118.47</v>
          </cell>
          <cell r="H514">
            <v>68.52</v>
          </cell>
          <cell r="I514">
            <v>56.02</v>
          </cell>
          <cell r="J514">
            <v>68.52</v>
          </cell>
          <cell r="K514">
            <v>118.98</v>
          </cell>
          <cell r="L514">
            <v>62.5</v>
          </cell>
          <cell r="M514">
            <v>25</v>
          </cell>
          <cell r="N514">
            <v>-73.709999999999994</v>
          </cell>
          <cell r="O514">
            <v>223.71</v>
          </cell>
          <cell r="P514">
            <v>50</v>
          </cell>
          <cell r="Q514">
            <v>799.24</v>
          </cell>
        </row>
        <row r="515">
          <cell r="A515">
            <v>70170</v>
          </cell>
          <cell r="B515" t="str">
            <v>Real Estate Rentals</v>
          </cell>
          <cell r="E515">
            <v>0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3168.8</v>
          </cell>
          <cell r="Q515">
            <v>3168.8</v>
          </cell>
        </row>
        <row r="516">
          <cell r="A516">
            <v>70175</v>
          </cell>
          <cell r="B516" t="str">
            <v>Equip/Vehicle Rental</v>
          </cell>
          <cell r="E516">
            <v>0</v>
          </cell>
          <cell r="F516">
            <v>0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</row>
        <row r="517">
          <cell r="A517">
            <v>70185</v>
          </cell>
          <cell r="B517" t="str">
            <v>Postage</v>
          </cell>
          <cell r="E517">
            <v>554.46</v>
          </cell>
          <cell r="F517">
            <v>488.09</v>
          </cell>
          <cell r="G517">
            <v>167.53</v>
          </cell>
          <cell r="H517">
            <v>594.19000000000005</v>
          </cell>
          <cell r="I517">
            <v>578.76</v>
          </cell>
          <cell r="J517">
            <v>533.45000000000005</v>
          </cell>
          <cell r="K517">
            <v>916.47</v>
          </cell>
          <cell r="L517">
            <v>529.91</v>
          </cell>
          <cell r="M517">
            <v>533.41</v>
          </cell>
          <cell r="N517">
            <v>625</v>
          </cell>
          <cell r="O517">
            <v>547.6</v>
          </cell>
          <cell r="P517">
            <v>547.17999999999995</v>
          </cell>
          <cell r="Q517">
            <v>6616.05</v>
          </cell>
        </row>
        <row r="518">
          <cell r="A518">
            <v>70190</v>
          </cell>
          <cell r="B518" t="str">
            <v>Registration Fees</v>
          </cell>
          <cell r="E518">
            <v>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</row>
        <row r="519">
          <cell r="A519">
            <v>70195</v>
          </cell>
          <cell r="B519" t="str">
            <v>Dues and Subscriptions</v>
          </cell>
          <cell r="E519">
            <v>913</v>
          </cell>
          <cell r="F519">
            <v>1939.67</v>
          </cell>
          <cell r="G519">
            <v>663</v>
          </cell>
          <cell r="H519">
            <v>2175.4699999999998</v>
          </cell>
          <cell r="I519">
            <v>775.41</v>
          </cell>
          <cell r="J519">
            <v>1375.47</v>
          </cell>
          <cell r="K519">
            <v>833</v>
          </cell>
          <cell r="L519">
            <v>2029.58</v>
          </cell>
          <cell r="M519">
            <v>672.93</v>
          </cell>
          <cell r="N519">
            <v>1244.56</v>
          </cell>
          <cell r="O519">
            <v>2034.76</v>
          </cell>
          <cell r="P519">
            <v>974.76</v>
          </cell>
          <cell r="Q519">
            <v>15631.61</v>
          </cell>
        </row>
        <row r="520">
          <cell r="A520">
            <v>70196</v>
          </cell>
          <cell r="B520" t="str">
            <v>Club Dues</v>
          </cell>
          <cell r="E520">
            <v>0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</row>
        <row r="521">
          <cell r="A521">
            <v>70200</v>
          </cell>
          <cell r="B521" t="str">
            <v>Travel</v>
          </cell>
          <cell r="E521">
            <v>284.18</v>
          </cell>
          <cell r="F521">
            <v>570.14</v>
          </cell>
          <cell r="G521">
            <v>-220.29</v>
          </cell>
          <cell r="H521">
            <v>1900</v>
          </cell>
          <cell r="I521">
            <v>-1665.7</v>
          </cell>
          <cell r="J521">
            <v>263.64999999999998</v>
          </cell>
          <cell r="K521">
            <v>203.4</v>
          </cell>
          <cell r="L521">
            <v>-15.5</v>
          </cell>
          <cell r="M521">
            <v>340.62</v>
          </cell>
          <cell r="N521">
            <v>348.94</v>
          </cell>
          <cell r="O521">
            <v>14.75</v>
          </cell>
          <cell r="P521">
            <v>68.2</v>
          </cell>
          <cell r="Q521">
            <v>2092.3899999999994</v>
          </cell>
        </row>
        <row r="522">
          <cell r="A522">
            <v>70201</v>
          </cell>
          <cell r="B522" t="str">
            <v>Entertainment</v>
          </cell>
          <cell r="E522">
            <v>0</v>
          </cell>
          <cell r="F522">
            <v>7.85</v>
          </cell>
          <cell r="G522">
            <v>137.01</v>
          </cell>
          <cell r="H522">
            <v>-29.88</v>
          </cell>
          <cell r="I522">
            <v>73.069999999999993</v>
          </cell>
          <cell r="J522">
            <v>428.59</v>
          </cell>
          <cell r="K522">
            <v>-290.98</v>
          </cell>
          <cell r="L522">
            <v>540.96</v>
          </cell>
          <cell r="M522">
            <v>-468.86</v>
          </cell>
          <cell r="N522">
            <v>13.96</v>
          </cell>
          <cell r="O522">
            <v>0</v>
          </cell>
          <cell r="P522">
            <v>0</v>
          </cell>
          <cell r="Q522">
            <v>411.71999999999997</v>
          </cell>
        </row>
        <row r="523">
          <cell r="A523">
            <v>70202</v>
          </cell>
          <cell r="B523" t="str">
            <v>Excursions Meetings</v>
          </cell>
          <cell r="E523">
            <v>0</v>
          </cell>
          <cell r="F523">
            <v>115.17</v>
          </cell>
          <cell r="G523">
            <v>0</v>
          </cell>
          <cell r="H523">
            <v>0</v>
          </cell>
          <cell r="I523">
            <v>0</v>
          </cell>
          <cell r="J523">
            <v>416.25</v>
          </cell>
          <cell r="K523">
            <v>0</v>
          </cell>
          <cell r="L523">
            <v>0</v>
          </cell>
          <cell r="M523">
            <v>0</v>
          </cell>
          <cell r="N523">
            <v>46.73</v>
          </cell>
          <cell r="O523">
            <v>-46.73</v>
          </cell>
          <cell r="P523">
            <v>0</v>
          </cell>
          <cell r="Q523">
            <v>531.41999999999996</v>
          </cell>
        </row>
        <row r="524">
          <cell r="A524">
            <v>70203</v>
          </cell>
          <cell r="B524" t="str">
            <v>Lodging</v>
          </cell>
          <cell r="E524">
            <v>-462.54</v>
          </cell>
          <cell r="F524">
            <v>0</v>
          </cell>
          <cell r="G524">
            <v>0</v>
          </cell>
          <cell r="H524">
            <v>326.7</v>
          </cell>
          <cell r="I524">
            <v>193</v>
          </cell>
          <cell r="J524">
            <v>436.86</v>
          </cell>
          <cell r="K524">
            <v>-170.97</v>
          </cell>
          <cell r="L524">
            <v>841.43</v>
          </cell>
          <cell r="M524">
            <v>127.5</v>
          </cell>
          <cell r="N524">
            <v>159.44</v>
          </cell>
          <cell r="O524">
            <v>-28.18</v>
          </cell>
          <cell r="P524">
            <v>171.48</v>
          </cell>
          <cell r="Q524">
            <v>1594.72</v>
          </cell>
        </row>
        <row r="525">
          <cell r="A525">
            <v>70204</v>
          </cell>
          <cell r="B525" t="str">
            <v>Gifts to Customers</v>
          </cell>
          <cell r="E525">
            <v>0</v>
          </cell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  <cell r="Q525">
            <v>0</v>
          </cell>
        </row>
        <row r="526">
          <cell r="A526">
            <v>70205</v>
          </cell>
          <cell r="B526" t="str">
            <v>Travel - Auto</v>
          </cell>
          <cell r="E526">
            <v>45.73</v>
          </cell>
          <cell r="F526">
            <v>-10.71</v>
          </cell>
          <cell r="G526">
            <v>526.05999999999995</v>
          </cell>
          <cell r="H526">
            <v>861.17</v>
          </cell>
          <cell r="I526">
            <v>156.44999999999999</v>
          </cell>
          <cell r="J526">
            <v>24.24</v>
          </cell>
          <cell r="K526">
            <v>2459.6</v>
          </cell>
          <cell r="L526">
            <v>-623.04</v>
          </cell>
          <cell r="M526">
            <v>1397.2</v>
          </cell>
          <cell r="N526">
            <v>-382.55</v>
          </cell>
          <cell r="O526">
            <v>-70.31</v>
          </cell>
          <cell r="P526">
            <v>-1079.19</v>
          </cell>
          <cell r="Q526">
            <v>3304.6499999999992</v>
          </cell>
        </row>
        <row r="527">
          <cell r="A527">
            <v>70206</v>
          </cell>
          <cell r="B527" t="str">
            <v>Meals</v>
          </cell>
          <cell r="E527">
            <v>-77.31</v>
          </cell>
          <cell r="F527">
            <v>17.46</v>
          </cell>
          <cell r="G527">
            <v>200.29</v>
          </cell>
          <cell r="H527">
            <v>-74.84</v>
          </cell>
          <cell r="I527">
            <v>191.59</v>
          </cell>
          <cell r="J527">
            <v>1.26</v>
          </cell>
          <cell r="K527">
            <v>-7.59</v>
          </cell>
          <cell r="L527">
            <v>350.62</v>
          </cell>
          <cell r="M527">
            <v>-21.04</v>
          </cell>
          <cell r="N527">
            <v>31.96</v>
          </cell>
          <cell r="O527">
            <v>562.61</v>
          </cell>
          <cell r="P527">
            <v>262.97000000000003</v>
          </cell>
          <cell r="Q527">
            <v>1437.9800000000002</v>
          </cell>
        </row>
        <row r="528">
          <cell r="A528">
            <v>70207</v>
          </cell>
          <cell r="B528" t="str">
            <v>Meals with Customers</v>
          </cell>
          <cell r="E528">
            <v>0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</row>
        <row r="529">
          <cell r="A529">
            <v>70209</v>
          </cell>
          <cell r="B529" t="str">
            <v>Photo Supplies</v>
          </cell>
          <cell r="E529">
            <v>0</v>
          </cell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</row>
        <row r="530">
          <cell r="A530">
            <v>70210</v>
          </cell>
          <cell r="B530" t="str">
            <v>Office Supplies and Equip</v>
          </cell>
          <cell r="E530">
            <v>5866.86</v>
          </cell>
          <cell r="F530">
            <v>2088.08</v>
          </cell>
          <cell r="G530">
            <v>1297.8399999999999</v>
          </cell>
          <cell r="H530">
            <v>1260.67</v>
          </cell>
          <cell r="I530">
            <v>1042.3699999999999</v>
          </cell>
          <cell r="J530">
            <v>1576.14</v>
          </cell>
          <cell r="K530">
            <v>1736.71</v>
          </cell>
          <cell r="L530">
            <v>1305.27</v>
          </cell>
          <cell r="M530">
            <v>1356.75</v>
          </cell>
          <cell r="N530">
            <v>4188.3100000000004</v>
          </cell>
          <cell r="O530">
            <v>352.32</v>
          </cell>
          <cell r="P530">
            <v>2617.98</v>
          </cell>
          <cell r="Q530">
            <v>24689.3</v>
          </cell>
        </row>
        <row r="531">
          <cell r="A531">
            <v>70213</v>
          </cell>
          <cell r="B531" t="str">
            <v>Pcard Rebate</v>
          </cell>
          <cell r="C531">
            <v>0</v>
          </cell>
          <cell r="D531">
            <v>0</v>
          </cell>
          <cell r="E531">
            <v>0</v>
          </cell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</row>
        <row r="532">
          <cell r="A532">
            <v>70214</v>
          </cell>
          <cell r="B532" t="str">
            <v>Credit Card Fees</v>
          </cell>
          <cell r="E532">
            <v>2484.66</v>
          </cell>
          <cell r="F532">
            <v>2690.82</v>
          </cell>
          <cell r="G532">
            <v>2823.76</v>
          </cell>
          <cell r="H532">
            <v>2495.84</v>
          </cell>
          <cell r="I532">
            <v>2467.4499999999998</v>
          </cell>
          <cell r="J532">
            <v>2868.03</v>
          </cell>
          <cell r="K532">
            <v>2914.02</v>
          </cell>
          <cell r="L532">
            <v>3099.61</v>
          </cell>
          <cell r="M532">
            <v>3243.81</v>
          </cell>
          <cell r="N532">
            <v>129.69</v>
          </cell>
          <cell r="O532">
            <v>6329.67</v>
          </cell>
          <cell r="P532">
            <v>3002.76</v>
          </cell>
          <cell r="Q532">
            <v>34550.120000000003</v>
          </cell>
        </row>
        <row r="533">
          <cell r="A533">
            <v>70215</v>
          </cell>
          <cell r="B533" t="str">
            <v>Bank Charges</v>
          </cell>
          <cell r="E533">
            <v>146.88</v>
          </cell>
          <cell r="F533">
            <v>148.75</v>
          </cell>
          <cell r="G533">
            <v>150.41999999999999</v>
          </cell>
          <cell r="H533">
            <v>150.63</v>
          </cell>
          <cell r="I533">
            <v>131.56</v>
          </cell>
          <cell r="J533">
            <v>137.5</v>
          </cell>
          <cell r="K533">
            <v>0</v>
          </cell>
          <cell r="L533">
            <v>129.06</v>
          </cell>
          <cell r="M533">
            <v>133.75</v>
          </cell>
          <cell r="N533">
            <v>0</v>
          </cell>
          <cell r="O533">
            <v>264.07</v>
          </cell>
          <cell r="P533">
            <v>18.73</v>
          </cell>
          <cell r="Q533">
            <v>1411.35</v>
          </cell>
        </row>
        <row r="534">
          <cell r="A534">
            <v>70216</v>
          </cell>
          <cell r="B534" t="str">
            <v>Outside Storages</v>
          </cell>
          <cell r="E534">
            <v>0</v>
          </cell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</row>
        <row r="535">
          <cell r="A535">
            <v>70217</v>
          </cell>
          <cell r="B535" t="str">
            <v>Invoice Printing Costs</v>
          </cell>
          <cell r="E535">
            <v>0</v>
          </cell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</row>
        <row r="536">
          <cell r="A536">
            <v>70225</v>
          </cell>
          <cell r="B536" t="str">
            <v>Advertising and Promotions</v>
          </cell>
          <cell r="E536">
            <v>0</v>
          </cell>
          <cell r="F536">
            <v>473.41</v>
          </cell>
          <cell r="G536">
            <v>0</v>
          </cell>
          <cell r="H536">
            <v>10.55</v>
          </cell>
          <cell r="I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311.8</v>
          </cell>
          <cell r="P536">
            <v>0</v>
          </cell>
          <cell r="Q536">
            <v>795.76</v>
          </cell>
        </row>
        <row r="537">
          <cell r="A537">
            <v>70230</v>
          </cell>
          <cell r="B537" t="str">
            <v>External Recruiter Fees</v>
          </cell>
          <cell r="E537">
            <v>0</v>
          </cell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</row>
        <row r="538">
          <cell r="A538">
            <v>70231</v>
          </cell>
          <cell r="B538" t="str">
            <v>Recruitment Advertising &amp; Expenses</v>
          </cell>
          <cell r="E538">
            <v>0</v>
          </cell>
          <cell r="F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108.21</v>
          </cell>
          <cell r="N538">
            <v>0</v>
          </cell>
          <cell r="O538">
            <v>0</v>
          </cell>
          <cell r="P538">
            <v>0</v>
          </cell>
          <cell r="Q538">
            <v>108.21</v>
          </cell>
        </row>
        <row r="539">
          <cell r="A539">
            <v>70232</v>
          </cell>
          <cell r="B539" t="str">
            <v>Recruitment Travel Expenses</v>
          </cell>
          <cell r="E539">
            <v>0</v>
          </cell>
          <cell r="F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</row>
        <row r="540">
          <cell r="A540">
            <v>70235</v>
          </cell>
          <cell r="B540" t="str">
            <v>Legal</v>
          </cell>
          <cell r="E540">
            <v>2439.5700000000002</v>
          </cell>
          <cell r="F540">
            <v>2131.5700000000002</v>
          </cell>
          <cell r="G540">
            <v>3481.88</v>
          </cell>
          <cell r="H540">
            <v>-1738.5</v>
          </cell>
          <cell r="I540">
            <v>447.82</v>
          </cell>
          <cell r="J540">
            <v>9856.85</v>
          </cell>
          <cell r="K540">
            <v>1380.87</v>
          </cell>
          <cell r="L540">
            <v>9752.81</v>
          </cell>
          <cell r="M540">
            <v>14711.58</v>
          </cell>
          <cell r="N540">
            <v>-607.33000000000004</v>
          </cell>
          <cell r="O540">
            <v>1378.45</v>
          </cell>
          <cell r="P540">
            <v>10240.9</v>
          </cell>
          <cell r="Q540">
            <v>53476.47</v>
          </cell>
        </row>
        <row r="541">
          <cell r="A541">
            <v>70240</v>
          </cell>
          <cell r="B541" t="str">
            <v>Accounting Professional Fees</v>
          </cell>
          <cell r="E541">
            <v>0</v>
          </cell>
          <cell r="F541">
            <v>0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</row>
        <row r="542">
          <cell r="A542">
            <v>70245</v>
          </cell>
          <cell r="B542" t="str">
            <v>Payroll Processing Fees</v>
          </cell>
          <cell r="E542">
            <v>99.03</v>
          </cell>
          <cell r="F542">
            <v>97.9</v>
          </cell>
          <cell r="G542">
            <v>97.9</v>
          </cell>
          <cell r="H542">
            <v>97.9</v>
          </cell>
          <cell r="I542">
            <v>97.9</v>
          </cell>
          <cell r="J542">
            <v>97.9</v>
          </cell>
          <cell r="K542">
            <v>97.9</v>
          </cell>
          <cell r="L542">
            <v>80.55</v>
          </cell>
          <cell r="M542">
            <v>80.55</v>
          </cell>
          <cell r="N542">
            <v>80.55</v>
          </cell>
          <cell r="O542">
            <v>80.680000000000007</v>
          </cell>
          <cell r="P542">
            <v>80.680000000000007</v>
          </cell>
          <cell r="Q542">
            <v>1089.4399999999998</v>
          </cell>
        </row>
        <row r="543">
          <cell r="A543">
            <v>70250</v>
          </cell>
          <cell r="B543" t="str">
            <v>Acquisition Cost Write Off</v>
          </cell>
          <cell r="E543">
            <v>0</v>
          </cell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  <cell r="Q543">
            <v>0</v>
          </cell>
        </row>
        <row r="544">
          <cell r="A544">
            <v>70254</v>
          </cell>
          <cell r="B544" t="str">
            <v>Corporate Capitalized Expenses</v>
          </cell>
          <cell r="E544">
            <v>0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</row>
        <row r="545">
          <cell r="A545">
            <v>70255</v>
          </cell>
          <cell r="B545" t="str">
            <v>Other Prof Fees</v>
          </cell>
          <cell r="E545">
            <v>0</v>
          </cell>
          <cell r="F545">
            <v>219.75</v>
          </cell>
          <cell r="G545">
            <v>56.21</v>
          </cell>
          <cell r="H545">
            <v>0</v>
          </cell>
          <cell r="I545">
            <v>0</v>
          </cell>
          <cell r="J545">
            <v>56.21</v>
          </cell>
          <cell r="K545">
            <v>0</v>
          </cell>
          <cell r="L545">
            <v>0</v>
          </cell>
          <cell r="M545">
            <v>56.21</v>
          </cell>
          <cell r="N545">
            <v>0</v>
          </cell>
          <cell r="O545">
            <v>-84.14</v>
          </cell>
          <cell r="P545">
            <v>482.7</v>
          </cell>
          <cell r="Q545">
            <v>786.93999999999994</v>
          </cell>
        </row>
        <row r="546">
          <cell r="A546">
            <v>70271</v>
          </cell>
          <cell r="B546" t="str">
            <v>Property and Liability Insurance</v>
          </cell>
          <cell r="E546">
            <v>0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</row>
        <row r="547">
          <cell r="A547">
            <v>70272</v>
          </cell>
          <cell r="B547" t="str">
            <v>Keyman Life Insurance</v>
          </cell>
          <cell r="E547">
            <v>0</v>
          </cell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</row>
        <row r="548">
          <cell r="A548">
            <v>70273</v>
          </cell>
          <cell r="B548" t="str">
            <v>Directors and Officers Insurance</v>
          </cell>
          <cell r="E548">
            <v>0</v>
          </cell>
          <cell r="F548">
            <v>0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</row>
        <row r="549">
          <cell r="A549">
            <v>70275</v>
          </cell>
          <cell r="B549" t="str">
            <v>Property Taxes</v>
          </cell>
          <cell r="E549">
            <v>1875</v>
          </cell>
          <cell r="F549">
            <v>1875</v>
          </cell>
          <cell r="G549">
            <v>2015.82</v>
          </cell>
          <cell r="H549">
            <v>2554.7800000000002</v>
          </cell>
          <cell r="I549">
            <v>2554.7800000000002</v>
          </cell>
          <cell r="J549">
            <v>2554.7800000000002</v>
          </cell>
          <cell r="K549">
            <v>3187.6</v>
          </cell>
          <cell r="L549">
            <v>2396.5700000000002</v>
          </cell>
          <cell r="M549">
            <v>2396.5700000000002</v>
          </cell>
          <cell r="N549">
            <v>2449.23</v>
          </cell>
          <cell r="O549">
            <v>2343.73</v>
          </cell>
          <cell r="P549">
            <v>2554.7199999999998</v>
          </cell>
          <cell r="Q549">
            <v>28758.58</v>
          </cell>
        </row>
        <row r="550">
          <cell r="A550">
            <v>70280</v>
          </cell>
          <cell r="B550" t="str">
            <v>Other Taxes</v>
          </cell>
          <cell r="E550">
            <v>0</v>
          </cell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</row>
        <row r="551">
          <cell r="A551">
            <v>70300</v>
          </cell>
          <cell r="B551" t="str">
            <v>Data Processing</v>
          </cell>
          <cell r="E551">
            <v>24958.15</v>
          </cell>
          <cell r="F551">
            <v>2262.73</v>
          </cell>
          <cell r="G551">
            <v>16300.02</v>
          </cell>
          <cell r="H551">
            <v>2127.0700000000002</v>
          </cell>
          <cell r="I551">
            <v>33912.97</v>
          </cell>
          <cell r="J551">
            <v>1054.05</v>
          </cell>
          <cell r="K551">
            <v>22342.57</v>
          </cell>
          <cell r="L551">
            <v>2410.96</v>
          </cell>
          <cell r="M551">
            <v>22431</v>
          </cell>
          <cell r="N551">
            <v>1947.24</v>
          </cell>
          <cell r="O551">
            <v>21688.02</v>
          </cell>
          <cell r="P551">
            <v>-2059.87</v>
          </cell>
          <cell r="Q551">
            <v>149374.91</v>
          </cell>
        </row>
        <row r="552">
          <cell r="A552">
            <v>70301</v>
          </cell>
          <cell r="B552" t="str">
            <v>Computer Software</v>
          </cell>
          <cell r="E552">
            <v>0</v>
          </cell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</row>
        <row r="553">
          <cell r="A553">
            <v>70302</v>
          </cell>
          <cell r="B553" t="str">
            <v>Computer Supplies</v>
          </cell>
          <cell r="E553">
            <v>0</v>
          </cell>
          <cell r="F553">
            <v>145.26</v>
          </cell>
          <cell r="G553">
            <v>231.28</v>
          </cell>
          <cell r="H553">
            <v>0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  <cell r="M553">
            <v>0</v>
          </cell>
          <cell r="N553">
            <v>1365.11</v>
          </cell>
          <cell r="O553">
            <v>-1365.11</v>
          </cell>
          <cell r="P553">
            <v>187.29</v>
          </cell>
          <cell r="Q553">
            <v>563.82999999999993</v>
          </cell>
        </row>
        <row r="554">
          <cell r="A554">
            <v>70310</v>
          </cell>
          <cell r="B554" t="str">
            <v>Bad Debt Provision</v>
          </cell>
          <cell r="E554">
            <v>59587.53</v>
          </cell>
          <cell r="F554">
            <v>-42181.27</v>
          </cell>
          <cell r="G554">
            <v>26327.15</v>
          </cell>
          <cell r="H554">
            <v>-23518.21</v>
          </cell>
          <cell r="I554">
            <v>45403.42</v>
          </cell>
          <cell r="J554">
            <v>-30919.22</v>
          </cell>
          <cell r="K554">
            <v>58231.48</v>
          </cell>
          <cell r="L554">
            <v>-42566.26</v>
          </cell>
          <cell r="M554">
            <v>51551.54</v>
          </cell>
          <cell r="N554">
            <v>-30438.81</v>
          </cell>
          <cell r="O554">
            <v>61503.66</v>
          </cell>
          <cell r="P554">
            <v>-32663.45</v>
          </cell>
          <cell r="Q554">
            <v>100317.56000000001</v>
          </cell>
        </row>
        <row r="555">
          <cell r="A555">
            <v>70315</v>
          </cell>
          <cell r="B555" t="str">
            <v>Bad Debt Recoveries</v>
          </cell>
          <cell r="E555">
            <v>0</v>
          </cell>
          <cell r="F555">
            <v>0</v>
          </cell>
          <cell r="G555">
            <v>0</v>
          </cell>
          <cell r="H555">
            <v>0</v>
          </cell>
          <cell r="I555">
            <v>0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</row>
        <row r="556">
          <cell r="A556">
            <v>70320</v>
          </cell>
          <cell r="B556" t="str">
            <v>Credit and Collection</v>
          </cell>
          <cell r="E556">
            <v>6202.09</v>
          </cell>
          <cell r="F556">
            <v>-976.61</v>
          </cell>
          <cell r="G556">
            <v>5260.16</v>
          </cell>
          <cell r="H556">
            <v>-803.96</v>
          </cell>
          <cell r="I556">
            <v>1871.95</v>
          </cell>
          <cell r="J556">
            <v>1067.25</v>
          </cell>
          <cell r="K556">
            <v>1589.22</v>
          </cell>
          <cell r="L556">
            <v>936.71</v>
          </cell>
          <cell r="M556">
            <v>1051.27</v>
          </cell>
          <cell r="N556">
            <v>482.15</v>
          </cell>
          <cell r="O556">
            <v>1946.37</v>
          </cell>
          <cell r="P556">
            <v>5166.42</v>
          </cell>
          <cell r="Q556">
            <v>23793.020000000004</v>
          </cell>
        </row>
        <row r="557">
          <cell r="A557">
            <v>70324</v>
          </cell>
          <cell r="B557" t="str">
            <v>Penalties and Violations</v>
          </cell>
          <cell r="E557">
            <v>0</v>
          </cell>
          <cell r="F557">
            <v>0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</row>
        <row r="558">
          <cell r="A558">
            <v>70325</v>
          </cell>
          <cell r="B558" t="str">
            <v>Legal Settlement Payments</v>
          </cell>
          <cell r="E558">
            <v>0</v>
          </cell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</row>
        <row r="559">
          <cell r="A559">
            <v>70326</v>
          </cell>
          <cell r="B559" t="str">
            <v>Deductible Current Year</v>
          </cell>
          <cell r="E559">
            <v>0</v>
          </cell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</row>
        <row r="560">
          <cell r="A560">
            <v>70327</v>
          </cell>
          <cell r="B560" t="str">
            <v>Deductible Dammage</v>
          </cell>
          <cell r="E560">
            <v>0</v>
          </cell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</row>
        <row r="561">
          <cell r="A561">
            <v>70328</v>
          </cell>
          <cell r="B561" t="str">
            <v>Claim Recoveries</v>
          </cell>
          <cell r="E561">
            <v>0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</row>
        <row r="562">
          <cell r="A562">
            <v>70330</v>
          </cell>
          <cell r="B562" t="str">
            <v>Deductible Prior Year</v>
          </cell>
          <cell r="E562">
            <v>0</v>
          </cell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</row>
        <row r="563">
          <cell r="A563">
            <v>70335</v>
          </cell>
          <cell r="B563" t="str">
            <v>Miscellaneous</v>
          </cell>
          <cell r="E563">
            <v>0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</row>
        <row r="564">
          <cell r="A564">
            <v>70336</v>
          </cell>
          <cell r="B564" t="str">
            <v>Coffe Bar</v>
          </cell>
          <cell r="E564">
            <v>0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</row>
        <row r="565">
          <cell r="A565">
            <v>70345</v>
          </cell>
          <cell r="B565" t="str">
            <v>Security Services</v>
          </cell>
          <cell r="E565">
            <v>0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</row>
        <row r="566">
          <cell r="A566">
            <v>70357</v>
          </cell>
          <cell r="B566" t="str">
            <v>Permits</v>
          </cell>
          <cell r="E566">
            <v>0</v>
          </cell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</row>
        <row r="567">
          <cell r="A567">
            <v>70370</v>
          </cell>
          <cell r="B567" t="str">
            <v>Bonds Expense</v>
          </cell>
          <cell r="E567">
            <v>0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</row>
        <row r="568">
          <cell r="A568">
            <v>70371</v>
          </cell>
          <cell r="B568" t="str">
            <v>Board of Directors Fees</v>
          </cell>
          <cell r="E568">
            <v>0</v>
          </cell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</row>
        <row r="569">
          <cell r="A569">
            <v>70372</v>
          </cell>
          <cell r="B569" t="str">
            <v>Board of Directors Expense Report</v>
          </cell>
          <cell r="E569">
            <v>0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</row>
        <row r="570">
          <cell r="A570">
            <v>70475</v>
          </cell>
          <cell r="B570" t="str">
            <v>Trade Shows</v>
          </cell>
          <cell r="E570">
            <v>0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</row>
        <row r="571">
          <cell r="A571">
            <v>70900</v>
          </cell>
          <cell r="B571" t="str">
            <v>Entitiy Formation Costs</v>
          </cell>
          <cell r="E571">
            <v>0</v>
          </cell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</row>
        <row r="572">
          <cell r="A572">
            <v>70998</v>
          </cell>
          <cell r="B572" t="str">
            <v>Allocation Out - District</v>
          </cell>
          <cell r="E572">
            <v>0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</row>
        <row r="573">
          <cell r="A573">
            <v>70999</v>
          </cell>
          <cell r="B573" t="str">
            <v>Allocation Out - Out District</v>
          </cell>
          <cell r="E573">
            <v>0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</row>
        <row r="574">
          <cell r="A574">
            <v>71000</v>
          </cell>
          <cell r="B574" t="str">
            <v>Stock Comp Expense</v>
          </cell>
          <cell r="E574">
            <v>0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</row>
        <row r="575">
          <cell r="A575" t="str">
            <v>Total G&amp;A</v>
          </cell>
          <cell r="E575">
            <v>207906.74000000002</v>
          </cell>
          <cell r="F575">
            <v>66798.010000000024</v>
          </cell>
          <cell r="G575">
            <v>161263.80000000002</v>
          </cell>
          <cell r="H575">
            <v>86311.12999999999</v>
          </cell>
          <cell r="I575">
            <v>177403</v>
          </cell>
          <cell r="J575">
            <v>90607.349999999991</v>
          </cell>
          <cell r="K575">
            <v>198820.07000000004</v>
          </cell>
          <cell r="L575">
            <v>89006.530000000013</v>
          </cell>
          <cell r="M575">
            <v>188289.78000000003</v>
          </cell>
          <cell r="N575">
            <v>72891.83</v>
          </cell>
          <cell r="O575">
            <v>194697.06000000006</v>
          </cell>
          <cell r="P575">
            <v>96799.019999999931</v>
          </cell>
          <cell r="Q575">
            <v>1630794.3199999996</v>
          </cell>
        </row>
        <row r="577">
          <cell r="A577" t="str">
            <v>Overhead</v>
          </cell>
        </row>
        <row r="578">
          <cell r="A578">
            <v>70149</v>
          </cell>
          <cell r="B578" t="str">
            <v>Corporate Overhead Allocation In</v>
          </cell>
          <cell r="E578">
            <v>55340.22</v>
          </cell>
          <cell r="F578">
            <v>54315.21</v>
          </cell>
          <cell r="G578">
            <v>54439.91</v>
          </cell>
          <cell r="H578">
            <v>55653.47</v>
          </cell>
          <cell r="I578">
            <v>54826.44</v>
          </cell>
          <cell r="J578">
            <v>55802.53</v>
          </cell>
          <cell r="K578">
            <v>55353.69</v>
          </cell>
          <cell r="L578">
            <v>57179.64</v>
          </cell>
          <cell r="M578">
            <v>55296.08</v>
          </cell>
          <cell r="N578">
            <v>55281.99</v>
          </cell>
          <cell r="O578">
            <v>54995.29</v>
          </cell>
          <cell r="P578">
            <v>55389.94</v>
          </cell>
          <cell r="Q578">
            <v>663874.41000000015</v>
          </cell>
        </row>
        <row r="579">
          <cell r="A579">
            <v>70159</v>
          </cell>
          <cell r="B579" t="str">
            <v>Region Overhead Allocation In</v>
          </cell>
          <cell r="E579">
            <v>0</v>
          </cell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</row>
        <row r="580">
          <cell r="A580" t="str">
            <v>Total Overhead</v>
          </cell>
          <cell r="E580">
            <v>55340.22</v>
          </cell>
          <cell r="F580">
            <v>54315.21</v>
          </cell>
          <cell r="G580">
            <v>54439.91</v>
          </cell>
          <cell r="H580">
            <v>55653.47</v>
          </cell>
          <cell r="I580">
            <v>54826.44</v>
          </cell>
          <cell r="J580">
            <v>55802.53</v>
          </cell>
          <cell r="K580">
            <v>55353.69</v>
          </cell>
          <cell r="L580">
            <v>57179.64</v>
          </cell>
          <cell r="M580">
            <v>55296.08</v>
          </cell>
          <cell r="N580">
            <v>55281.99</v>
          </cell>
          <cell r="O580">
            <v>54995.29</v>
          </cell>
          <cell r="P580">
            <v>55389.94</v>
          </cell>
          <cell r="Q580">
            <v>663874.41000000015</v>
          </cell>
        </row>
        <row r="582">
          <cell r="A582" t="str">
            <v>Total SG&amp;A</v>
          </cell>
          <cell r="E582">
            <v>263246.96000000002</v>
          </cell>
          <cell r="F582">
            <v>121113.22000000003</v>
          </cell>
          <cell r="G582">
            <v>215703.71000000002</v>
          </cell>
          <cell r="H582">
            <v>141964.59999999998</v>
          </cell>
          <cell r="I582">
            <v>232229.44</v>
          </cell>
          <cell r="J582">
            <v>146409.88</v>
          </cell>
          <cell r="K582">
            <v>254173.76000000004</v>
          </cell>
          <cell r="L582">
            <v>146186.17000000001</v>
          </cell>
          <cell r="M582">
            <v>243585.86000000004</v>
          </cell>
          <cell r="N582">
            <v>128173.82</v>
          </cell>
          <cell r="O582">
            <v>249692.35000000006</v>
          </cell>
          <cell r="P582">
            <v>155426.55999999994</v>
          </cell>
          <cell r="Q582">
            <v>2297906.3299999996</v>
          </cell>
        </row>
        <row r="584">
          <cell r="A584" t="str">
            <v>EBITDA</v>
          </cell>
          <cell r="E584">
            <v>20388.780000000086</v>
          </cell>
          <cell r="F584">
            <v>275898.64999999997</v>
          </cell>
          <cell r="G584">
            <v>77705.549999999872</v>
          </cell>
          <cell r="H584">
            <v>153218.83000000007</v>
          </cell>
          <cell r="I584">
            <v>139863.27999999974</v>
          </cell>
          <cell r="J584">
            <v>204338.71000000008</v>
          </cell>
          <cell r="K584">
            <v>93342.360000000015</v>
          </cell>
          <cell r="L584">
            <v>241833.84</v>
          </cell>
          <cell r="M584">
            <v>134242.65999999997</v>
          </cell>
          <cell r="N584">
            <v>254051.7099999999</v>
          </cell>
          <cell r="O584">
            <v>61738.860000000132</v>
          </cell>
          <cell r="P584">
            <v>151328.35999999987</v>
          </cell>
          <cell r="Q584">
            <v>1807951.5899999957</v>
          </cell>
        </row>
        <row r="586">
          <cell r="A586" t="str">
            <v>DD&amp;A</v>
          </cell>
        </row>
        <row r="587">
          <cell r="A587" t="str">
            <v>Depreciation</v>
          </cell>
        </row>
        <row r="588">
          <cell r="A588">
            <v>51260</v>
          </cell>
          <cell r="B588" t="str">
            <v>Depreciation</v>
          </cell>
          <cell r="E588">
            <v>49490.6</v>
          </cell>
          <cell r="F588">
            <v>49625.87</v>
          </cell>
          <cell r="G588">
            <v>49625.95</v>
          </cell>
          <cell r="H588">
            <v>49620.11</v>
          </cell>
          <cell r="I588">
            <v>49620.2</v>
          </cell>
          <cell r="J588">
            <v>48737.05</v>
          </cell>
          <cell r="K588">
            <v>48736.639999999999</v>
          </cell>
          <cell r="L588">
            <v>47681.86</v>
          </cell>
          <cell r="M588">
            <v>47682.18</v>
          </cell>
          <cell r="N588">
            <v>47681.87</v>
          </cell>
          <cell r="O588">
            <v>47328.05</v>
          </cell>
          <cell r="P588">
            <v>47849.53</v>
          </cell>
          <cell r="Q588">
            <v>583679.91</v>
          </cell>
        </row>
        <row r="589">
          <cell r="A589">
            <v>54260</v>
          </cell>
          <cell r="B589" t="str">
            <v>Depreciation</v>
          </cell>
          <cell r="E589">
            <v>11933.53</v>
          </cell>
          <cell r="F589">
            <v>11933.51</v>
          </cell>
          <cell r="G589">
            <v>11933.4</v>
          </cell>
          <cell r="H589">
            <v>11933.26</v>
          </cell>
          <cell r="I589">
            <v>11933.49</v>
          </cell>
          <cell r="J589">
            <v>11933.83</v>
          </cell>
          <cell r="K589">
            <v>11932.86</v>
          </cell>
          <cell r="L589">
            <v>11933.32</v>
          </cell>
          <cell r="M589">
            <v>11933.62</v>
          </cell>
          <cell r="N589">
            <v>11933.41</v>
          </cell>
          <cell r="O589">
            <v>11933.19</v>
          </cell>
          <cell r="P589">
            <v>11933.37</v>
          </cell>
          <cell r="Q589">
            <v>143200.79</v>
          </cell>
        </row>
        <row r="590">
          <cell r="A590">
            <v>56260</v>
          </cell>
          <cell r="B590" t="str">
            <v>Depreciation</v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</row>
        <row r="591">
          <cell r="A591">
            <v>57260</v>
          </cell>
          <cell r="B591" t="str">
            <v>Depreciation</v>
          </cell>
          <cell r="E591">
            <v>2414.64</v>
          </cell>
          <cell r="F591">
            <v>2414.6799999999998</v>
          </cell>
          <cell r="G591">
            <v>2414.64</v>
          </cell>
          <cell r="H591">
            <v>2441.84</v>
          </cell>
          <cell r="I591">
            <v>2441.87</v>
          </cell>
          <cell r="J591">
            <v>2441.86</v>
          </cell>
          <cell r="K591">
            <v>2441.83</v>
          </cell>
          <cell r="L591">
            <v>2503.59</v>
          </cell>
          <cell r="M591">
            <v>2503.59</v>
          </cell>
          <cell r="N591">
            <v>3307.76</v>
          </cell>
          <cell r="O591">
            <v>3318.13</v>
          </cell>
          <cell r="P591">
            <v>3312.93</v>
          </cell>
          <cell r="Q591">
            <v>31957.360000000004</v>
          </cell>
        </row>
        <row r="592">
          <cell r="A592">
            <v>60260</v>
          </cell>
          <cell r="B592" t="str">
            <v>Depreciation</v>
          </cell>
          <cell r="E592">
            <v>0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</row>
        <row r="593">
          <cell r="A593">
            <v>70257</v>
          </cell>
          <cell r="B593" t="str">
            <v>Depreciation</v>
          </cell>
          <cell r="E593">
            <v>0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</row>
        <row r="594">
          <cell r="A594">
            <v>70260</v>
          </cell>
          <cell r="B594" t="str">
            <v>Depreciation</v>
          </cell>
          <cell r="E594">
            <v>1532.42</v>
          </cell>
          <cell r="F594">
            <v>1532.4</v>
          </cell>
          <cell r="G594">
            <v>1532.42</v>
          </cell>
          <cell r="H594">
            <v>1459.5</v>
          </cell>
          <cell r="I594">
            <v>1459.49</v>
          </cell>
          <cell r="J594">
            <v>1422.66</v>
          </cell>
          <cell r="K594">
            <v>1422.61</v>
          </cell>
          <cell r="L594">
            <v>1422.6</v>
          </cell>
          <cell r="M594">
            <v>1422.64</v>
          </cell>
          <cell r="N594">
            <v>1422.61</v>
          </cell>
          <cell r="O594">
            <v>1422.62</v>
          </cell>
          <cell r="P594">
            <v>1595.38</v>
          </cell>
          <cell r="Q594">
            <v>17647.350000000002</v>
          </cell>
        </row>
        <row r="595">
          <cell r="A595" t="str">
            <v>Total Depreciation</v>
          </cell>
          <cell r="E595">
            <v>65371.189999999995</v>
          </cell>
          <cell r="F595">
            <v>65506.460000000006</v>
          </cell>
          <cell r="G595">
            <v>65506.409999999996</v>
          </cell>
          <cell r="H595">
            <v>65454.710000000006</v>
          </cell>
          <cell r="I595">
            <v>65455.049999999996</v>
          </cell>
          <cell r="J595">
            <v>64535.400000000009</v>
          </cell>
          <cell r="K595">
            <v>64533.94</v>
          </cell>
          <cell r="L595">
            <v>63541.37</v>
          </cell>
          <cell r="M595">
            <v>63542.03</v>
          </cell>
          <cell r="N595">
            <v>64345.65</v>
          </cell>
          <cell r="O595">
            <v>64001.990000000005</v>
          </cell>
          <cell r="P595">
            <v>64691.21</v>
          </cell>
          <cell r="Q595">
            <v>776485.41</v>
          </cell>
        </row>
        <row r="597">
          <cell r="A597" t="str">
            <v>Depletion</v>
          </cell>
        </row>
        <row r="598">
          <cell r="A598">
            <v>46000</v>
          </cell>
          <cell r="B598" t="str">
            <v>Depletion</v>
          </cell>
          <cell r="E598">
            <v>0</v>
          </cell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</row>
        <row r="599">
          <cell r="A599">
            <v>46010</v>
          </cell>
          <cell r="B599" t="str">
            <v>Closure Amortization</v>
          </cell>
          <cell r="E599">
            <v>0</v>
          </cell>
          <cell r="F599">
            <v>0</v>
          </cell>
          <cell r="G599">
            <v>0</v>
          </cell>
          <cell r="H599">
            <v>0</v>
          </cell>
          <cell r="I599">
            <v>0</v>
          </cell>
          <cell r="J599">
            <v>0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</row>
        <row r="600">
          <cell r="A600">
            <v>57261</v>
          </cell>
          <cell r="B600" t="str">
            <v>Airspace Amortization</v>
          </cell>
          <cell r="E600">
            <v>0</v>
          </cell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</row>
        <row r="601">
          <cell r="A601" t="str">
            <v>Total Depletion</v>
          </cell>
          <cell r="E601">
            <v>0</v>
          </cell>
          <cell r="F601">
            <v>0</v>
          </cell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</row>
        <row r="603">
          <cell r="A603" t="str">
            <v>Amortization</v>
          </cell>
        </row>
        <row r="604">
          <cell r="A604">
            <v>70264</v>
          </cell>
          <cell r="B604" t="str">
            <v>Amortization</v>
          </cell>
          <cell r="E604">
            <v>0</v>
          </cell>
          <cell r="F604">
            <v>0</v>
          </cell>
          <cell r="G604">
            <v>0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</row>
        <row r="605">
          <cell r="A605">
            <v>70266</v>
          </cell>
          <cell r="B605" t="str">
            <v>Cov. Not to Compete</v>
          </cell>
          <cell r="E605">
            <v>0</v>
          </cell>
          <cell r="F605">
            <v>0</v>
          </cell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</row>
        <row r="606">
          <cell r="A606">
            <v>70267</v>
          </cell>
          <cell r="B606" t="str">
            <v>Amortization of Goodwill - Taxable</v>
          </cell>
          <cell r="E606">
            <v>0</v>
          </cell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</row>
        <row r="607">
          <cell r="A607">
            <v>70268</v>
          </cell>
          <cell r="B607" t="str">
            <v>Amortization of Goodwill - Non-Taxable</v>
          </cell>
          <cell r="E607">
            <v>0</v>
          </cell>
          <cell r="F607">
            <v>0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</row>
        <row r="608">
          <cell r="A608">
            <v>70269</v>
          </cell>
          <cell r="B608" t="str">
            <v>Long Term Contract Amort</v>
          </cell>
          <cell r="E608">
            <v>0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</row>
        <row r="609">
          <cell r="A609" t="str">
            <v>Total Amortization</v>
          </cell>
          <cell r="E609">
            <v>0</v>
          </cell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</row>
        <row r="611">
          <cell r="A611" t="str">
            <v>Total DDA</v>
          </cell>
          <cell r="E611">
            <v>65371.189999999995</v>
          </cell>
          <cell r="F611">
            <v>65506.460000000006</v>
          </cell>
          <cell r="G611">
            <v>65506.409999999996</v>
          </cell>
          <cell r="H611">
            <v>65454.710000000006</v>
          </cell>
          <cell r="I611">
            <v>65455.049999999996</v>
          </cell>
          <cell r="J611">
            <v>64535.400000000009</v>
          </cell>
          <cell r="K611">
            <v>64533.94</v>
          </cell>
          <cell r="L611">
            <v>63541.37</v>
          </cell>
          <cell r="M611">
            <v>63542.03</v>
          </cell>
          <cell r="N611">
            <v>64345.65</v>
          </cell>
          <cell r="O611">
            <v>64001.990000000005</v>
          </cell>
          <cell r="P611">
            <v>64691.21</v>
          </cell>
          <cell r="Q611">
            <v>776485.41</v>
          </cell>
        </row>
        <row r="613">
          <cell r="A613" t="str">
            <v>EBIT</v>
          </cell>
          <cell r="E613">
            <v>-44982.409999999909</v>
          </cell>
          <cell r="F613">
            <v>210392.18999999994</v>
          </cell>
          <cell r="G613">
            <v>12199.139999999876</v>
          </cell>
          <cell r="H613">
            <v>87764.120000000068</v>
          </cell>
          <cell r="I613">
            <v>74408.229999999749</v>
          </cell>
          <cell r="J613">
            <v>139803.31000000006</v>
          </cell>
          <cell r="K613">
            <v>28808.420000000013</v>
          </cell>
          <cell r="L613">
            <v>178292.47</v>
          </cell>
          <cell r="M613">
            <v>70700.629999999976</v>
          </cell>
          <cell r="N613">
            <v>189706.05999999991</v>
          </cell>
          <cell r="O613">
            <v>-2263.1299999998737</v>
          </cell>
          <cell r="P613">
            <v>86637.149999999878</v>
          </cell>
          <cell r="Q613">
            <v>1031466.1799999956</v>
          </cell>
        </row>
        <row r="615">
          <cell r="A615" t="str">
            <v>Interest Expense</v>
          </cell>
        </row>
        <row r="616">
          <cell r="A616">
            <v>80000</v>
          </cell>
          <cell r="B616" t="str">
            <v>Interest Expense</v>
          </cell>
          <cell r="E616">
            <v>0</v>
          </cell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</row>
        <row r="617">
          <cell r="A617">
            <v>80001</v>
          </cell>
          <cell r="B617" t="str">
            <v>Debt Accretion</v>
          </cell>
          <cell r="E617">
            <v>0</v>
          </cell>
          <cell r="F617">
            <v>0</v>
          </cell>
          <cell r="G617">
            <v>0</v>
          </cell>
          <cell r="H617">
            <v>0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</row>
        <row r="618">
          <cell r="A618">
            <v>80009</v>
          </cell>
          <cell r="B618" t="str">
            <v>Capitalized Interest</v>
          </cell>
          <cell r="E618">
            <v>0</v>
          </cell>
          <cell r="F618">
            <v>0</v>
          </cell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</row>
        <row r="619">
          <cell r="A619">
            <v>80099</v>
          </cell>
          <cell r="B619" t="str">
            <v>Interest Allocation</v>
          </cell>
          <cell r="E619">
            <v>0</v>
          </cell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</row>
        <row r="620">
          <cell r="A620" t="str">
            <v>Total Interest Expense</v>
          </cell>
          <cell r="E620">
            <v>0</v>
          </cell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</row>
        <row r="622">
          <cell r="A622" t="str">
            <v>Interest Income</v>
          </cell>
        </row>
        <row r="623">
          <cell r="A623">
            <v>80010</v>
          </cell>
          <cell r="B623" t="str">
            <v>Interest Income</v>
          </cell>
          <cell r="E623">
            <v>0</v>
          </cell>
          <cell r="F623">
            <v>0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</row>
        <row r="624">
          <cell r="A624" t="str">
            <v>Total Interest Income</v>
          </cell>
          <cell r="E624">
            <v>0</v>
          </cell>
          <cell r="F624">
            <v>0</v>
          </cell>
          <cell r="G624">
            <v>0</v>
          </cell>
          <cell r="H624">
            <v>0</v>
          </cell>
          <cell r="I624">
            <v>0</v>
          </cell>
          <cell r="J624">
            <v>0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</row>
        <row r="626">
          <cell r="A626" t="str">
            <v>Other (Income) and Expense</v>
          </cell>
        </row>
        <row r="627">
          <cell r="A627">
            <v>70901</v>
          </cell>
          <cell r="B627" t="str">
            <v>Pooling Costs</v>
          </cell>
          <cell r="E627">
            <v>0</v>
          </cell>
          <cell r="F627">
            <v>0</v>
          </cell>
          <cell r="G627">
            <v>0</v>
          </cell>
          <cell r="H627">
            <v>0</v>
          </cell>
          <cell r="I627">
            <v>0</v>
          </cell>
          <cell r="J627">
            <v>0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</row>
        <row r="628">
          <cell r="A628">
            <v>91000</v>
          </cell>
          <cell r="B628" t="str">
            <v>Unusual Gain/Loss</v>
          </cell>
          <cell r="E628">
            <v>0</v>
          </cell>
          <cell r="F628">
            <v>0</v>
          </cell>
          <cell r="G628">
            <v>0</v>
          </cell>
          <cell r="H628">
            <v>0</v>
          </cell>
          <cell r="I628">
            <v>0</v>
          </cell>
          <cell r="J628">
            <v>0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</row>
        <row r="629">
          <cell r="A629">
            <v>91001</v>
          </cell>
          <cell r="B629" t="str">
            <v>Investment Distribution Income</v>
          </cell>
          <cell r="E629">
            <v>0</v>
          </cell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</row>
        <row r="630">
          <cell r="A630">
            <v>91002</v>
          </cell>
          <cell r="B630" t="str">
            <v>NSF Fees</v>
          </cell>
          <cell r="E630">
            <v>0</v>
          </cell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</row>
        <row r="631">
          <cell r="A631" t="str">
            <v>Total Other (Income) and Expense</v>
          </cell>
          <cell r="E631">
            <v>0</v>
          </cell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</row>
        <row r="633">
          <cell r="A633" t="str">
            <v>Income Before Taxes and Extraordinary Items</v>
          </cell>
          <cell r="E633">
            <v>-44982.409999999909</v>
          </cell>
          <cell r="F633">
            <v>210392.18999999994</v>
          </cell>
          <cell r="G633">
            <v>12199.139999999876</v>
          </cell>
          <cell r="H633">
            <v>87764.120000000068</v>
          </cell>
          <cell r="I633">
            <v>74408.229999999749</v>
          </cell>
          <cell r="J633">
            <v>139803.31000000006</v>
          </cell>
          <cell r="K633">
            <v>28808.420000000013</v>
          </cell>
          <cell r="L633">
            <v>178292.47</v>
          </cell>
          <cell r="M633">
            <v>70700.629999999976</v>
          </cell>
          <cell r="N633">
            <v>189706.05999999991</v>
          </cell>
          <cell r="O633">
            <v>-2263.1299999998737</v>
          </cell>
          <cell r="P633">
            <v>86637.149999999878</v>
          </cell>
          <cell r="Q633">
            <v>1031466.1799999956</v>
          </cell>
        </row>
        <row r="635">
          <cell r="A635" t="str">
            <v>Extraordinary Income and Expense</v>
          </cell>
        </row>
        <row r="636">
          <cell r="A636">
            <v>92999</v>
          </cell>
          <cell r="B636" t="str">
            <v>Extraordinary Gain/Loss</v>
          </cell>
          <cell r="E636">
            <v>0</v>
          </cell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</row>
        <row r="637">
          <cell r="A637" t="str">
            <v>Total Extraordinary Income and Expense</v>
          </cell>
          <cell r="E637">
            <v>0</v>
          </cell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</row>
        <row r="639">
          <cell r="A639" t="str">
            <v>Net Income Before Taxes</v>
          </cell>
          <cell r="E639">
            <v>-44982.409999999909</v>
          </cell>
          <cell r="F639">
            <v>210392.18999999994</v>
          </cell>
          <cell r="G639">
            <v>12199.139999999876</v>
          </cell>
          <cell r="H639">
            <v>87764.120000000068</v>
          </cell>
          <cell r="I639">
            <v>74408.229999999749</v>
          </cell>
          <cell r="J639">
            <v>139803.31000000006</v>
          </cell>
          <cell r="K639">
            <v>28808.420000000013</v>
          </cell>
          <cell r="L639">
            <v>178292.47</v>
          </cell>
          <cell r="M639">
            <v>70700.629999999976</v>
          </cell>
          <cell r="N639">
            <v>189706.05999999991</v>
          </cell>
          <cell r="O639">
            <v>-2263.1299999998737</v>
          </cell>
          <cell r="P639">
            <v>86637.149999999878</v>
          </cell>
          <cell r="Q639">
            <v>1031466.1799999956</v>
          </cell>
        </row>
        <row r="641">
          <cell r="A641" t="str">
            <v>Income Taxes</v>
          </cell>
        </row>
        <row r="642">
          <cell r="A642">
            <v>90000</v>
          </cell>
          <cell r="B642" t="str">
            <v>Taxes -Federal</v>
          </cell>
          <cell r="E642">
            <v>0</v>
          </cell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</row>
        <row r="643">
          <cell r="A643">
            <v>90010</v>
          </cell>
          <cell r="B643" t="str">
            <v>Taxes - State</v>
          </cell>
          <cell r="E643">
            <v>0</v>
          </cell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</row>
        <row r="644">
          <cell r="A644" t="str">
            <v>Total Income Taxes</v>
          </cell>
          <cell r="E644">
            <v>0</v>
          </cell>
          <cell r="F644">
            <v>0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</row>
        <row r="646">
          <cell r="A646" t="str">
            <v>Net Income</v>
          </cell>
          <cell r="E646">
            <v>-44982.409999999909</v>
          </cell>
          <cell r="F646">
            <v>210392.18999999994</v>
          </cell>
          <cell r="G646">
            <v>12199.139999999876</v>
          </cell>
          <cell r="H646">
            <v>87764.120000000068</v>
          </cell>
          <cell r="I646">
            <v>74408.229999999749</v>
          </cell>
          <cell r="J646">
            <v>139803.31000000006</v>
          </cell>
          <cell r="K646">
            <v>28808.420000000013</v>
          </cell>
          <cell r="L646">
            <v>178292.47</v>
          </cell>
          <cell r="M646">
            <v>70700.629999999976</v>
          </cell>
          <cell r="N646">
            <v>189706.05999999991</v>
          </cell>
          <cell r="O646">
            <v>-2263.1299999998737</v>
          </cell>
          <cell r="P646">
            <v>86637.149999999878</v>
          </cell>
          <cell r="Q646">
            <v>1031466.1799999956</v>
          </cell>
        </row>
        <row r="648">
          <cell r="A648" t="str">
            <v>Noncontrolling Interests Expense</v>
          </cell>
        </row>
        <row r="649">
          <cell r="A649">
            <v>92000</v>
          </cell>
          <cell r="B649" t="str">
            <v>Noncontrolling interests</v>
          </cell>
          <cell r="E649">
            <v>0</v>
          </cell>
          <cell r="F649">
            <v>0</v>
          </cell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</row>
        <row r="650">
          <cell r="A650" t="str">
            <v>Total Noncontrolling Interests</v>
          </cell>
          <cell r="E650">
            <v>0</v>
          </cell>
          <cell r="F650">
            <v>0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</row>
        <row r="652">
          <cell r="A652" t="str">
            <v>Net Income Attributable to Waste Connections</v>
          </cell>
          <cell r="E652">
            <v>-44982.409999999909</v>
          </cell>
          <cell r="F652">
            <v>210392.18999999994</v>
          </cell>
          <cell r="G652">
            <v>12199.139999999876</v>
          </cell>
          <cell r="H652">
            <v>87764.120000000068</v>
          </cell>
          <cell r="I652">
            <v>74408.229999999749</v>
          </cell>
          <cell r="J652">
            <v>139803.31000000006</v>
          </cell>
          <cell r="K652">
            <v>28808.420000000013</v>
          </cell>
          <cell r="L652">
            <v>178292.47</v>
          </cell>
          <cell r="M652">
            <v>70700.629999999976</v>
          </cell>
          <cell r="N652">
            <v>189706.05999999991</v>
          </cell>
          <cell r="O652">
            <v>-2263.1299999998737</v>
          </cell>
          <cell r="P652">
            <v>86637.149999999878</v>
          </cell>
          <cell r="Q652">
            <v>1031466.1799999956</v>
          </cell>
        </row>
        <row r="654">
          <cell r="A654" t="str">
            <v>Net Income Attributable to Waste Connections per categories</v>
          </cell>
          <cell r="E654">
            <v>-44982.41</v>
          </cell>
          <cell r="F654">
            <v>210392.19</v>
          </cell>
          <cell r="G654">
            <v>12199.14</v>
          </cell>
          <cell r="H654">
            <v>87764.12</v>
          </cell>
          <cell r="I654">
            <v>74408.23</v>
          </cell>
          <cell r="J654">
            <v>139803.31</v>
          </cell>
          <cell r="K654">
            <v>28808.42</v>
          </cell>
          <cell r="L654">
            <v>178292.47</v>
          </cell>
          <cell r="M654">
            <v>70700.63</v>
          </cell>
          <cell r="N654">
            <v>189706.06</v>
          </cell>
          <cell r="O654">
            <v>-2263.13</v>
          </cell>
          <cell r="P654">
            <v>86637.15</v>
          </cell>
        </row>
      </sheetData>
      <sheetData sheetId="5" refreshError="1">
        <row r="12">
          <cell r="A12" t="str">
            <v>Revenue</v>
          </cell>
        </row>
        <row r="13">
          <cell r="A13" t="str">
            <v>Hauling</v>
          </cell>
        </row>
        <row r="14">
          <cell r="A14">
            <v>31000</v>
          </cell>
          <cell r="B14" t="str">
            <v>Hauling Revenue - Roll Off Permanent</v>
          </cell>
          <cell r="E14">
            <v>102444.08</v>
          </cell>
          <cell r="F14">
            <v>106574.9</v>
          </cell>
          <cell r="G14">
            <v>117486.29</v>
          </cell>
          <cell r="H14">
            <v>113663.22</v>
          </cell>
          <cell r="I14">
            <v>107537.52</v>
          </cell>
          <cell r="J14">
            <v>118709.91</v>
          </cell>
          <cell r="K14">
            <v>120424.95</v>
          </cell>
          <cell r="L14">
            <v>126593.49</v>
          </cell>
          <cell r="M14">
            <v>117849.49</v>
          </cell>
          <cell r="N14">
            <v>117031.26</v>
          </cell>
          <cell r="O14">
            <v>112018.5</v>
          </cell>
          <cell r="P14">
            <v>117369.28</v>
          </cell>
          <cell r="Q14">
            <v>1377702.89</v>
          </cell>
        </row>
        <row r="15">
          <cell r="A15">
            <v>31001</v>
          </cell>
          <cell r="B15" t="str">
            <v>Hauling Revenue - Roll Off Temporary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</row>
        <row r="16">
          <cell r="A16">
            <v>31002</v>
          </cell>
          <cell r="B16" t="str">
            <v>Hauling Revenue - Roll Off Rental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</row>
        <row r="17">
          <cell r="A17">
            <v>31003</v>
          </cell>
          <cell r="B17" t="str">
            <v>Hauling Revenue - Roll Off Compactor Ren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</row>
        <row r="18">
          <cell r="A18">
            <v>31004</v>
          </cell>
          <cell r="B18" t="str">
            <v>Hauling Revenue - Roll Off Recycling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</row>
        <row r="19">
          <cell r="A19">
            <v>31005</v>
          </cell>
          <cell r="B19" t="str">
            <v>Corporate Roll Off Disposal Charge</v>
          </cell>
          <cell r="E19">
            <v>210983.37</v>
          </cell>
          <cell r="F19">
            <v>189715.35</v>
          </cell>
          <cell r="G19">
            <v>221645.6</v>
          </cell>
          <cell r="H19">
            <v>218362.54</v>
          </cell>
          <cell r="I19">
            <v>210236.77</v>
          </cell>
          <cell r="J19">
            <v>240624.92</v>
          </cell>
          <cell r="K19">
            <v>227991.29</v>
          </cell>
          <cell r="L19">
            <v>234898.35</v>
          </cell>
          <cell r="M19">
            <v>229778.1</v>
          </cell>
          <cell r="N19">
            <v>229912.49</v>
          </cell>
          <cell r="O19">
            <v>225521.76</v>
          </cell>
          <cell r="P19">
            <v>242379.21</v>
          </cell>
          <cell r="Q19">
            <v>2682049.75</v>
          </cell>
        </row>
        <row r="20">
          <cell r="A20">
            <v>31008</v>
          </cell>
          <cell r="B20" t="str">
            <v>Hauling Revenue - Roll Off Adjustments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</row>
        <row r="21">
          <cell r="A21">
            <v>31009</v>
          </cell>
          <cell r="B21" t="str">
            <v>Hauling Revenue - Roll Off Intercompany</v>
          </cell>
          <cell r="E21">
            <v>2048.52</v>
          </cell>
          <cell r="F21">
            <v>2727.36</v>
          </cell>
          <cell r="G21">
            <v>2727.36</v>
          </cell>
          <cell r="H21">
            <v>3409.2</v>
          </cell>
          <cell r="I21">
            <v>2727.36</v>
          </cell>
          <cell r="J21">
            <v>2727.36</v>
          </cell>
          <cell r="K21">
            <v>5009.2</v>
          </cell>
          <cell r="L21">
            <v>3527.36</v>
          </cell>
          <cell r="M21">
            <v>3327.36</v>
          </cell>
          <cell r="N21">
            <v>3409.2</v>
          </cell>
          <cell r="O21">
            <v>2727.36</v>
          </cell>
          <cell r="P21">
            <v>3409.2</v>
          </cell>
          <cell r="Q21">
            <v>37776.839999999997</v>
          </cell>
        </row>
        <row r="22">
          <cell r="A22">
            <v>31010</v>
          </cell>
          <cell r="B22" t="str">
            <v>Hauling Revenue - Roll Off Extras</v>
          </cell>
          <cell r="E22">
            <v>27177.39</v>
          </cell>
          <cell r="F22">
            <v>26583.03</v>
          </cell>
          <cell r="G22">
            <v>26586.07</v>
          </cell>
          <cell r="H22">
            <v>27681.49</v>
          </cell>
          <cell r="I22">
            <v>28895.1</v>
          </cell>
          <cell r="J22">
            <v>30218.400000000001</v>
          </cell>
          <cell r="K22">
            <v>29088.41</v>
          </cell>
          <cell r="L22">
            <v>30882.48</v>
          </cell>
          <cell r="M22">
            <v>30023.54</v>
          </cell>
          <cell r="N22">
            <v>28675.83</v>
          </cell>
          <cell r="O22">
            <v>27741.67</v>
          </cell>
          <cell r="P22">
            <v>26907</v>
          </cell>
          <cell r="Q22">
            <v>340460.41</v>
          </cell>
        </row>
        <row r="23">
          <cell r="A23">
            <v>31020</v>
          </cell>
          <cell r="B23" t="str">
            <v>Hauling Revenue - Roll Off Special Waste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</row>
        <row r="24">
          <cell r="A24">
            <v>31021</v>
          </cell>
          <cell r="B24" t="str">
            <v>Hauling Revenue - Roll Off Special Waste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</row>
        <row r="25">
          <cell r="A25">
            <v>31029</v>
          </cell>
          <cell r="B25" t="str">
            <v>Hauling Revenue - Roll Off Special Waste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</row>
        <row r="26">
          <cell r="A26">
            <v>32000</v>
          </cell>
          <cell r="B26" t="str">
            <v>Hauling Revenue - Residential MSW</v>
          </cell>
          <cell r="E26">
            <v>1215495.77</v>
          </cell>
          <cell r="F26">
            <v>1200770.8</v>
          </cell>
          <cell r="G26">
            <v>1215802.44</v>
          </cell>
          <cell r="H26">
            <v>1220176.8500000001</v>
          </cell>
          <cell r="I26">
            <v>1224050.48</v>
          </cell>
          <cell r="J26">
            <v>1230237.8799999999</v>
          </cell>
          <cell r="K26">
            <v>1235768.5</v>
          </cell>
          <cell r="L26">
            <v>1230565.3500000001</v>
          </cell>
          <cell r="M26">
            <v>1233092.93</v>
          </cell>
          <cell r="N26">
            <v>1227440.83</v>
          </cell>
          <cell r="O26">
            <v>1230545.96</v>
          </cell>
          <cell r="P26">
            <v>1228126.99</v>
          </cell>
          <cell r="Q26">
            <v>14692074.779999999</v>
          </cell>
        </row>
        <row r="27">
          <cell r="A27">
            <v>32001</v>
          </cell>
          <cell r="B27" t="str">
            <v>Hauling Revenue - Residential MSW Extras</v>
          </cell>
          <cell r="E27">
            <v>29897.43</v>
          </cell>
          <cell r="F27">
            <v>23606.09</v>
          </cell>
          <cell r="G27">
            <v>37252.050000000003</v>
          </cell>
          <cell r="H27">
            <v>36299.58</v>
          </cell>
          <cell r="I27">
            <v>42698.61</v>
          </cell>
          <cell r="J27">
            <v>50366.1</v>
          </cell>
          <cell r="K27">
            <v>50649.79</v>
          </cell>
          <cell r="L27">
            <v>43300.24</v>
          </cell>
          <cell r="M27">
            <v>44830.46</v>
          </cell>
          <cell r="N27">
            <v>36083.339999999997</v>
          </cell>
          <cell r="O27">
            <v>44102.97</v>
          </cell>
          <cell r="P27">
            <v>42927.11</v>
          </cell>
          <cell r="Q27">
            <v>482013.77</v>
          </cell>
        </row>
        <row r="28">
          <cell r="A28">
            <v>32002</v>
          </cell>
          <cell r="B28" t="str">
            <v>Hauling Revenue - Residential MSW Adjust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</row>
        <row r="29">
          <cell r="A29">
            <v>32003</v>
          </cell>
          <cell r="B29" t="str">
            <v>Hauling Revenue - Residential MSW Specia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</row>
        <row r="30">
          <cell r="A30">
            <v>32009</v>
          </cell>
          <cell r="B30" t="str">
            <v>Hauling Revenue - Residential MSW Interc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</row>
        <row r="31">
          <cell r="A31">
            <v>32100</v>
          </cell>
          <cell r="B31" t="str">
            <v>Hauling Revenue - Residential Recycling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</row>
        <row r="32">
          <cell r="A32">
            <v>32101</v>
          </cell>
          <cell r="B32" t="str">
            <v>Hauling Revenue - Residential Recycling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</row>
        <row r="33">
          <cell r="A33">
            <v>32102</v>
          </cell>
          <cell r="B33" t="str">
            <v>Hauling Revenue - Residential Recycling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</row>
        <row r="34">
          <cell r="A34">
            <v>32103</v>
          </cell>
          <cell r="B34" t="str">
            <v>Hauling Revenue - Residential Recycling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</row>
        <row r="35">
          <cell r="A35">
            <v>32109</v>
          </cell>
          <cell r="B35" t="str">
            <v>Hauling Revenue - Residential Recycling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</row>
        <row r="36">
          <cell r="A36">
            <v>32110</v>
          </cell>
          <cell r="B36" t="str">
            <v>Hauling Revenue - Residential Composting</v>
          </cell>
          <cell r="E36">
            <v>232014.97</v>
          </cell>
          <cell r="F36">
            <v>232365.45</v>
          </cell>
          <cell r="G36">
            <v>257766.36</v>
          </cell>
          <cell r="H36">
            <v>270150.08</v>
          </cell>
          <cell r="I36">
            <v>281923.53999999998</v>
          </cell>
          <cell r="J36">
            <v>287780.03999999998</v>
          </cell>
          <cell r="K36">
            <v>291816.17</v>
          </cell>
          <cell r="L36">
            <v>292493.43</v>
          </cell>
          <cell r="M36">
            <v>290035.87</v>
          </cell>
          <cell r="N36">
            <v>289167.18</v>
          </cell>
          <cell r="O36">
            <v>283845.96999999997</v>
          </cell>
          <cell r="P36">
            <v>275560.67</v>
          </cell>
          <cell r="Q36">
            <v>3284919.7300000004</v>
          </cell>
        </row>
        <row r="37">
          <cell r="A37">
            <v>32111</v>
          </cell>
          <cell r="B37" t="str">
            <v>Hauling Revenue - Residential Composting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</row>
        <row r="38">
          <cell r="A38">
            <v>32112</v>
          </cell>
          <cell r="B38" t="str">
            <v>Hauling Revenue - Residential Composting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</row>
        <row r="39">
          <cell r="A39">
            <v>32113</v>
          </cell>
          <cell r="B39" t="str">
            <v>Hauling Revenue - Residential Composting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</row>
        <row r="40">
          <cell r="A40">
            <v>32119</v>
          </cell>
          <cell r="B40" t="str">
            <v>Hauling Revenue - Residential Composting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</row>
        <row r="41">
          <cell r="A41">
            <v>33000</v>
          </cell>
          <cell r="B41" t="str">
            <v>Hauling Revenue - Commercial FEL</v>
          </cell>
          <cell r="E41">
            <v>785575.03</v>
          </cell>
          <cell r="F41">
            <v>787034.21</v>
          </cell>
          <cell r="G41">
            <v>790933.58</v>
          </cell>
          <cell r="H41">
            <v>778610.72</v>
          </cell>
          <cell r="I41">
            <v>780041.46</v>
          </cell>
          <cell r="J41">
            <v>778320.61</v>
          </cell>
          <cell r="K41">
            <v>768305.23</v>
          </cell>
          <cell r="L41">
            <v>774319.69</v>
          </cell>
          <cell r="M41">
            <v>801901.87</v>
          </cell>
          <cell r="N41">
            <v>774557.42</v>
          </cell>
          <cell r="O41">
            <v>791933.57</v>
          </cell>
          <cell r="P41">
            <v>766346.74</v>
          </cell>
          <cell r="Q41">
            <v>9377880.129999999</v>
          </cell>
        </row>
        <row r="42">
          <cell r="A42">
            <v>33001</v>
          </cell>
          <cell r="B42" t="str">
            <v>Hauling Revenue - Commercial FEL Extras</v>
          </cell>
          <cell r="E42">
            <v>39516.839999999997</v>
          </cell>
          <cell r="F42">
            <v>40932.36</v>
          </cell>
          <cell r="G42">
            <v>42606.080000000002</v>
          </cell>
          <cell r="H42">
            <v>42197.16</v>
          </cell>
          <cell r="I42">
            <v>43036.11</v>
          </cell>
          <cell r="J42">
            <v>44513.7</v>
          </cell>
          <cell r="K42">
            <v>47317.760000000002</v>
          </cell>
          <cell r="L42">
            <v>46590.51</v>
          </cell>
          <cell r="M42">
            <v>43401.91</v>
          </cell>
          <cell r="N42">
            <v>44637.59</v>
          </cell>
          <cell r="O42">
            <v>43797.96</v>
          </cell>
          <cell r="P42">
            <v>45382.02</v>
          </cell>
          <cell r="Q42">
            <v>523930.00000000006</v>
          </cell>
        </row>
        <row r="43">
          <cell r="A43">
            <v>33002</v>
          </cell>
          <cell r="B43" t="str">
            <v>Hauling Revenue - Commercial FEL Adjustm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</row>
        <row r="44">
          <cell r="A44">
            <v>33009</v>
          </cell>
          <cell r="B44" t="str">
            <v>Hauling Revenue - Commercial FEL Interco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</row>
        <row r="45">
          <cell r="A45">
            <v>33010</v>
          </cell>
          <cell r="B45" t="str">
            <v>Hauling Revenue - Commercial REL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</row>
        <row r="46">
          <cell r="A46">
            <v>33011</v>
          </cell>
          <cell r="B46" t="str">
            <v>Hauling Revenue - Commercial REL Extras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</row>
        <row r="47">
          <cell r="A47">
            <v>33012</v>
          </cell>
          <cell r="B47" t="str">
            <v>Hauling Revenue - Commercial REL Adjustm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</row>
        <row r="48">
          <cell r="A48">
            <v>33019</v>
          </cell>
          <cell r="B48" t="str">
            <v>Hauling Revenue - Commercial REL Interco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</row>
        <row r="49">
          <cell r="A49">
            <v>33020</v>
          </cell>
          <cell r="B49" t="str">
            <v>Hauling Revenue - Commercial Recycling F</v>
          </cell>
          <cell r="E49">
            <v>119520.55</v>
          </cell>
          <cell r="F49">
            <v>122687.61</v>
          </cell>
          <cell r="G49">
            <v>123043.3</v>
          </cell>
          <cell r="H49">
            <v>123772.17</v>
          </cell>
          <cell r="I49">
            <v>125625.36</v>
          </cell>
          <cell r="J49">
            <v>127061.96</v>
          </cell>
          <cell r="K49">
            <v>116074.3</v>
          </cell>
          <cell r="L49">
            <v>111337.44</v>
          </cell>
          <cell r="M49">
            <v>128400.61</v>
          </cell>
          <cell r="N49">
            <v>133541.20000000001</v>
          </cell>
          <cell r="O49">
            <v>129324.87</v>
          </cell>
          <cell r="P49">
            <v>130696.08</v>
          </cell>
          <cell r="Q49">
            <v>1491085.4500000002</v>
          </cell>
        </row>
        <row r="50">
          <cell r="A50">
            <v>33021</v>
          </cell>
          <cell r="B50" t="str">
            <v>Hauling Revenue - Commercial Recycling F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</row>
        <row r="51">
          <cell r="A51">
            <v>33022</v>
          </cell>
          <cell r="B51" t="str">
            <v>Hauling Revenue - Commercial Recycling F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</row>
        <row r="52">
          <cell r="A52">
            <v>33029</v>
          </cell>
          <cell r="B52" t="str">
            <v>Hauling Revenue - Commercial Recycling F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</row>
        <row r="53">
          <cell r="A53">
            <v>33030</v>
          </cell>
          <cell r="B53" t="str">
            <v>Hauling Revenue - Commercial Recycling R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</row>
        <row r="54">
          <cell r="A54">
            <v>33031</v>
          </cell>
          <cell r="B54" t="str">
            <v>Hauling Revenue - Commercial Recycling R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</row>
        <row r="55">
          <cell r="A55">
            <v>33032</v>
          </cell>
          <cell r="B55" t="str">
            <v>Hauling Revenue - Commercial Recycling R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</row>
        <row r="56">
          <cell r="A56">
            <v>33039</v>
          </cell>
          <cell r="B56" t="str">
            <v>Hauling Revenue - Commercial Recycling R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</row>
        <row r="57">
          <cell r="A57">
            <v>33500</v>
          </cell>
          <cell r="B57" t="str">
            <v>Portable Toilet Revenue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</row>
        <row r="58">
          <cell r="A58">
            <v>33501</v>
          </cell>
          <cell r="B58" t="str">
            <v>Portable Toilet Extras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</row>
        <row r="59">
          <cell r="A59">
            <v>33502</v>
          </cell>
          <cell r="B59" t="str">
            <v>Portable Toilet Adjustments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</row>
        <row r="60">
          <cell r="A60">
            <v>33509</v>
          </cell>
          <cell r="B60" t="str">
            <v>Portable Toilet Intercompany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</row>
        <row r="61">
          <cell r="A61" t="str">
            <v>Total Hauling</v>
          </cell>
          <cell r="E61">
            <v>2764673.9499999997</v>
          </cell>
          <cell r="F61">
            <v>2732997.1599999997</v>
          </cell>
          <cell r="G61">
            <v>2835849.13</v>
          </cell>
          <cell r="H61">
            <v>2834323.0100000002</v>
          </cell>
          <cell r="I61">
            <v>2846772.3099999996</v>
          </cell>
          <cell r="J61">
            <v>2910560.8800000004</v>
          </cell>
          <cell r="K61">
            <v>2892445.5999999996</v>
          </cell>
          <cell r="L61">
            <v>2894508.3399999994</v>
          </cell>
          <cell r="M61">
            <v>2922642.14</v>
          </cell>
          <cell r="N61">
            <v>2884456.3400000003</v>
          </cell>
          <cell r="O61">
            <v>2891560.59</v>
          </cell>
          <cell r="P61">
            <v>2879104.3000000003</v>
          </cell>
          <cell r="Q61">
            <v>34289893.75</v>
          </cell>
        </row>
        <row r="63">
          <cell r="A63" t="str">
            <v>Transfer</v>
          </cell>
        </row>
        <row r="64">
          <cell r="A64">
            <v>35000</v>
          </cell>
          <cell r="B64" t="str">
            <v>Transfer Station - Third Party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</row>
        <row r="65">
          <cell r="A65">
            <v>35001</v>
          </cell>
          <cell r="B65" t="str">
            <v>Transfer Station - Third Party Adjustmen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</row>
        <row r="66">
          <cell r="A66">
            <v>35009</v>
          </cell>
          <cell r="B66" t="str">
            <v>Transfer Station - Intercompany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</row>
        <row r="67">
          <cell r="A67">
            <v>35500</v>
          </cell>
          <cell r="B67" t="str">
            <v>MRF Processing Charge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</row>
        <row r="68">
          <cell r="A68">
            <v>35501</v>
          </cell>
          <cell r="B68" t="str">
            <v>MRF Processing Charge Adjustments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</row>
        <row r="69">
          <cell r="A69">
            <v>35509</v>
          </cell>
          <cell r="B69" t="str">
            <v>MRF Processing Charge Intercompany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</row>
        <row r="70">
          <cell r="A70" t="str">
            <v>Total Transfer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</row>
        <row r="72">
          <cell r="A72" t="str">
            <v>MRF</v>
          </cell>
        </row>
        <row r="73">
          <cell r="A73">
            <v>35510</v>
          </cell>
          <cell r="B73" t="str">
            <v>Proceeds - OCC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</row>
        <row r="74">
          <cell r="A74">
            <v>35511</v>
          </cell>
          <cell r="B74" t="str">
            <v>Proceeds - ONP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</row>
        <row r="75">
          <cell r="A75">
            <v>35512</v>
          </cell>
          <cell r="B75" t="str">
            <v>Proceeds - Other Paper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</row>
        <row r="76">
          <cell r="A76">
            <v>35513</v>
          </cell>
          <cell r="B76" t="str">
            <v>Proceeds - Aluminum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</row>
        <row r="77">
          <cell r="A77">
            <v>35514</v>
          </cell>
          <cell r="B77" t="str">
            <v>Proceeds - Metal</v>
          </cell>
          <cell r="E77">
            <v>745.55</v>
          </cell>
          <cell r="F77">
            <v>533.20000000000005</v>
          </cell>
          <cell r="G77">
            <v>3342.9</v>
          </cell>
          <cell r="H77">
            <v>13178.15</v>
          </cell>
          <cell r="I77">
            <v>5247</v>
          </cell>
          <cell r="J77">
            <v>16966.05</v>
          </cell>
          <cell r="K77">
            <v>7984.5</v>
          </cell>
          <cell r="L77">
            <v>1463.55</v>
          </cell>
          <cell r="M77">
            <v>-1454.1</v>
          </cell>
          <cell r="N77">
            <v>1425.6</v>
          </cell>
          <cell r="O77">
            <v>1051.75</v>
          </cell>
          <cell r="P77">
            <v>1088</v>
          </cell>
          <cell r="Q77">
            <v>51572.15</v>
          </cell>
        </row>
        <row r="78">
          <cell r="A78">
            <v>35515</v>
          </cell>
          <cell r="B78" t="str">
            <v>Proceeds - Glass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</row>
        <row r="79">
          <cell r="A79">
            <v>35516</v>
          </cell>
          <cell r="B79" t="str">
            <v>Proceeds - Plastic</v>
          </cell>
          <cell r="E79">
            <v>387</v>
          </cell>
          <cell r="F79">
            <v>318.60000000000002</v>
          </cell>
          <cell r="G79">
            <v>0</v>
          </cell>
          <cell r="H79">
            <v>331.2</v>
          </cell>
          <cell r="I79">
            <v>0</v>
          </cell>
          <cell r="J79">
            <v>412.2</v>
          </cell>
          <cell r="K79">
            <v>644.4</v>
          </cell>
          <cell r="L79">
            <v>0</v>
          </cell>
          <cell r="M79">
            <v>0</v>
          </cell>
          <cell r="N79">
            <v>-644.4</v>
          </cell>
          <cell r="O79">
            <v>652</v>
          </cell>
          <cell r="P79">
            <v>0</v>
          </cell>
          <cell r="Q79">
            <v>2101</v>
          </cell>
        </row>
        <row r="80">
          <cell r="A80">
            <v>35517</v>
          </cell>
          <cell r="B80" t="str">
            <v>Proceeds - Other Recyclables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</row>
        <row r="81">
          <cell r="A81">
            <v>35518</v>
          </cell>
          <cell r="B81" t="str">
            <v>Proceeds - Commingled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</row>
        <row r="82">
          <cell r="A82">
            <v>35519</v>
          </cell>
          <cell r="B82" t="str">
            <v>Proceeds - Intercompany Material Sales</v>
          </cell>
          <cell r="E82">
            <v>65030.879999999997</v>
          </cell>
          <cell r="F82">
            <v>76173.81</v>
          </cell>
          <cell r="G82">
            <v>70361.429999999993</v>
          </cell>
          <cell r="H82">
            <v>74831.539999999994</v>
          </cell>
          <cell r="I82">
            <v>73578.62</v>
          </cell>
          <cell r="J82">
            <v>75531.38</v>
          </cell>
          <cell r="K82">
            <v>73771.45</v>
          </cell>
          <cell r="L82">
            <v>57407.56</v>
          </cell>
          <cell r="M82">
            <v>68624.86</v>
          </cell>
          <cell r="N82">
            <v>71603.88</v>
          </cell>
          <cell r="O82">
            <v>84200.36</v>
          </cell>
          <cell r="P82">
            <v>95665.68</v>
          </cell>
          <cell r="Q82">
            <v>886781.45</v>
          </cell>
        </row>
        <row r="83">
          <cell r="A83">
            <v>35520</v>
          </cell>
          <cell r="B83" t="str">
            <v>Support - OCC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</row>
        <row r="84">
          <cell r="A84">
            <v>35521</v>
          </cell>
          <cell r="B84" t="str">
            <v>Support - ONP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</row>
        <row r="85">
          <cell r="A85">
            <v>35522</v>
          </cell>
          <cell r="B85" t="str">
            <v>Support - Other Paper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</row>
        <row r="86">
          <cell r="A86">
            <v>35523</v>
          </cell>
          <cell r="B86" t="str">
            <v>Support - Aluminum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</row>
        <row r="87">
          <cell r="A87">
            <v>35524</v>
          </cell>
          <cell r="B87" t="str">
            <v>Support - Metal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</row>
        <row r="88">
          <cell r="A88">
            <v>35525</v>
          </cell>
          <cell r="B88" t="str">
            <v>Support - Glass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</row>
        <row r="89">
          <cell r="A89">
            <v>35526</v>
          </cell>
          <cell r="B89" t="str">
            <v>Support - Plastic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</row>
        <row r="90">
          <cell r="A90">
            <v>35527</v>
          </cell>
          <cell r="B90" t="str">
            <v>Support - Other Recyclables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</row>
        <row r="91">
          <cell r="A91">
            <v>35529</v>
          </cell>
          <cell r="B91" t="str">
            <v>Support - Intercompany Material Sales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</row>
        <row r="92">
          <cell r="A92">
            <v>35551</v>
          </cell>
          <cell r="B92" t="str">
            <v>Proceeds - Compost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</row>
        <row r="93">
          <cell r="A93">
            <v>35552</v>
          </cell>
          <cell r="B93" t="str">
            <v>Proceeds - Fuel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</row>
        <row r="94">
          <cell r="A94">
            <v>35553</v>
          </cell>
          <cell r="B94" t="str">
            <v>Proceeds - Landscape Materials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</row>
        <row r="95">
          <cell r="A95" t="str">
            <v>Total MRF</v>
          </cell>
          <cell r="E95">
            <v>66163.429999999993</v>
          </cell>
          <cell r="F95">
            <v>77025.61</v>
          </cell>
          <cell r="G95">
            <v>73704.329999999987</v>
          </cell>
          <cell r="H95">
            <v>88340.89</v>
          </cell>
          <cell r="I95">
            <v>78825.62</v>
          </cell>
          <cell r="J95">
            <v>92909.63</v>
          </cell>
          <cell r="K95">
            <v>82400.349999999991</v>
          </cell>
          <cell r="L95">
            <v>58871.11</v>
          </cell>
          <cell r="M95">
            <v>67170.759999999995</v>
          </cell>
          <cell r="N95">
            <v>72385.08</v>
          </cell>
          <cell r="O95">
            <v>85904.11</v>
          </cell>
          <cell r="P95">
            <v>96753.68</v>
          </cell>
          <cell r="Q95">
            <v>940454.6</v>
          </cell>
        </row>
        <row r="97">
          <cell r="A97" t="str">
            <v>Landfill</v>
          </cell>
        </row>
        <row r="98">
          <cell r="A98">
            <v>36000</v>
          </cell>
          <cell r="B98" t="str">
            <v>Landfill Revenue - MSW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</row>
        <row r="99">
          <cell r="A99">
            <v>36001</v>
          </cell>
          <cell r="B99" t="str">
            <v>Landfill Revenue - MSW Adjustments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</row>
        <row r="100">
          <cell r="A100">
            <v>36002</v>
          </cell>
          <cell r="B100" t="str">
            <v>Landfill Revenue - Extras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</row>
        <row r="101">
          <cell r="A101">
            <v>36009</v>
          </cell>
          <cell r="B101" t="str">
            <v>Landfill Revenue - MSW Intercompany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</row>
        <row r="102">
          <cell r="A102">
            <v>36010</v>
          </cell>
          <cell r="B102" t="str">
            <v>Landfill Revenue - C&amp;D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</row>
        <row r="103">
          <cell r="A103">
            <v>36011</v>
          </cell>
          <cell r="B103" t="str">
            <v>Landfill Revenue - C&amp;D Adjustments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</row>
        <row r="104">
          <cell r="A104">
            <v>36019</v>
          </cell>
          <cell r="B104" t="str">
            <v>Landfill Revenue - C&amp;D Intercompany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</row>
        <row r="105">
          <cell r="A105">
            <v>36020</v>
          </cell>
          <cell r="B105" t="str">
            <v>Landfill Revenue - Special Waste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</row>
        <row r="106">
          <cell r="A106">
            <v>36021</v>
          </cell>
          <cell r="B106" t="str">
            <v>Landfill Revenue - Special Waste Adjustm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</row>
        <row r="107">
          <cell r="A107">
            <v>36029</v>
          </cell>
          <cell r="B107" t="str">
            <v>Landfill Revenue - Special Waste Interco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</row>
        <row r="108">
          <cell r="A108">
            <v>36030</v>
          </cell>
          <cell r="B108" t="str">
            <v>Landfill Revenue - Asbestos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</row>
        <row r="109">
          <cell r="A109">
            <v>36031</v>
          </cell>
          <cell r="B109" t="str">
            <v>Landfill Revenue - Asbestos Adjustments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</row>
        <row r="110">
          <cell r="A110">
            <v>36039</v>
          </cell>
          <cell r="B110" t="str">
            <v>Landfill Revenue - Asbestos Intercompany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</row>
        <row r="111">
          <cell r="A111">
            <v>36040</v>
          </cell>
          <cell r="B111" t="str">
            <v>Landfill Revenue - Contaminated Soil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</row>
        <row r="112">
          <cell r="A112">
            <v>36041</v>
          </cell>
          <cell r="B112" t="str">
            <v>Landfill Revenue - Contaminated Soil Adj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</row>
        <row r="113">
          <cell r="A113">
            <v>36049</v>
          </cell>
          <cell r="B113" t="str">
            <v>Landfill Revenue - Contaminated Soil Int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</row>
        <row r="114">
          <cell r="A114">
            <v>36050</v>
          </cell>
          <cell r="B114" t="str">
            <v>Landfill Revenue - Yard Waste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</row>
        <row r="115">
          <cell r="A115">
            <v>36051</v>
          </cell>
          <cell r="B115" t="str">
            <v>Landfill Revenue - Yard Waste Adjustment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</row>
        <row r="116">
          <cell r="A116">
            <v>36059</v>
          </cell>
          <cell r="B116" t="str">
            <v>Landfill Revenue - Yard Waste Intercompa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</row>
        <row r="117">
          <cell r="A117">
            <v>36090</v>
          </cell>
          <cell r="B117" t="str">
            <v>Landfill Pass Through Revenue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</row>
        <row r="118">
          <cell r="A118">
            <v>36099</v>
          </cell>
          <cell r="B118" t="str">
            <v>Landfill Pass Through Revenue Intercompany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</row>
        <row r="119">
          <cell r="A119">
            <v>36301</v>
          </cell>
          <cell r="B119" t="str">
            <v>E&amp;P Liquids - Non Count Waste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</row>
        <row r="120">
          <cell r="A120">
            <v>36309</v>
          </cell>
          <cell r="B120" t="str">
            <v>E&amp;P Liquids - Non Count Waste Intercompany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</row>
        <row r="121">
          <cell r="A121">
            <v>36311</v>
          </cell>
          <cell r="B121" t="str">
            <v>E&amp;P Liquids - Count Waste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</row>
        <row r="122">
          <cell r="A122">
            <v>36319</v>
          </cell>
          <cell r="B122" t="str">
            <v>E&amp;P Liquids - Count Waste Intercompany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</row>
        <row r="123">
          <cell r="A123">
            <v>36321</v>
          </cell>
          <cell r="B123" t="str">
            <v>Other Liquids - Non E&amp;P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</row>
        <row r="124">
          <cell r="A124">
            <v>36329</v>
          </cell>
          <cell r="B124" t="str">
            <v>Other Liquids - Non E&amp;P Intercompany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</row>
        <row r="125">
          <cell r="A125">
            <v>36331</v>
          </cell>
          <cell r="B125" t="str">
            <v>E&amp;P Solids - Count Waste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</row>
        <row r="126">
          <cell r="A126">
            <v>36339</v>
          </cell>
          <cell r="B126" t="str">
            <v>E&amp;P Solids - Count Waste Intercompany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</row>
        <row r="127">
          <cell r="A127" t="str">
            <v>Total Landfill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</row>
        <row r="129">
          <cell r="A129" t="str">
            <v>Intermodal</v>
          </cell>
        </row>
        <row r="130">
          <cell r="A130">
            <v>36101</v>
          </cell>
          <cell r="B130" t="str">
            <v>Rail Drayage Revenue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</row>
        <row r="131">
          <cell r="A131">
            <v>36109</v>
          </cell>
          <cell r="B131" t="str">
            <v>Rail Drayage Revenue - Intercompany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</row>
        <row r="132">
          <cell r="A132">
            <v>36111</v>
          </cell>
          <cell r="B132" t="str">
            <v>Truck Drayage Revenue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</row>
        <row r="133">
          <cell r="A133">
            <v>36119</v>
          </cell>
          <cell r="B133" t="str">
            <v>Truck Drayage Revenue - Intercompany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</row>
        <row r="134">
          <cell r="A134">
            <v>36121</v>
          </cell>
          <cell r="B134" t="str">
            <v>Barge Drayage Revenue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</row>
        <row r="135">
          <cell r="A135">
            <v>36131</v>
          </cell>
          <cell r="B135" t="str">
            <v>Service Labor Revenue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</row>
        <row r="136">
          <cell r="A136">
            <v>36141</v>
          </cell>
          <cell r="B136" t="str">
            <v>Refrigeration Labor Revenue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</row>
        <row r="137">
          <cell r="A137">
            <v>36145</v>
          </cell>
          <cell r="B137" t="str">
            <v>Parts Revenue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</row>
        <row r="138">
          <cell r="A138">
            <v>36151</v>
          </cell>
          <cell r="B138" t="str">
            <v>Container Sales Revenue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</row>
        <row r="139">
          <cell r="A139">
            <v>36161</v>
          </cell>
          <cell r="B139" t="str">
            <v>Container Rental Revenue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</row>
        <row r="140">
          <cell r="A140">
            <v>36171</v>
          </cell>
          <cell r="B140" t="str">
            <v>Intermodal Revenue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</row>
        <row r="141">
          <cell r="A141">
            <v>36181</v>
          </cell>
          <cell r="B141" t="str">
            <v>Chassis Lease Revenue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</row>
        <row r="142">
          <cell r="A142">
            <v>36191</v>
          </cell>
          <cell r="B142" t="str">
            <v>Interchanges Revenue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</row>
        <row r="143">
          <cell r="A143">
            <v>36201</v>
          </cell>
          <cell r="B143" t="str">
            <v>Storage Revenue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</row>
        <row r="144">
          <cell r="A144">
            <v>36211</v>
          </cell>
          <cell r="B144" t="str">
            <v>Empty Lifts Revenue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</row>
        <row r="145">
          <cell r="A145">
            <v>36221</v>
          </cell>
          <cell r="B145" t="str">
            <v>Load Lifts Revenue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</row>
        <row r="146">
          <cell r="A146" t="str">
            <v>Total Intermodal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</row>
        <row r="148">
          <cell r="A148" t="str">
            <v>Other Revenue</v>
          </cell>
        </row>
        <row r="149">
          <cell r="A149">
            <v>37001</v>
          </cell>
          <cell r="B149" t="str">
            <v>Sale of Equipment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</row>
        <row r="150">
          <cell r="A150">
            <v>37010</v>
          </cell>
          <cell r="B150" t="str">
            <v>Tire Processing Revenue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</row>
        <row r="151">
          <cell r="A151">
            <v>37019</v>
          </cell>
          <cell r="B151" t="str">
            <v>Tire Processing Revenue - Intercompany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</row>
        <row r="152">
          <cell r="A152">
            <v>38000</v>
          </cell>
          <cell r="B152" t="str">
            <v>Corporate Other Revenue</v>
          </cell>
          <cell r="E152">
            <v>8589.2099999999991</v>
          </cell>
          <cell r="F152">
            <v>1694.09</v>
          </cell>
          <cell r="G152">
            <v>4218.3599999999997</v>
          </cell>
          <cell r="H152">
            <v>1373.97</v>
          </cell>
          <cell r="I152">
            <v>5262.72</v>
          </cell>
          <cell r="J152">
            <v>1769.91</v>
          </cell>
          <cell r="K152">
            <v>5502.45</v>
          </cell>
          <cell r="L152">
            <v>1702.72</v>
          </cell>
          <cell r="M152">
            <v>5805.85</v>
          </cell>
          <cell r="N152">
            <v>2208.19</v>
          </cell>
          <cell r="O152">
            <v>5752.25</v>
          </cell>
          <cell r="P152">
            <v>3433.24</v>
          </cell>
          <cell r="Q152">
            <v>47312.959999999999</v>
          </cell>
        </row>
        <row r="153">
          <cell r="A153">
            <v>38001</v>
          </cell>
          <cell r="B153" t="str">
            <v>P-Card Rebate Revenue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</row>
        <row r="154">
          <cell r="A154" t="str">
            <v>Total Other Revenue</v>
          </cell>
          <cell r="E154">
            <v>8589.2099999999991</v>
          </cell>
          <cell r="F154">
            <v>1694.09</v>
          </cell>
          <cell r="G154">
            <v>4218.3599999999997</v>
          </cell>
          <cell r="H154">
            <v>1373.97</v>
          </cell>
          <cell r="I154">
            <v>5262.72</v>
          </cell>
          <cell r="J154">
            <v>1769.91</v>
          </cell>
          <cell r="K154">
            <v>5502.45</v>
          </cell>
          <cell r="L154">
            <v>1702.72</v>
          </cell>
          <cell r="M154">
            <v>5805.85</v>
          </cell>
          <cell r="N154">
            <v>2208.19</v>
          </cell>
          <cell r="O154">
            <v>5752.25</v>
          </cell>
          <cell r="P154">
            <v>3433.24</v>
          </cell>
          <cell r="Q154">
            <v>47312.959999999999</v>
          </cell>
        </row>
        <row r="156">
          <cell r="A156" t="str">
            <v>Total Revenue</v>
          </cell>
          <cell r="E156">
            <v>2839426.59</v>
          </cell>
          <cell r="F156">
            <v>2811716.86</v>
          </cell>
          <cell r="G156">
            <v>2913771.82</v>
          </cell>
          <cell r="H156">
            <v>2924037.87</v>
          </cell>
          <cell r="I156">
            <v>2930860.6499999994</v>
          </cell>
          <cell r="J156">
            <v>3005240.4200000004</v>
          </cell>
          <cell r="K156">
            <v>2980348.3999999994</v>
          </cell>
          <cell r="L156">
            <v>2955082.1699999995</v>
          </cell>
          <cell r="M156">
            <v>2995618.75</v>
          </cell>
          <cell r="N156">
            <v>2959049.6100000003</v>
          </cell>
          <cell r="O156">
            <v>2983216.9499999997</v>
          </cell>
          <cell r="P156">
            <v>2979291.22</v>
          </cell>
          <cell r="Q156">
            <v>35277661.310000002</v>
          </cell>
        </row>
        <row r="158">
          <cell r="A158" t="str">
            <v>Revenue Reductions</v>
          </cell>
        </row>
        <row r="159">
          <cell r="A159" t="str">
            <v>Disposal</v>
          </cell>
        </row>
        <row r="160">
          <cell r="A160">
            <v>40101</v>
          </cell>
          <cell r="B160" t="str">
            <v>Disposal Landfill</v>
          </cell>
          <cell r="E160">
            <v>23350.03</v>
          </cell>
          <cell r="F160">
            <v>26834.720000000001</v>
          </cell>
          <cell r="G160">
            <v>42381.84</v>
          </cell>
          <cell r="H160">
            <v>36707.01</v>
          </cell>
          <cell r="I160">
            <v>39327.86</v>
          </cell>
          <cell r="J160">
            <v>44813.91</v>
          </cell>
          <cell r="K160">
            <v>45601.91</v>
          </cell>
          <cell r="L160">
            <v>42594.05</v>
          </cell>
          <cell r="M160">
            <v>39719.949999999997</v>
          </cell>
          <cell r="N160">
            <v>37160.81</v>
          </cell>
          <cell r="O160">
            <v>33518.03</v>
          </cell>
          <cell r="P160">
            <v>28405.79</v>
          </cell>
          <cell r="Q160">
            <v>440415.91</v>
          </cell>
        </row>
        <row r="161">
          <cell r="A161">
            <v>40109</v>
          </cell>
          <cell r="B161" t="str">
            <v>Disposal Landfill Intercompany</v>
          </cell>
          <cell r="E161">
            <v>194.6</v>
          </cell>
          <cell r="F161">
            <v>327.96</v>
          </cell>
          <cell r="G161">
            <v>99.4</v>
          </cell>
          <cell r="H161">
            <v>8930.7999999999993</v>
          </cell>
          <cell r="I161">
            <v>8418</v>
          </cell>
          <cell r="J161">
            <v>10225</v>
          </cell>
          <cell r="K161">
            <v>9550</v>
          </cell>
          <cell r="L161">
            <v>8953</v>
          </cell>
          <cell r="M161">
            <v>8660</v>
          </cell>
          <cell r="N161">
            <v>8485</v>
          </cell>
          <cell r="O161">
            <v>8205</v>
          </cell>
          <cell r="P161">
            <v>8111.2</v>
          </cell>
          <cell r="Q161">
            <v>80159.959999999992</v>
          </cell>
        </row>
        <row r="162">
          <cell r="A162">
            <v>40121</v>
          </cell>
          <cell r="B162" t="str">
            <v>Disposal Incineration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</row>
        <row r="163">
          <cell r="A163">
            <v>40122</v>
          </cell>
          <cell r="B163" t="str">
            <v>Disposal Other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</row>
        <row r="164">
          <cell r="A164">
            <v>40129</v>
          </cell>
          <cell r="B164" t="str">
            <v>Disposal Other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</row>
        <row r="165">
          <cell r="A165">
            <v>40131</v>
          </cell>
          <cell r="B165" t="str">
            <v>Disposal Transfer</v>
          </cell>
          <cell r="E165">
            <v>4652.22</v>
          </cell>
          <cell r="F165">
            <v>5422.23</v>
          </cell>
          <cell r="G165">
            <v>6556.26</v>
          </cell>
          <cell r="H165">
            <v>5248.01</v>
          </cell>
          <cell r="I165">
            <v>6285.68</v>
          </cell>
          <cell r="J165">
            <v>5271.25</v>
          </cell>
          <cell r="K165">
            <v>2375.48</v>
          </cell>
          <cell r="L165">
            <v>2345.9499999999998</v>
          </cell>
          <cell r="M165">
            <v>4253.9399999999996</v>
          </cell>
          <cell r="N165">
            <v>5654.19</v>
          </cell>
          <cell r="O165">
            <v>5131.53</v>
          </cell>
          <cell r="P165">
            <v>5010.78</v>
          </cell>
          <cell r="Q165">
            <v>58207.520000000004</v>
          </cell>
        </row>
        <row r="166">
          <cell r="A166">
            <v>40139</v>
          </cell>
          <cell r="B166" t="str">
            <v>Disposal Transfer Intercompany</v>
          </cell>
          <cell r="E166">
            <v>593825.03</v>
          </cell>
          <cell r="F166">
            <v>547142.99</v>
          </cell>
          <cell r="G166">
            <v>630810.36</v>
          </cell>
          <cell r="H166">
            <v>605643.42000000004</v>
          </cell>
          <cell r="I166">
            <v>594549.89</v>
          </cell>
          <cell r="J166">
            <v>658860.29</v>
          </cell>
          <cell r="K166">
            <v>621190.5</v>
          </cell>
          <cell r="L166">
            <v>619548.27</v>
          </cell>
          <cell r="M166">
            <v>634021.85</v>
          </cell>
          <cell r="N166">
            <v>591478.38</v>
          </cell>
          <cell r="O166">
            <v>635582.61</v>
          </cell>
          <cell r="P166">
            <v>652795.86</v>
          </cell>
          <cell r="Q166">
            <v>7385449.4500000002</v>
          </cell>
        </row>
        <row r="167">
          <cell r="A167" t="str">
            <v>Total Disposal</v>
          </cell>
          <cell r="E167">
            <v>622021.88</v>
          </cell>
          <cell r="F167">
            <v>579727.9</v>
          </cell>
          <cell r="G167">
            <v>679847.86</v>
          </cell>
          <cell r="H167">
            <v>656529.24</v>
          </cell>
          <cell r="I167">
            <v>648581.43000000005</v>
          </cell>
          <cell r="J167">
            <v>719170.45000000007</v>
          </cell>
          <cell r="K167">
            <v>678717.89</v>
          </cell>
          <cell r="L167">
            <v>673441.27</v>
          </cell>
          <cell r="M167">
            <v>686655.74</v>
          </cell>
          <cell r="N167">
            <v>642778.38</v>
          </cell>
          <cell r="O167">
            <v>682437.16999999993</v>
          </cell>
          <cell r="P167">
            <v>694323.63</v>
          </cell>
          <cell r="Q167">
            <v>7964232.8399999999</v>
          </cell>
        </row>
        <row r="169">
          <cell r="A169" t="str">
            <v>MRF Processing</v>
          </cell>
        </row>
        <row r="170">
          <cell r="A170">
            <v>40861</v>
          </cell>
          <cell r="B170" t="str">
            <v>Processing Fees MRF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</row>
        <row r="171">
          <cell r="A171">
            <v>40869</v>
          </cell>
          <cell r="B171" t="str">
            <v>Processing Fees MRF Intercompany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</row>
        <row r="172">
          <cell r="A172" t="str">
            <v>Total MRF Processing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</row>
        <row r="174">
          <cell r="A174" t="str">
            <v>Brokerage, Rebates and Taxes</v>
          </cell>
        </row>
        <row r="175">
          <cell r="A175">
            <v>41121</v>
          </cell>
          <cell r="B175" t="str">
            <v>Brokerage Cost</v>
          </cell>
          <cell r="E175">
            <v>0</v>
          </cell>
          <cell r="F175">
            <v>0</v>
          </cell>
          <cell r="G175">
            <v>0</v>
          </cell>
          <cell r="H175">
            <v>178.39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178.39</v>
          </cell>
        </row>
        <row r="176">
          <cell r="A176">
            <v>41129</v>
          </cell>
          <cell r="B176" t="str">
            <v>Brokerage Cost Intercompany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</row>
        <row r="177">
          <cell r="A177">
            <v>41131</v>
          </cell>
          <cell r="B177" t="str">
            <v>Rail Drayage Expenses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</row>
        <row r="178">
          <cell r="A178">
            <v>41135</v>
          </cell>
          <cell r="B178" t="str">
            <v>Resale Parts - Cost of Goods Sold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</row>
        <row r="179">
          <cell r="A179">
            <v>41139</v>
          </cell>
          <cell r="B179" t="str">
            <v>Rail Drayage Expenses - Intercompany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</row>
        <row r="180">
          <cell r="A180">
            <v>41141</v>
          </cell>
          <cell r="B180" t="str">
            <v>Truck Drayage Expenses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</row>
        <row r="181">
          <cell r="A181">
            <v>41149</v>
          </cell>
          <cell r="B181" t="str">
            <v>Truck Drayage Expenses - Intercompany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</row>
        <row r="182">
          <cell r="A182">
            <v>41151</v>
          </cell>
          <cell r="B182" t="str">
            <v>Intermodal Expenses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</row>
        <row r="183">
          <cell r="A183">
            <v>41201</v>
          </cell>
          <cell r="B183" t="str">
            <v>Rebates and Revenue Sharing</v>
          </cell>
          <cell r="E183">
            <v>521936.87</v>
          </cell>
          <cell r="F183">
            <v>516837.5</v>
          </cell>
          <cell r="G183">
            <v>526589.43999999994</v>
          </cell>
          <cell r="H183">
            <v>507133.7</v>
          </cell>
          <cell r="I183">
            <v>514778.73</v>
          </cell>
          <cell r="J183">
            <v>520529.95</v>
          </cell>
          <cell r="K183">
            <v>523325.23</v>
          </cell>
          <cell r="L183">
            <v>525169.91</v>
          </cell>
          <cell r="M183">
            <v>526242.24</v>
          </cell>
          <cell r="N183">
            <v>522492.7</v>
          </cell>
          <cell r="O183">
            <v>519798.37</v>
          </cell>
          <cell r="P183">
            <v>519523.19</v>
          </cell>
          <cell r="Q183">
            <v>6244357.830000001</v>
          </cell>
        </row>
        <row r="184">
          <cell r="A184">
            <v>43001</v>
          </cell>
          <cell r="B184" t="str">
            <v>Taxes and Pass Thru Fees</v>
          </cell>
          <cell r="E184">
            <v>41543.1</v>
          </cell>
          <cell r="F184">
            <v>40952.97</v>
          </cell>
          <cell r="G184">
            <v>42462.54</v>
          </cell>
          <cell r="H184">
            <v>45489.33</v>
          </cell>
          <cell r="I184">
            <v>48581.71</v>
          </cell>
          <cell r="J184">
            <v>53321.59</v>
          </cell>
          <cell r="K184">
            <v>51875.89</v>
          </cell>
          <cell r="L184">
            <v>52096.88</v>
          </cell>
          <cell r="M184">
            <v>52109.83</v>
          </cell>
          <cell r="N184">
            <v>51665.29</v>
          </cell>
          <cell r="O184">
            <v>51559.19</v>
          </cell>
          <cell r="P184">
            <v>51703.040000000001</v>
          </cell>
          <cell r="Q184">
            <v>583361.3600000001</v>
          </cell>
        </row>
        <row r="185">
          <cell r="A185">
            <v>43002</v>
          </cell>
          <cell r="B185" t="str">
            <v>WUTC Taxes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</row>
        <row r="186">
          <cell r="A186">
            <v>43090</v>
          </cell>
          <cell r="B186" t="str">
            <v>Pass Through Expenses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</row>
        <row r="187">
          <cell r="A187">
            <v>43099</v>
          </cell>
          <cell r="B187" t="str">
            <v>Pass Through Expenses Intercompany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</row>
        <row r="188">
          <cell r="A188" t="str">
            <v>Total Brokerage, Rebates and Taxes</v>
          </cell>
          <cell r="E188">
            <v>563479.97</v>
          </cell>
          <cell r="F188">
            <v>557790.47</v>
          </cell>
          <cell r="G188">
            <v>569051.98</v>
          </cell>
          <cell r="H188">
            <v>552801.42000000004</v>
          </cell>
          <cell r="I188">
            <v>563360.43999999994</v>
          </cell>
          <cell r="J188">
            <v>573851.54</v>
          </cell>
          <cell r="K188">
            <v>575201.12</v>
          </cell>
          <cell r="L188">
            <v>577266.79</v>
          </cell>
          <cell r="M188">
            <v>578352.06999999995</v>
          </cell>
          <cell r="N188">
            <v>574157.99</v>
          </cell>
          <cell r="O188">
            <v>571357.56000000006</v>
          </cell>
          <cell r="P188">
            <v>571226.23</v>
          </cell>
          <cell r="Q188">
            <v>6827897.580000001</v>
          </cell>
        </row>
        <row r="190">
          <cell r="A190" t="str">
            <v>Recycling Materials Expense</v>
          </cell>
        </row>
        <row r="191">
          <cell r="A191">
            <v>44161</v>
          </cell>
          <cell r="B191" t="str">
            <v>Cost of Materials - OCC</v>
          </cell>
          <cell r="E191">
            <v>2426.64</v>
          </cell>
          <cell r="F191">
            <v>2389.0700000000002</v>
          </cell>
          <cell r="G191">
            <v>2400.6</v>
          </cell>
          <cell r="H191">
            <v>2445.6799999999998</v>
          </cell>
          <cell r="I191">
            <v>2403.29</v>
          </cell>
          <cell r="J191">
            <v>2402.11</v>
          </cell>
          <cell r="K191">
            <v>437.67</v>
          </cell>
          <cell r="L191">
            <v>1356.93</v>
          </cell>
          <cell r="M191">
            <v>2409.56</v>
          </cell>
          <cell r="N191">
            <v>2530.52</v>
          </cell>
          <cell r="O191">
            <v>2633.11</v>
          </cell>
          <cell r="P191">
            <v>2651.26</v>
          </cell>
          <cell r="Q191">
            <v>26486.440000000002</v>
          </cell>
        </row>
        <row r="192">
          <cell r="A192">
            <v>44162</v>
          </cell>
          <cell r="B192" t="str">
            <v>Cost of Materials - ONP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</row>
        <row r="193">
          <cell r="A193">
            <v>44163</v>
          </cell>
          <cell r="B193" t="str">
            <v>Cost of Materials - Other Paper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</row>
        <row r="194">
          <cell r="A194">
            <v>44164</v>
          </cell>
          <cell r="B194" t="str">
            <v>Cost of Materials - Aluminum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</row>
        <row r="195">
          <cell r="A195">
            <v>44165</v>
          </cell>
          <cell r="B195" t="str">
            <v>Cost of Materials - Metal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</row>
        <row r="196">
          <cell r="A196">
            <v>44166</v>
          </cell>
          <cell r="B196" t="str">
            <v>Cost of Materials - Glass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</row>
        <row r="197">
          <cell r="A197">
            <v>44167</v>
          </cell>
          <cell r="B197" t="str">
            <v>Cost of Materials - Plastic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</row>
        <row r="198">
          <cell r="A198">
            <v>44168</v>
          </cell>
          <cell r="B198" t="str">
            <v>Cost of Materials - Other Recyclables</v>
          </cell>
          <cell r="E198">
            <v>0</v>
          </cell>
          <cell r="F198">
            <v>8</v>
          </cell>
          <cell r="G198">
            <v>8</v>
          </cell>
          <cell r="H198">
            <v>0</v>
          </cell>
          <cell r="I198">
            <v>8</v>
          </cell>
          <cell r="J198">
            <v>0</v>
          </cell>
          <cell r="K198">
            <v>8</v>
          </cell>
          <cell r="L198">
            <v>7</v>
          </cell>
          <cell r="M198">
            <v>0</v>
          </cell>
          <cell r="N198">
            <v>7</v>
          </cell>
          <cell r="O198">
            <v>15</v>
          </cell>
          <cell r="P198">
            <v>8</v>
          </cell>
          <cell r="Q198">
            <v>69</v>
          </cell>
        </row>
        <row r="199">
          <cell r="A199">
            <v>44169</v>
          </cell>
          <cell r="B199" t="str">
            <v>Cost of Materials - Intercompany</v>
          </cell>
          <cell r="E199">
            <v>1793.25</v>
          </cell>
          <cell r="F199">
            <v>1711</v>
          </cell>
          <cell r="G199">
            <v>2209.37</v>
          </cell>
          <cell r="H199">
            <v>2644.25</v>
          </cell>
          <cell r="I199">
            <v>3170</v>
          </cell>
          <cell r="J199">
            <v>2275.25</v>
          </cell>
          <cell r="K199">
            <v>1660.5</v>
          </cell>
          <cell r="L199">
            <v>2033.7</v>
          </cell>
          <cell r="M199">
            <v>1648</v>
          </cell>
          <cell r="N199">
            <v>2091.5500000000002</v>
          </cell>
          <cell r="O199">
            <v>2223.8000000000002</v>
          </cell>
          <cell r="P199">
            <v>2182.25</v>
          </cell>
          <cell r="Q199">
            <v>25642.92</v>
          </cell>
        </row>
        <row r="200">
          <cell r="A200">
            <v>44261</v>
          </cell>
          <cell r="B200" t="str">
            <v>Cost of Materials - Organics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</row>
        <row r="201">
          <cell r="A201">
            <v>44262</v>
          </cell>
          <cell r="B201" t="str">
            <v>Cost of Materials - Clean Wood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</row>
        <row r="202">
          <cell r="A202">
            <v>44263</v>
          </cell>
          <cell r="B202" t="str">
            <v>Cost of Materials - Landscaping Materials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</row>
        <row r="203">
          <cell r="A203" t="str">
            <v>Total Recycling Materials Expense</v>
          </cell>
          <cell r="E203">
            <v>4219.8899999999994</v>
          </cell>
          <cell r="F203">
            <v>4108.07</v>
          </cell>
          <cell r="G203">
            <v>4617.9699999999993</v>
          </cell>
          <cell r="H203">
            <v>5089.93</v>
          </cell>
          <cell r="I203">
            <v>5581.29</v>
          </cell>
          <cell r="J203">
            <v>4677.3600000000006</v>
          </cell>
          <cell r="K203">
            <v>2106.17</v>
          </cell>
          <cell r="L203">
            <v>3397.63</v>
          </cell>
          <cell r="M203">
            <v>4057.56</v>
          </cell>
          <cell r="N203">
            <v>4629.07</v>
          </cell>
          <cell r="O203">
            <v>4871.91</v>
          </cell>
          <cell r="P203">
            <v>4841.51</v>
          </cell>
          <cell r="Q203">
            <v>52198.36</v>
          </cell>
        </row>
        <row r="205">
          <cell r="A205" t="str">
            <v>Other Expense</v>
          </cell>
        </row>
        <row r="206">
          <cell r="A206">
            <v>47000</v>
          </cell>
          <cell r="B206" t="str">
            <v>Cost of Containers Sold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</row>
        <row r="207">
          <cell r="A207">
            <v>47001</v>
          </cell>
          <cell r="B207" t="str">
            <v>Cost of Equipment Sold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</row>
        <row r="208">
          <cell r="A208">
            <v>47010</v>
          </cell>
          <cell r="B208" t="str">
            <v>Tire Processing Expenses</v>
          </cell>
          <cell r="E208">
            <v>0</v>
          </cell>
          <cell r="F208">
            <v>0</v>
          </cell>
          <cell r="G208">
            <v>0</v>
          </cell>
          <cell r="H208">
            <v>205.8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205.8</v>
          </cell>
        </row>
        <row r="209">
          <cell r="A209">
            <v>47019</v>
          </cell>
          <cell r="B209" t="str">
            <v>Tire Processing Expenses - Intercompany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</row>
        <row r="210">
          <cell r="A210" t="str">
            <v>Total Other Expense</v>
          </cell>
          <cell r="E210">
            <v>0</v>
          </cell>
          <cell r="F210">
            <v>0</v>
          </cell>
          <cell r="G210">
            <v>0</v>
          </cell>
          <cell r="H210">
            <v>205.8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205.8</v>
          </cell>
        </row>
        <row r="212">
          <cell r="A212" t="str">
            <v>Total Revenue Reductions</v>
          </cell>
          <cell r="E212">
            <v>1189721.74</v>
          </cell>
          <cell r="F212">
            <v>1141626.44</v>
          </cell>
          <cell r="G212">
            <v>1253517.81</v>
          </cell>
          <cell r="H212">
            <v>1214626.3900000001</v>
          </cell>
          <cell r="I212">
            <v>1217523.1600000001</v>
          </cell>
          <cell r="J212">
            <v>1297699.3500000001</v>
          </cell>
          <cell r="K212">
            <v>1256025.1800000002</v>
          </cell>
          <cell r="L212">
            <v>1254105.69</v>
          </cell>
          <cell r="M212">
            <v>1269065.3700000001</v>
          </cell>
          <cell r="N212">
            <v>1221565.4399999999</v>
          </cell>
          <cell r="O212">
            <v>1258666.6400000001</v>
          </cell>
          <cell r="P212">
            <v>1270391.3700000001</v>
          </cell>
          <cell r="Q212">
            <v>14844534.580000002</v>
          </cell>
        </row>
        <row r="214">
          <cell r="A214" t="str">
            <v>Net Revenue</v>
          </cell>
          <cell r="E214">
            <v>1649704.8499999999</v>
          </cell>
          <cell r="F214">
            <v>1670090.42</v>
          </cell>
          <cell r="G214">
            <v>1660254.0099999998</v>
          </cell>
          <cell r="H214">
            <v>1709411.48</v>
          </cell>
          <cell r="I214">
            <v>1713337.4899999993</v>
          </cell>
          <cell r="J214">
            <v>1707541.0700000003</v>
          </cell>
          <cell r="K214">
            <v>1724323.2199999993</v>
          </cell>
          <cell r="L214">
            <v>1700976.4799999995</v>
          </cell>
          <cell r="M214">
            <v>1726553.38</v>
          </cell>
          <cell r="N214">
            <v>1737484.1700000004</v>
          </cell>
          <cell r="O214">
            <v>1724550.3099999996</v>
          </cell>
          <cell r="P214">
            <v>1708899.85</v>
          </cell>
          <cell r="Q214">
            <v>20433126.73</v>
          </cell>
        </row>
        <row r="216">
          <cell r="A216" t="str">
            <v>Cost of Operations</v>
          </cell>
        </row>
        <row r="217">
          <cell r="A217" t="str">
            <v>Labor</v>
          </cell>
        </row>
        <row r="218">
          <cell r="A218">
            <v>50010</v>
          </cell>
          <cell r="B218" t="str">
            <v>Salaries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</row>
        <row r="219">
          <cell r="A219">
            <v>50020</v>
          </cell>
          <cell r="B219" t="str">
            <v>Wages Regular</v>
          </cell>
          <cell r="E219">
            <v>164883.42000000001</v>
          </cell>
          <cell r="F219">
            <v>163593.57</v>
          </cell>
          <cell r="G219">
            <v>188109.33</v>
          </cell>
          <cell r="H219">
            <v>179849.71</v>
          </cell>
          <cell r="I219">
            <v>172347.9</v>
          </cell>
          <cell r="J219">
            <v>187859.47</v>
          </cell>
          <cell r="K219">
            <v>178348.24</v>
          </cell>
          <cell r="L219">
            <v>182091.36</v>
          </cell>
          <cell r="M219">
            <v>176392.37000000002</v>
          </cell>
          <cell r="N219">
            <v>178231.65999999997</v>
          </cell>
          <cell r="O219">
            <v>171402.89</v>
          </cell>
          <cell r="P219">
            <v>200565.78999999998</v>
          </cell>
          <cell r="Q219">
            <v>2143675.71</v>
          </cell>
        </row>
        <row r="220">
          <cell r="A220">
            <v>50025</v>
          </cell>
          <cell r="B220" t="str">
            <v>Wages O.T.</v>
          </cell>
          <cell r="E220">
            <v>32984.839999999997</v>
          </cell>
          <cell r="F220">
            <v>9544.4</v>
          </cell>
          <cell r="G220">
            <v>22471.78</v>
          </cell>
          <cell r="H220">
            <v>31363.030000000002</v>
          </cell>
          <cell r="I220">
            <v>49805.09</v>
          </cell>
          <cell r="J220">
            <v>35207.21</v>
          </cell>
          <cell r="K220">
            <v>36825.21</v>
          </cell>
          <cell r="L220">
            <v>33200.26</v>
          </cell>
          <cell r="M220">
            <v>40758.67</v>
          </cell>
          <cell r="N220">
            <v>31022.81</v>
          </cell>
          <cell r="O220">
            <v>51285.26</v>
          </cell>
          <cell r="P220">
            <v>33854.409999999996</v>
          </cell>
          <cell r="Q220">
            <v>408322.97</v>
          </cell>
        </row>
        <row r="221">
          <cell r="A221">
            <v>50035</v>
          </cell>
          <cell r="B221" t="str">
            <v>Safety Bonuses</v>
          </cell>
          <cell r="E221">
            <v>4800</v>
          </cell>
          <cell r="F221">
            <v>4800</v>
          </cell>
          <cell r="G221">
            <v>4800</v>
          </cell>
          <cell r="H221">
            <v>4800</v>
          </cell>
          <cell r="I221">
            <v>5550</v>
          </cell>
          <cell r="J221">
            <v>5550</v>
          </cell>
          <cell r="K221">
            <v>5550</v>
          </cell>
          <cell r="L221">
            <v>5550</v>
          </cell>
          <cell r="M221">
            <v>3500</v>
          </cell>
          <cell r="N221">
            <v>3500</v>
          </cell>
          <cell r="O221">
            <v>4800</v>
          </cell>
          <cell r="P221">
            <v>-8000</v>
          </cell>
          <cell r="Q221">
            <v>45200</v>
          </cell>
        </row>
        <row r="222">
          <cell r="A222">
            <v>50036</v>
          </cell>
          <cell r="B222" t="str">
            <v>Other Bonus/Commission - Non-Safety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</row>
        <row r="223">
          <cell r="A223">
            <v>50045</v>
          </cell>
          <cell r="B223" t="str">
            <v>Contract Labor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4788.33</v>
          </cell>
          <cell r="L223">
            <v>3663.38</v>
          </cell>
          <cell r="M223">
            <v>2786.12</v>
          </cell>
          <cell r="N223">
            <v>7835.02</v>
          </cell>
          <cell r="O223">
            <v>2360.66</v>
          </cell>
          <cell r="P223">
            <v>120.48</v>
          </cell>
          <cell r="Q223">
            <v>21553.989999999998</v>
          </cell>
        </row>
        <row r="224">
          <cell r="A224">
            <v>50050</v>
          </cell>
          <cell r="B224" t="str">
            <v>Payroll Taxes</v>
          </cell>
          <cell r="E224">
            <v>25189.960000000003</v>
          </cell>
          <cell r="F224">
            <v>18251.73</v>
          </cell>
          <cell r="G224">
            <v>20679.02</v>
          </cell>
          <cell r="H224">
            <v>21039.350000000002</v>
          </cell>
          <cell r="I224">
            <v>21060.63</v>
          </cell>
          <cell r="J224">
            <v>22770.019999999997</v>
          </cell>
          <cell r="K224">
            <v>23082.989999999998</v>
          </cell>
          <cell r="L224">
            <v>21413.860000000004</v>
          </cell>
          <cell r="M224">
            <v>22297.15</v>
          </cell>
          <cell r="N224">
            <v>19721.989999999998</v>
          </cell>
          <cell r="O224">
            <v>24041.16</v>
          </cell>
          <cell r="P224">
            <v>17044.59</v>
          </cell>
          <cell r="Q224">
            <v>256592.45</v>
          </cell>
        </row>
        <row r="225">
          <cell r="A225">
            <v>50060</v>
          </cell>
          <cell r="B225" t="str">
            <v>Group Insurance</v>
          </cell>
          <cell r="E225">
            <v>-52</v>
          </cell>
          <cell r="F225">
            <v>52</v>
          </cell>
          <cell r="G225">
            <v>400</v>
          </cell>
          <cell r="H225">
            <v>400</v>
          </cell>
          <cell r="I225">
            <v>400</v>
          </cell>
          <cell r="J225">
            <v>400</v>
          </cell>
          <cell r="K225">
            <v>400.77</v>
          </cell>
          <cell r="L225">
            <v>348</v>
          </cell>
          <cell r="M225">
            <v>400</v>
          </cell>
          <cell r="N225">
            <v>400</v>
          </cell>
          <cell r="O225">
            <v>1.54</v>
          </cell>
          <cell r="P225">
            <v>-913.13</v>
          </cell>
          <cell r="Q225">
            <v>2237.1799999999998</v>
          </cell>
        </row>
        <row r="226">
          <cell r="A226">
            <v>50065</v>
          </cell>
          <cell r="B226" t="str">
            <v>Vacation Pay</v>
          </cell>
          <cell r="E226">
            <v>19746.13</v>
          </cell>
          <cell r="F226">
            <v>10715.919999999998</v>
          </cell>
          <cell r="G226">
            <v>10164.220000000001</v>
          </cell>
          <cell r="H226">
            <v>13775.17</v>
          </cell>
          <cell r="I226">
            <v>12214.41</v>
          </cell>
          <cell r="J226">
            <v>9839.7799999999988</v>
          </cell>
          <cell r="K226">
            <v>16829.84</v>
          </cell>
          <cell r="L226">
            <v>10619.08</v>
          </cell>
          <cell r="M226">
            <v>20174.8</v>
          </cell>
          <cell r="N226">
            <v>7964.8900000000012</v>
          </cell>
          <cell r="O226">
            <v>28346.93</v>
          </cell>
          <cell r="P226">
            <v>21322.129999999997</v>
          </cell>
          <cell r="Q226">
            <v>181713.30000000002</v>
          </cell>
        </row>
        <row r="227">
          <cell r="A227">
            <v>50070</v>
          </cell>
          <cell r="B227" t="str">
            <v>Sick Pay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</row>
        <row r="228">
          <cell r="A228">
            <v>50086</v>
          </cell>
          <cell r="B228" t="str">
            <v>Safety and Training</v>
          </cell>
          <cell r="E228">
            <v>157.5</v>
          </cell>
          <cell r="F228">
            <v>172.5</v>
          </cell>
          <cell r="G228">
            <v>808.28</v>
          </cell>
          <cell r="H228">
            <v>-442.5</v>
          </cell>
          <cell r="I228">
            <v>965.32</v>
          </cell>
          <cell r="J228">
            <v>0</v>
          </cell>
          <cell r="K228">
            <v>0</v>
          </cell>
          <cell r="L228">
            <v>0</v>
          </cell>
          <cell r="M228">
            <v>25</v>
          </cell>
          <cell r="N228">
            <v>675</v>
          </cell>
          <cell r="O228">
            <v>0</v>
          </cell>
          <cell r="P228">
            <v>0</v>
          </cell>
          <cell r="Q228">
            <v>2361.1</v>
          </cell>
        </row>
        <row r="229">
          <cell r="A229">
            <v>50087</v>
          </cell>
          <cell r="B229" t="str">
            <v>Drug Testing</v>
          </cell>
          <cell r="E229">
            <v>60</v>
          </cell>
          <cell r="F229">
            <v>294</v>
          </cell>
          <cell r="G229">
            <v>180</v>
          </cell>
          <cell r="H229">
            <v>60</v>
          </cell>
          <cell r="I229">
            <v>180</v>
          </cell>
          <cell r="J229">
            <v>0</v>
          </cell>
          <cell r="K229">
            <v>660</v>
          </cell>
          <cell r="L229">
            <v>180</v>
          </cell>
          <cell r="M229">
            <v>480</v>
          </cell>
          <cell r="N229">
            <v>360</v>
          </cell>
          <cell r="O229">
            <v>180</v>
          </cell>
          <cell r="P229">
            <v>120</v>
          </cell>
          <cell r="Q229">
            <v>2754</v>
          </cell>
        </row>
        <row r="230">
          <cell r="A230">
            <v>50090</v>
          </cell>
          <cell r="B230" t="str">
            <v>Uniforms</v>
          </cell>
          <cell r="E230">
            <v>4074.6600000000003</v>
          </cell>
          <cell r="F230">
            <v>3623.04</v>
          </cell>
          <cell r="G230">
            <v>5198.9500000000007</v>
          </cell>
          <cell r="H230">
            <v>3689.49</v>
          </cell>
          <cell r="I230">
            <v>10448.56</v>
          </cell>
          <cell r="J230">
            <v>4504.9699999999993</v>
          </cell>
          <cell r="K230">
            <v>4758.2000000000007</v>
          </cell>
          <cell r="L230">
            <v>10818.759999999998</v>
          </cell>
          <cell r="M230">
            <v>4750.04</v>
          </cell>
          <cell r="N230">
            <v>7936.8100000000013</v>
          </cell>
          <cell r="O230">
            <v>4016.29</v>
          </cell>
          <cell r="P230">
            <v>3616.1000000000004</v>
          </cell>
          <cell r="Q230">
            <v>67435.87</v>
          </cell>
        </row>
        <row r="231">
          <cell r="A231">
            <v>50115</v>
          </cell>
          <cell r="B231" t="str">
            <v>Pension and Profit Sharing</v>
          </cell>
          <cell r="E231">
            <v>28983.06</v>
          </cell>
          <cell r="F231">
            <v>25738.78</v>
          </cell>
          <cell r="G231">
            <v>27512.51</v>
          </cell>
          <cell r="H231">
            <v>29149.510000000002</v>
          </cell>
          <cell r="I231">
            <v>28747.71</v>
          </cell>
          <cell r="J231">
            <v>30320.410000000003</v>
          </cell>
          <cell r="K231">
            <v>30592.95</v>
          </cell>
          <cell r="L231">
            <v>30361.019999999997</v>
          </cell>
          <cell r="M231">
            <v>30798.07</v>
          </cell>
          <cell r="N231">
            <v>28965.410000000003</v>
          </cell>
          <cell r="O231">
            <v>29195.13</v>
          </cell>
          <cell r="P231">
            <v>27681.32</v>
          </cell>
          <cell r="Q231">
            <v>348045.87999999995</v>
          </cell>
        </row>
        <row r="232">
          <cell r="A232">
            <v>50116</v>
          </cell>
          <cell r="B232" t="str">
            <v>Union Benefit Expense</v>
          </cell>
          <cell r="E232">
            <v>75002.37000000001</v>
          </cell>
          <cell r="F232">
            <v>76004.59</v>
          </cell>
          <cell r="G232">
            <v>72736.17</v>
          </cell>
          <cell r="H232">
            <v>70560.600000000006</v>
          </cell>
          <cell r="I232">
            <v>73715.539999999994</v>
          </cell>
          <cell r="J232">
            <v>76036.11</v>
          </cell>
          <cell r="K232">
            <v>76033.8</v>
          </cell>
          <cell r="L232">
            <v>76047.17</v>
          </cell>
          <cell r="M232">
            <v>75995.589999999982</v>
          </cell>
          <cell r="N232">
            <v>77106.5</v>
          </cell>
          <cell r="O232">
            <v>74405.170000000013</v>
          </cell>
          <cell r="P232">
            <v>74519.92</v>
          </cell>
          <cell r="Q232">
            <v>898163.53</v>
          </cell>
        </row>
        <row r="233">
          <cell r="A233">
            <v>50117</v>
          </cell>
          <cell r="B233" t="str">
            <v>Union Pension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</row>
        <row r="234">
          <cell r="A234">
            <v>50148</v>
          </cell>
          <cell r="B234" t="str">
            <v>Allocated Exp In - District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</row>
        <row r="235">
          <cell r="A235">
            <v>50149</v>
          </cell>
          <cell r="B235" t="str">
            <v>Allocated Exp In Out - District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</row>
        <row r="236">
          <cell r="A236">
            <v>50335</v>
          </cell>
          <cell r="B236" t="str">
            <v>Miscellaneous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</row>
        <row r="237">
          <cell r="A237">
            <v>50900</v>
          </cell>
          <cell r="B237" t="str">
            <v>Capitalized Costs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</row>
        <row r="238">
          <cell r="A238">
            <v>50998</v>
          </cell>
          <cell r="B238" t="str">
            <v>Allocation Out - District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</row>
        <row r="239">
          <cell r="A239">
            <v>50999</v>
          </cell>
          <cell r="B239" t="str">
            <v>Allocation Out - Out District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</row>
        <row r="240">
          <cell r="A240" t="str">
            <v>Total Labor</v>
          </cell>
          <cell r="E240">
            <v>355829.94</v>
          </cell>
          <cell r="F240">
            <v>312790.53000000003</v>
          </cell>
          <cell r="G240">
            <v>353060.25999999995</v>
          </cell>
          <cell r="H240">
            <v>354244.36</v>
          </cell>
          <cell r="I240">
            <v>375435.16</v>
          </cell>
          <cell r="J240">
            <v>372487.97</v>
          </cell>
          <cell r="K240">
            <v>377870.32999999996</v>
          </cell>
          <cell r="L240">
            <v>374292.89</v>
          </cell>
          <cell r="M240">
            <v>378357.81</v>
          </cell>
          <cell r="N240">
            <v>363720.08999999997</v>
          </cell>
          <cell r="O240">
            <v>390035.03</v>
          </cell>
          <cell r="P240">
            <v>369931.60999999993</v>
          </cell>
          <cell r="Q240">
            <v>4378055.9800000004</v>
          </cell>
        </row>
        <row r="242">
          <cell r="A242" t="str">
            <v>Truck Fixed Expenses</v>
          </cell>
        </row>
        <row r="243">
          <cell r="A243">
            <v>51148</v>
          </cell>
          <cell r="B243" t="str">
            <v>Allocation In - District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</row>
        <row r="244">
          <cell r="A244">
            <v>51149</v>
          </cell>
          <cell r="B244" t="str">
            <v>Allocation In - Out District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</row>
        <row r="245">
          <cell r="A245">
            <v>51175</v>
          </cell>
          <cell r="B245" t="str">
            <v>Equipment/Vehicle Rental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</row>
        <row r="246">
          <cell r="A246">
            <v>51275</v>
          </cell>
          <cell r="B246" t="str">
            <v>Property Taxes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</row>
        <row r="247">
          <cell r="A247">
            <v>51295</v>
          </cell>
          <cell r="B247" t="str">
            <v>Licenses</v>
          </cell>
          <cell r="E247">
            <v>7094.03</v>
          </cell>
          <cell r="F247">
            <v>5283.39</v>
          </cell>
          <cell r="G247">
            <v>6038.79</v>
          </cell>
          <cell r="H247">
            <v>6260.76</v>
          </cell>
          <cell r="I247">
            <v>7130.37</v>
          </cell>
          <cell r="J247">
            <v>6495.12</v>
          </cell>
          <cell r="K247">
            <v>7155.12</v>
          </cell>
          <cell r="L247">
            <v>8517.26</v>
          </cell>
          <cell r="M247">
            <v>6025.42</v>
          </cell>
          <cell r="N247">
            <v>6730.71</v>
          </cell>
          <cell r="O247">
            <v>6040.84</v>
          </cell>
          <cell r="P247">
            <v>7017.82</v>
          </cell>
          <cell r="Q247">
            <v>79789.63</v>
          </cell>
        </row>
        <row r="248">
          <cell r="A248">
            <v>51335</v>
          </cell>
          <cell r="B248" t="str">
            <v>Miscellaneous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</row>
        <row r="249">
          <cell r="A249">
            <v>51998</v>
          </cell>
          <cell r="B249" t="str">
            <v>Allocation Out - District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</row>
        <row r="250">
          <cell r="A250">
            <v>51999</v>
          </cell>
          <cell r="B250" t="str">
            <v>Allocation Out - Out District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</row>
        <row r="251">
          <cell r="A251" t="str">
            <v>Total Truck Fixed Expenses</v>
          </cell>
          <cell r="E251">
            <v>7094.03</v>
          </cell>
          <cell r="F251">
            <v>5283.39</v>
          </cell>
          <cell r="G251">
            <v>6038.79</v>
          </cell>
          <cell r="H251">
            <v>6260.76</v>
          </cell>
          <cell r="I251">
            <v>7130.37</v>
          </cell>
          <cell r="J251">
            <v>6495.12</v>
          </cell>
          <cell r="K251">
            <v>7155.12</v>
          </cell>
          <cell r="L251">
            <v>8517.26</v>
          </cell>
          <cell r="M251">
            <v>6025.42</v>
          </cell>
          <cell r="N251">
            <v>6730.71</v>
          </cell>
          <cell r="O251">
            <v>6040.84</v>
          </cell>
          <cell r="P251">
            <v>7017.82</v>
          </cell>
          <cell r="Q251">
            <v>79789.63</v>
          </cell>
        </row>
        <row r="253">
          <cell r="A253" t="str">
            <v>Truck Variable Expenses</v>
          </cell>
        </row>
        <row r="254">
          <cell r="A254">
            <v>52010</v>
          </cell>
          <cell r="B254" t="str">
            <v>Salaries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</row>
        <row r="255">
          <cell r="A255">
            <v>52020</v>
          </cell>
          <cell r="B255" t="str">
            <v>Wages Regular</v>
          </cell>
          <cell r="E255">
            <v>41831.43</v>
          </cell>
          <cell r="F255">
            <v>31547.360000000001</v>
          </cell>
          <cell r="G255">
            <v>41785.230000000003</v>
          </cell>
          <cell r="H255">
            <v>41270.26</v>
          </cell>
          <cell r="I255">
            <v>32339.71</v>
          </cell>
          <cell r="J255">
            <v>31241.200000000001</v>
          </cell>
          <cell r="K255">
            <v>37276.75</v>
          </cell>
          <cell r="L255">
            <v>38079.120000000003</v>
          </cell>
          <cell r="M255">
            <v>35899.410000000003</v>
          </cell>
          <cell r="N255">
            <v>39332.589999999997</v>
          </cell>
          <cell r="O255">
            <v>37890.239999999998</v>
          </cell>
          <cell r="P255">
            <v>44055.94</v>
          </cell>
          <cell r="Q255">
            <v>452549.24000000005</v>
          </cell>
        </row>
        <row r="256">
          <cell r="A256">
            <v>52025</v>
          </cell>
          <cell r="B256" t="str">
            <v>Wages O.T.</v>
          </cell>
          <cell r="E256">
            <v>7524.35</v>
          </cell>
          <cell r="F256">
            <v>4047.27</v>
          </cell>
          <cell r="G256">
            <v>4760.2299999999996</v>
          </cell>
          <cell r="H256">
            <v>4152.5200000000004</v>
          </cell>
          <cell r="I256">
            <v>5808.01</v>
          </cell>
          <cell r="J256">
            <v>4035.92</v>
          </cell>
          <cell r="K256">
            <v>11119.38</v>
          </cell>
          <cell r="L256">
            <v>2971.58</v>
          </cell>
          <cell r="M256">
            <v>6964.42</v>
          </cell>
          <cell r="N256">
            <v>4824.8500000000004</v>
          </cell>
          <cell r="O256">
            <v>7793.34</v>
          </cell>
          <cell r="P256">
            <v>5555.18</v>
          </cell>
          <cell r="Q256">
            <v>69557.049999999988</v>
          </cell>
        </row>
        <row r="257">
          <cell r="A257">
            <v>52035</v>
          </cell>
          <cell r="B257" t="str">
            <v>Safety Bonuses</v>
          </cell>
          <cell r="E257">
            <v>1250</v>
          </cell>
          <cell r="F257">
            <v>1250</v>
          </cell>
          <cell r="G257">
            <v>1250</v>
          </cell>
          <cell r="H257">
            <v>1250</v>
          </cell>
          <cell r="I257">
            <v>2000</v>
          </cell>
          <cell r="J257">
            <v>2000</v>
          </cell>
          <cell r="K257">
            <v>2000</v>
          </cell>
          <cell r="L257">
            <v>2000</v>
          </cell>
          <cell r="M257">
            <v>1000</v>
          </cell>
          <cell r="N257">
            <v>1000</v>
          </cell>
          <cell r="O257">
            <v>1200</v>
          </cell>
          <cell r="P257">
            <v>-2000</v>
          </cell>
          <cell r="Q257">
            <v>14200</v>
          </cell>
        </row>
        <row r="258">
          <cell r="A258">
            <v>52036</v>
          </cell>
          <cell r="B258" t="str">
            <v>Other Bonus/Commission - Non-Safety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</row>
        <row r="259">
          <cell r="A259">
            <v>52045</v>
          </cell>
          <cell r="B259" t="str">
            <v>Contract Labor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</row>
        <row r="260">
          <cell r="A260">
            <v>52050</v>
          </cell>
          <cell r="B260" t="str">
            <v>Payroll Taxes</v>
          </cell>
          <cell r="E260">
            <v>5936.87</v>
          </cell>
          <cell r="F260">
            <v>3515.19</v>
          </cell>
          <cell r="G260">
            <v>4535.6499999999996</v>
          </cell>
          <cell r="H260">
            <v>4653.75</v>
          </cell>
          <cell r="I260">
            <v>4561.24</v>
          </cell>
          <cell r="J260">
            <v>5119.2299999999996</v>
          </cell>
          <cell r="K260">
            <v>5503.32</v>
          </cell>
          <cell r="L260">
            <v>4465.1099999999997</v>
          </cell>
          <cell r="M260">
            <v>4260.3100000000004</v>
          </cell>
          <cell r="N260">
            <v>4002.25</v>
          </cell>
          <cell r="O260">
            <v>5640.4</v>
          </cell>
          <cell r="P260">
            <v>3070</v>
          </cell>
          <cell r="Q260">
            <v>55263.32</v>
          </cell>
        </row>
        <row r="261">
          <cell r="A261">
            <v>52060</v>
          </cell>
          <cell r="B261" t="str">
            <v>Group Insurance</v>
          </cell>
          <cell r="E261">
            <v>-159</v>
          </cell>
          <cell r="F261">
            <v>-159</v>
          </cell>
          <cell r="G261">
            <v>561.5</v>
          </cell>
          <cell r="H261">
            <v>720.5</v>
          </cell>
          <cell r="I261">
            <v>641</v>
          </cell>
          <cell r="J261">
            <v>641</v>
          </cell>
          <cell r="K261">
            <v>641</v>
          </cell>
          <cell r="L261">
            <v>641</v>
          </cell>
          <cell r="M261">
            <v>561.5</v>
          </cell>
          <cell r="N261">
            <v>720.5</v>
          </cell>
          <cell r="O261">
            <v>641</v>
          </cell>
          <cell r="P261">
            <v>511.58</v>
          </cell>
          <cell r="Q261">
            <v>5962.58</v>
          </cell>
        </row>
        <row r="262">
          <cell r="A262">
            <v>52065</v>
          </cell>
          <cell r="B262" t="str">
            <v>Vacation Pay</v>
          </cell>
          <cell r="E262">
            <v>5737.5</v>
          </cell>
          <cell r="F262">
            <v>2090.71</v>
          </cell>
          <cell r="G262">
            <v>1979.73</v>
          </cell>
          <cell r="H262">
            <v>3044.17</v>
          </cell>
          <cell r="I262">
            <v>1571.02</v>
          </cell>
          <cell r="J262">
            <v>4642.26</v>
          </cell>
          <cell r="K262">
            <v>3319.05</v>
          </cell>
          <cell r="L262">
            <v>1557.75</v>
          </cell>
          <cell r="M262">
            <v>5888.63</v>
          </cell>
          <cell r="N262">
            <v>2065.0500000000002</v>
          </cell>
          <cell r="O262">
            <v>3190.34</v>
          </cell>
          <cell r="P262">
            <v>2387</v>
          </cell>
          <cell r="Q262">
            <v>37473.21</v>
          </cell>
        </row>
        <row r="263">
          <cell r="A263">
            <v>52070</v>
          </cell>
          <cell r="B263" t="str">
            <v>Sick Pay</v>
          </cell>
          <cell r="E263">
            <v>0</v>
          </cell>
          <cell r="F263">
            <v>0</v>
          </cell>
          <cell r="G263">
            <v>111.2</v>
          </cell>
          <cell r="H263">
            <v>903.6</v>
          </cell>
          <cell r="I263">
            <v>-301.2</v>
          </cell>
          <cell r="J263">
            <v>114.8</v>
          </cell>
          <cell r="K263">
            <v>229.6</v>
          </cell>
          <cell r="L263">
            <v>-114.8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943.2</v>
          </cell>
        </row>
        <row r="264">
          <cell r="A264">
            <v>52086</v>
          </cell>
          <cell r="B264" t="str">
            <v>Safety and Training</v>
          </cell>
          <cell r="E264">
            <v>313.67</v>
          </cell>
          <cell r="F264">
            <v>337.9</v>
          </cell>
          <cell r="G264">
            <v>464.12</v>
          </cell>
          <cell r="H264">
            <v>898.81</v>
          </cell>
          <cell r="I264">
            <v>1000.19</v>
          </cell>
          <cell r="J264">
            <v>951.13</v>
          </cell>
          <cell r="K264">
            <v>348.03</v>
          </cell>
          <cell r="L264">
            <v>1085.5</v>
          </cell>
          <cell r="M264">
            <v>0</v>
          </cell>
          <cell r="N264">
            <v>252.45</v>
          </cell>
          <cell r="O264">
            <v>0</v>
          </cell>
          <cell r="P264">
            <v>1352.06</v>
          </cell>
          <cell r="Q264">
            <v>7003.8600000000006</v>
          </cell>
        </row>
        <row r="265">
          <cell r="A265">
            <v>52087</v>
          </cell>
          <cell r="B265" t="str">
            <v>Drug Screening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</row>
        <row r="266">
          <cell r="A266">
            <v>52090</v>
          </cell>
          <cell r="B266" t="str">
            <v>Uniforms</v>
          </cell>
          <cell r="E266">
            <v>300.83</v>
          </cell>
          <cell r="F266">
            <v>353.71</v>
          </cell>
          <cell r="G266">
            <v>389.7</v>
          </cell>
          <cell r="H266">
            <v>320.22000000000003</v>
          </cell>
          <cell r="I266">
            <v>296.99</v>
          </cell>
          <cell r="J266">
            <v>450.43</v>
          </cell>
          <cell r="K266">
            <v>428.66</v>
          </cell>
          <cell r="L266">
            <v>1034.03</v>
          </cell>
          <cell r="M266">
            <v>250.15</v>
          </cell>
          <cell r="N266">
            <v>3123.18</v>
          </cell>
          <cell r="O266">
            <v>276.32</v>
          </cell>
          <cell r="P266">
            <v>308.07</v>
          </cell>
          <cell r="Q266">
            <v>7532.2899999999991</v>
          </cell>
        </row>
        <row r="267">
          <cell r="A267">
            <v>52115</v>
          </cell>
          <cell r="B267" t="str">
            <v>Pension and Profit Sharing</v>
          </cell>
          <cell r="E267">
            <v>4010.46</v>
          </cell>
          <cell r="F267">
            <v>3565.56</v>
          </cell>
          <cell r="G267">
            <v>3834.74</v>
          </cell>
          <cell r="H267">
            <v>3873.02</v>
          </cell>
          <cell r="I267">
            <v>3977.37</v>
          </cell>
          <cell r="J267">
            <v>4220.3500000000004</v>
          </cell>
          <cell r="K267">
            <v>4228.8599999999997</v>
          </cell>
          <cell r="L267">
            <v>4197.5600000000004</v>
          </cell>
          <cell r="M267">
            <v>4257.6400000000003</v>
          </cell>
          <cell r="N267">
            <v>4035.58</v>
          </cell>
          <cell r="O267">
            <v>4052.24</v>
          </cell>
          <cell r="P267">
            <v>3832.52</v>
          </cell>
          <cell r="Q267">
            <v>48085.9</v>
          </cell>
        </row>
        <row r="268">
          <cell r="A268">
            <v>52116</v>
          </cell>
          <cell r="B268" t="str">
            <v>Union Benefit Expense</v>
          </cell>
          <cell r="E268">
            <v>11221.99</v>
          </cell>
          <cell r="F268">
            <v>11221.61</v>
          </cell>
          <cell r="G268">
            <v>8963.65</v>
          </cell>
          <cell r="H268">
            <v>10117.1</v>
          </cell>
          <cell r="I268">
            <v>10108.799999999999</v>
          </cell>
          <cell r="J268">
            <v>10108.799999999999</v>
          </cell>
          <cell r="K268">
            <v>10108.799999999999</v>
          </cell>
          <cell r="L268">
            <v>10108.799999999999</v>
          </cell>
          <cell r="M268">
            <v>10102.129999999999</v>
          </cell>
          <cell r="N268">
            <v>10118.73</v>
          </cell>
          <cell r="O268">
            <v>8978.93</v>
          </cell>
          <cell r="P268">
            <v>9916.0499999999993</v>
          </cell>
          <cell r="Q268">
            <v>121075.39</v>
          </cell>
        </row>
        <row r="269">
          <cell r="A269">
            <v>52117</v>
          </cell>
          <cell r="B269" t="str">
            <v>Union Pension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</row>
        <row r="270">
          <cell r="A270">
            <v>52120</v>
          </cell>
          <cell r="B270" t="str">
            <v>Parts and Materials</v>
          </cell>
          <cell r="E270">
            <v>41193.56</v>
          </cell>
          <cell r="F270">
            <v>42024.94</v>
          </cell>
          <cell r="G270">
            <v>38734.660000000003</v>
          </cell>
          <cell r="H270">
            <v>21757.73</v>
          </cell>
          <cell r="I270">
            <v>38676.519999999997</v>
          </cell>
          <cell r="J270">
            <v>21919.95</v>
          </cell>
          <cell r="K270">
            <v>34237.410000000003</v>
          </cell>
          <cell r="L270">
            <v>36723.200000000004</v>
          </cell>
          <cell r="M270">
            <v>30874.03</v>
          </cell>
          <cell r="N270">
            <v>23554.1</v>
          </cell>
          <cell r="O270">
            <v>38660.959999999999</v>
          </cell>
          <cell r="P270">
            <v>71007.829999999987</v>
          </cell>
          <cell r="Q270">
            <v>439364.89</v>
          </cell>
        </row>
        <row r="271">
          <cell r="A271">
            <v>52125</v>
          </cell>
          <cell r="B271" t="str">
            <v>Operating Supplies</v>
          </cell>
          <cell r="E271">
            <v>450.54</v>
          </cell>
          <cell r="F271">
            <v>864.08</v>
          </cell>
          <cell r="G271">
            <v>1556.99</v>
          </cell>
          <cell r="H271">
            <v>537.54</v>
          </cell>
          <cell r="I271">
            <v>1099.93</v>
          </cell>
          <cell r="J271">
            <v>712.27</v>
          </cell>
          <cell r="K271">
            <v>5197.97</v>
          </cell>
          <cell r="L271">
            <v>-137.46</v>
          </cell>
          <cell r="M271">
            <v>1851.48</v>
          </cell>
          <cell r="N271">
            <v>2157.91</v>
          </cell>
          <cell r="O271">
            <v>2427.54</v>
          </cell>
          <cell r="P271">
            <v>1259.3</v>
          </cell>
          <cell r="Q271">
            <v>17978.09</v>
          </cell>
        </row>
        <row r="272">
          <cell r="A272">
            <v>52135</v>
          </cell>
          <cell r="B272" t="str">
            <v>Equipment and Maint Repair</v>
          </cell>
          <cell r="E272">
            <v>1311.54</v>
          </cell>
          <cell r="F272">
            <v>0</v>
          </cell>
          <cell r="G272">
            <v>1331.95</v>
          </cell>
          <cell r="H272">
            <v>2045.95</v>
          </cell>
          <cell r="I272">
            <v>0</v>
          </cell>
          <cell r="J272">
            <v>829.81</v>
          </cell>
          <cell r="K272">
            <v>0</v>
          </cell>
          <cell r="L272">
            <v>606.65</v>
          </cell>
          <cell r="M272">
            <v>0</v>
          </cell>
          <cell r="N272">
            <v>19.89</v>
          </cell>
          <cell r="O272">
            <v>0</v>
          </cell>
          <cell r="P272">
            <v>4997.33</v>
          </cell>
          <cell r="Q272">
            <v>11143.119999999999</v>
          </cell>
        </row>
        <row r="273">
          <cell r="A273">
            <v>52140</v>
          </cell>
          <cell r="B273" t="str">
            <v>Tires</v>
          </cell>
          <cell r="E273">
            <v>10747.01</v>
          </cell>
          <cell r="F273">
            <v>20260.900000000001</v>
          </cell>
          <cell r="G273">
            <v>12967.76</v>
          </cell>
          <cell r="H273">
            <v>15725.04</v>
          </cell>
          <cell r="I273">
            <v>18198.22</v>
          </cell>
          <cell r="J273">
            <v>22108.07</v>
          </cell>
          <cell r="K273">
            <v>15799.4</v>
          </cell>
          <cell r="L273">
            <v>23775.3</v>
          </cell>
          <cell r="M273">
            <v>38329.33</v>
          </cell>
          <cell r="N273">
            <v>6596.26</v>
          </cell>
          <cell r="O273">
            <v>14714.42</v>
          </cell>
          <cell r="P273">
            <v>23906.22</v>
          </cell>
          <cell r="Q273">
            <v>223127.93</v>
          </cell>
        </row>
        <row r="274">
          <cell r="A274">
            <v>52142</v>
          </cell>
          <cell r="B274" t="str">
            <v>Fuel Expense</v>
          </cell>
          <cell r="E274">
            <v>90672.87</v>
          </cell>
          <cell r="F274">
            <v>84188.88</v>
          </cell>
          <cell r="G274">
            <v>96017.58</v>
          </cell>
          <cell r="H274">
            <v>104369.3</v>
          </cell>
          <cell r="I274">
            <v>97844</v>
          </cell>
          <cell r="J274">
            <v>100692.82</v>
          </cell>
          <cell r="K274">
            <v>101529.68</v>
          </cell>
          <cell r="L274">
            <v>100169.49</v>
          </cell>
          <cell r="M274">
            <v>104198.62999999999</v>
          </cell>
          <cell r="N274">
            <v>102536.13</v>
          </cell>
          <cell r="O274">
            <v>101351.78</v>
          </cell>
          <cell r="P274">
            <v>108470.82</v>
          </cell>
          <cell r="Q274">
            <v>1192041.98</v>
          </cell>
        </row>
        <row r="275">
          <cell r="A275">
            <v>52143</v>
          </cell>
          <cell r="B275" t="str">
            <v>Transmontagne Fuel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</row>
        <row r="276">
          <cell r="A276">
            <v>52144</v>
          </cell>
          <cell r="B276" t="str">
            <v>Urea Expense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</row>
        <row r="277">
          <cell r="A277">
            <v>52146</v>
          </cell>
          <cell r="B277" t="str">
            <v>Oil and Grease</v>
          </cell>
          <cell r="E277">
            <v>1875.42</v>
          </cell>
          <cell r="F277">
            <v>3140.6</v>
          </cell>
          <cell r="G277">
            <v>5599.47</v>
          </cell>
          <cell r="H277">
            <v>2698.4</v>
          </cell>
          <cell r="I277">
            <v>3948.29</v>
          </cell>
          <cell r="J277">
            <v>2749.6</v>
          </cell>
          <cell r="K277">
            <v>7146.81</v>
          </cell>
          <cell r="L277">
            <v>2889.82</v>
          </cell>
          <cell r="M277">
            <v>9639.18</v>
          </cell>
          <cell r="N277">
            <v>6672.23</v>
          </cell>
          <cell r="O277">
            <v>11463.27</v>
          </cell>
          <cell r="P277">
            <v>-1288.0899999999999</v>
          </cell>
          <cell r="Q277">
            <v>56535</v>
          </cell>
        </row>
        <row r="278">
          <cell r="A278">
            <v>52147</v>
          </cell>
          <cell r="B278" t="str">
            <v>Outside Repairs</v>
          </cell>
          <cell r="E278">
            <v>8076.3899999999994</v>
          </cell>
          <cell r="F278">
            <v>4057.67</v>
          </cell>
          <cell r="G278">
            <v>2887.37</v>
          </cell>
          <cell r="H278">
            <v>4718.95</v>
          </cell>
          <cell r="I278">
            <v>7256.5</v>
          </cell>
          <cell r="J278">
            <v>4191.84</v>
          </cell>
          <cell r="K278">
            <v>8112.14</v>
          </cell>
          <cell r="L278">
            <v>5106.9299999999994</v>
          </cell>
          <cell r="M278">
            <v>11697.4</v>
          </cell>
          <cell r="N278">
            <v>2871.95</v>
          </cell>
          <cell r="O278">
            <v>2463.9499999999998</v>
          </cell>
          <cell r="P278">
            <v>2818.3500000000004</v>
          </cell>
          <cell r="Q278">
            <v>64259.439999999995</v>
          </cell>
        </row>
        <row r="279">
          <cell r="A279">
            <v>52148</v>
          </cell>
          <cell r="B279" t="str">
            <v>Allocated Exp In - District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</row>
        <row r="280">
          <cell r="A280">
            <v>52149</v>
          </cell>
          <cell r="B280" t="str">
            <v>Allocated Exp In Out - District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</row>
        <row r="281">
          <cell r="A281">
            <v>52150</v>
          </cell>
          <cell r="B281" t="str">
            <v>Utilities</v>
          </cell>
          <cell r="E281">
            <v>3181.16</v>
          </cell>
          <cell r="F281">
            <v>2292.6799999999998</v>
          </cell>
          <cell r="G281">
            <v>2139.2399999999998</v>
          </cell>
          <cell r="H281">
            <v>1852.79</v>
          </cell>
          <cell r="I281">
            <v>1236.6600000000001</v>
          </cell>
          <cell r="J281">
            <v>1066.23</v>
          </cell>
          <cell r="K281">
            <v>890.6</v>
          </cell>
          <cell r="L281">
            <v>864.21</v>
          </cell>
          <cell r="M281">
            <v>875.77</v>
          </cell>
          <cell r="N281">
            <v>889.61</v>
          </cell>
          <cell r="O281">
            <v>1635.02</v>
          </cell>
          <cell r="P281">
            <v>2991.91</v>
          </cell>
          <cell r="Q281">
            <v>19915.88</v>
          </cell>
        </row>
        <row r="282">
          <cell r="A282">
            <v>52165</v>
          </cell>
          <cell r="B282" t="str">
            <v>Communications</v>
          </cell>
          <cell r="E282">
            <v>1324.81</v>
          </cell>
          <cell r="F282">
            <v>1312.75</v>
          </cell>
          <cell r="G282">
            <v>1300.6099999999999</v>
          </cell>
          <cell r="H282">
            <v>1324.91</v>
          </cell>
          <cell r="I282">
            <v>1652.06</v>
          </cell>
          <cell r="J282">
            <v>1336.3</v>
          </cell>
          <cell r="K282">
            <v>1291.19</v>
          </cell>
          <cell r="L282">
            <v>1252.44</v>
          </cell>
          <cell r="M282">
            <v>1871.82</v>
          </cell>
          <cell r="N282">
            <v>1105.6099999999999</v>
          </cell>
          <cell r="O282">
            <v>1351.41</v>
          </cell>
          <cell r="P282">
            <v>1424.14</v>
          </cell>
          <cell r="Q282">
            <v>16548.05</v>
          </cell>
        </row>
        <row r="283">
          <cell r="A283">
            <v>52170</v>
          </cell>
          <cell r="B283" t="str">
            <v>Real Estate Rentals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</row>
        <row r="284">
          <cell r="A284">
            <v>52172</v>
          </cell>
          <cell r="B284" t="str">
            <v>Chassis Lease Expense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</row>
        <row r="285">
          <cell r="A285">
            <v>52175</v>
          </cell>
          <cell r="B285" t="str">
            <v>Equip/Vehicle Rental</v>
          </cell>
          <cell r="E285">
            <v>230.74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230.74</v>
          </cell>
        </row>
        <row r="286">
          <cell r="A286">
            <v>52181</v>
          </cell>
          <cell r="B286" t="str">
            <v>Freight</v>
          </cell>
          <cell r="E286">
            <v>0</v>
          </cell>
          <cell r="F286">
            <v>0</v>
          </cell>
          <cell r="G286">
            <v>0</v>
          </cell>
          <cell r="H286">
            <v>16.23</v>
          </cell>
          <cell r="I286">
            <v>369.59000000000003</v>
          </cell>
          <cell r="J286">
            <v>0</v>
          </cell>
          <cell r="K286">
            <v>0</v>
          </cell>
          <cell r="L286">
            <v>95.38</v>
          </cell>
          <cell r="M286">
            <v>0</v>
          </cell>
          <cell r="N286">
            <v>0</v>
          </cell>
          <cell r="O286">
            <v>0</v>
          </cell>
          <cell r="P286">
            <v>103.97</v>
          </cell>
          <cell r="Q286">
            <v>585.17000000000007</v>
          </cell>
        </row>
        <row r="287">
          <cell r="A287">
            <v>52182</v>
          </cell>
          <cell r="B287" t="str">
            <v>Towing Expense</v>
          </cell>
          <cell r="E287">
            <v>455.28</v>
          </cell>
          <cell r="F287">
            <v>428.18</v>
          </cell>
          <cell r="G287">
            <v>195.12</v>
          </cell>
          <cell r="H287">
            <v>627.72</v>
          </cell>
          <cell r="I287">
            <v>1626</v>
          </cell>
          <cell r="J287">
            <v>0</v>
          </cell>
          <cell r="K287">
            <v>569.1</v>
          </cell>
          <cell r="L287">
            <v>0</v>
          </cell>
          <cell r="M287">
            <v>238.48</v>
          </cell>
          <cell r="N287">
            <v>0</v>
          </cell>
          <cell r="O287">
            <v>661.24</v>
          </cell>
          <cell r="P287">
            <v>514.9</v>
          </cell>
          <cell r="Q287">
            <v>5316.0199999999995</v>
          </cell>
        </row>
        <row r="288">
          <cell r="A288">
            <v>52185</v>
          </cell>
          <cell r="B288" t="str">
            <v>Travel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</row>
        <row r="289">
          <cell r="A289">
            <v>52200</v>
          </cell>
          <cell r="B289" t="str">
            <v>Office Supply and Equip</v>
          </cell>
          <cell r="E289">
            <v>302.27999999999997</v>
          </cell>
          <cell r="F289">
            <v>504.92</v>
          </cell>
          <cell r="G289">
            <v>245.31</v>
          </cell>
          <cell r="H289">
            <v>1615.6</v>
          </cell>
          <cell r="I289">
            <v>152.86000000000001</v>
          </cell>
          <cell r="J289">
            <v>155.44</v>
          </cell>
          <cell r="K289">
            <v>66.27</v>
          </cell>
          <cell r="L289">
            <v>678.01</v>
          </cell>
          <cell r="M289">
            <v>154.47999999999999</v>
          </cell>
          <cell r="N289">
            <v>1193.94</v>
          </cell>
          <cell r="O289">
            <v>147.13</v>
          </cell>
          <cell r="P289">
            <v>809.46</v>
          </cell>
          <cell r="Q289">
            <v>6025.7</v>
          </cell>
        </row>
        <row r="290">
          <cell r="A290">
            <v>52275</v>
          </cell>
          <cell r="B290" t="str">
            <v>Property Taxes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</row>
        <row r="291">
          <cell r="A291">
            <v>52335</v>
          </cell>
          <cell r="B291" t="str">
            <v>Miscellaneous</v>
          </cell>
          <cell r="E291">
            <v>27</v>
          </cell>
          <cell r="F291">
            <v>0</v>
          </cell>
          <cell r="G291">
            <v>13.5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40.5</v>
          </cell>
        </row>
        <row r="292">
          <cell r="A292">
            <v>52900</v>
          </cell>
          <cell r="B292" t="str">
            <v>Capitalized Costs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</row>
        <row r="293">
          <cell r="A293">
            <v>52901</v>
          </cell>
          <cell r="B293" t="str">
            <v>Costs Awaiting Capitilization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</row>
        <row r="294">
          <cell r="A294">
            <v>52998</v>
          </cell>
          <cell r="B294" t="str">
            <v>Allocation Out - District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</row>
        <row r="295">
          <cell r="A295">
            <v>52999</v>
          </cell>
          <cell r="B295" t="str">
            <v>Allocation Out - Out District</v>
          </cell>
          <cell r="E295">
            <v>-8839.42</v>
          </cell>
          <cell r="F295">
            <v>-11223.85</v>
          </cell>
          <cell r="G295">
            <v>-12345.57</v>
          </cell>
          <cell r="H295">
            <v>-17818.71</v>
          </cell>
          <cell r="I295">
            <v>-8260.7000000000007</v>
          </cell>
          <cell r="J295">
            <v>-18104.939999999999</v>
          </cell>
          <cell r="K295">
            <v>-8429.56</v>
          </cell>
          <cell r="L295">
            <v>-12829.3</v>
          </cell>
          <cell r="M295">
            <v>-6149.56</v>
          </cell>
          <cell r="N295">
            <v>-5808.26</v>
          </cell>
          <cell r="O295">
            <v>-5947.92</v>
          </cell>
          <cell r="P295">
            <v>-45343.87</v>
          </cell>
          <cell r="Q295">
            <v>-161101.66</v>
          </cell>
        </row>
        <row r="296">
          <cell r="A296" t="str">
            <v>Total Truck Variable</v>
          </cell>
          <cell r="E296">
            <v>228977.27999999997</v>
          </cell>
          <cell r="F296">
            <v>205622.06000000003</v>
          </cell>
          <cell r="G296">
            <v>219279.73999999996</v>
          </cell>
          <cell r="H296">
            <v>210675.40000000005</v>
          </cell>
          <cell r="I296">
            <v>225803.05999999997</v>
          </cell>
          <cell r="J296">
            <v>201182.51</v>
          </cell>
          <cell r="K296">
            <v>241614.46</v>
          </cell>
          <cell r="L296">
            <v>225220.32000000004</v>
          </cell>
          <cell r="M296">
            <v>262765.23</v>
          </cell>
          <cell r="N296">
            <v>211264.55</v>
          </cell>
          <cell r="O296">
            <v>238591.60999999996</v>
          </cell>
          <cell r="P296">
            <v>240660.66999999993</v>
          </cell>
          <cell r="Q296">
            <v>2711656.8899999997</v>
          </cell>
        </row>
        <row r="298">
          <cell r="A298" t="str">
            <v>Container</v>
          </cell>
        </row>
        <row r="299">
          <cell r="A299">
            <v>54148</v>
          </cell>
          <cell r="B299" t="str">
            <v>Allocation In - District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</row>
        <row r="300">
          <cell r="A300">
            <v>54149</v>
          </cell>
          <cell r="B300" t="str">
            <v>Allocation In - Out District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</row>
        <row r="301">
          <cell r="A301">
            <v>54175</v>
          </cell>
          <cell r="B301" t="str">
            <v>Equipment/Vehicle Rental</v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</row>
        <row r="302">
          <cell r="A302">
            <v>54275</v>
          </cell>
          <cell r="B302" t="str">
            <v>Property Taxes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</row>
        <row r="303">
          <cell r="A303">
            <v>54335</v>
          </cell>
          <cell r="B303" t="str">
            <v>Miscellaneous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</row>
        <row r="304">
          <cell r="A304">
            <v>54998</v>
          </cell>
          <cell r="B304" t="str">
            <v>Allocation Out - District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</row>
        <row r="305">
          <cell r="A305">
            <v>54999</v>
          </cell>
          <cell r="B305" t="str">
            <v>Allocation Out - Out District</v>
          </cell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</row>
        <row r="306">
          <cell r="A306">
            <v>55010</v>
          </cell>
          <cell r="B306" t="str">
            <v>Salaries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</row>
        <row r="307">
          <cell r="A307">
            <v>55020</v>
          </cell>
          <cell r="B307" t="str">
            <v>Wages Regular</v>
          </cell>
          <cell r="E307">
            <v>4237.87</v>
          </cell>
          <cell r="F307">
            <v>3645.1</v>
          </cell>
          <cell r="G307">
            <v>5053.71</v>
          </cell>
          <cell r="H307">
            <v>3782.98</v>
          </cell>
          <cell r="I307">
            <v>4116.55</v>
          </cell>
          <cell r="J307">
            <v>4866.5600000000004</v>
          </cell>
          <cell r="K307">
            <v>3450.41</v>
          </cell>
          <cell r="L307">
            <v>-895.79</v>
          </cell>
          <cell r="M307">
            <v>2790.36</v>
          </cell>
          <cell r="N307">
            <v>2211.17</v>
          </cell>
          <cell r="O307">
            <v>1382.48</v>
          </cell>
          <cell r="P307">
            <v>2606.41</v>
          </cell>
          <cell r="Q307">
            <v>37247.81</v>
          </cell>
        </row>
        <row r="308">
          <cell r="A308">
            <v>55025</v>
          </cell>
          <cell r="B308" t="str">
            <v>Wages O.T.</v>
          </cell>
          <cell r="E308">
            <v>207.52</v>
          </cell>
          <cell r="F308">
            <v>12.82</v>
          </cell>
          <cell r="G308">
            <v>38.619999999999997</v>
          </cell>
          <cell r="H308">
            <v>37.99</v>
          </cell>
          <cell r="I308">
            <v>485</v>
          </cell>
          <cell r="J308">
            <v>319.70999999999998</v>
          </cell>
          <cell r="K308">
            <v>215.61</v>
          </cell>
          <cell r="L308">
            <v>-99.64</v>
          </cell>
          <cell r="M308">
            <v>16.27</v>
          </cell>
          <cell r="N308">
            <v>59.9</v>
          </cell>
          <cell r="O308">
            <v>192.29</v>
          </cell>
          <cell r="P308">
            <v>-41.94</v>
          </cell>
          <cell r="Q308">
            <v>1444.1499999999999</v>
          </cell>
        </row>
        <row r="309">
          <cell r="A309">
            <v>55035</v>
          </cell>
          <cell r="B309" t="str">
            <v>Safety Bonuses</v>
          </cell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</row>
        <row r="310">
          <cell r="A310">
            <v>55036</v>
          </cell>
          <cell r="B310" t="str">
            <v>Other Bonus/Commission - Non-Safety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</row>
        <row r="311">
          <cell r="A311">
            <v>55045</v>
          </cell>
          <cell r="B311" t="str">
            <v>Contract Labor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</row>
        <row r="312">
          <cell r="A312">
            <v>55050</v>
          </cell>
          <cell r="B312" t="str">
            <v>Payroll Taxes</v>
          </cell>
          <cell r="E312">
            <v>526.11</v>
          </cell>
          <cell r="F312">
            <v>376.89</v>
          </cell>
          <cell r="G312">
            <v>487.16</v>
          </cell>
          <cell r="H312">
            <v>433.36</v>
          </cell>
          <cell r="I312">
            <v>441.95</v>
          </cell>
          <cell r="J312">
            <v>479.57</v>
          </cell>
          <cell r="K312">
            <v>386.21</v>
          </cell>
          <cell r="L312">
            <v>296.14999999999998</v>
          </cell>
          <cell r="M312">
            <v>200.44</v>
          </cell>
          <cell r="N312">
            <v>209.02</v>
          </cell>
          <cell r="O312">
            <v>287.25</v>
          </cell>
          <cell r="P312">
            <v>160.52000000000001</v>
          </cell>
          <cell r="Q312">
            <v>4284.630000000001</v>
          </cell>
        </row>
        <row r="313">
          <cell r="A313">
            <v>55060</v>
          </cell>
          <cell r="B313" t="str">
            <v>Group Insurance</v>
          </cell>
          <cell r="E313">
            <v>592</v>
          </cell>
          <cell r="F313">
            <v>592</v>
          </cell>
          <cell r="G313">
            <v>488</v>
          </cell>
          <cell r="H313">
            <v>696</v>
          </cell>
          <cell r="I313">
            <v>592</v>
          </cell>
          <cell r="J313">
            <v>592</v>
          </cell>
          <cell r="K313">
            <v>592</v>
          </cell>
          <cell r="L313">
            <v>592</v>
          </cell>
          <cell r="M313">
            <v>589</v>
          </cell>
          <cell r="N313">
            <v>693</v>
          </cell>
          <cell r="O313">
            <v>641</v>
          </cell>
          <cell r="P313">
            <v>641</v>
          </cell>
          <cell r="Q313">
            <v>7300</v>
          </cell>
        </row>
        <row r="314">
          <cell r="A314">
            <v>55065</v>
          </cell>
          <cell r="B314" t="str">
            <v>Vacation Pay</v>
          </cell>
          <cell r="E314">
            <v>1530.51</v>
          </cell>
          <cell r="F314">
            <v>299.68</v>
          </cell>
          <cell r="G314">
            <v>-333.52</v>
          </cell>
          <cell r="H314">
            <v>791.16</v>
          </cell>
          <cell r="I314">
            <v>342.62</v>
          </cell>
          <cell r="J314">
            <v>95.96</v>
          </cell>
          <cell r="K314">
            <v>412.42</v>
          </cell>
          <cell r="L314">
            <v>663.21</v>
          </cell>
          <cell r="M314">
            <v>-476.38</v>
          </cell>
          <cell r="N314">
            <v>100.96</v>
          </cell>
          <cell r="O314">
            <v>-21.16</v>
          </cell>
          <cell r="P314">
            <v>202.89</v>
          </cell>
          <cell r="Q314">
            <v>3608.35</v>
          </cell>
        </row>
        <row r="315">
          <cell r="A315">
            <v>55070</v>
          </cell>
          <cell r="B315" t="str">
            <v>Sick Pay</v>
          </cell>
          <cell r="E315">
            <v>0</v>
          </cell>
          <cell r="F315">
            <v>106.8</v>
          </cell>
          <cell r="G315">
            <v>0</v>
          </cell>
          <cell r="H315">
            <v>207</v>
          </cell>
          <cell r="I315">
            <v>107.64</v>
          </cell>
          <cell r="J315">
            <v>-66.239999999999995</v>
          </cell>
          <cell r="K315">
            <v>386.4</v>
          </cell>
          <cell r="L315">
            <v>0</v>
          </cell>
          <cell r="M315">
            <v>0</v>
          </cell>
          <cell r="N315">
            <v>0</v>
          </cell>
          <cell r="O315">
            <v>1048.8</v>
          </cell>
          <cell r="P315">
            <v>-386.4</v>
          </cell>
          <cell r="Q315">
            <v>1404</v>
          </cell>
        </row>
        <row r="316">
          <cell r="A316">
            <v>55086</v>
          </cell>
          <cell r="B316" t="str">
            <v>Safety and Training</v>
          </cell>
          <cell r="E316">
            <v>0</v>
          </cell>
          <cell r="F316">
            <v>0</v>
          </cell>
          <cell r="G316">
            <v>0</v>
          </cell>
          <cell r="H316">
            <v>102.92</v>
          </cell>
          <cell r="I316">
            <v>87.01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25</v>
          </cell>
          <cell r="O316">
            <v>0</v>
          </cell>
          <cell r="P316">
            <v>0</v>
          </cell>
          <cell r="Q316">
            <v>214.93</v>
          </cell>
        </row>
        <row r="317">
          <cell r="A317">
            <v>55090</v>
          </cell>
          <cell r="B317" t="str">
            <v>Uniforms</v>
          </cell>
          <cell r="E317">
            <v>150.38</v>
          </cell>
          <cell r="F317">
            <v>176.83</v>
          </cell>
          <cell r="G317">
            <v>194.81</v>
          </cell>
          <cell r="H317">
            <v>160.08000000000001</v>
          </cell>
          <cell r="I317">
            <v>148.47</v>
          </cell>
          <cell r="J317">
            <v>225.16</v>
          </cell>
          <cell r="K317">
            <v>214.31</v>
          </cell>
          <cell r="L317">
            <v>616.44000000000005</v>
          </cell>
          <cell r="M317">
            <v>125.04</v>
          </cell>
          <cell r="N317">
            <v>178.98</v>
          </cell>
          <cell r="O317">
            <v>138.13999999999999</v>
          </cell>
          <cell r="P317">
            <v>154.04</v>
          </cell>
          <cell r="Q317">
            <v>2482.6799999999998</v>
          </cell>
        </row>
        <row r="318">
          <cell r="A318">
            <v>55115</v>
          </cell>
          <cell r="B318" t="str">
            <v>Pension and Profit Sharing</v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</row>
        <row r="319">
          <cell r="A319">
            <v>55116</v>
          </cell>
          <cell r="B319" t="str">
            <v>Union Benefit Expense</v>
          </cell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</row>
        <row r="320">
          <cell r="A320">
            <v>55117</v>
          </cell>
          <cell r="B320" t="str">
            <v>Union Pension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</row>
        <row r="321">
          <cell r="A321">
            <v>55120</v>
          </cell>
          <cell r="B321" t="str">
            <v>Parts and Materials</v>
          </cell>
          <cell r="E321">
            <v>8487.7999999999993</v>
          </cell>
          <cell r="F321">
            <v>7446.84</v>
          </cell>
          <cell r="G321">
            <v>15850.27</v>
          </cell>
          <cell r="H321">
            <v>18201.75</v>
          </cell>
          <cell r="I321">
            <v>9184.14</v>
          </cell>
          <cell r="J321">
            <v>13165.81</v>
          </cell>
          <cell r="K321">
            <v>11588.02</v>
          </cell>
          <cell r="L321">
            <v>15366.43</v>
          </cell>
          <cell r="M321">
            <v>-29929.23</v>
          </cell>
          <cell r="N321">
            <v>8572.4699999999993</v>
          </cell>
          <cell r="O321">
            <v>2939.21</v>
          </cell>
          <cell r="P321">
            <v>7744.74</v>
          </cell>
          <cell r="Q321">
            <v>88618.250000000015</v>
          </cell>
        </row>
        <row r="322">
          <cell r="A322">
            <v>55125</v>
          </cell>
          <cell r="B322" t="str">
            <v>Operating Supplies</v>
          </cell>
          <cell r="E322">
            <v>625.29999999999995</v>
          </cell>
          <cell r="F322">
            <v>287.99</v>
          </cell>
          <cell r="G322">
            <v>0</v>
          </cell>
          <cell r="H322">
            <v>809.74</v>
          </cell>
          <cell r="I322">
            <v>404.7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64.819999999999993</v>
          </cell>
          <cell r="P322">
            <v>0</v>
          </cell>
          <cell r="Q322">
            <v>2192.5500000000002</v>
          </cell>
        </row>
        <row r="323">
          <cell r="A323">
            <v>55135</v>
          </cell>
          <cell r="B323" t="str">
            <v>Equipment and Maint Repair</v>
          </cell>
          <cell r="E323">
            <v>0</v>
          </cell>
          <cell r="F323">
            <v>321.35000000000002</v>
          </cell>
          <cell r="G323">
            <v>309.18</v>
          </cell>
          <cell r="H323">
            <v>826.48</v>
          </cell>
          <cell r="I323">
            <v>87.89</v>
          </cell>
          <cell r="J323">
            <v>0</v>
          </cell>
          <cell r="K323">
            <v>0</v>
          </cell>
          <cell r="L323">
            <v>0</v>
          </cell>
          <cell r="M323">
            <v>531.54999999999995</v>
          </cell>
          <cell r="N323">
            <v>172.24</v>
          </cell>
          <cell r="O323">
            <v>0</v>
          </cell>
          <cell r="P323">
            <v>250.34</v>
          </cell>
          <cell r="Q323">
            <v>2499.0299999999997</v>
          </cell>
        </row>
        <row r="324">
          <cell r="A324">
            <v>55140</v>
          </cell>
          <cell r="B324" t="str">
            <v>Tires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</row>
        <row r="325">
          <cell r="A325">
            <v>55142</v>
          </cell>
          <cell r="B325" t="str">
            <v>Fuel Expense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</row>
        <row r="326">
          <cell r="A326">
            <v>55143</v>
          </cell>
          <cell r="B326" t="str">
            <v>Corporate Medical Waste Supplies</v>
          </cell>
          <cell r="E326">
            <v>0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</row>
        <row r="327">
          <cell r="A327">
            <v>55146</v>
          </cell>
          <cell r="B327" t="str">
            <v>Oil and Grease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</row>
        <row r="328">
          <cell r="A328">
            <v>55147</v>
          </cell>
          <cell r="B328" t="str">
            <v>Outside Repairs</v>
          </cell>
          <cell r="E328">
            <v>0</v>
          </cell>
          <cell r="F328">
            <v>292.57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292.57</v>
          </cell>
        </row>
        <row r="329">
          <cell r="A329">
            <v>55148</v>
          </cell>
          <cell r="B329" t="str">
            <v>Allocated Exp In - District</v>
          </cell>
          <cell r="E329">
            <v>0</v>
          </cell>
          <cell r="F329">
            <v>116.52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116.52</v>
          </cell>
        </row>
        <row r="330">
          <cell r="A330">
            <v>55149</v>
          </cell>
          <cell r="B330" t="str">
            <v>Allocated Exp In Out - District</v>
          </cell>
          <cell r="E330">
            <v>0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</row>
        <row r="331">
          <cell r="A331">
            <v>55150</v>
          </cell>
          <cell r="B331" t="str">
            <v>Utilities</v>
          </cell>
          <cell r="E331">
            <v>437.73</v>
          </cell>
          <cell r="F331">
            <v>510</v>
          </cell>
          <cell r="G331">
            <v>480.44</v>
          </cell>
          <cell r="H331">
            <v>460.73</v>
          </cell>
          <cell r="I331">
            <v>398.31</v>
          </cell>
          <cell r="J331">
            <v>372.03</v>
          </cell>
          <cell r="K331">
            <v>329.33</v>
          </cell>
          <cell r="L331">
            <v>0</v>
          </cell>
          <cell r="M331">
            <v>370.51</v>
          </cell>
          <cell r="N331">
            <v>344.08</v>
          </cell>
          <cell r="O331">
            <v>368.05</v>
          </cell>
          <cell r="P331">
            <v>368.05</v>
          </cell>
          <cell r="Q331">
            <v>4439.26</v>
          </cell>
        </row>
        <row r="332">
          <cell r="A332">
            <v>55181</v>
          </cell>
          <cell r="B332" t="str">
            <v>Freight</v>
          </cell>
          <cell r="E332">
            <v>0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</row>
        <row r="333">
          <cell r="A333">
            <v>55335</v>
          </cell>
          <cell r="B333" t="str">
            <v>Miscellaneous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</row>
        <row r="334">
          <cell r="A334">
            <v>55900</v>
          </cell>
          <cell r="B334" t="str">
            <v>Capitalized Costs</v>
          </cell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</row>
        <row r="335">
          <cell r="A335">
            <v>55998</v>
          </cell>
          <cell r="B335" t="str">
            <v>Allocation Out - District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</row>
        <row r="336">
          <cell r="A336">
            <v>55999</v>
          </cell>
          <cell r="B336" t="str">
            <v>Allocation Out - Out District</v>
          </cell>
          <cell r="E336">
            <v>-3211.72</v>
          </cell>
          <cell r="F336">
            <v>-1377.44</v>
          </cell>
          <cell r="G336">
            <v>-15514.36</v>
          </cell>
          <cell r="H336">
            <v>-20245.62</v>
          </cell>
          <cell r="I336">
            <v>-8044.68</v>
          </cell>
          <cell r="J336">
            <v>-1309.6400000000001</v>
          </cell>
          <cell r="K336">
            <v>-416.83</v>
          </cell>
          <cell r="L336">
            <v>-3864.87</v>
          </cell>
          <cell r="M336">
            <v>-3105</v>
          </cell>
          <cell r="N336">
            <v>-3070</v>
          </cell>
          <cell r="O336">
            <v>-7561.32</v>
          </cell>
          <cell r="P336">
            <v>-4472.33</v>
          </cell>
          <cell r="Q336">
            <v>-72193.810000000012</v>
          </cell>
        </row>
        <row r="337">
          <cell r="A337" t="str">
            <v>Total Container</v>
          </cell>
          <cell r="E337">
            <v>13583.499999999998</v>
          </cell>
          <cell r="F337">
            <v>12807.949999999999</v>
          </cell>
          <cell r="G337">
            <v>7054.3099999999977</v>
          </cell>
          <cell r="H337">
            <v>6264.57</v>
          </cell>
          <cell r="I337">
            <v>8351.6000000000022</v>
          </cell>
          <cell r="J337">
            <v>18740.919999999998</v>
          </cell>
          <cell r="K337">
            <v>17157.88</v>
          </cell>
          <cell r="L337">
            <v>12673.93</v>
          </cell>
          <cell r="M337">
            <v>-28887.440000000002</v>
          </cell>
          <cell r="N337">
            <v>9496.82</v>
          </cell>
          <cell r="O337">
            <v>-520.4399999999996</v>
          </cell>
          <cell r="P337">
            <v>7227.3199999999979</v>
          </cell>
          <cell r="Q337">
            <v>83950.92</v>
          </cell>
        </row>
        <row r="339">
          <cell r="A339" t="str">
            <v>Supervisor</v>
          </cell>
        </row>
        <row r="340">
          <cell r="A340">
            <v>56010</v>
          </cell>
          <cell r="B340" t="str">
            <v>Salaries</v>
          </cell>
          <cell r="E340">
            <v>8076.93</v>
          </cell>
          <cell r="F340">
            <v>7692.32</v>
          </cell>
          <cell r="G340">
            <v>8846.17</v>
          </cell>
          <cell r="H340">
            <v>8461.56</v>
          </cell>
          <cell r="I340">
            <v>8176.05</v>
          </cell>
          <cell r="J340">
            <v>8565.3799999999992</v>
          </cell>
          <cell r="K340">
            <v>8565.39</v>
          </cell>
          <cell r="L340">
            <v>8565.39</v>
          </cell>
          <cell r="M340">
            <v>8565.39</v>
          </cell>
          <cell r="N340">
            <v>8176.07</v>
          </cell>
          <cell r="O340">
            <v>8565.39</v>
          </cell>
          <cell r="P340">
            <v>8954.7199999999993</v>
          </cell>
          <cell r="Q340">
            <v>101210.76</v>
          </cell>
        </row>
        <row r="341">
          <cell r="A341">
            <v>56020</v>
          </cell>
          <cell r="B341" t="str">
            <v>Wages Regular</v>
          </cell>
          <cell r="E341">
            <v>2832.84</v>
          </cell>
          <cell r="F341">
            <v>5053.68</v>
          </cell>
          <cell r="G341">
            <v>4774.8999999999996</v>
          </cell>
          <cell r="H341">
            <v>4762.42</v>
          </cell>
          <cell r="I341">
            <v>2680.17</v>
          </cell>
          <cell r="J341">
            <v>3378.56</v>
          </cell>
          <cell r="K341">
            <v>5325.53</v>
          </cell>
          <cell r="L341">
            <v>3835.06</v>
          </cell>
          <cell r="M341">
            <v>4435.92</v>
          </cell>
          <cell r="N341">
            <v>4522.72</v>
          </cell>
          <cell r="O341">
            <v>4731.6499999999996</v>
          </cell>
          <cell r="P341">
            <v>4844.54</v>
          </cell>
          <cell r="Q341">
            <v>51177.990000000005</v>
          </cell>
        </row>
        <row r="342">
          <cell r="A342">
            <v>56025</v>
          </cell>
          <cell r="B342" t="str">
            <v>Wages O.T.</v>
          </cell>
          <cell r="E342">
            <v>274.88</v>
          </cell>
          <cell r="F342">
            <v>259.24</v>
          </cell>
          <cell r="G342">
            <v>649.44000000000005</v>
          </cell>
          <cell r="H342">
            <v>504.21</v>
          </cell>
          <cell r="I342">
            <v>341.07</v>
          </cell>
          <cell r="J342">
            <v>196.68</v>
          </cell>
          <cell r="K342">
            <v>716.35</v>
          </cell>
          <cell r="L342">
            <v>71.97</v>
          </cell>
          <cell r="M342">
            <v>716.15</v>
          </cell>
          <cell r="N342">
            <v>388.74</v>
          </cell>
          <cell r="O342">
            <v>560.69000000000005</v>
          </cell>
          <cell r="P342">
            <v>692.62</v>
          </cell>
          <cell r="Q342">
            <v>5372.04</v>
          </cell>
        </row>
        <row r="343">
          <cell r="A343">
            <v>56035</v>
          </cell>
          <cell r="B343" t="str">
            <v>Safety Bonuses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</row>
        <row r="344">
          <cell r="A344">
            <v>56036</v>
          </cell>
          <cell r="B344" t="str">
            <v>Other Bonus/Commission - Non-Safety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</row>
        <row r="345">
          <cell r="A345">
            <v>56037</v>
          </cell>
          <cell r="B345" t="str">
            <v>Termination Pay</v>
          </cell>
          <cell r="E345">
            <v>0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</row>
        <row r="346">
          <cell r="A346">
            <v>56045</v>
          </cell>
          <cell r="B346" t="str">
            <v>Contract Labor</v>
          </cell>
          <cell r="E346">
            <v>0</v>
          </cell>
          <cell r="F346">
            <v>0</v>
          </cell>
          <cell r="G346">
            <v>0</v>
          </cell>
          <cell r="H346">
            <v>0</v>
          </cell>
          <cell r="I346">
            <v>2127.6</v>
          </cell>
          <cell r="J346">
            <v>283.68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2411.2799999999997</v>
          </cell>
        </row>
        <row r="347">
          <cell r="A347">
            <v>56050</v>
          </cell>
          <cell r="B347" t="str">
            <v>Payroll Taxes</v>
          </cell>
          <cell r="E347">
            <v>1457.13</v>
          </cell>
          <cell r="F347">
            <v>1086.04</v>
          </cell>
          <cell r="G347">
            <v>1432.76</v>
          </cell>
          <cell r="H347">
            <v>1237.58</v>
          </cell>
          <cell r="I347">
            <v>1015.69</v>
          </cell>
          <cell r="J347">
            <v>1252.47</v>
          </cell>
          <cell r="K347">
            <v>1534.22</v>
          </cell>
          <cell r="L347">
            <v>1138.26</v>
          </cell>
          <cell r="M347">
            <v>1122.4100000000001</v>
          </cell>
          <cell r="N347">
            <v>1083.83</v>
          </cell>
          <cell r="O347">
            <v>1262.81</v>
          </cell>
          <cell r="P347">
            <v>1237.03</v>
          </cell>
          <cell r="Q347">
            <v>14860.230000000001</v>
          </cell>
        </row>
        <row r="348">
          <cell r="A348">
            <v>56060</v>
          </cell>
          <cell r="B348" t="str">
            <v>Group Insurance</v>
          </cell>
          <cell r="E348">
            <v>2260</v>
          </cell>
          <cell r="F348">
            <v>2260</v>
          </cell>
          <cell r="G348">
            <v>2015</v>
          </cell>
          <cell r="H348">
            <v>2505</v>
          </cell>
          <cell r="I348">
            <v>2286.75</v>
          </cell>
          <cell r="J348">
            <v>2260</v>
          </cell>
          <cell r="K348">
            <v>2233.2399999999998</v>
          </cell>
          <cell r="L348">
            <v>2260</v>
          </cell>
          <cell r="M348">
            <v>2015</v>
          </cell>
          <cell r="N348">
            <v>2505</v>
          </cell>
          <cell r="O348">
            <v>2260</v>
          </cell>
          <cell r="P348">
            <v>2260</v>
          </cell>
          <cell r="Q348">
            <v>27119.989999999998</v>
          </cell>
        </row>
        <row r="349">
          <cell r="A349">
            <v>56065</v>
          </cell>
          <cell r="B349" t="str">
            <v>Vacation Pay</v>
          </cell>
          <cell r="E349">
            <v>1525.21</v>
          </cell>
          <cell r="F349">
            <v>-107.25</v>
          </cell>
          <cell r="G349">
            <v>686</v>
          </cell>
          <cell r="H349">
            <v>651.78</v>
          </cell>
          <cell r="I349">
            <v>5006.99</v>
          </cell>
          <cell r="J349">
            <v>-77.53</v>
          </cell>
          <cell r="K349">
            <v>1031.8800000000001</v>
          </cell>
          <cell r="L349">
            <v>1229.18</v>
          </cell>
          <cell r="M349">
            <v>-193.57</v>
          </cell>
          <cell r="N349">
            <v>1097.0899999999999</v>
          </cell>
          <cell r="O349">
            <v>647.59</v>
          </cell>
          <cell r="P349">
            <v>92.16</v>
          </cell>
          <cell r="Q349">
            <v>11589.53</v>
          </cell>
        </row>
        <row r="350">
          <cell r="A350">
            <v>56070</v>
          </cell>
          <cell r="B350" t="str">
            <v>Sick Pay</v>
          </cell>
          <cell r="E350">
            <v>197.6</v>
          </cell>
          <cell r="F350">
            <v>-54.84</v>
          </cell>
          <cell r="G350">
            <v>58.3</v>
          </cell>
          <cell r="H350">
            <v>30.87</v>
          </cell>
          <cell r="I350">
            <v>0</v>
          </cell>
          <cell r="J350">
            <v>421.35</v>
          </cell>
          <cell r="K350">
            <v>0</v>
          </cell>
          <cell r="L350">
            <v>0</v>
          </cell>
          <cell r="M350">
            <v>371.67</v>
          </cell>
          <cell r="N350">
            <v>-106.19</v>
          </cell>
          <cell r="O350">
            <v>333.34</v>
          </cell>
          <cell r="P350">
            <v>-137.26</v>
          </cell>
          <cell r="Q350">
            <v>1114.8399999999999</v>
          </cell>
        </row>
        <row r="351">
          <cell r="A351">
            <v>56086</v>
          </cell>
          <cell r="B351" t="str">
            <v>Safety and Training</v>
          </cell>
          <cell r="E351">
            <v>259.02</v>
          </cell>
          <cell r="F351">
            <v>48.7</v>
          </cell>
          <cell r="G351">
            <v>93.68</v>
          </cell>
          <cell r="H351">
            <v>64.45</v>
          </cell>
          <cell r="I351">
            <v>0</v>
          </cell>
          <cell r="J351">
            <v>194.76</v>
          </cell>
          <cell r="K351">
            <v>1077.77</v>
          </cell>
          <cell r="L351">
            <v>241.93</v>
          </cell>
          <cell r="M351">
            <v>798.35</v>
          </cell>
          <cell r="N351">
            <v>821.91</v>
          </cell>
          <cell r="O351">
            <v>200.16</v>
          </cell>
          <cell r="P351">
            <v>135.97999999999999</v>
          </cell>
          <cell r="Q351">
            <v>3936.7099999999996</v>
          </cell>
        </row>
        <row r="352">
          <cell r="A352">
            <v>56090</v>
          </cell>
          <cell r="B352" t="str">
            <v>Uniforms</v>
          </cell>
          <cell r="E352">
            <v>1795.66</v>
          </cell>
          <cell r="F352">
            <v>143.75</v>
          </cell>
          <cell r="G352">
            <v>1117.68</v>
          </cell>
          <cell r="H352">
            <v>663</v>
          </cell>
          <cell r="I352">
            <v>503.29</v>
          </cell>
          <cell r="J352">
            <v>889.18</v>
          </cell>
          <cell r="K352">
            <v>1081.28</v>
          </cell>
          <cell r="L352">
            <v>680.36</v>
          </cell>
          <cell r="M352">
            <v>906.86</v>
          </cell>
          <cell r="N352">
            <v>144.98000000000002</v>
          </cell>
          <cell r="O352">
            <v>1093.78</v>
          </cell>
          <cell r="P352">
            <v>477.8</v>
          </cell>
          <cell r="Q352">
            <v>9497.619999999999</v>
          </cell>
        </row>
        <row r="353">
          <cell r="A353">
            <v>56095</v>
          </cell>
          <cell r="B353" t="str">
            <v>Empl &amp; Commun Activ</v>
          </cell>
          <cell r="E353">
            <v>727.54</v>
          </cell>
          <cell r="F353">
            <v>-266.95</v>
          </cell>
          <cell r="G353">
            <v>0</v>
          </cell>
          <cell r="H353">
            <v>92.48</v>
          </cell>
          <cell r="I353">
            <v>485.76</v>
          </cell>
          <cell r="J353">
            <v>463.36</v>
          </cell>
          <cell r="K353">
            <v>0</v>
          </cell>
          <cell r="L353">
            <v>0</v>
          </cell>
          <cell r="M353">
            <v>293.06</v>
          </cell>
          <cell r="N353">
            <v>28.73</v>
          </cell>
          <cell r="O353">
            <v>-181.04</v>
          </cell>
          <cell r="P353">
            <v>0</v>
          </cell>
          <cell r="Q353">
            <v>1642.94</v>
          </cell>
        </row>
        <row r="354">
          <cell r="A354">
            <v>56105</v>
          </cell>
          <cell r="B354" t="str">
            <v>Employee Relocation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</row>
        <row r="355">
          <cell r="A355">
            <v>56108</v>
          </cell>
          <cell r="B355" t="str">
            <v>School Tuition</v>
          </cell>
          <cell r="E355">
            <v>0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</row>
        <row r="356">
          <cell r="A356">
            <v>56115</v>
          </cell>
          <cell r="B356" t="str">
            <v>Pension and Profit Sharing</v>
          </cell>
          <cell r="E356">
            <v>226.28</v>
          </cell>
          <cell r="F356">
            <v>217.62</v>
          </cell>
          <cell r="G356">
            <v>333.09</v>
          </cell>
          <cell r="H356">
            <v>220.44</v>
          </cell>
          <cell r="I356">
            <v>189.47</v>
          </cell>
          <cell r="J356">
            <v>211.84</v>
          </cell>
          <cell r="K356">
            <v>270.73</v>
          </cell>
          <cell r="L356">
            <v>224.38</v>
          </cell>
          <cell r="M356">
            <v>228.09</v>
          </cell>
          <cell r="N356">
            <v>329.68</v>
          </cell>
          <cell r="O356">
            <v>224.86</v>
          </cell>
          <cell r="P356">
            <v>246.21</v>
          </cell>
          <cell r="Q356">
            <v>2922.69</v>
          </cell>
        </row>
        <row r="357">
          <cell r="A357">
            <v>56116</v>
          </cell>
          <cell r="B357" t="str">
            <v>Union Benefit Expense</v>
          </cell>
          <cell r="E357">
            <v>0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</row>
        <row r="358">
          <cell r="A358">
            <v>56117</v>
          </cell>
          <cell r="B358" t="str">
            <v>Union Pension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</row>
        <row r="359">
          <cell r="A359">
            <v>56125</v>
          </cell>
          <cell r="B359" t="str">
            <v>Operating Supplies</v>
          </cell>
          <cell r="E359">
            <v>1415.21</v>
          </cell>
          <cell r="F359">
            <v>1483.02</v>
          </cell>
          <cell r="G359">
            <v>1740.94</v>
          </cell>
          <cell r="H359">
            <v>445.37</v>
          </cell>
          <cell r="I359">
            <v>804.72</v>
          </cell>
          <cell r="J359">
            <v>164.82</v>
          </cell>
          <cell r="K359">
            <v>658.52</v>
          </cell>
          <cell r="L359">
            <v>1100.71</v>
          </cell>
          <cell r="M359">
            <v>1250.03</v>
          </cell>
          <cell r="N359">
            <v>1674.36</v>
          </cell>
          <cell r="O359">
            <v>765.8</v>
          </cell>
          <cell r="P359">
            <v>382.82</v>
          </cell>
          <cell r="Q359">
            <v>11886.32</v>
          </cell>
        </row>
        <row r="360">
          <cell r="A360">
            <v>56140</v>
          </cell>
          <cell r="B360" t="str">
            <v>Tires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</row>
        <row r="361">
          <cell r="A361">
            <v>56142</v>
          </cell>
          <cell r="B361" t="str">
            <v>Fuel Expense</v>
          </cell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20</v>
          </cell>
          <cell r="Q361">
            <v>20</v>
          </cell>
        </row>
        <row r="362">
          <cell r="A362">
            <v>56148</v>
          </cell>
          <cell r="B362" t="str">
            <v>Allocated Exp In - District</v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</row>
        <row r="363">
          <cell r="A363">
            <v>56149</v>
          </cell>
          <cell r="B363" t="str">
            <v>Allocated Exp In Out - District</v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</row>
        <row r="364">
          <cell r="A364">
            <v>56165</v>
          </cell>
          <cell r="B364" t="str">
            <v>Communications</v>
          </cell>
          <cell r="E364">
            <v>4606.6000000000004</v>
          </cell>
          <cell r="F364">
            <v>4350.2299999999996</v>
          </cell>
          <cell r="G364">
            <v>4615.41</v>
          </cell>
          <cell r="H364">
            <v>1003.34</v>
          </cell>
          <cell r="I364">
            <v>7555.03</v>
          </cell>
          <cell r="J364">
            <v>4491</v>
          </cell>
          <cell r="K364">
            <v>4590.99</v>
          </cell>
          <cell r="L364">
            <v>470.11</v>
          </cell>
          <cell r="M364">
            <v>4254.96</v>
          </cell>
          <cell r="N364">
            <v>4208.18</v>
          </cell>
          <cell r="O364">
            <v>512.84</v>
          </cell>
          <cell r="P364">
            <v>4070.45</v>
          </cell>
          <cell r="Q364">
            <v>44729.139999999992</v>
          </cell>
        </row>
        <row r="365">
          <cell r="A365">
            <v>56200</v>
          </cell>
          <cell r="B365" t="str">
            <v>Travel</v>
          </cell>
          <cell r="E365">
            <v>0</v>
          </cell>
          <cell r="F365">
            <v>69</v>
          </cell>
          <cell r="G365">
            <v>98.25</v>
          </cell>
          <cell r="H365">
            <v>52.88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5.62</v>
          </cell>
          <cell r="O365">
            <v>0</v>
          </cell>
          <cell r="P365">
            <v>0</v>
          </cell>
          <cell r="Q365">
            <v>225.75</v>
          </cell>
        </row>
        <row r="366">
          <cell r="A366">
            <v>56201</v>
          </cell>
          <cell r="B366" t="str">
            <v>Meal and Entertainment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103.1</v>
          </cell>
          <cell r="K366">
            <v>0</v>
          </cell>
          <cell r="L366">
            <v>0</v>
          </cell>
          <cell r="M366">
            <v>0</v>
          </cell>
          <cell r="N366">
            <v>44.52</v>
          </cell>
          <cell r="O366">
            <v>90.55</v>
          </cell>
          <cell r="P366">
            <v>110.62</v>
          </cell>
          <cell r="Q366">
            <v>348.79</v>
          </cell>
        </row>
        <row r="367">
          <cell r="A367">
            <v>56210</v>
          </cell>
          <cell r="B367" t="str">
            <v>Office Supply and Equip</v>
          </cell>
          <cell r="E367">
            <v>907.9</v>
          </cell>
          <cell r="F367">
            <v>1266.8599999999999</v>
          </cell>
          <cell r="G367">
            <v>1175.05</v>
          </cell>
          <cell r="H367">
            <v>2018.74</v>
          </cell>
          <cell r="I367">
            <v>1340.75</v>
          </cell>
          <cell r="J367">
            <v>1056.72</v>
          </cell>
          <cell r="K367">
            <v>1348.09</v>
          </cell>
          <cell r="L367">
            <v>2224.39</v>
          </cell>
          <cell r="M367">
            <v>1094.46</v>
          </cell>
          <cell r="N367">
            <v>1045.8699999999999</v>
          </cell>
          <cell r="O367">
            <v>1613.32</v>
          </cell>
          <cell r="P367">
            <v>1365.17</v>
          </cell>
          <cell r="Q367">
            <v>16457.32</v>
          </cell>
        </row>
        <row r="368">
          <cell r="A368">
            <v>56335</v>
          </cell>
          <cell r="B368" t="str">
            <v>Miscellaneous</v>
          </cell>
          <cell r="E368">
            <v>0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</row>
        <row r="369">
          <cell r="A369">
            <v>56998</v>
          </cell>
          <cell r="B369" t="str">
            <v>Allocation Out - District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</row>
        <row r="370">
          <cell r="A370">
            <v>56999</v>
          </cell>
          <cell r="B370" t="str">
            <v>Allocation Out - Out District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</row>
        <row r="371">
          <cell r="A371" t="str">
            <v>Total Supervisor</v>
          </cell>
          <cell r="E371">
            <v>26562.799999999996</v>
          </cell>
          <cell r="F371">
            <v>23501.42</v>
          </cell>
          <cell r="G371">
            <v>27636.67</v>
          </cell>
          <cell r="H371">
            <v>22714.119999999995</v>
          </cell>
          <cell r="I371">
            <v>32513.34</v>
          </cell>
          <cell r="J371">
            <v>23855.37</v>
          </cell>
          <cell r="K371">
            <v>28433.989999999994</v>
          </cell>
          <cell r="L371">
            <v>22041.739999999998</v>
          </cell>
          <cell r="M371">
            <v>25858.779999999995</v>
          </cell>
          <cell r="N371">
            <v>25971.11</v>
          </cell>
          <cell r="O371">
            <v>22681.739999999998</v>
          </cell>
          <cell r="P371">
            <v>24752.86</v>
          </cell>
          <cell r="Q371">
            <v>306523.94</v>
          </cell>
        </row>
        <row r="373">
          <cell r="A373" t="str">
            <v>Other Operating Expense</v>
          </cell>
        </row>
        <row r="374">
          <cell r="A374">
            <v>46020</v>
          </cell>
          <cell r="B374" t="str">
            <v>Post Closure Amortization</v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</row>
        <row r="375">
          <cell r="A375">
            <v>57051</v>
          </cell>
          <cell r="B375" t="str">
            <v>AA Premiums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</row>
        <row r="376">
          <cell r="A376">
            <v>57125</v>
          </cell>
          <cell r="B376" t="str">
            <v>Operating Supplies</v>
          </cell>
          <cell r="E376">
            <v>0</v>
          </cell>
          <cell r="F376">
            <v>0</v>
          </cell>
          <cell r="G376">
            <v>0</v>
          </cell>
          <cell r="H376">
            <v>427.66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224.45</v>
          </cell>
          <cell r="O376">
            <v>3002.92</v>
          </cell>
          <cell r="P376">
            <v>0</v>
          </cell>
          <cell r="Q376">
            <v>3655.03</v>
          </cell>
        </row>
        <row r="377">
          <cell r="A377">
            <v>57147</v>
          </cell>
          <cell r="B377" t="str">
            <v>Bldg &amp; Property</v>
          </cell>
          <cell r="E377">
            <v>8063.84</v>
          </cell>
          <cell r="F377">
            <v>8169.88</v>
          </cell>
          <cell r="G377">
            <v>6041.82</v>
          </cell>
          <cell r="H377">
            <v>6588.54</v>
          </cell>
          <cell r="I377">
            <v>4365.71</v>
          </cell>
          <cell r="J377">
            <v>4713.99</v>
          </cell>
          <cell r="K377">
            <v>10806.84</v>
          </cell>
          <cell r="L377">
            <v>9251.0400000000009</v>
          </cell>
          <cell r="M377">
            <v>6193.48</v>
          </cell>
          <cell r="N377">
            <v>8759.64</v>
          </cell>
          <cell r="O377">
            <v>5195.24</v>
          </cell>
          <cell r="P377">
            <v>16632.82</v>
          </cell>
          <cell r="Q377">
            <v>94782.84</v>
          </cell>
        </row>
        <row r="378">
          <cell r="A378">
            <v>57148</v>
          </cell>
          <cell r="B378" t="str">
            <v>Allocated In - District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</row>
        <row r="379">
          <cell r="A379">
            <v>57149</v>
          </cell>
          <cell r="B379" t="str">
            <v>Allocated In - Out District</v>
          </cell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</row>
        <row r="380">
          <cell r="A380">
            <v>57150</v>
          </cell>
          <cell r="B380" t="str">
            <v>Utilities</v>
          </cell>
          <cell r="E380">
            <v>1384.3</v>
          </cell>
          <cell r="F380">
            <v>289.72000000000003</v>
          </cell>
          <cell r="G380">
            <v>352.8</v>
          </cell>
          <cell r="H380">
            <v>250.3</v>
          </cell>
          <cell r="I380">
            <v>272.69</v>
          </cell>
          <cell r="J380">
            <v>171.46</v>
          </cell>
          <cell r="K380">
            <v>268.27</v>
          </cell>
          <cell r="L380">
            <v>157.77000000000001</v>
          </cell>
          <cell r="M380">
            <v>921.26</v>
          </cell>
          <cell r="N380">
            <v>178.68</v>
          </cell>
          <cell r="O380">
            <v>1625.08</v>
          </cell>
          <cell r="P380">
            <v>312.62</v>
          </cell>
          <cell r="Q380">
            <v>6184.95</v>
          </cell>
        </row>
        <row r="381">
          <cell r="A381">
            <v>57165</v>
          </cell>
          <cell r="B381" t="str">
            <v>Communications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</row>
        <row r="382">
          <cell r="A382">
            <v>57166</v>
          </cell>
          <cell r="B382" t="str">
            <v>Leachate Treatment</v>
          </cell>
          <cell r="E382">
            <v>0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</row>
        <row r="383">
          <cell r="A383">
            <v>57170</v>
          </cell>
          <cell r="B383" t="str">
            <v>Real Estate Rentals</v>
          </cell>
          <cell r="E383">
            <v>17643.07</v>
          </cell>
          <cell r="F383">
            <v>17035.48</v>
          </cell>
          <cell r="G383">
            <v>17673.07</v>
          </cell>
          <cell r="H383">
            <v>17402.849999999999</v>
          </cell>
          <cell r="I383">
            <v>17402.849999999999</v>
          </cell>
          <cell r="J383">
            <v>17402.849999999999</v>
          </cell>
          <cell r="K383">
            <v>17402.849999999999</v>
          </cell>
          <cell r="L383">
            <v>17402.849999999999</v>
          </cell>
          <cell r="M383">
            <v>18791.8</v>
          </cell>
          <cell r="N383">
            <v>17402.849999999999</v>
          </cell>
          <cell r="O383">
            <v>18791.8</v>
          </cell>
          <cell r="P383">
            <v>2852.62</v>
          </cell>
          <cell r="Q383">
            <v>197204.94</v>
          </cell>
        </row>
        <row r="384">
          <cell r="A384">
            <v>57175</v>
          </cell>
          <cell r="B384" t="str">
            <v>Equipment Vehicle Rental</v>
          </cell>
          <cell r="E384">
            <v>328.66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2091.2399999999998</v>
          </cell>
          <cell r="P384">
            <v>397.36</v>
          </cell>
          <cell r="Q384">
            <v>2817.2599999999998</v>
          </cell>
        </row>
        <row r="385">
          <cell r="A385">
            <v>57185</v>
          </cell>
          <cell r="B385" t="str">
            <v>Postage</v>
          </cell>
          <cell r="E385">
            <v>0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</row>
        <row r="386">
          <cell r="A386">
            <v>57252</v>
          </cell>
          <cell r="B386" t="str">
            <v>Subcontract Expense</v>
          </cell>
          <cell r="E386">
            <v>0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</row>
        <row r="387">
          <cell r="A387">
            <v>57254</v>
          </cell>
          <cell r="B387" t="str">
            <v>Drive Cam Fees</v>
          </cell>
          <cell r="E387">
            <v>5737.5</v>
          </cell>
          <cell r="F387">
            <v>5737.5</v>
          </cell>
          <cell r="G387">
            <v>5737.5</v>
          </cell>
          <cell r="H387">
            <v>5737.5</v>
          </cell>
          <cell r="I387">
            <v>3780</v>
          </cell>
          <cell r="J387">
            <v>3780</v>
          </cell>
          <cell r="K387">
            <v>3780</v>
          </cell>
          <cell r="L387">
            <v>3780</v>
          </cell>
          <cell r="M387">
            <v>3780</v>
          </cell>
          <cell r="N387">
            <v>3780</v>
          </cell>
          <cell r="O387">
            <v>3780</v>
          </cell>
          <cell r="P387">
            <v>3780</v>
          </cell>
          <cell r="Q387">
            <v>53190</v>
          </cell>
        </row>
        <row r="388">
          <cell r="A388">
            <v>57255</v>
          </cell>
          <cell r="B388" t="str">
            <v>Other Prof Fees</v>
          </cell>
          <cell r="E388">
            <v>0</v>
          </cell>
          <cell r="F388">
            <v>0</v>
          </cell>
          <cell r="G388">
            <v>13.5</v>
          </cell>
          <cell r="H388">
            <v>13.5</v>
          </cell>
          <cell r="I388">
            <v>13.5</v>
          </cell>
          <cell r="J388">
            <v>13.5</v>
          </cell>
          <cell r="K388">
            <v>0</v>
          </cell>
          <cell r="L388">
            <v>13.5</v>
          </cell>
          <cell r="M388">
            <v>13.5</v>
          </cell>
          <cell r="N388">
            <v>13.5</v>
          </cell>
          <cell r="O388">
            <v>13.5</v>
          </cell>
          <cell r="P388">
            <v>0</v>
          </cell>
          <cell r="Q388">
            <v>108</v>
          </cell>
        </row>
        <row r="389">
          <cell r="A389">
            <v>57256</v>
          </cell>
          <cell r="B389" t="str">
            <v>Laboratory Fees</v>
          </cell>
          <cell r="E389">
            <v>0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</row>
        <row r="390">
          <cell r="A390">
            <v>57257</v>
          </cell>
          <cell r="B390" t="str">
            <v>Engineering Fees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54300.08</v>
          </cell>
          <cell r="K390">
            <v>3763.13</v>
          </cell>
          <cell r="L390">
            <v>4344.38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62407.59</v>
          </cell>
        </row>
        <row r="391">
          <cell r="A391">
            <v>57275</v>
          </cell>
          <cell r="B391" t="str">
            <v>Property Taxes</v>
          </cell>
          <cell r="E391">
            <v>648.66999999999996</v>
          </cell>
          <cell r="F391">
            <v>748.26</v>
          </cell>
          <cell r="G391">
            <v>748.26</v>
          </cell>
          <cell r="H391">
            <v>931.59</v>
          </cell>
          <cell r="I391">
            <v>931.59</v>
          </cell>
          <cell r="J391">
            <v>931.61</v>
          </cell>
          <cell r="K391">
            <v>676.33</v>
          </cell>
          <cell r="L391">
            <v>676.33</v>
          </cell>
          <cell r="M391">
            <v>676.33</v>
          </cell>
          <cell r="N391">
            <v>676.33</v>
          </cell>
          <cell r="O391">
            <v>676.33</v>
          </cell>
          <cell r="P391">
            <v>676.33</v>
          </cell>
          <cell r="Q391">
            <v>8997.9599999999991</v>
          </cell>
        </row>
        <row r="392">
          <cell r="A392">
            <v>57280</v>
          </cell>
          <cell r="B392" t="str">
            <v>Other Taxes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</row>
        <row r="393">
          <cell r="A393">
            <v>57324</v>
          </cell>
          <cell r="B393" t="str">
            <v>Penalties and Violations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266.95</v>
          </cell>
          <cell r="O393">
            <v>266.95</v>
          </cell>
          <cell r="P393">
            <v>0</v>
          </cell>
          <cell r="Q393">
            <v>533.9</v>
          </cell>
        </row>
        <row r="394">
          <cell r="A394">
            <v>57335</v>
          </cell>
          <cell r="B394" t="str">
            <v>Miscellaneous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-33322.47</v>
          </cell>
          <cell r="K394">
            <v>33322.47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</row>
        <row r="395">
          <cell r="A395">
            <v>57345</v>
          </cell>
          <cell r="B395" t="str">
            <v>Secruity Services</v>
          </cell>
          <cell r="E395">
            <v>187.5</v>
          </cell>
          <cell r="F395">
            <v>187.5</v>
          </cell>
          <cell r="G395">
            <v>187.5</v>
          </cell>
          <cell r="H395">
            <v>187.5</v>
          </cell>
          <cell r="I395">
            <v>187.5</v>
          </cell>
          <cell r="J395">
            <v>187.5</v>
          </cell>
          <cell r="K395">
            <v>187.5</v>
          </cell>
          <cell r="L395">
            <v>187.5</v>
          </cell>
          <cell r="M395">
            <v>187.5</v>
          </cell>
          <cell r="N395">
            <v>187.5</v>
          </cell>
          <cell r="O395">
            <v>187.5</v>
          </cell>
          <cell r="P395">
            <v>250</v>
          </cell>
          <cell r="Q395">
            <v>2312.5</v>
          </cell>
        </row>
        <row r="396">
          <cell r="A396">
            <v>57353</v>
          </cell>
          <cell r="B396" t="str">
            <v>Monitoring and Maint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</row>
        <row r="397">
          <cell r="A397">
            <v>57356</v>
          </cell>
          <cell r="B397" t="str">
            <v>Cover Cost</v>
          </cell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</row>
        <row r="398">
          <cell r="A398">
            <v>57357</v>
          </cell>
          <cell r="B398" t="str">
            <v>Permits</v>
          </cell>
          <cell r="E398">
            <v>65</v>
          </cell>
          <cell r="F398">
            <v>0</v>
          </cell>
          <cell r="G398">
            <v>132.5</v>
          </cell>
          <cell r="H398">
            <v>0</v>
          </cell>
          <cell r="I398">
            <v>0</v>
          </cell>
          <cell r="J398">
            <v>132.5</v>
          </cell>
          <cell r="K398">
            <v>0</v>
          </cell>
          <cell r="L398">
            <v>0</v>
          </cell>
          <cell r="M398">
            <v>132.5</v>
          </cell>
          <cell r="N398">
            <v>1975</v>
          </cell>
          <cell r="O398">
            <v>0</v>
          </cell>
          <cell r="P398">
            <v>132.5</v>
          </cell>
          <cell r="Q398">
            <v>2570</v>
          </cell>
        </row>
        <row r="399">
          <cell r="A399">
            <v>57360</v>
          </cell>
          <cell r="B399" t="str">
            <v>Royalties</v>
          </cell>
          <cell r="E399">
            <v>0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</row>
        <row r="400">
          <cell r="A400">
            <v>57370</v>
          </cell>
          <cell r="B400" t="str">
            <v>Bonds Expense</v>
          </cell>
          <cell r="E400">
            <v>4619.28</v>
          </cell>
          <cell r="F400">
            <v>6292.28</v>
          </cell>
          <cell r="G400">
            <v>6547.28</v>
          </cell>
          <cell r="H400">
            <v>5761.53</v>
          </cell>
          <cell r="I400">
            <v>5761.53</v>
          </cell>
          <cell r="J400">
            <v>5761.53</v>
          </cell>
          <cell r="K400">
            <v>5761.49</v>
          </cell>
          <cell r="L400">
            <v>5761.53</v>
          </cell>
          <cell r="M400">
            <v>5761.53</v>
          </cell>
          <cell r="N400">
            <v>5761.53</v>
          </cell>
          <cell r="O400">
            <v>6186.53</v>
          </cell>
          <cell r="P400">
            <v>4741.53</v>
          </cell>
          <cell r="Q400">
            <v>68717.569999999992</v>
          </cell>
        </row>
        <row r="401">
          <cell r="A401">
            <v>57900</v>
          </cell>
          <cell r="B401" t="str">
            <v>Capitalized Costs</v>
          </cell>
          <cell r="E401">
            <v>0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</row>
        <row r="402">
          <cell r="A402">
            <v>57998</v>
          </cell>
          <cell r="B402" t="str">
            <v>Allocation Out - District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</row>
        <row r="403">
          <cell r="A403">
            <v>57999</v>
          </cell>
          <cell r="B403" t="str">
            <v>Allocation Out - Out District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</row>
        <row r="404">
          <cell r="A404">
            <v>70265</v>
          </cell>
          <cell r="B404" t="str">
            <v>Amortization of Long Term Contracts</v>
          </cell>
          <cell r="E404">
            <v>0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</row>
        <row r="405">
          <cell r="A405">
            <v>80050</v>
          </cell>
          <cell r="B405" t="str">
            <v>Interest Expense Closure/Post Closure</v>
          </cell>
          <cell r="E405">
            <v>0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</row>
        <row r="406">
          <cell r="A406" t="str">
            <v>Total Other Operating Expense</v>
          </cell>
          <cell r="E406">
            <v>38677.819999999992</v>
          </cell>
          <cell r="F406">
            <v>38460.620000000003</v>
          </cell>
          <cell r="G406">
            <v>37434.229999999996</v>
          </cell>
          <cell r="H406">
            <v>37300.97</v>
          </cell>
          <cell r="I406">
            <v>32715.37</v>
          </cell>
          <cell r="J406">
            <v>54072.55</v>
          </cell>
          <cell r="K406">
            <v>75968.88</v>
          </cell>
          <cell r="L406">
            <v>41574.9</v>
          </cell>
          <cell r="M406">
            <v>36457.9</v>
          </cell>
          <cell r="N406">
            <v>39226.43</v>
          </cell>
          <cell r="O406">
            <v>41817.089999999997</v>
          </cell>
          <cell r="P406">
            <v>29775.78</v>
          </cell>
          <cell r="Q406">
            <v>503482.54000000004</v>
          </cell>
        </row>
        <row r="408">
          <cell r="A408" t="str">
            <v>Insurance</v>
          </cell>
        </row>
        <row r="409">
          <cell r="A409">
            <v>59148</v>
          </cell>
          <cell r="B409" t="str">
            <v>Allocation In - District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</row>
        <row r="410">
          <cell r="A410">
            <v>59149</v>
          </cell>
          <cell r="B410" t="str">
            <v>Allocation In - Out District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</row>
        <row r="411">
          <cell r="A411">
            <v>59271</v>
          </cell>
          <cell r="B411" t="str">
            <v>Property and Liability Insurance</v>
          </cell>
          <cell r="E411">
            <v>0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</row>
        <row r="412">
          <cell r="A412">
            <v>59326</v>
          </cell>
          <cell r="B412" t="str">
            <v>Deductible - Current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</row>
        <row r="413">
          <cell r="A413">
            <v>59327</v>
          </cell>
          <cell r="B413" t="str">
            <v>Deductible - Damage</v>
          </cell>
          <cell r="E413">
            <v>0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</row>
        <row r="414">
          <cell r="A414">
            <v>59328</v>
          </cell>
          <cell r="B414" t="str">
            <v>Claim Recoveries</v>
          </cell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</row>
        <row r="415">
          <cell r="A415">
            <v>59330</v>
          </cell>
          <cell r="B415" t="str">
            <v>Deduct - Prior Year</v>
          </cell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</row>
        <row r="416">
          <cell r="A416">
            <v>59331</v>
          </cell>
          <cell r="B416" t="str">
            <v>RM Fixed Costs</v>
          </cell>
          <cell r="E416">
            <v>0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</row>
        <row r="417">
          <cell r="A417">
            <v>59340</v>
          </cell>
          <cell r="B417" t="str">
            <v>Self Insurance Premium</v>
          </cell>
          <cell r="E417">
            <v>10091.379999999999</v>
          </cell>
          <cell r="F417">
            <v>10091.379999999999</v>
          </cell>
          <cell r="G417">
            <v>10091.379999999999</v>
          </cell>
          <cell r="H417">
            <v>10091.379999999999</v>
          </cell>
          <cell r="I417">
            <v>10091.379999999999</v>
          </cell>
          <cell r="J417">
            <v>10091.379999999999</v>
          </cell>
          <cell r="K417">
            <v>10091.379999999999</v>
          </cell>
          <cell r="L417">
            <v>10091.379999999999</v>
          </cell>
          <cell r="M417">
            <v>10091.379999999999</v>
          </cell>
          <cell r="N417">
            <v>10091.379999999999</v>
          </cell>
          <cell r="O417">
            <v>10091.379999999999</v>
          </cell>
          <cell r="P417">
            <v>10091.379999999999</v>
          </cell>
          <cell r="Q417">
            <v>121096.56000000001</v>
          </cell>
        </row>
        <row r="418">
          <cell r="A418">
            <v>59341</v>
          </cell>
          <cell r="B418" t="str">
            <v>A&amp;L - Current Year Claims</v>
          </cell>
          <cell r="E418">
            <v>-6142.07</v>
          </cell>
          <cell r="F418">
            <v>-2400</v>
          </cell>
          <cell r="G418">
            <v>400</v>
          </cell>
          <cell r="H418">
            <v>9853.9</v>
          </cell>
          <cell r="I418">
            <v>0</v>
          </cell>
          <cell r="J418">
            <v>0</v>
          </cell>
          <cell r="K418">
            <v>0</v>
          </cell>
          <cell r="L418">
            <v>4250</v>
          </cell>
          <cell r="M418">
            <v>8924.2000000000007</v>
          </cell>
          <cell r="N418">
            <v>751</v>
          </cell>
          <cell r="O418">
            <v>2071.27</v>
          </cell>
          <cell r="P418">
            <v>24430</v>
          </cell>
          <cell r="Q418">
            <v>42138.3</v>
          </cell>
        </row>
        <row r="419">
          <cell r="A419">
            <v>59342</v>
          </cell>
          <cell r="B419" t="str">
            <v>A&amp;L - Prior Year Claims</v>
          </cell>
          <cell r="E419">
            <v>0</v>
          </cell>
          <cell r="F419">
            <v>0</v>
          </cell>
          <cell r="G419">
            <v>0</v>
          </cell>
          <cell r="H419">
            <v>-10802.07</v>
          </cell>
          <cell r="I419">
            <v>-2004.25</v>
          </cell>
          <cell r="J419">
            <v>1249.05</v>
          </cell>
          <cell r="K419">
            <v>6999.75</v>
          </cell>
          <cell r="L419">
            <v>0</v>
          </cell>
          <cell r="M419">
            <v>0</v>
          </cell>
          <cell r="N419">
            <v>2499.5</v>
          </cell>
          <cell r="O419">
            <v>0</v>
          </cell>
          <cell r="P419">
            <v>0</v>
          </cell>
          <cell r="Q419">
            <v>-2058.0200000000004</v>
          </cell>
        </row>
        <row r="420">
          <cell r="A420">
            <v>59343</v>
          </cell>
          <cell r="B420" t="str">
            <v>WC - Current Year Claims</v>
          </cell>
          <cell r="E420">
            <v>7290.88</v>
          </cell>
          <cell r="F420">
            <v>-17465.98</v>
          </cell>
          <cell r="G420">
            <v>13819.28</v>
          </cell>
          <cell r="H420">
            <v>8553.6</v>
          </cell>
          <cell r="I420">
            <v>5696</v>
          </cell>
          <cell r="J420">
            <v>3275.7</v>
          </cell>
          <cell r="K420">
            <v>6448.16</v>
          </cell>
          <cell r="L420">
            <v>2722</v>
          </cell>
          <cell r="M420">
            <v>820</v>
          </cell>
          <cell r="N420">
            <v>-18388.02</v>
          </cell>
          <cell r="O420">
            <v>-1818.92</v>
          </cell>
          <cell r="P420">
            <v>2266.29</v>
          </cell>
          <cell r="Q420">
            <v>13218.990000000002</v>
          </cell>
        </row>
        <row r="421">
          <cell r="A421">
            <v>59344</v>
          </cell>
          <cell r="B421" t="str">
            <v>WC - Prior Year Claims</v>
          </cell>
          <cell r="E421">
            <v>0</v>
          </cell>
          <cell r="F421">
            <v>0</v>
          </cell>
          <cell r="G421">
            <v>0</v>
          </cell>
          <cell r="H421">
            <v>-9078.02</v>
          </cell>
          <cell r="I421">
            <v>16579.04</v>
          </cell>
          <cell r="J421">
            <v>98644.06</v>
          </cell>
          <cell r="K421">
            <v>-15344.09</v>
          </cell>
          <cell r="L421">
            <v>-28729.19</v>
          </cell>
          <cell r="M421">
            <v>17918.650000000001</v>
          </cell>
          <cell r="N421">
            <v>-103.64</v>
          </cell>
          <cell r="O421">
            <v>1197.08</v>
          </cell>
          <cell r="P421">
            <v>-19684.740000000002</v>
          </cell>
          <cell r="Q421">
            <v>61399.150000000009</v>
          </cell>
        </row>
        <row r="422">
          <cell r="A422">
            <v>59350</v>
          </cell>
          <cell r="B422" t="str">
            <v>Self Isurance IBNR Estimates</v>
          </cell>
          <cell r="E422">
            <v>0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</row>
        <row r="423">
          <cell r="A423">
            <v>59400</v>
          </cell>
          <cell r="B423" t="str">
            <v>Damages paid by District</v>
          </cell>
          <cell r="E423">
            <v>5142.99</v>
          </cell>
          <cell r="F423">
            <v>1000</v>
          </cell>
          <cell r="G423">
            <v>2757.56</v>
          </cell>
          <cell r="H423">
            <v>0</v>
          </cell>
          <cell r="I423">
            <v>1701.74</v>
          </cell>
          <cell r="J423">
            <v>6490.95</v>
          </cell>
          <cell r="K423">
            <v>104.97</v>
          </cell>
          <cell r="L423">
            <v>48.7</v>
          </cell>
          <cell r="M423">
            <v>0</v>
          </cell>
          <cell r="N423">
            <v>11054.22</v>
          </cell>
          <cell r="O423">
            <v>655.83</v>
          </cell>
          <cell r="P423">
            <v>11383.6</v>
          </cell>
          <cell r="Q423">
            <v>40340.559999999998</v>
          </cell>
        </row>
        <row r="424">
          <cell r="A424">
            <v>59401</v>
          </cell>
          <cell r="B424" t="str">
            <v>Insurance claim repairs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10000</v>
          </cell>
          <cell r="O424">
            <v>31.43</v>
          </cell>
          <cell r="P424">
            <v>-10904.79</v>
          </cell>
          <cell r="Q424">
            <v>-873.36000000000058</v>
          </cell>
        </row>
        <row r="425">
          <cell r="A425">
            <v>59500</v>
          </cell>
          <cell r="B425" t="str">
            <v>Workers Comp Prem</v>
          </cell>
          <cell r="E425">
            <v>4000</v>
          </cell>
          <cell r="F425">
            <v>2000</v>
          </cell>
          <cell r="G425">
            <v>2000</v>
          </cell>
          <cell r="H425">
            <v>2000</v>
          </cell>
          <cell r="I425">
            <v>1000</v>
          </cell>
          <cell r="J425">
            <v>2000</v>
          </cell>
          <cell r="K425">
            <v>2000</v>
          </cell>
          <cell r="L425">
            <v>2000</v>
          </cell>
          <cell r="M425">
            <v>3000</v>
          </cell>
          <cell r="N425">
            <v>3000</v>
          </cell>
          <cell r="O425">
            <v>3000</v>
          </cell>
          <cell r="P425">
            <v>0</v>
          </cell>
          <cell r="Q425">
            <v>26000</v>
          </cell>
        </row>
        <row r="426">
          <cell r="A426">
            <v>59998</v>
          </cell>
          <cell r="B426" t="str">
            <v>Allocation Out - District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</row>
        <row r="427">
          <cell r="A427">
            <v>59999</v>
          </cell>
          <cell r="B427" t="str">
            <v>Allocation Out - Out District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</row>
        <row r="428">
          <cell r="A428" t="str">
            <v>Total Insurance</v>
          </cell>
          <cell r="E428">
            <v>20383.18</v>
          </cell>
          <cell r="F428">
            <v>-6774.6</v>
          </cell>
          <cell r="G428">
            <v>29068.22</v>
          </cell>
          <cell r="H428">
            <v>10618.789999999997</v>
          </cell>
          <cell r="I428">
            <v>33063.910000000003</v>
          </cell>
          <cell r="J428">
            <v>121751.14</v>
          </cell>
          <cell r="K428">
            <v>10300.169999999996</v>
          </cell>
          <cell r="L428">
            <v>-9617.11</v>
          </cell>
          <cell r="M428">
            <v>40754.230000000003</v>
          </cell>
          <cell r="N428">
            <v>18904.439999999999</v>
          </cell>
          <cell r="O428">
            <v>15228.07</v>
          </cell>
          <cell r="P428">
            <v>17581.739999999998</v>
          </cell>
          <cell r="Q428">
            <v>301262.18000000005</v>
          </cell>
        </row>
        <row r="430">
          <cell r="A430" t="str">
            <v>Disposal of Assets and Operations</v>
          </cell>
        </row>
        <row r="431">
          <cell r="A431">
            <v>72000</v>
          </cell>
          <cell r="B431" t="str">
            <v>Gain/Loss on Disposal of Operations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</row>
        <row r="432">
          <cell r="A432">
            <v>91010</v>
          </cell>
          <cell r="B432" t="str">
            <v>Gain/Loss on Sale of Asset</v>
          </cell>
          <cell r="E432">
            <v>0</v>
          </cell>
          <cell r="F432">
            <v>0</v>
          </cell>
          <cell r="G432">
            <v>0</v>
          </cell>
          <cell r="H432">
            <v>1319.45</v>
          </cell>
          <cell r="I432">
            <v>0</v>
          </cell>
          <cell r="J432">
            <v>24949.35</v>
          </cell>
          <cell r="K432">
            <v>-33354.22</v>
          </cell>
          <cell r="L432">
            <v>-3080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-10165.420000000002</v>
          </cell>
        </row>
        <row r="433">
          <cell r="A433" t="str">
            <v>Total Disposal of Assets and Operations</v>
          </cell>
          <cell r="E433">
            <v>0</v>
          </cell>
          <cell r="F433">
            <v>0</v>
          </cell>
          <cell r="G433">
            <v>0</v>
          </cell>
          <cell r="H433">
            <v>1319.45</v>
          </cell>
          <cell r="I433">
            <v>0</v>
          </cell>
          <cell r="J433">
            <v>24949.35</v>
          </cell>
          <cell r="K433">
            <v>-33354.22</v>
          </cell>
          <cell r="L433">
            <v>-3080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-10165.420000000002</v>
          </cell>
        </row>
        <row r="435">
          <cell r="A435" t="str">
            <v>Total Operating Costs</v>
          </cell>
          <cell r="E435">
            <v>691108.55</v>
          </cell>
          <cell r="F435">
            <v>591691.37000000011</v>
          </cell>
          <cell r="G435">
            <v>679572.21999999986</v>
          </cell>
          <cell r="H435">
            <v>649398.42000000004</v>
          </cell>
          <cell r="I435">
            <v>715012.80999999994</v>
          </cell>
          <cell r="J435">
            <v>823534.92999999993</v>
          </cell>
          <cell r="K435">
            <v>725146.60999999987</v>
          </cell>
          <cell r="L435">
            <v>671623.93</v>
          </cell>
          <cell r="M435">
            <v>721331.92999999993</v>
          </cell>
          <cell r="N435">
            <v>675314.14999999991</v>
          </cell>
          <cell r="O435">
            <v>713873.94</v>
          </cell>
          <cell r="P435">
            <v>696947.79999999981</v>
          </cell>
          <cell r="Q435">
            <v>8354556.6600000001</v>
          </cell>
        </row>
        <row r="437">
          <cell r="A437" t="str">
            <v>Gross Profit</v>
          </cell>
          <cell r="E437">
            <v>958596.29999999981</v>
          </cell>
          <cell r="F437">
            <v>1078399.0499999998</v>
          </cell>
          <cell r="G437">
            <v>980681.78999999992</v>
          </cell>
          <cell r="H437">
            <v>1060013.06</v>
          </cell>
          <cell r="I437">
            <v>998324.67999999935</v>
          </cell>
          <cell r="J437">
            <v>884006.14000000036</v>
          </cell>
          <cell r="K437">
            <v>999176.6099999994</v>
          </cell>
          <cell r="L437">
            <v>1029352.5499999995</v>
          </cell>
          <cell r="M437">
            <v>1005221.45</v>
          </cell>
          <cell r="N437">
            <v>1062170.0200000005</v>
          </cell>
          <cell r="O437">
            <v>1010676.3699999996</v>
          </cell>
          <cell r="P437">
            <v>1011952.0500000003</v>
          </cell>
          <cell r="Q437">
            <v>12078570.07</v>
          </cell>
        </row>
        <row r="439">
          <cell r="A439" t="str">
            <v>SG&amp;A</v>
          </cell>
        </row>
        <row r="440">
          <cell r="A440" t="str">
            <v>Sales</v>
          </cell>
        </row>
        <row r="441">
          <cell r="A441">
            <v>60010</v>
          </cell>
          <cell r="B441" t="str">
            <v>Salaries</v>
          </cell>
          <cell r="E441">
            <v>0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</row>
        <row r="442">
          <cell r="A442">
            <v>60020</v>
          </cell>
          <cell r="B442" t="str">
            <v>Wages Regular</v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</row>
        <row r="443">
          <cell r="A443">
            <v>60025</v>
          </cell>
          <cell r="B443" t="str">
            <v>Wages O.T.</v>
          </cell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</row>
        <row r="444">
          <cell r="A444">
            <v>60030</v>
          </cell>
          <cell r="B444" t="str">
            <v>Bonuses and Commissions</v>
          </cell>
          <cell r="E444">
            <v>0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</row>
        <row r="445">
          <cell r="A445">
            <v>60035</v>
          </cell>
          <cell r="B445" t="str">
            <v>Safety Bonuses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</row>
        <row r="446">
          <cell r="A446">
            <v>60037</v>
          </cell>
          <cell r="B446" t="str">
            <v>Termination Pay</v>
          </cell>
          <cell r="E446">
            <v>0</v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  <cell r="Q446">
            <v>0</v>
          </cell>
        </row>
        <row r="447">
          <cell r="A447">
            <v>60045</v>
          </cell>
          <cell r="B447" t="str">
            <v>Contract Labor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</row>
        <row r="448">
          <cell r="A448">
            <v>60050</v>
          </cell>
          <cell r="B448" t="str">
            <v>Payroll Taxes</v>
          </cell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</row>
        <row r="449">
          <cell r="A449">
            <v>60060</v>
          </cell>
          <cell r="B449" t="str">
            <v>Group Insurance</v>
          </cell>
          <cell r="E449">
            <v>0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</row>
        <row r="450">
          <cell r="A450">
            <v>60065</v>
          </cell>
          <cell r="B450" t="str">
            <v>Vacation Pay</v>
          </cell>
          <cell r="E450">
            <v>0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8.23</v>
          </cell>
          <cell r="M450">
            <v>-8.23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</row>
        <row r="451">
          <cell r="A451">
            <v>60070</v>
          </cell>
          <cell r="B451" t="str">
            <v>Sick Pay</v>
          </cell>
          <cell r="E451">
            <v>0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</row>
        <row r="452">
          <cell r="A452">
            <v>60086</v>
          </cell>
          <cell r="B452" t="str">
            <v>Safety and Training</v>
          </cell>
          <cell r="E452">
            <v>0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</row>
        <row r="453">
          <cell r="A453">
            <v>60095</v>
          </cell>
          <cell r="B453" t="str">
            <v>Empl &amp; Commun Activ</v>
          </cell>
          <cell r="E453">
            <v>0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</row>
        <row r="454">
          <cell r="A454">
            <v>60105</v>
          </cell>
          <cell r="B454" t="str">
            <v>Employee Relocation</v>
          </cell>
          <cell r="E454">
            <v>0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</row>
        <row r="455">
          <cell r="A455">
            <v>60115</v>
          </cell>
          <cell r="B455" t="str">
            <v>School Tuition</v>
          </cell>
          <cell r="E455">
            <v>0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</row>
        <row r="456">
          <cell r="A456">
            <v>60116</v>
          </cell>
          <cell r="B456" t="str">
            <v>Pension and Profit Sharing</v>
          </cell>
          <cell r="E456">
            <v>0</v>
          </cell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</row>
        <row r="457">
          <cell r="A457">
            <v>60117</v>
          </cell>
          <cell r="B457" t="str">
            <v>Union Pension</v>
          </cell>
          <cell r="E457">
            <v>0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</row>
        <row r="458">
          <cell r="A458">
            <v>60148</v>
          </cell>
          <cell r="B458" t="str">
            <v>Allocated Exp In - District</v>
          </cell>
          <cell r="E458">
            <v>2300</v>
          </cell>
          <cell r="F458">
            <v>2448</v>
          </cell>
          <cell r="G458">
            <v>2391</v>
          </cell>
          <cell r="H458">
            <v>2584.5</v>
          </cell>
          <cell r="I458">
            <v>2565</v>
          </cell>
          <cell r="J458">
            <v>3535</v>
          </cell>
          <cell r="K458">
            <v>2899</v>
          </cell>
          <cell r="L458">
            <v>2443</v>
          </cell>
          <cell r="M458">
            <v>1800</v>
          </cell>
          <cell r="N458">
            <v>2326</v>
          </cell>
          <cell r="O458">
            <v>2339</v>
          </cell>
          <cell r="P458">
            <v>0</v>
          </cell>
          <cell r="Q458">
            <v>27630.5</v>
          </cell>
        </row>
        <row r="459">
          <cell r="A459">
            <v>60149</v>
          </cell>
          <cell r="B459" t="str">
            <v>Allocated Exp In Out - District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</row>
        <row r="460">
          <cell r="A460">
            <v>60165</v>
          </cell>
          <cell r="B460" t="str">
            <v>Communications</v>
          </cell>
          <cell r="E460">
            <v>0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</row>
        <row r="461">
          <cell r="A461">
            <v>60170</v>
          </cell>
          <cell r="B461" t="str">
            <v>Real Estate Rentals</v>
          </cell>
          <cell r="E461">
            <v>0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</row>
        <row r="462">
          <cell r="A462">
            <v>60175</v>
          </cell>
          <cell r="B462" t="str">
            <v>Equip/Vehicle Rental</v>
          </cell>
          <cell r="E462">
            <v>0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</row>
        <row r="463">
          <cell r="A463">
            <v>60185</v>
          </cell>
          <cell r="B463" t="str">
            <v>Postage</v>
          </cell>
          <cell r="E463">
            <v>198.54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198.54</v>
          </cell>
        </row>
        <row r="464">
          <cell r="A464">
            <v>60195</v>
          </cell>
          <cell r="B464" t="str">
            <v>Dues and Subscriptions</v>
          </cell>
          <cell r="E464">
            <v>0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</row>
        <row r="465">
          <cell r="A465">
            <v>60196</v>
          </cell>
          <cell r="B465" t="str">
            <v>Club Dues</v>
          </cell>
          <cell r="E465">
            <v>0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</row>
        <row r="466">
          <cell r="A466">
            <v>60200</v>
          </cell>
          <cell r="B466" t="str">
            <v>Travel</v>
          </cell>
          <cell r="E466">
            <v>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</row>
        <row r="467">
          <cell r="A467">
            <v>60201</v>
          </cell>
          <cell r="B467" t="str">
            <v>Entertainment</v>
          </cell>
          <cell r="E467">
            <v>0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</row>
        <row r="468">
          <cell r="A468">
            <v>60205</v>
          </cell>
          <cell r="B468" t="str">
            <v>Travel - Auto</v>
          </cell>
          <cell r="E468">
            <v>0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58.5</v>
          </cell>
          <cell r="L468">
            <v>177.74</v>
          </cell>
          <cell r="M468">
            <v>-77.739999999999995</v>
          </cell>
          <cell r="N468">
            <v>0</v>
          </cell>
          <cell r="O468">
            <v>75.52</v>
          </cell>
          <cell r="P468">
            <v>23.74</v>
          </cell>
          <cell r="Q468">
            <v>257.76</v>
          </cell>
        </row>
        <row r="469">
          <cell r="A469">
            <v>60210</v>
          </cell>
          <cell r="B469" t="str">
            <v>Office Supplies and Equip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</row>
        <row r="470">
          <cell r="A470">
            <v>60225</v>
          </cell>
          <cell r="B470" t="str">
            <v>Advertising and Promotions</v>
          </cell>
          <cell r="E470">
            <v>12977.33</v>
          </cell>
          <cell r="F470">
            <v>949.64</v>
          </cell>
          <cell r="G470">
            <v>5900.84</v>
          </cell>
          <cell r="H470">
            <v>4161.1099999999997</v>
          </cell>
          <cell r="I470">
            <v>3165.78</v>
          </cell>
          <cell r="J470">
            <v>4520.0600000000004</v>
          </cell>
          <cell r="K470">
            <v>1806.35</v>
          </cell>
          <cell r="L470">
            <v>955.59</v>
          </cell>
          <cell r="M470">
            <v>28827.18</v>
          </cell>
          <cell r="N470">
            <v>25999.119999999999</v>
          </cell>
          <cell r="O470">
            <v>1245.2</v>
          </cell>
          <cell r="P470">
            <v>38523.21</v>
          </cell>
          <cell r="Q470">
            <v>129031.41</v>
          </cell>
        </row>
        <row r="471">
          <cell r="A471">
            <v>60234</v>
          </cell>
          <cell r="B471" t="str">
            <v>O/S Sales Exp</v>
          </cell>
          <cell r="E471">
            <v>0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</row>
        <row r="472">
          <cell r="A472">
            <v>60255</v>
          </cell>
          <cell r="B472" t="str">
            <v>Other Prof Fees</v>
          </cell>
          <cell r="E472">
            <v>0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</row>
        <row r="473">
          <cell r="A473">
            <v>60326</v>
          </cell>
          <cell r="B473" t="str">
            <v>Deduct - Current Yr</v>
          </cell>
          <cell r="E473">
            <v>0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</row>
        <row r="474">
          <cell r="A474">
            <v>60327</v>
          </cell>
          <cell r="B474" t="str">
            <v>Deduct - Damage</v>
          </cell>
          <cell r="E474">
            <v>0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</row>
        <row r="475">
          <cell r="A475">
            <v>60328</v>
          </cell>
          <cell r="B475" t="str">
            <v>Claim Recoveries</v>
          </cell>
          <cell r="E475">
            <v>0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</row>
        <row r="476">
          <cell r="A476">
            <v>60330</v>
          </cell>
          <cell r="B476" t="str">
            <v>Deduct Prior Year</v>
          </cell>
          <cell r="E476">
            <v>0</v>
          </cell>
          <cell r="F476">
            <v>0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</row>
        <row r="477">
          <cell r="A477">
            <v>60335</v>
          </cell>
          <cell r="B477" t="str">
            <v>Miscellaneous</v>
          </cell>
          <cell r="E477">
            <v>0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</row>
        <row r="478">
          <cell r="A478">
            <v>60998</v>
          </cell>
          <cell r="B478" t="str">
            <v>Allocation Out - District</v>
          </cell>
          <cell r="E478">
            <v>0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</row>
        <row r="479">
          <cell r="A479">
            <v>60999</v>
          </cell>
          <cell r="B479" t="str">
            <v>Allocation Out - Out District</v>
          </cell>
          <cell r="E479">
            <v>0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</row>
        <row r="480">
          <cell r="A480" t="str">
            <v>Total Sales</v>
          </cell>
          <cell r="E480">
            <v>15475.869999999999</v>
          </cell>
          <cell r="F480">
            <v>3397.64</v>
          </cell>
          <cell r="G480">
            <v>8291.84</v>
          </cell>
          <cell r="H480">
            <v>6745.61</v>
          </cell>
          <cell r="I480">
            <v>5730.7800000000007</v>
          </cell>
          <cell r="J480">
            <v>8055.06</v>
          </cell>
          <cell r="K480">
            <v>4763.8500000000004</v>
          </cell>
          <cell r="L480">
            <v>3584.5600000000004</v>
          </cell>
          <cell r="M480">
            <v>30541.21</v>
          </cell>
          <cell r="N480">
            <v>28325.119999999999</v>
          </cell>
          <cell r="O480">
            <v>3659.7200000000003</v>
          </cell>
          <cell r="P480">
            <v>38546.949999999997</v>
          </cell>
          <cell r="Q480">
            <v>157118.21</v>
          </cell>
        </row>
        <row r="482">
          <cell r="A482" t="str">
            <v>G&amp;A</v>
          </cell>
        </row>
        <row r="483">
          <cell r="A483">
            <v>70010</v>
          </cell>
          <cell r="B483" t="str">
            <v>Salaries</v>
          </cell>
          <cell r="E483">
            <v>31950.25</v>
          </cell>
          <cell r="F483">
            <v>29217.37</v>
          </cell>
          <cell r="G483">
            <v>34993.21</v>
          </cell>
          <cell r="H483">
            <v>32805.65</v>
          </cell>
          <cell r="I483">
            <v>33117.839999999997</v>
          </cell>
          <cell r="J483">
            <v>36102.11</v>
          </cell>
          <cell r="K483">
            <v>36862.230000000003</v>
          </cell>
          <cell r="L483">
            <v>32246.880000000001</v>
          </cell>
          <cell r="M483">
            <v>35474.660000000003</v>
          </cell>
          <cell r="N483">
            <v>34757.17</v>
          </cell>
          <cell r="O483">
            <v>34601.15</v>
          </cell>
          <cell r="P483">
            <v>36751.879999999997</v>
          </cell>
          <cell r="Q483">
            <v>408880.39999999997</v>
          </cell>
        </row>
        <row r="484">
          <cell r="A484">
            <v>70015</v>
          </cell>
          <cell r="B484" t="str">
            <v>Deferred Comp Earnings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</row>
        <row r="485">
          <cell r="A485">
            <v>70020</v>
          </cell>
          <cell r="B485" t="str">
            <v>Wages Regular</v>
          </cell>
          <cell r="E485">
            <v>39238.25</v>
          </cell>
          <cell r="F485">
            <v>41055.800000000003</v>
          </cell>
          <cell r="G485">
            <v>43441.67</v>
          </cell>
          <cell r="H485">
            <v>43159.68</v>
          </cell>
          <cell r="I485">
            <v>40707.99</v>
          </cell>
          <cell r="J485">
            <v>44340.75</v>
          </cell>
          <cell r="K485">
            <v>44034.15</v>
          </cell>
          <cell r="L485">
            <v>37123.65</v>
          </cell>
          <cell r="M485">
            <v>40606.129999999997</v>
          </cell>
          <cell r="N485">
            <v>42194.06</v>
          </cell>
          <cell r="O485">
            <v>45471.69</v>
          </cell>
          <cell r="P485">
            <v>48949.11</v>
          </cell>
          <cell r="Q485">
            <v>510322.93</v>
          </cell>
        </row>
        <row r="486">
          <cell r="A486">
            <v>70025</v>
          </cell>
          <cell r="B486" t="str">
            <v>Wages O.T.</v>
          </cell>
          <cell r="E486">
            <v>2096.58</v>
          </cell>
          <cell r="F486">
            <v>2256.92</v>
          </cell>
          <cell r="G486">
            <v>520.88</v>
          </cell>
          <cell r="H486">
            <v>1862.34</v>
          </cell>
          <cell r="I486">
            <v>3126.98</v>
          </cell>
          <cell r="J486">
            <v>1540.45</v>
          </cell>
          <cell r="K486">
            <v>2442.46</v>
          </cell>
          <cell r="L486">
            <v>2985.84</v>
          </cell>
          <cell r="M486">
            <v>1455.97</v>
          </cell>
          <cell r="N486">
            <v>1845.98</v>
          </cell>
          <cell r="O486">
            <v>2373.81</v>
          </cell>
          <cell r="P486">
            <v>1626.79</v>
          </cell>
          <cell r="Q486">
            <v>24135.000000000004</v>
          </cell>
        </row>
        <row r="487">
          <cell r="A487">
            <v>70030</v>
          </cell>
          <cell r="B487" t="str">
            <v>Corp Allocated Bonus</v>
          </cell>
          <cell r="E487">
            <v>0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</row>
        <row r="488">
          <cell r="A488">
            <v>70035</v>
          </cell>
          <cell r="B488" t="str">
            <v>Safety Bonuses</v>
          </cell>
          <cell r="E488">
            <v>0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</row>
        <row r="489">
          <cell r="A489">
            <v>70036</v>
          </cell>
          <cell r="B489" t="str">
            <v>Other Bonus/Commission - Non-Safety</v>
          </cell>
          <cell r="E489">
            <v>4809.7700000000004</v>
          </cell>
          <cell r="F489">
            <v>2140.23</v>
          </cell>
          <cell r="G489">
            <v>5107.6499999999996</v>
          </cell>
          <cell r="H489">
            <v>4226.5600000000004</v>
          </cell>
          <cell r="I489">
            <v>1425.85</v>
          </cell>
          <cell r="J489">
            <v>387.84</v>
          </cell>
          <cell r="K489">
            <v>100</v>
          </cell>
          <cell r="L489">
            <v>3426.61</v>
          </cell>
          <cell r="M489">
            <v>665.4</v>
          </cell>
          <cell r="N489">
            <v>-1015.84</v>
          </cell>
          <cell r="O489">
            <v>581.19000000000005</v>
          </cell>
          <cell r="P489">
            <v>5025.8500000000004</v>
          </cell>
          <cell r="Q489">
            <v>26881.11</v>
          </cell>
        </row>
        <row r="490">
          <cell r="A490">
            <v>70037</v>
          </cell>
          <cell r="B490" t="str">
            <v>Termination Pay</v>
          </cell>
          <cell r="E490">
            <v>0</v>
          </cell>
          <cell r="F490">
            <v>0</v>
          </cell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</row>
        <row r="491">
          <cell r="A491">
            <v>70045</v>
          </cell>
          <cell r="B491" t="str">
            <v>Contract Labor</v>
          </cell>
          <cell r="E491">
            <v>6680.67</v>
          </cell>
          <cell r="F491">
            <v>232.03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L491">
            <v>10440.92</v>
          </cell>
          <cell r="M491">
            <v>7401.37</v>
          </cell>
          <cell r="N491">
            <v>14152.75</v>
          </cell>
          <cell r="O491">
            <v>1820.49</v>
          </cell>
          <cell r="P491">
            <v>6453.68</v>
          </cell>
          <cell r="Q491">
            <v>47181.909999999996</v>
          </cell>
        </row>
        <row r="492">
          <cell r="A492">
            <v>70050</v>
          </cell>
          <cell r="B492" t="str">
            <v>Payroll Taxes</v>
          </cell>
          <cell r="E492">
            <v>9179.65</v>
          </cell>
          <cell r="F492">
            <v>6291.4</v>
          </cell>
          <cell r="G492">
            <v>7661.43</v>
          </cell>
          <cell r="H492">
            <v>6697.51</v>
          </cell>
          <cell r="I492">
            <v>6629.71</v>
          </cell>
          <cell r="J492">
            <v>7324.51</v>
          </cell>
          <cell r="K492">
            <v>5887.85</v>
          </cell>
          <cell r="L492">
            <v>5608.72</v>
          </cell>
          <cell r="M492">
            <v>5768.98</v>
          </cell>
          <cell r="N492">
            <v>5999.27</v>
          </cell>
          <cell r="O492">
            <v>6190.7</v>
          </cell>
          <cell r="P492">
            <v>6776.28</v>
          </cell>
          <cell r="Q492">
            <v>80016.009999999995</v>
          </cell>
        </row>
        <row r="493">
          <cell r="A493">
            <v>70060</v>
          </cell>
          <cell r="B493" t="str">
            <v>Group Insurance</v>
          </cell>
          <cell r="E493">
            <v>10365.61</v>
          </cell>
          <cell r="F493">
            <v>10230.65</v>
          </cell>
          <cell r="G493">
            <v>8851.43</v>
          </cell>
          <cell r="H493">
            <v>12049.32</v>
          </cell>
          <cell r="I493">
            <v>9943.51</v>
          </cell>
          <cell r="J493">
            <v>9742.43</v>
          </cell>
          <cell r="K493">
            <v>9734.74</v>
          </cell>
          <cell r="L493">
            <v>9561.06</v>
          </cell>
          <cell r="M493">
            <v>8494.4699999999993</v>
          </cell>
          <cell r="N493">
            <v>11177.83</v>
          </cell>
          <cell r="O493">
            <v>11411.65</v>
          </cell>
          <cell r="P493">
            <v>11731.69</v>
          </cell>
          <cell r="Q493">
            <v>123294.39</v>
          </cell>
        </row>
        <row r="494">
          <cell r="A494">
            <v>70065</v>
          </cell>
          <cell r="B494" t="str">
            <v>Vacation Pay</v>
          </cell>
          <cell r="E494">
            <v>5445.15</v>
          </cell>
          <cell r="F494">
            <v>2867.53</v>
          </cell>
          <cell r="G494">
            <v>2000.31</v>
          </cell>
          <cell r="H494">
            <v>3981.39</v>
          </cell>
          <cell r="I494">
            <v>4870.18</v>
          </cell>
          <cell r="J494">
            <v>3114.5</v>
          </cell>
          <cell r="K494">
            <v>4765.6099999999997</v>
          </cell>
          <cell r="L494">
            <v>2058.0100000000002</v>
          </cell>
          <cell r="M494">
            <v>3147.12</v>
          </cell>
          <cell r="N494">
            <v>4048.56</v>
          </cell>
          <cell r="O494">
            <v>2256.75</v>
          </cell>
          <cell r="P494">
            <v>3468.68</v>
          </cell>
          <cell r="Q494">
            <v>42023.79</v>
          </cell>
        </row>
        <row r="495">
          <cell r="A495">
            <v>70070</v>
          </cell>
          <cell r="B495" t="str">
            <v>Sick Pay</v>
          </cell>
          <cell r="E495">
            <v>334.55</v>
          </cell>
          <cell r="F495">
            <v>550.89</v>
          </cell>
          <cell r="G495">
            <v>1270.23</v>
          </cell>
          <cell r="H495">
            <v>745.77</v>
          </cell>
          <cell r="I495">
            <v>1246.57</v>
          </cell>
          <cell r="J495">
            <v>334.08</v>
          </cell>
          <cell r="K495">
            <v>365.29</v>
          </cell>
          <cell r="L495">
            <v>1258.6099999999999</v>
          </cell>
          <cell r="M495">
            <v>594.48</v>
          </cell>
          <cell r="N495">
            <v>799.28</v>
          </cell>
          <cell r="O495">
            <v>359.64</v>
          </cell>
          <cell r="P495">
            <v>428.72</v>
          </cell>
          <cell r="Q495">
            <v>8288.1099999999988</v>
          </cell>
        </row>
        <row r="496">
          <cell r="A496">
            <v>70086</v>
          </cell>
          <cell r="B496" t="str">
            <v>Safety and Training</v>
          </cell>
          <cell r="E496">
            <v>307.08999999999997</v>
          </cell>
          <cell r="F496">
            <v>-262.68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146.11000000000001</v>
          </cell>
          <cell r="N496">
            <v>550</v>
          </cell>
          <cell r="O496">
            <v>70</v>
          </cell>
          <cell r="P496">
            <v>2091.2399999999998</v>
          </cell>
          <cell r="Q496">
            <v>2901.7599999999998</v>
          </cell>
        </row>
        <row r="497">
          <cell r="A497">
            <v>70090</v>
          </cell>
          <cell r="B497" t="str">
            <v>WCN Training</v>
          </cell>
          <cell r="E497">
            <v>0</v>
          </cell>
          <cell r="F497">
            <v>912.78</v>
          </cell>
          <cell r="G497">
            <v>0</v>
          </cell>
          <cell r="H497">
            <v>0</v>
          </cell>
          <cell r="I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  <cell r="Q497">
            <v>912.78</v>
          </cell>
        </row>
        <row r="498">
          <cell r="A498">
            <v>70095</v>
          </cell>
          <cell r="B498" t="str">
            <v>Empl &amp; Commun Activ</v>
          </cell>
          <cell r="E498">
            <v>14055.36</v>
          </cell>
          <cell r="F498">
            <v>3129.49</v>
          </cell>
          <cell r="G498">
            <v>-8366.42</v>
          </cell>
          <cell r="H498">
            <v>1482.03</v>
          </cell>
          <cell r="I498">
            <v>4740.3999999999996</v>
          </cell>
          <cell r="J498">
            <v>5688.11</v>
          </cell>
          <cell r="K498">
            <v>11283.12</v>
          </cell>
          <cell r="L498">
            <v>21266.09</v>
          </cell>
          <cell r="M498">
            <v>1553.42</v>
          </cell>
          <cell r="N498">
            <v>3453.38</v>
          </cell>
          <cell r="O498">
            <v>4558.05</v>
          </cell>
          <cell r="P498">
            <v>3947.63</v>
          </cell>
          <cell r="Q498">
            <v>66790.659999999989</v>
          </cell>
        </row>
        <row r="499">
          <cell r="A499">
            <v>70105</v>
          </cell>
          <cell r="B499" t="str">
            <v>Employee Relocation</v>
          </cell>
          <cell r="E499">
            <v>0</v>
          </cell>
          <cell r="F499">
            <v>0</v>
          </cell>
          <cell r="G499">
            <v>0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</row>
        <row r="500">
          <cell r="A500">
            <v>70107</v>
          </cell>
          <cell r="B500" t="str">
            <v>Housing Subsidy</v>
          </cell>
          <cell r="E500">
            <v>0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</row>
        <row r="501">
          <cell r="A501">
            <v>70108</v>
          </cell>
          <cell r="B501" t="str">
            <v>School Tuition</v>
          </cell>
          <cell r="E501">
            <v>0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</row>
        <row r="502">
          <cell r="A502">
            <v>70110</v>
          </cell>
          <cell r="B502" t="str">
            <v>Contributions</v>
          </cell>
          <cell r="E502">
            <v>937.5</v>
          </cell>
          <cell r="F502">
            <v>-1250</v>
          </cell>
          <cell r="G502">
            <v>500</v>
          </cell>
          <cell r="H502">
            <v>2250</v>
          </cell>
          <cell r="I502">
            <v>250</v>
          </cell>
          <cell r="J502">
            <v>500</v>
          </cell>
          <cell r="K502">
            <v>1191.54</v>
          </cell>
          <cell r="L502">
            <v>500</v>
          </cell>
          <cell r="M502">
            <v>0</v>
          </cell>
          <cell r="N502">
            <v>0</v>
          </cell>
          <cell r="O502">
            <v>500</v>
          </cell>
          <cell r="P502">
            <v>0</v>
          </cell>
          <cell r="Q502">
            <v>5379.04</v>
          </cell>
        </row>
        <row r="503">
          <cell r="A503">
            <v>70111</v>
          </cell>
          <cell r="B503" t="str">
            <v>Non Cash Charitable</v>
          </cell>
          <cell r="E503">
            <v>0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</row>
        <row r="504">
          <cell r="A504">
            <v>70112</v>
          </cell>
          <cell r="B504" t="str">
            <v>Political Contributions</v>
          </cell>
          <cell r="E504">
            <v>0</v>
          </cell>
          <cell r="F504">
            <v>0</v>
          </cell>
          <cell r="G504">
            <v>0</v>
          </cell>
          <cell r="H504">
            <v>1250</v>
          </cell>
          <cell r="I504">
            <v>0</v>
          </cell>
          <cell r="J504">
            <v>0</v>
          </cell>
          <cell r="K504">
            <v>1250</v>
          </cell>
          <cell r="L504">
            <v>0</v>
          </cell>
          <cell r="M504">
            <v>500</v>
          </cell>
          <cell r="N504">
            <v>250</v>
          </cell>
          <cell r="O504">
            <v>0</v>
          </cell>
          <cell r="P504">
            <v>0</v>
          </cell>
          <cell r="Q504">
            <v>3250</v>
          </cell>
        </row>
        <row r="505">
          <cell r="A505">
            <v>70116</v>
          </cell>
          <cell r="B505" t="str">
            <v>Pension and Profit Sharing</v>
          </cell>
          <cell r="E505">
            <v>991.8</v>
          </cell>
          <cell r="F505">
            <v>1061.8</v>
          </cell>
          <cell r="G505">
            <v>1561.6</v>
          </cell>
          <cell r="H505">
            <v>1001.55</v>
          </cell>
          <cell r="I505">
            <v>1064.48</v>
          </cell>
          <cell r="J505">
            <v>880.04</v>
          </cell>
          <cell r="K505">
            <v>837.46</v>
          </cell>
          <cell r="L505">
            <v>818.44</v>
          </cell>
          <cell r="M505">
            <v>814.08</v>
          </cell>
          <cell r="N505">
            <v>1291.5999999999999</v>
          </cell>
          <cell r="O505">
            <v>832.75</v>
          </cell>
          <cell r="P505">
            <v>978.78</v>
          </cell>
          <cell r="Q505">
            <v>12134.380000000001</v>
          </cell>
        </row>
        <row r="506">
          <cell r="A506">
            <v>70117</v>
          </cell>
          <cell r="B506" t="str">
            <v>Union Pension</v>
          </cell>
          <cell r="E506">
            <v>0</v>
          </cell>
          <cell r="F506">
            <v>0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</row>
        <row r="507">
          <cell r="A507">
            <v>70142</v>
          </cell>
          <cell r="B507" t="str">
            <v>Fuel Expense</v>
          </cell>
          <cell r="E507">
            <v>0</v>
          </cell>
          <cell r="F507">
            <v>0</v>
          </cell>
          <cell r="G507">
            <v>0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</row>
        <row r="508">
          <cell r="A508">
            <v>70145</v>
          </cell>
          <cell r="B508" t="str">
            <v>Outside Repairs</v>
          </cell>
          <cell r="E508">
            <v>0</v>
          </cell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</row>
        <row r="509">
          <cell r="A509">
            <v>70147</v>
          </cell>
          <cell r="B509" t="str">
            <v>Bldg &amp; Property Maint</v>
          </cell>
          <cell r="E509">
            <v>0</v>
          </cell>
          <cell r="F509">
            <v>0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</row>
        <row r="510">
          <cell r="A510">
            <v>70148</v>
          </cell>
          <cell r="B510" t="str">
            <v>Allocated Exp In - District</v>
          </cell>
          <cell r="E510">
            <v>9455.33</v>
          </cell>
          <cell r="F510">
            <v>10366.76</v>
          </cell>
          <cell r="G510">
            <v>12777.28</v>
          </cell>
          <cell r="H510">
            <v>9429.9599999999991</v>
          </cell>
          <cell r="I510">
            <v>4111.67</v>
          </cell>
          <cell r="J510">
            <v>13752.97</v>
          </cell>
          <cell r="K510">
            <v>28825.42</v>
          </cell>
          <cell r="L510">
            <v>23366.78</v>
          </cell>
          <cell r="M510">
            <v>-1234.82</v>
          </cell>
          <cell r="N510">
            <v>8735.3799999999992</v>
          </cell>
          <cell r="O510">
            <v>11153.09</v>
          </cell>
          <cell r="P510">
            <v>9005.61</v>
          </cell>
          <cell r="Q510">
            <v>139745.43</v>
          </cell>
        </row>
        <row r="511">
          <cell r="A511">
            <v>70150</v>
          </cell>
          <cell r="B511" t="str">
            <v>Utilities</v>
          </cell>
          <cell r="E511">
            <v>1142.2</v>
          </cell>
          <cell r="F511">
            <v>1092.4000000000001</v>
          </cell>
          <cell r="G511">
            <v>1092.57</v>
          </cell>
          <cell r="H511">
            <v>1056.2</v>
          </cell>
          <cell r="I511">
            <v>971.23</v>
          </cell>
          <cell r="J511">
            <v>927.16</v>
          </cell>
          <cell r="K511">
            <v>0</v>
          </cell>
          <cell r="L511">
            <v>869.77</v>
          </cell>
          <cell r="M511">
            <v>868.91</v>
          </cell>
          <cell r="N511">
            <v>878.75</v>
          </cell>
          <cell r="O511">
            <v>973.97</v>
          </cell>
          <cell r="P511">
            <v>1678.97</v>
          </cell>
          <cell r="Q511">
            <v>11552.13</v>
          </cell>
        </row>
        <row r="512">
          <cell r="A512">
            <v>70165</v>
          </cell>
          <cell r="B512" t="str">
            <v>Communications</v>
          </cell>
          <cell r="E512">
            <v>1837.34</v>
          </cell>
          <cell r="F512">
            <v>1811.33</v>
          </cell>
          <cell r="G512">
            <v>2247.1</v>
          </cell>
          <cell r="H512">
            <v>1908.93</v>
          </cell>
          <cell r="I512">
            <v>2066.65</v>
          </cell>
          <cell r="J512">
            <v>2198.11</v>
          </cell>
          <cell r="K512">
            <v>2042.44</v>
          </cell>
          <cell r="L512">
            <v>2129.4</v>
          </cell>
          <cell r="M512">
            <v>2270.06</v>
          </cell>
          <cell r="N512">
            <v>2682.39</v>
          </cell>
          <cell r="O512">
            <v>1762.11</v>
          </cell>
          <cell r="P512">
            <v>2834.19</v>
          </cell>
          <cell r="Q512">
            <v>25790.05</v>
          </cell>
        </row>
        <row r="513">
          <cell r="A513">
            <v>70166</v>
          </cell>
          <cell r="B513" t="str">
            <v>Office Telephone</v>
          </cell>
          <cell r="E513">
            <v>0</v>
          </cell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</row>
        <row r="514">
          <cell r="A514">
            <v>70167</v>
          </cell>
          <cell r="B514" t="str">
            <v>Cellular Telephone</v>
          </cell>
          <cell r="E514">
            <v>156.94999999999999</v>
          </cell>
          <cell r="F514">
            <v>186.7</v>
          </cell>
          <cell r="G514">
            <v>355.41</v>
          </cell>
          <cell r="H514">
            <v>205.54</v>
          </cell>
          <cell r="I514">
            <v>168.04</v>
          </cell>
          <cell r="J514">
            <v>205.54</v>
          </cell>
          <cell r="K514">
            <v>356.92</v>
          </cell>
          <cell r="L514">
            <v>187.5</v>
          </cell>
          <cell r="M514">
            <v>75</v>
          </cell>
          <cell r="N514">
            <v>223.5</v>
          </cell>
          <cell r="O514">
            <v>226.5</v>
          </cell>
          <cell r="P514">
            <v>150</v>
          </cell>
          <cell r="Q514">
            <v>2497.6</v>
          </cell>
        </row>
        <row r="515">
          <cell r="A515">
            <v>70170</v>
          </cell>
          <cell r="B515" t="str">
            <v>Real Estate Rentals</v>
          </cell>
          <cell r="E515">
            <v>0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</row>
        <row r="516">
          <cell r="A516">
            <v>70175</v>
          </cell>
          <cell r="B516" t="str">
            <v>Equip/Vehicle Rental</v>
          </cell>
          <cell r="E516">
            <v>0</v>
          </cell>
          <cell r="F516">
            <v>0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</row>
        <row r="517">
          <cell r="A517">
            <v>70185</v>
          </cell>
          <cell r="B517" t="str">
            <v>Postage</v>
          </cell>
          <cell r="E517">
            <v>1663.37</v>
          </cell>
          <cell r="F517">
            <v>1464.26</v>
          </cell>
          <cell r="G517">
            <v>492.87</v>
          </cell>
          <cell r="H517">
            <v>1792.31</v>
          </cell>
          <cell r="I517">
            <v>1736.3</v>
          </cell>
          <cell r="J517">
            <v>1600.37</v>
          </cell>
          <cell r="K517">
            <v>417.65</v>
          </cell>
          <cell r="L517">
            <v>1589.73</v>
          </cell>
          <cell r="M517">
            <v>1686.05</v>
          </cell>
          <cell r="N517">
            <v>1653.87</v>
          </cell>
          <cell r="O517">
            <v>1642.82</v>
          </cell>
          <cell r="P517">
            <v>1641.55</v>
          </cell>
          <cell r="Q517">
            <v>17381.149999999998</v>
          </cell>
        </row>
        <row r="518">
          <cell r="A518">
            <v>70190</v>
          </cell>
          <cell r="B518" t="str">
            <v>Registration Fees</v>
          </cell>
          <cell r="E518">
            <v>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244</v>
          </cell>
          <cell r="K518">
            <v>-244</v>
          </cell>
          <cell r="L518">
            <v>0</v>
          </cell>
          <cell r="M518">
            <v>0</v>
          </cell>
          <cell r="N518">
            <v>450</v>
          </cell>
          <cell r="O518">
            <v>80</v>
          </cell>
          <cell r="P518">
            <v>5</v>
          </cell>
          <cell r="Q518">
            <v>535</v>
          </cell>
        </row>
        <row r="519">
          <cell r="A519">
            <v>70195</v>
          </cell>
          <cell r="B519" t="str">
            <v>Dues and Subscriptions</v>
          </cell>
          <cell r="E519">
            <v>734.67</v>
          </cell>
          <cell r="F519">
            <v>3500</v>
          </cell>
          <cell r="G519">
            <v>654.66999999999996</v>
          </cell>
          <cell r="H519">
            <v>3788.33</v>
          </cell>
          <cell r="I519">
            <v>831.17</v>
          </cell>
          <cell r="J519">
            <v>2522.33</v>
          </cell>
          <cell r="K519">
            <v>3255.67</v>
          </cell>
          <cell r="L519">
            <v>3419.03</v>
          </cell>
          <cell r="M519">
            <v>1208.23</v>
          </cell>
          <cell r="N519">
            <v>2099.1799999999998</v>
          </cell>
          <cell r="O519">
            <v>3420.89</v>
          </cell>
          <cell r="P519">
            <v>1716.89</v>
          </cell>
          <cell r="Q519">
            <v>27151.059999999998</v>
          </cell>
        </row>
        <row r="520">
          <cell r="A520">
            <v>70196</v>
          </cell>
          <cell r="B520" t="str">
            <v>Club Dues</v>
          </cell>
          <cell r="E520">
            <v>0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</row>
        <row r="521">
          <cell r="A521">
            <v>70200</v>
          </cell>
          <cell r="B521" t="str">
            <v>Travel</v>
          </cell>
          <cell r="E521">
            <v>225.54</v>
          </cell>
          <cell r="F521">
            <v>769.5</v>
          </cell>
          <cell r="G521">
            <v>907.05</v>
          </cell>
          <cell r="H521">
            <v>0</v>
          </cell>
          <cell r="I521">
            <v>627.9</v>
          </cell>
          <cell r="J521">
            <v>18.75</v>
          </cell>
          <cell r="K521">
            <v>51</v>
          </cell>
          <cell r="L521">
            <v>-46.5</v>
          </cell>
          <cell r="M521">
            <v>1021.88</v>
          </cell>
          <cell r="N521">
            <v>876</v>
          </cell>
          <cell r="O521">
            <v>92.25</v>
          </cell>
          <cell r="P521">
            <v>339.6</v>
          </cell>
          <cell r="Q521">
            <v>4882.97</v>
          </cell>
        </row>
        <row r="522">
          <cell r="A522">
            <v>70201</v>
          </cell>
          <cell r="B522" t="str">
            <v>Entertainment</v>
          </cell>
          <cell r="E522">
            <v>0</v>
          </cell>
          <cell r="F522">
            <v>23.53</v>
          </cell>
          <cell r="G522">
            <v>0</v>
          </cell>
          <cell r="H522">
            <v>321.41000000000003</v>
          </cell>
          <cell r="I522">
            <v>0</v>
          </cell>
          <cell r="J522">
            <v>341.1</v>
          </cell>
          <cell r="K522">
            <v>728.42</v>
          </cell>
          <cell r="L522">
            <v>-72.099999999999994</v>
          </cell>
          <cell r="M522">
            <v>0</v>
          </cell>
          <cell r="N522">
            <v>41.89</v>
          </cell>
          <cell r="O522">
            <v>0</v>
          </cell>
          <cell r="P522">
            <v>0</v>
          </cell>
          <cell r="Q522">
            <v>1384.2500000000002</v>
          </cell>
        </row>
        <row r="523">
          <cell r="A523">
            <v>70202</v>
          </cell>
          <cell r="B523" t="str">
            <v>Excursions Meetings</v>
          </cell>
          <cell r="E523">
            <v>300</v>
          </cell>
          <cell r="F523">
            <v>345.51</v>
          </cell>
          <cell r="G523">
            <v>0</v>
          </cell>
          <cell r="H523">
            <v>0</v>
          </cell>
          <cell r="I523">
            <v>485</v>
          </cell>
          <cell r="J523">
            <v>1248.75</v>
          </cell>
          <cell r="K523">
            <v>0</v>
          </cell>
          <cell r="L523">
            <v>288.39999999999998</v>
          </cell>
          <cell r="M523">
            <v>0</v>
          </cell>
          <cell r="N523">
            <v>0</v>
          </cell>
          <cell r="O523">
            <v>279</v>
          </cell>
          <cell r="P523">
            <v>0</v>
          </cell>
          <cell r="Q523">
            <v>2946.6600000000003</v>
          </cell>
        </row>
        <row r="524">
          <cell r="A524">
            <v>70203</v>
          </cell>
          <cell r="B524" t="str">
            <v>Lodging</v>
          </cell>
          <cell r="E524">
            <v>462.54</v>
          </cell>
          <cell r="F524">
            <v>0</v>
          </cell>
          <cell r="G524">
            <v>0</v>
          </cell>
          <cell r="H524">
            <v>653.4</v>
          </cell>
          <cell r="I524">
            <v>579</v>
          </cell>
          <cell r="J524">
            <v>0</v>
          </cell>
          <cell r="K524">
            <v>797.67</v>
          </cell>
          <cell r="L524">
            <v>618.57000000000005</v>
          </cell>
          <cell r="M524">
            <v>382.5</v>
          </cell>
          <cell r="N524">
            <v>140.19999999999999</v>
          </cell>
          <cell r="O524">
            <v>457.4</v>
          </cell>
          <cell r="P524">
            <v>1133.44</v>
          </cell>
          <cell r="Q524">
            <v>5224.72</v>
          </cell>
        </row>
        <row r="525">
          <cell r="A525">
            <v>70204</v>
          </cell>
          <cell r="B525" t="str">
            <v>Gifts to Customers</v>
          </cell>
          <cell r="E525">
            <v>0</v>
          </cell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  <cell r="Q525">
            <v>0</v>
          </cell>
        </row>
        <row r="526">
          <cell r="A526">
            <v>70205</v>
          </cell>
          <cell r="B526" t="str">
            <v>Travel - Auto</v>
          </cell>
          <cell r="E526">
            <v>592.16</v>
          </cell>
          <cell r="F526">
            <v>812.81</v>
          </cell>
          <cell r="G526">
            <v>372.79</v>
          </cell>
          <cell r="H526">
            <v>924.67</v>
          </cell>
          <cell r="I526">
            <v>591.26</v>
          </cell>
          <cell r="J526">
            <v>614.52</v>
          </cell>
          <cell r="K526">
            <v>370.59</v>
          </cell>
          <cell r="L526">
            <v>811.62</v>
          </cell>
          <cell r="M526">
            <v>291.60000000000002</v>
          </cell>
          <cell r="N526">
            <v>789.52</v>
          </cell>
          <cell r="O526">
            <v>730.2</v>
          </cell>
          <cell r="P526">
            <v>523.23</v>
          </cell>
          <cell r="Q526">
            <v>7424.9699999999993</v>
          </cell>
        </row>
        <row r="527">
          <cell r="A527">
            <v>70206</v>
          </cell>
          <cell r="B527" t="str">
            <v>Meals</v>
          </cell>
          <cell r="E527">
            <v>155.22</v>
          </cell>
          <cell r="F527">
            <v>199.8</v>
          </cell>
          <cell r="G527">
            <v>112.98</v>
          </cell>
          <cell r="H527">
            <v>115.92</v>
          </cell>
          <cell r="I527">
            <v>277.83</v>
          </cell>
          <cell r="J527">
            <v>270.38</v>
          </cell>
          <cell r="K527">
            <v>579.17999999999995</v>
          </cell>
          <cell r="L527">
            <v>-136.55000000000001</v>
          </cell>
          <cell r="M527">
            <v>50</v>
          </cell>
          <cell r="N527">
            <v>287</v>
          </cell>
          <cell r="O527">
            <v>150.02000000000001</v>
          </cell>
          <cell r="P527">
            <v>59.7</v>
          </cell>
          <cell r="Q527">
            <v>2121.48</v>
          </cell>
        </row>
        <row r="528">
          <cell r="A528">
            <v>70207</v>
          </cell>
          <cell r="B528" t="str">
            <v>Meals with Customers</v>
          </cell>
          <cell r="E528">
            <v>0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3.75</v>
          </cell>
          <cell r="O528">
            <v>0</v>
          </cell>
          <cell r="P528">
            <v>0</v>
          </cell>
          <cell r="Q528">
            <v>3.75</v>
          </cell>
        </row>
        <row r="529">
          <cell r="A529">
            <v>70209</v>
          </cell>
          <cell r="B529" t="str">
            <v>Photo Supplies</v>
          </cell>
          <cell r="E529">
            <v>0</v>
          </cell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</row>
        <row r="530">
          <cell r="A530">
            <v>70210</v>
          </cell>
          <cell r="B530" t="str">
            <v>Office Supplies and Equip</v>
          </cell>
          <cell r="E530">
            <v>7068.1</v>
          </cell>
          <cell r="F530">
            <v>6155.01</v>
          </cell>
          <cell r="G530">
            <v>3868.92</v>
          </cell>
          <cell r="H530">
            <v>3782.02</v>
          </cell>
          <cell r="I530">
            <v>2862.22</v>
          </cell>
          <cell r="J530">
            <v>4721.92</v>
          </cell>
          <cell r="K530">
            <v>5210.1099999999997</v>
          </cell>
          <cell r="L530">
            <v>4854.1400000000003</v>
          </cell>
          <cell r="M530">
            <v>4059.64</v>
          </cell>
          <cell r="N530">
            <v>7017.47</v>
          </cell>
          <cell r="O530">
            <v>1056.94</v>
          </cell>
          <cell r="P530">
            <v>7841.63</v>
          </cell>
          <cell r="Q530">
            <v>58498.12</v>
          </cell>
        </row>
        <row r="531">
          <cell r="A531">
            <v>70213</v>
          </cell>
          <cell r="B531" t="str">
            <v>P-Card Rebate</v>
          </cell>
          <cell r="E531">
            <v>0</v>
          </cell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</row>
        <row r="532">
          <cell r="A532">
            <v>70214</v>
          </cell>
          <cell r="B532" t="str">
            <v>Credit Card Fees</v>
          </cell>
          <cell r="E532">
            <v>7453.96</v>
          </cell>
          <cell r="F532">
            <v>8072.47</v>
          </cell>
          <cell r="G532">
            <v>8471.26</v>
          </cell>
          <cell r="H532">
            <v>7487.53</v>
          </cell>
          <cell r="I532">
            <v>7402.35</v>
          </cell>
          <cell r="J532">
            <v>8604.07</v>
          </cell>
          <cell r="K532">
            <v>8742.07</v>
          </cell>
          <cell r="L532">
            <v>9298.84</v>
          </cell>
          <cell r="M532">
            <v>9731.43</v>
          </cell>
          <cell r="N532">
            <v>9257.65</v>
          </cell>
          <cell r="O532">
            <v>10120.43</v>
          </cell>
          <cell r="P532">
            <v>9008.27</v>
          </cell>
          <cell r="Q532">
            <v>103650.33</v>
          </cell>
        </row>
        <row r="533">
          <cell r="A533">
            <v>70215</v>
          </cell>
          <cell r="B533" t="str">
            <v>Bank Charges</v>
          </cell>
          <cell r="E533">
            <v>520.58000000000004</v>
          </cell>
          <cell r="F533">
            <v>527.17999999999995</v>
          </cell>
          <cell r="G533">
            <v>539.19000000000005</v>
          </cell>
          <cell r="H533">
            <v>530.33000000000004</v>
          </cell>
          <cell r="I533">
            <v>471.57</v>
          </cell>
          <cell r="J533">
            <v>491.42</v>
          </cell>
          <cell r="K533">
            <v>465.31</v>
          </cell>
          <cell r="L533">
            <v>559.30999999999995</v>
          </cell>
          <cell r="M533">
            <v>476.99</v>
          </cell>
          <cell r="N533">
            <v>385.37</v>
          </cell>
          <cell r="O533">
            <v>367.56</v>
          </cell>
          <cell r="P533">
            <v>638.20000000000005</v>
          </cell>
          <cell r="Q533">
            <v>5973.01</v>
          </cell>
        </row>
        <row r="534">
          <cell r="A534">
            <v>70216</v>
          </cell>
          <cell r="B534" t="str">
            <v>Outside Storages</v>
          </cell>
          <cell r="E534">
            <v>0</v>
          </cell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</row>
        <row r="535">
          <cell r="A535">
            <v>70217</v>
          </cell>
          <cell r="B535" t="str">
            <v>Invoice Printing Costs</v>
          </cell>
          <cell r="E535">
            <v>0</v>
          </cell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</row>
        <row r="536">
          <cell r="A536">
            <v>70225</v>
          </cell>
          <cell r="B536" t="str">
            <v>Advertising and Promotions</v>
          </cell>
          <cell r="E536">
            <v>2100</v>
          </cell>
          <cell r="F536">
            <v>-679.79</v>
          </cell>
          <cell r="G536">
            <v>0</v>
          </cell>
          <cell r="H536">
            <v>31.64</v>
          </cell>
          <cell r="I536">
            <v>0</v>
          </cell>
          <cell r="J536">
            <v>0</v>
          </cell>
          <cell r="K536">
            <v>500</v>
          </cell>
          <cell r="L536">
            <v>710.94</v>
          </cell>
          <cell r="M536">
            <v>0</v>
          </cell>
          <cell r="N536">
            <v>3049.29</v>
          </cell>
          <cell r="O536">
            <v>5336.83</v>
          </cell>
          <cell r="P536">
            <v>0</v>
          </cell>
          <cell r="Q536">
            <v>11048.91</v>
          </cell>
        </row>
        <row r="537">
          <cell r="A537">
            <v>70230</v>
          </cell>
          <cell r="B537" t="str">
            <v>External Recruiter Fees</v>
          </cell>
          <cell r="E537">
            <v>0</v>
          </cell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</row>
        <row r="538">
          <cell r="A538">
            <v>70231</v>
          </cell>
          <cell r="B538" t="str">
            <v>Recruitment Advertising &amp; Expenses</v>
          </cell>
          <cell r="E538">
            <v>0</v>
          </cell>
          <cell r="F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25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  <cell r="Q538">
            <v>25</v>
          </cell>
        </row>
        <row r="539">
          <cell r="A539">
            <v>70232</v>
          </cell>
          <cell r="B539" t="str">
            <v>Recruitment Travel Expenses</v>
          </cell>
          <cell r="E539">
            <v>0</v>
          </cell>
          <cell r="F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</row>
        <row r="540">
          <cell r="A540">
            <v>70235</v>
          </cell>
          <cell r="B540" t="str">
            <v>Legal</v>
          </cell>
          <cell r="E540">
            <v>134.16</v>
          </cell>
          <cell r="F540">
            <v>0</v>
          </cell>
          <cell r="G540">
            <v>198.36</v>
          </cell>
          <cell r="H540">
            <v>3699.71</v>
          </cell>
          <cell r="I540">
            <v>1056.02</v>
          </cell>
          <cell r="J540">
            <v>682.19</v>
          </cell>
          <cell r="K540">
            <v>3008.78</v>
          </cell>
          <cell r="L540">
            <v>-2300.2800000000002</v>
          </cell>
          <cell r="M540">
            <v>3301.28</v>
          </cell>
          <cell r="N540">
            <v>0.2</v>
          </cell>
          <cell r="O540">
            <v>-0.2</v>
          </cell>
          <cell r="P540">
            <v>1207.32</v>
          </cell>
          <cell r="Q540">
            <v>10987.54</v>
          </cell>
        </row>
        <row r="541">
          <cell r="A541">
            <v>70240</v>
          </cell>
          <cell r="B541" t="str">
            <v>Accounting Professional Fees</v>
          </cell>
          <cell r="E541">
            <v>0</v>
          </cell>
          <cell r="F541">
            <v>0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</row>
        <row r="542">
          <cell r="A542">
            <v>70245</v>
          </cell>
          <cell r="B542" t="str">
            <v>Payroll Processing Fees</v>
          </cell>
          <cell r="E542">
            <v>324.20999999999998</v>
          </cell>
          <cell r="F542">
            <v>333.23</v>
          </cell>
          <cell r="G542">
            <v>333.23</v>
          </cell>
          <cell r="H542">
            <v>333.23</v>
          </cell>
          <cell r="I542">
            <v>333.23</v>
          </cell>
          <cell r="J542">
            <v>333.23</v>
          </cell>
          <cell r="K542">
            <v>333.23</v>
          </cell>
          <cell r="L542">
            <v>300.73</v>
          </cell>
          <cell r="M542">
            <v>300.73</v>
          </cell>
          <cell r="N542">
            <v>300.73</v>
          </cell>
          <cell r="O542">
            <v>300.86</v>
          </cell>
          <cell r="P542">
            <v>300.86</v>
          </cell>
          <cell r="Q542">
            <v>3827.5000000000005</v>
          </cell>
        </row>
        <row r="543">
          <cell r="A543">
            <v>70250</v>
          </cell>
          <cell r="B543" t="str">
            <v>Acquisition Cost Write Off</v>
          </cell>
          <cell r="E543">
            <v>0</v>
          </cell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  <cell r="Q543">
            <v>0</v>
          </cell>
        </row>
        <row r="544">
          <cell r="A544">
            <v>70254</v>
          </cell>
          <cell r="B544" t="str">
            <v>Corporate Capitalized Expenses</v>
          </cell>
          <cell r="E544">
            <v>0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</row>
        <row r="545">
          <cell r="A545">
            <v>70255</v>
          </cell>
          <cell r="B545" t="str">
            <v>Other Prof Fees</v>
          </cell>
          <cell r="E545">
            <v>0</v>
          </cell>
          <cell r="F545">
            <v>659.25</v>
          </cell>
          <cell r="G545">
            <v>168.64</v>
          </cell>
          <cell r="H545">
            <v>0</v>
          </cell>
          <cell r="I545">
            <v>900</v>
          </cell>
          <cell r="J545">
            <v>168.64</v>
          </cell>
          <cell r="K545">
            <v>-900</v>
          </cell>
          <cell r="L545">
            <v>0</v>
          </cell>
          <cell r="M545">
            <v>168.64</v>
          </cell>
          <cell r="N545">
            <v>0</v>
          </cell>
          <cell r="O545">
            <v>548.44000000000005</v>
          </cell>
          <cell r="P545">
            <v>243.29</v>
          </cell>
          <cell r="Q545">
            <v>1956.8999999999996</v>
          </cell>
        </row>
        <row r="546">
          <cell r="A546">
            <v>70271</v>
          </cell>
          <cell r="B546" t="str">
            <v>Property and Liability Insurance</v>
          </cell>
          <cell r="E546">
            <v>0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</row>
        <row r="547">
          <cell r="A547">
            <v>70272</v>
          </cell>
          <cell r="B547" t="str">
            <v>Keyman Life Insurance</v>
          </cell>
          <cell r="E547">
            <v>0</v>
          </cell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</row>
        <row r="548">
          <cell r="A548">
            <v>70273</v>
          </cell>
          <cell r="B548" t="str">
            <v>Directors and Officers Insurance</v>
          </cell>
          <cell r="E548">
            <v>0</v>
          </cell>
          <cell r="F548">
            <v>0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</row>
        <row r="549">
          <cell r="A549">
            <v>70275</v>
          </cell>
          <cell r="B549" t="str">
            <v>Property Taxes</v>
          </cell>
          <cell r="E549">
            <v>3633</v>
          </cell>
          <cell r="F549">
            <v>3633</v>
          </cell>
          <cell r="G549">
            <v>4280.66</v>
          </cell>
          <cell r="H549">
            <v>5100.2</v>
          </cell>
          <cell r="I549">
            <v>5100.2</v>
          </cell>
          <cell r="J549">
            <v>5100.2</v>
          </cell>
          <cell r="K549">
            <v>6353.54</v>
          </cell>
          <cell r="L549">
            <v>4787.74</v>
          </cell>
          <cell r="M549">
            <v>4507.07</v>
          </cell>
          <cell r="N549">
            <v>4985.55</v>
          </cell>
          <cell r="O549">
            <v>5021.75</v>
          </cell>
          <cell r="P549">
            <v>4949.34</v>
          </cell>
          <cell r="Q549">
            <v>57452.25</v>
          </cell>
        </row>
        <row r="550">
          <cell r="A550">
            <v>70280</v>
          </cell>
          <cell r="B550" t="str">
            <v>Other Taxes</v>
          </cell>
          <cell r="E550">
            <v>0</v>
          </cell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</row>
        <row r="551">
          <cell r="A551">
            <v>70300</v>
          </cell>
          <cell r="B551" t="str">
            <v>Data Processing</v>
          </cell>
          <cell r="E551">
            <v>3053.24</v>
          </cell>
          <cell r="F551">
            <v>27123.4</v>
          </cell>
          <cell r="G551">
            <v>1994.05</v>
          </cell>
          <cell r="H551">
            <v>25497.25</v>
          </cell>
          <cell r="I551">
            <v>4148.7299999999996</v>
          </cell>
          <cell r="J551">
            <v>12634.95</v>
          </cell>
          <cell r="K551">
            <v>2733.27</v>
          </cell>
          <cell r="L551">
            <v>28900.27</v>
          </cell>
          <cell r="M551">
            <v>2744.08</v>
          </cell>
          <cell r="N551">
            <v>23341.62</v>
          </cell>
          <cell r="O551">
            <v>2653.19</v>
          </cell>
          <cell r="P551">
            <v>25630.6</v>
          </cell>
          <cell r="Q551">
            <v>160454.65000000002</v>
          </cell>
        </row>
        <row r="552">
          <cell r="A552">
            <v>70301</v>
          </cell>
          <cell r="B552" t="str">
            <v>Computer Software</v>
          </cell>
          <cell r="E552">
            <v>0</v>
          </cell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</row>
        <row r="553">
          <cell r="A553">
            <v>70302</v>
          </cell>
          <cell r="B553" t="str">
            <v>Computer Supplies</v>
          </cell>
          <cell r="E553">
            <v>0</v>
          </cell>
          <cell r="F553">
            <v>435.77</v>
          </cell>
          <cell r="G553">
            <v>693.82</v>
          </cell>
          <cell r="H553">
            <v>0</v>
          </cell>
          <cell r="I553">
            <v>0</v>
          </cell>
          <cell r="J553">
            <v>0</v>
          </cell>
          <cell r="K553">
            <v>71.819999999999993</v>
          </cell>
          <cell r="L553">
            <v>73.77</v>
          </cell>
          <cell r="M553">
            <v>0</v>
          </cell>
          <cell r="N553">
            <v>0</v>
          </cell>
          <cell r="O553">
            <v>0</v>
          </cell>
          <cell r="P553">
            <v>561.86</v>
          </cell>
          <cell r="Q553">
            <v>1837.04</v>
          </cell>
        </row>
        <row r="554">
          <cell r="A554">
            <v>70310</v>
          </cell>
          <cell r="B554" t="str">
            <v>Bad Debt Provision</v>
          </cell>
          <cell r="E554">
            <v>-38144.620000000003</v>
          </cell>
          <cell r="F554">
            <v>34133.97</v>
          </cell>
          <cell r="G554">
            <v>-43595.040000000001</v>
          </cell>
          <cell r="H554">
            <v>39178.03</v>
          </cell>
          <cell r="I554">
            <v>-23435.439999999999</v>
          </cell>
          <cell r="J554">
            <v>54303.69</v>
          </cell>
          <cell r="K554">
            <v>-33171.480000000003</v>
          </cell>
          <cell r="L554">
            <v>54213.2</v>
          </cell>
          <cell r="M554">
            <v>-34096.239999999998</v>
          </cell>
          <cell r="N554">
            <v>57772.45</v>
          </cell>
          <cell r="O554">
            <v>-39518.949999999997</v>
          </cell>
          <cell r="P554">
            <v>53267.67</v>
          </cell>
          <cell r="Q554">
            <v>80907.239999999991</v>
          </cell>
        </row>
        <row r="555">
          <cell r="A555">
            <v>70315</v>
          </cell>
          <cell r="B555" t="str">
            <v>Bad Debt Recoveries</v>
          </cell>
          <cell r="E555">
            <v>0</v>
          </cell>
          <cell r="F555">
            <v>0</v>
          </cell>
          <cell r="G555">
            <v>0</v>
          </cell>
          <cell r="H555">
            <v>0</v>
          </cell>
          <cell r="I555">
            <v>0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</row>
        <row r="556">
          <cell r="A556">
            <v>70320</v>
          </cell>
          <cell r="B556" t="str">
            <v>Credit and Collection</v>
          </cell>
          <cell r="E556">
            <v>6198.28</v>
          </cell>
          <cell r="F556">
            <v>9319.4599999999991</v>
          </cell>
          <cell r="G556">
            <v>5273.3</v>
          </cell>
          <cell r="H556">
            <v>8215.32</v>
          </cell>
          <cell r="I556">
            <v>5615.84</v>
          </cell>
          <cell r="J556">
            <v>3201.73</v>
          </cell>
          <cell r="K556">
            <v>4767.67</v>
          </cell>
          <cell r="L556">
            <v>2810.14</v>
          </cell>
          <cell r="M556">
            <v>5490.95</v>
          </cell>
          <cell r="N556">
            <v>4968.87</v>
          </cell>
          <cell r="O556">
            <v>5918.1</v>
          </cell>
          <cell r="P556">
            <v>0</v>
          </cell>
          <cell r="Q556">
            <v>61779.659999999996</v>
          </cell>
        </row>
        <row r="557">
          <cell r="A557">
            <v>70324</v>
          </cell>
          <cell r="B557" t="str">
            <v>Penalties and Violations</v>
          </cell>
          <cell r="E557">
            <v>0</v>
          </cell>
          <cell r="F557">
            <v>0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</row>
        <row r="558">
          <cell r="A558">
            <v>70325</v>
          </cell>
          <cell r="B558" t="str">
            <v>Legal Settlement Payments</v>
          </cell>
          <cell r="E558">
            <v>0</v>
          </cell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</row>
        <row r="559">
          <cell r="A559">
            <v>70326</v>
          </cell>
          <cell r="B559" t="str">
            <v>Deductible Current Year</v>
          </cell>
          <cell r="E559">
            <v>0</v>
          </cell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</row>
        <row r="560">
          <cell r="A560">
            <v>70327</v>
          </cell>
          <cell r="B560" t="str">
            <v>Deductible Dammage</v>
          </cell>
          <cell r="E560">
            <v>0</v>
          </cell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</row>
        <row r="561">
          <cell r="A561">
            <v>70328</v>
          </cell>
          <cell r="B561" t="str">
            <v>Claim Recoveries</v>
          </cell>
          <cell r="E561">
            <v>0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</row>
        <row r="562">
          <cell r="A562">
            <v>70330</v>
          </cell>
          <cell r="B562" t="str">
            <v>Deductible Prior Year</v>
          </cell>
          <cell r="E562">
            <v>0</v>
          </cell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</row>
        <row r="563">
          <cell r="A563">
            <v>70335</v>
          </cell>
          <cell r="B563" t="str">
            <v>Miscellaneous</v>
          </cell>
          <cell r="E563">
            <v>0</v>
          </cell>
          <cell r="F563">
            <v>-78.28</v>
          </cell>
          <cell r="G563">
            <v>0</v>
          </cell>
          <cell r="H563">
            <v>-123.75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-202.03</v>
          </cell>
        </row>
        <row r="564">
          <cell r="A564">
            <v>70336</v>
          </cell>
          <cell r="B564" t="str">
            <v>Coffe Bar</v>
          </cell>
          <cell r="E564">
            <v>0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38.020000000000003</v>
          </cell>
          <cell r="M564">
            <v>0</v>
          </cell>
          <cell r="N564">
            <v>-38.020000000000003</v>
          </cell>
          <cell r="O564">
            <v>0</v>
          </cell>
          <cell r="P564">
            <v>0</v>
          </cell>
          <cell r="Q564">
            <v>0</v>
          </cell>
        </row>
        <row r="565">
          <cell r="A565">
            <v>70345</v>
          </cell>
          <cell r="B565" t="str">
            <v>Security Services</v>
          </cell>
          <cell r="E565">
            <v>0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</row>
        <row r="566">
          <cell r="A566">
            <v>70357</v>
          </cell>
          <cell r="B566" t="str">
            <v>Permits</v>
          </cell>
          <cell r="E566">
            <v>0</v>
          </cell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</row>
        <row r="567">
          <cell r="A567">
            <v>70370</v>
          </cell>
          <cell r="B567" t="str">
            <v>Bonds Expense</v>
          </cell>
          <cell r="E567">
            <v>0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</row>
        <row r="568">
          <cell r="A568">
            <v>70371</v>
          </cell>
          <cell r="B568" t="str">
            <v>Board of Directors Fees</v>
          </cell>
          <cell r="E568">
            <v>0</v>
          </cell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</row>
        <row r="569">
          <cell r="A569">
            <v>70372</v>
          </cell>
          <cell r="B569" t="str">
            <v>Board of Directors Expense Report</v>
          </cell>
          <cell r="E569">
            <v>0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</row>
        <row r="570">
          <cell r="A570">
            <v>70475</v>
          </cell>
          <cell r="B570" t="str">
            <v>Trade Shows</v>
          </cell>
          <cell r="E570">
            <v>0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</row>
        <row r="571">
          <cell r="A571">
            <v>70900</v>
          </cell>
          <cell r="B571" t="str">
            <v>Entitiy Formation Costs</v>
          </cell>
          <cell r="E571">
            <v>0</v>
          </cell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</row>
        <row r="572">
          <cell r="A572">
            <v>70998</v>
          </cell>
          <cell r="B572" t="str">
            <v>Allocation Out - District</v>
          </cell>
          <cell r="E572">
            <v>0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</row>
        <row r="573">
          <cell r="A573">
            <v>70999</v>
          </cell>
          <cell r="B573" t="str">
            <v>Allocation Out - Out District</v>
          </cell>
          <cell r="E573">
            <v>0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</row>
        <row r="574">
          <cell r="A574">
            <v>71000</v>
          </cell>
          <cell r="B574" t="str">
            <v>Stock Comp Expense</v>
          </cell>
          <cell r="E574">
            <v>0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</row>
        <row r="575">
          <cell r="A575" t="str">
            <v>Total G&amp;A</v>
          </cell>
          <cell r="E575">
            <v>135458.46000000002</v>
          </cell>
          <cell r="F575">
            <v>208641.47999999992</v>
          </cell>
          <cell r="G575">
            <v>98781.099999999962</v>
          </cell>
          <cell r="H575">
            <v>225439.98</v>
          </cell>
          <cell r="I575">
            <v>124024.28</v>
          </cell>
          <cell r="J575">
            <v>224140.84000000008</v>
          </cell>
          <cell r="K575">
            <v>154049.73000000004</v>
          </cell>
          <cell r="L575">
            <v>264592.3</v>
          </cell>
          <cell r="M575">
            <v>109926.17</v>
          </cell>
          <cell r="N575">
            <v>249406.65000000005</v>
          </cell>
          <cell r="O575">
            <v>123801.06999999996</v>
          </cell>
          <cell r="P575">
            <v>250967.55000000005</v>
          </cell>
          <cell r="Q575">
            <v>2169229.61</v>
          </cell>
        </row>
        <row r="577">
          <cell r="A577" t="str">
            <v>Overhead</v>
          </cell>
        </row>
        <row r="578">
          <cell r="A578">
            <v>70149</v>
          </cell>
          <cell r="B578" t="str">
            <v>Corporate Overhead Allocation In</v>
          </cell>
          <cell r="E578">
            <v>95576.95</v>
          </cell>
          <cell r="F578">
            <v>93754.57</v>
          </cell>
          <cell r="G578">
            <v>96892.32</v>
          </cell>
          <cell r="H578">
            <v>96287.7</v>
          </cell>
          <cell r="I578">
            <v>98950.95</v>
          </cell>
          <cell r="J578">
            <v>99254.64</v>
          </cell>
          <cell r="K578">
            <v>97352.26</v>
          </cell>
          <cell r="L578">
            <v>97777.96</v>
          </cell>
          <cell r="M578">
            <v>98592.93</v>
          </cell>
          <cell r="N578">
            <v>101400.48</v>
          </cell>
          <cell r="O578">
            <v>100544.01</v>
          </cell>
          <cell r="P578">
            <v>100617.72</v>
          </cell>
          <cell r="Q578">
            <v>1177002.49</v>
          </cell>
        </row>
        <row r="579">
          <cell r="A579">
            <v>70159</v>
          </cell>
          <cell r="B579" t="str">
            <v>Region Overhead Allocation In</v>
          </cell>
          <cell r="E579">
            <v>0</v>
          </cell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</row>
        <row r="580">
          <cell r="A580" t="str">
            <v>Total Overhead</v>
          </cell>
          <cell r="E580">
            <v>95576.95</v>
          </cell>
          <cell r="F580">
            <v>93754.57</v>
          </cell>
          <cell r="G580">
            <v>96892.32</v>
          </cell>
          <cell r="H580">
            <v>96287.7</v>
          </cell>
          <cell r="I580">
            <v>98950.95</v>
          </cell>
          <cell r="J580">
            <v>99254.64</v>
          </cell>
          <cell r="K580">
            <v>97352.26</v>
          </cell>
          <cell r="L580">
            <v>97777.96</v>
          </cell>
          <cell r="M580">
            <v>98592.93</v>
          </cell>
          <cell r="N580">
            <v>101400.48</v>
          </cell>
          <cell r="O580">
            <v>100544.01</v>
          </cell>
          <cell r="P580">
            <v>100617.72</v>
          </cell>
          <cell r="Q580">
            <v>1177002.49</v>
          </cell>
        </row>
        <row r="582">
          <cell r="A582" t="str">
            <v>Total SG&amp;A</v>
          </cell>
          <cell r="E582">
            <v>246511.28000000003</v>
          </cell>
          <cell r="F582">
            <v>305793.68999999994</v>
          </cell>
          <cell r="G582">
            <v>203965.25999999998</v>
          </cell>
          <cell r="H582">
            <v>328473.28999999998</v>
          </cell>
          <cell r="I582">
            <v>228706.00999999998</v>
          </cell>
          <cell r="J582">
            <v>331450.5400000001</v>
          </cell>
          <cell r="K582">
            <v>256165.84000000005</v>
          </cell>
          <cell r="L582">
            <v>365954.82</v>
          </cell>
          <cell r="M582">
            <v>239060.30999999997</v>
          </cell>
          <cell r="N582">
            <v>379132.25000000006</v>
          </cell>
          <cell r="O582">
            <v>228004.79999999996</v>
          </cell>
          <cell r="P582">
            <v>390132.22000000003</v>
          </cell>
          <cell r="Q582">
            <v>3503350.3099999996</v>
          </cell>
        </row>
        <row r="584">
          <cell r="A584" t="str">
            <v>EBITDA</v>
          </cell>
          <cell r="E584">
            <v>712085.01999999979</v>
          </cell>
          <cell r="F584">
            <v>772605.35999999987</v>
          </cell>
          <cell r="G584">
            <v>776716.52999999991</v>
          </cell>
          <cell r="H584">
            <v>731539.77</v>
          </cell>
          <cell r="I584">
            <v>769618.66999999934</v>
          </cell>
          <cell r="J584">
            <v>552555.60000000033</v>
          </cell>
          <cell r="K584">
            <v>743010.76999999932</v>
          </cell>
          <cell r="L584">
            <v>663397.72999999952</v>
          </cell>
          <cell r="M584">
            <v>766161.14</v>
          </cell>
          <cell r="N584">
            <v>683037.77000000048</v>
          </cell>
          <cell r="O584">
            <v>782671.56999999972</v>
          </cell>
          <cell r="P584">
            <v>621819.83000000031</v>
          </cell>
          <cell r="Q584">
            <v>8575219.7600000016</v>
          </cell>
        </row>
        <row r="586">
          <cell r="A586" t="str">
            <v>DD&amp;A</v>
          </cell>
        </row>
        <row r="587">
          <cell r="A587" t="str">
            <v>Depreciation</v>
          </cell>
        </row>
        <row r="588">
          <cell r="A588">
            <v>51260</v>
          </cell>
          <cell r="B588" t="str">
            <v>Depreciation</v>
          </cell>
          <cell r="E588">
            <v>128653.02</v>
          </cell>
          <cell r="F588">
            <v>131370.81</v>
          </cell>
          <cell r="G588">
            <v>131344.75</v>
          </cell>
          <cell r="H588">
            <v>130833.62</v>
          </cell>
          <cell r="I588">
            <v>128898.54</v>
          </cell>
          <cell r="J588">
            <v>124756.98</v>
          </cell>
          <cell r="K588">
            <v>129780.01</v>
          </cell>
          <cell r="L588">
            <v>124499.33</v>
          </cell>
          <cell r="M588">
            <v>116250.86</v>
          </cell>
          <cell r="N588">
            <v>116469.34</v>
          </cell>
          <cell r="O588">
            <v>115552.67</v>
          </cell>
          <cell r="P588">
            <v>115400.84</v>
          </cell>
          <cell r="Q588">
            <v>1493810.77</v>
          </cell>
        </row>
        <row r="589">
          <cell r="A589">
            <v>54260</v>
          </cell>
          <cell r="B589" t="str">
            <v>Depreciation</v>
          </cell>
          <cell r="E589">
            <v>44644.21</v>
          </cell>
          <cell r="F589">
            <v>45130.14</v>
          </cell>
          <cell r="G589">
            <v>45176.2</v>
          </cell>
          <cell r="H589">
            <v>45736.24</v>
          </cell>
          <cell r="I589">
            <v>45872.49</v>
          </cell>
          <cell r="J589">
            <v>46097.22</v>
          </cell>
          <cell r="K589">
            <v>46974.19</v>
          </cell>
          <cell r="L589">
            <v>47668</v>
          </cell>
          <cell r="M589">
            <v>47777.17</v>
          </cell>
          <cell r="N589">
            <v>47529.919999999998</v>
          </cell>
          <cell r="O589">
            <v>47583.6</v>
          </cell>
          <cell r="P589">
            <v>47682.03</v>
          </cell>
          <cell r="Q589">
            <v>557871.40999999992</v>
          </cell>
        </row>
        <row r="590">
          <cell r="A590">
            <v>56260</v>
          </cell>
          <cell r="B590" t="str">
            <v>Depreciation</v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</row>
        <row r="591">
          <cell r="A591">
            <v>57260</v>
          </cell>
          <cell r="B591" t="str">
            <v>Depreciation</v>
          </cell>
          <cell r="E591">
            <v>5579.13</v>
          </cell>
          <cell r="F591">
            <v>5579.15</v>
          </cell>
          <cell r="G591">
            <v>5579.14</v>
          </cell>
          <cell r="H591">
            <v>5579.12</v>
          </cell>
          <cell r="I591">
            <v>5579.14</v>
          </cell>
          <cell r="J591">
            <v>5579.19</v>
          </cell>
          <cell r="K591">
            <v>5579.09</v>
          </cell>
          <cell r="L591">
            <v>5579.1</v>
          </cell>
          <cell r="M591">
            <v>5521.44</v>
          </cell>
          <cell r="N591">
            <v>5521.33</v>
          </cell>
          <cell r="O591">
            <v>5521.37</v>
          </cell>
          <cell r="P591">
            <v>5521.3</v>
          </cell>
          <cell r="Q591">
            <v>66718.5</v>
          </cell>
        </row>
        <row r="592">
          <cell r="A592">
            <v>60260</v>
          </cell>
          <cell r="B592" t="str">
            <v>Depreciation</v>
          </cell>
          <cell r="E592">
            <v>0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</row>
        <row r="593">
          <cell r="A593">
            <v>70257</v>
          </cell>
          <cell r="B593" t="str">
            <v>Depreciation</v>
          </cell>
          <cell r="E593">
            <v>0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</row>
        <row r="594">
          <cell r="A594">
            <v>70260</v>
          </cell>
          <cell r="B594" t="str">
            <v>Depreciation</v>
          </cell>
          <cell r="E594">
            <v>819.53</v>
          </cell>
          <cell r="F594">
            <v>819.52</v>
          </cell>
          <cell r="G594">
            <v>819.52</v>
          </cell>
          <cell r="H594">
            <v>819.45</v>
          </cell>
          <cell r="I594">
            <v>622.97</v>
          </cell>
          <cell r="J594">
            <v>622.99</v>
          </cell>
          <cell r="K594">
            <v>622.98</v>
          </cell>
          <cell r="L594">
            <v>622.91</v>
          </cell>
          <cell r="M594">
            <v>451.09</v>
          </cell>
          <cell r="N594">
            <v>451.1</v>
          </cell>
          <cell r="O594">
            <v>430.18</v>
          </cell>
          <cell r="P594">
            <v>386.57</v>
          </cell>
          <cell r="Q594">
            <v>7488.8099999999995</v>
          </cell>
        </row>
        <row r="595">
          <cell r="A595" t="str">
            <v>Total Depreciation</v>
          </cell>
          <cell r="E595">
            <v>179695.89</v>
          </cell>
          <cell r="F595">
            <v>182899.62</v>
          </cell>
          <cell r="G595">
            <v>182919.61000000002</v>
          </cell>
          <cell r="H595">
            <v>182968.43</v>
          </cell>
          <cell r="I595">
            <v>180973.14</v>
          </cell>
          <cell r="J595">
            <v>177056.38</v>
          </cell>
          <cell r="K595">
            <v>182956.27000000002</v>
          </cell>
          <cell r="L595">
            <v>178369.34000000003</v>
          </cell>
          <cell r="M595">
            <v>170000.56</v>
          </cell>
          <cell r="N595">
            <v>169971.69</v>
          </cell>
          <cell r="O595">
            <v>169087.81999999998</v>
          </cell>
          <cell r="P595">
            <v>168990.74</v>
          </cell>
          <cell r="Q595">
            <v>2125889.4899999998</v>
          </cell>
        </row>
        <row r="597">
          <cell r="A597" t="str">
            <v>Depletion</v>
          </cell>
        </row>
        <row r="598">
          <cell r="A598">
            <v>46000</v>
          </cell>
          <cell r="B598" t="str">
            <v>Depletion</v>
          </cell>
          <cell r="E598">
            <v>0</v>
          </cell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</row>
        <row r="599">
          <cell r="A599">
            <v>46010</v>
          </cell>
          <cell r="B599" t="str">
            <v>Closure Amortization</v>
          </cell>
          <cell r="E599">
            <v>0</v>
          </cell>
          <cell r="F599">
            <v>0</v>
          </cell>
          <cell r="G599">
            <v>0</v>
          </cell>
          <cell r="H599">
            <v>0</v>
          </cell>
          <cell r="I599">
            <v>0</v>
          </cell>
          <cell r="J599">
            <v>0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</row>
        <row r="600">
          <cell r="A600">
            <v>57261</v>
          </cell>
          <cell r="B600" t="str">
            <v>Airspace Amortization</v>
          </cell>
          <cell r="E600">
            <v>0</v>
          </cell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</row>
        <row r="601">
          <cell r="A601" t="str">
            <v>Total Depletion</v>
          </cell>
          <cell r="E601">
            <v>0</v>
          </cell>
          <cell r="F601">
            <v>0</v>
          </cell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</row>
        <row r="603">
          <cell r="A603" t="str">
            <v>Amortization</v>
          </cell>
        </row>
        <row r="604">
          <cell r="A604">
            <v>70264</v>
          </cell>
          <cell r="B604" t="str">
            <v>Amortization</v>
          </cell>
          <cell r="E604">
            <v>0</v>
          </cell>
          <cell r="F604">
            <v>0</v>
          </cell>
          <cell r="G604">
            <v>0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</row>
        <row r="605">
          <cell r="A605">
            <v>70266</v>
          </cell>
          <cell r="B605" t="str">
            <v>Cov. Not to Compete</v>
          </cell>
          <cell r="E605">
            <v>1987.84</v>
          </cell>
          <cell r="F605">
            <v>1987.84</v>
          </cell>
          <cell r="G605">
            <v>1987.83</v>
          </cell>
          <cell r="H605">
            <v>1987.84</v>
          </cell>
          <cell r="I605">
            <v>1987.83</v>
          </cell>
          <cell r="J605">
            <v>1987.83</v>
          </cell>
          <cell r="K605">
            <v>1987.84</v>
          </cell>
          <cell r="L605">
            <v>1987.8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15902.65</v>
          </cell>
        </row>
        <row r="606">
          <cell r="A606">
            <v>70267</v>
          </cell>
          <cell r="B606" t="str">
            <v>Amortization of Goodwill - Taxable</v>
          </cell>
          <cell r="E606">
            <v>0</v>
          </cell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</row>
        <row r="607">
          <cell r="A607">
            <v>70268</v>
          </cell>
          <cell r="B607" t="str">
            <v>Amortization of Goodwill - Non-Taxable</v>
          </cell>
          <cell r="E607">
            <v>0</v>
          </cell>
          <cell r="F607">
            <v>0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</row>
        <row r="608">
          <cell r="A608">
            <v>70269</v>
          </cell>
          <cell r="B608" t="str">
            <v>Long Term Contract Amort</v>
          </cell>
          <cell r="E608">
            <v>0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</row>
        <row r="609">
          <cell r="A609" t="str">
            <v>Total Amortization</v>
          </cell>
          <cell r="E609">
            <v>1987.84</v>
          </cell>
          <cell r="F609">
            <v>1987.84</v>
          </cell>
          <cell r="G609">
            <v>1987.83</v>
          </cell>
          <cell r="H609">
            <v>1987.84</v>
          </cell>
          <cell r="I609">
            <v>1987.83</v>
          </cell>
          <cell r="J609">
            <v>1987.83</v>
          </cell>
          <cell r="K609">
            <v>1987.84</v>
          </cell>
          <cell r="L609">
            <v>1987.8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Q609">
            <v>15902.65</v>
          </cell>
        </row>
        <row r="611">
          <cell r="A611" t="str">
            <v>Total DDA</v>
          </cell>
          <cell r="E611">
            <v>181683.73</v>
          </cell>
          <cell r="F611">
            <v>184887.46</v>
          </cell>
          <cell r="G611">
            <v>184907.44</v>
          </cell>
          <cell r="H611">
            <v>184956.27</v>
          </cell>
          <cell r="I611">
            <v>182960.97</v>
          </cell>
          <cell r="J611">
            <v>179044.21</v>
          </cell>
          <cell r="K611">
            <v>184944.11000000002</v>
          </cell>
          <cell r="L611">
            <v>180357.14</v>
          </cell>
          <cell r="M611">
            <v>170000.56</v>
          </cell>
          <cell r="N611">
            <v>169971.69</v>
          </cell>
          <cell r="O611">
            <v>169087.81999999998</v>
          </cell>
          <cell r="P611">
            <v>168990.74</v>
          </cell>
          <cell r="Q611">
            <v>2141792.1399999997</v>
          </cell>
        </row>
        <row r="613">
          <cell r="A613" t="str">
            <v>EBIT</v>
          </cell>
          <cell r="E613">
            <v>530401.2899999998</v>
          </cell>
          <cell r="F613">
            <v>587717.89999999991</v>
          </cell>
          <cell r="G613">
            <v>591809.08999999985</v>
          </cell>
          <cell r="H613">
            <v>546583.5</v>
          </cell>
          <cell r="I613">
            <v>586657.69999999937</v>
          </cell>
          <cell r="J613">
            <v>373511.39000000036</v>
          </cell>
          <cell r="K613">
            <v>558066.65999999933</v>
          </cell>
          <cell r="L613">
            <v>483040.5899999995</v>
          </cell>
          <cell r="M613">
            <v>596160.58000000007</v>
          </cell>
          <cell r="N613">
            <v>513066.08000000048</v>
          </cell>
          <cell r="O613">
            <v>613583.74999999977</v>
          </cell>
          <cell r="P613">
            <v>452829.09000000032</v>
          </cell>
          <cell r="Q613">
            <v>6433427.620000002</v>
          </cell>
        </row>
        <row r="615">
          <cell r="A615" t="str">
            <v>Interest Expense</v>
          </cell>
        </row>
        <row r="616">
          <cell r="A616">
            <v>80000</v>
          </cell>
          <cell r="B616" t="str">
            <v>Interest Expense</v>
          </cell>
          <cell r="E616">
            <v>0</v>
          </cell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</row>
        <row r="617">
          <cell r="A617">
            <v>80001</v>
          </cell>
          <cell r="B617" t="str">
            <v>Debt Accretion</v>
          </cell>
          <cell r="E617">
            <v>0</v>
          </cell>
          <cell r="F617">
            <v>0</v>
          </cell>
          <cell r="G617">
            <v>0</v>
          </cell>
          <cell r="H617">
            <v>0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</row>
        <row r="618">
          <cell r="A618">
            <v>80009</v>
          </cell>
          <cell r="B618" t="str">
            <v>Capitalized Interest</v>
          </cell>
          <cell r="E618">
            <v>0</v>
          </cell>
          <cell r="F618">
            <v>0</v>
          </cell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</row>
        <row r="619">
          <cell r="A619">
            <v>80099</v>
          </cell>
          <cell r="B619" t="str">
            <v>Interest Allocation</v>
          </cell>
          <cell r="E619">
            <v>0</v>
          </cell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</row>
        <row r="620">
          <cell r="A620" t="str">
            <v>Total Interest Expense</v>
          </cell>
          <cell r="E620">
            <v>0</v>
          </cell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</row>
        <row r="622">
          <cell r="A622" t="str">
            <v>Interest Income</v>
          </cell>
        </row>
        <row r="623">
          <cell r="A623">
            <v>80010</v>
          </cell>
          <cell r="B623" t="str">
            <v>Interest Income</v>
          </cell>
          <cell r="E623">
            <v>0</v>
          </cell>
          <cell r="F623">
            <v>0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</row>
        <row r="624">
          <cell r="A624" t="str">
            <v>Total Interest Income</v>
          </cell>
          <cell r="E624">
            <v>0</v>
          </cell>
          <cell r="F624">
            <v>0</v>
          </cell>
          <cell r="G624">
            <v>0</v>
          </cell>
          <cell r="H624">
            <v>0</v>
          </cell>
          <cell r="I624">
            <v>0</v>
          </cell>
          <cell r="J624">
            <v>0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</row>
        <row r="626">
          <cell r="A626" t="str">
            <v>Other (Income) and Expense</v>
          </cell>
        </row>
        <row r="627">
          <cell r="A627">
            <v>70901</v>
          </cell>
          <cell r="B627" t="str">
            <v>Pooling Costs</v>
          </cell>
          <cell r="E627">
            <v>0</v>
          </cell>
          <cell r="F627">
            <v>0</v>
          </cell>
          <cell r="G627">
            <v>0</v>
          </cell>
          <cell r="H627">
            <v>0</v>
          </cell>
          <cell r="I627">
            <v>0</v>
          </cell>
          <cell r="J627">
            <v>0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</row>
        <row r="628">
          <cell r="A628">
            <v>91000</v>
          </cell>
          <cell r="B628" t="str">
            <v>Unusual Gain/Loss</v>
          </cell>
          <cell r="E628">
            <v>0</v>
          </cell>
          <cell r="F628">
            <v>0</v>
          </cell>
          <cell r="G628">
            <v>0</v>
          </cell>
          <cell r="H628">
            <v>0</v>
          </cell>
          <cell r="I628">
            <v>0</v>
          </cell>
          <cell r="J628">
            <v>0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</row>
        <row r="629">
          <cell r="A629">
            <v>91001</v>
          </cell>
          <cell r="B629" t="str">
            <v>Investment Distribution Income</v>
          </cell>
          <cell r="E629">
            <v>0</v>
          </cell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</row>
        <row r="630">
          <cell r="A630">
            <v>91002</v>
          </cell>
          <cell r="B630" t="str">
            <v>NSF Fees</v>
          </cell>
          <cell r="E630">
            <v>0</v>
          </cell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</row>
        <row r="631">
          <cell r="A631" t="str">
            <v>Total Other (Income) and Expense</v>
          </cell>
          <cell r="E631">
            <v>0</v>
          </cell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</row>
        <row r="633">
          <cell r="A633" t="str">
            <v>Income Before Taxes and Extraordinary Items</v>
          </cell>
          <cell r="E633">
            <v>530401.2899999998</v>
          </cell>
          <cell r="F633">
            <v>587717.89999999991</v>
          </cell>
          <cell r="G633">
            <v>591809.08999999985</v>
          </cell>
          <cell r="H633">
            <v>546583.5</v>
          </cell>
          <cell r="I633">
            <v>586657.69999999937</v>
          </cell>
          <cell r="J633">
            <v>373511.39000000036</v>
          </cell>
          <cell r="K633">
            <v>558066.65999999933</v>
          </cell>
          <cell r="L633">
            <v>483040.5899999995</v>
          </cell>
          <cell r="M633">
            <v>596160.58000000007</v>
          </cell>
          <cell r="N633">
            <v>513066.08000000048</v>
          </cell>
          <cell r="O633">
            <v>613583.74999999977</v>
          </cell>
          <cell r="P633">
            <v>452829.09000000032</v>
          </cell>
          <cell r="Q633">
            <v>6433427.620000002</v>
          </cell>
        </row>
        <row r="635">
          <cell r="A635" t="str">
            <v>Extraordinary Income and Expense</v>
          </cell>
        </row>
        <row r="636">
          <cell r="A636">
            <v>92999</v>
          </cell>
          <cell r="B636" t="str">
            <v>Extraordinary Gain/Loss</v>
          </cell>
          <cell r="E636">
            <v>0</v>
          </cell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</row>
        <row r="637">
          <cell r="A637" t="str">
            <v>Total Extraordinary Income and Expense</v>
          </cell>
          <cell r="E637">
            <v>0</v>
          </cell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</row>
        <row r="639">
          <cell r="A639" t="str">
            <v>Net Income Before Taxes</v>
          </cell>
          <cell r="E639">
            <v>530401.2899999998</v>
          </cell>
          <cell r="F639">
            <v>587717.89999999991</v>
          </cell>
          <cell r="G639">
            <v>591809.08999999985</v>
          </cell>
          <cell r="H639">
            <v>546583.5</v>
          </cell>
          <cell r="I639">
            <v>586657.69999999937</v>
          </cell>
          <cell r="J639">
            <v>373511.39000000036</v>
          </cell>
          <cell r="K639">
            <v>558066.65999999933</v>
          </cell>
          <cell r="L639">
            <v>483040.5899999995</v>
          </cell>
          <cell r="M639">
            <v>596160.58000000007</v>
          </cell>
          <cell r="N639">
            <v>513066.08000000048</v>
          </cell>
          <cell r="O639">
            <v>613583.74999999977</v>
          </cell>
          <cell r="P639">
            <v>452829.09000000032</v>
          </cell>
          <cell r="Q639">
            <v>6433427.620000002</v>
          </cell>
        </row>
        <row r="641">
          <cell r="A641" t="str">
            <v>Income Taxes</v>
          </cell>
        </row>
        <row r="642">
          <cell r="A642">
            <v>90000</v>
          </cell>
          <cell r="B642" t="str">
            <v>Taxes -Federal</v>
          </cell>
          <cell r="E642">
            <v>0</v>
          </cell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</row>
        <row r="643">
          <cell r="A643">
            <v>90010</v>
          </cell>
          <cell r="B643" t="str">
            <v>Taxes - State</v>
          </cell>
          <cell r="E643">
            <v>0</v>
          </cell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</row>
        <row r="644">
          <cell r="A644" t="str">
            <v>Total Income Taxes</v>
          </cell>
          <cell r="E644">
            <v>0</v>
          </cell>
          <cell r="F644">
            <v>0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</row>
        <row r="646">
          <cell r="A646" t="str">
            <v>Net Income</v>
          </cell>
          <cell r="E646">
            <v>530401.2899999998</v>
          </cell>
          <cell r="F646">
            <v>587717.89999999991</v>
          </cell>
          <cell r="G646">
            <v>591809.08999999985</v>
          </cell>
          <cell r="H646">
            <v>546583.5</v>
          </cell>
          <cell r="I646">
            <v>586657.69999999937</v>
          </cell>
          <cell r="J646">
            <v>373511.39000000036</v>
          </cell>
          <cell r="K646">
            <v>558066.65999999933</v>
          </cell>
          <cell r="L646">
            <v>483040.5899999995</v>
          </cell>
          <cell r="M646">
            <v>596160.58000000007</v>
          </cell>
          <cell r="N646">
            <v>513066.08000000048</v>
          </cell>
          <cell r="O646">
            <v>613583.74999999977</v>
          </cell>
          <cell r="P646">
            <v>452829.09000000032</v>
          </cell>
          <cell r="Q646">
            <v>6433427.620000002</v>
          </cell>
        </row>
        <row r="648">
          <cell r="A648" t="str">
            <v>Noncontrolling Interests Expense</v>
          </cell>
        </row>
        <row r="649">
          <cell r="A649">
            <v>92000</v>
          </cell>
          <cell r="B649" t="str">
            <v>Noncontrolling interests</v>
          </cell>
          <cell r="E649">
            <v>0</v>
          </cell>
          <cell r="F649">
            <v>0</v>
          </cell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</row>
        <row r="650">
          <cell r="A650" t="str">
            <v>Total Noncontrolling Interests</v>
          </cell>
          <cell r="E650">
            <v>0</v>
          </cell>
          <cell r="F650">
            <v>0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</row>
        <row r="652">
          <cell r="A652" t="str">
            <v>Net Income Attributable to Waste Connections</v>
          </cell>
          <cell r="E652">
            <v>530401.2899999998</v>
          </cell>
          <cell r="F652">
            <v>587717.89999999991</v>
          </cell>
          <cell r="G652">
            <v>591809.08999999985</v>
          </cell>
          <cell r="H652">
            <v>546583.5</v>
          </cell>
          <cell r="I652">
            <v>586657.69999999937</v>
          </cell>
          <cell r="J652">
            <v>373511.39000000036</v>
          </cell>
          <cell r="K652">
            <v>558066.65999999933</v>
          </cell>
          <cell r="L652">
            <v>483040.5899999995</v>
          </cell>
          <cell r="M652">
            <v>596160.58000000007</v>
          </cell>
          <cell r="N652">
            <v>513066.08000000048</v>
          </cell>
          <cell r="O652">
            <v>613583.74999999977</v>
          </cell>
          <cell r="P652">
            <v>452829.09000000032</v>
          </cell>
          <cell r="Q652">
            <v>6433427.620000002</v>
          </cell>
        </row>
        <row r="654">
          <cell r="A654" t="str">
            <v>Net Income Attributable to Waste Connections per categories</v>
          </cell>
          <cell r="E654">
            <v>530401.29</v>
          </cell>
          <cell r="F654">
            <v>587717.9</v>
          </cell>
          <cell r="G654">
            <v>591809.09</v>
          </cell>
          <cell r="H654">
            <v>546583.5</v>
          </cell>
          <cell r="I654">
            <v>586657.69999999995</v>
          </cell>
          <cell r="J654">
            <v>373511.39</v>
          </cell>
          <cell r="K654">
            <v>558066.66</v>
          </cell>
          <cell r="L654">
            <v>483040.59</v>
          </cell>
          <cell r="M654">
            <v>596160.57999999996</v>
          </cell>
          <cell r="N654">
            <v>513066.08</v>
          </cell>
          <cell r="O654">
            <v>613583.75</v>
          </cell>
          <cell r="P654">
            <v>452829.09</v>
          </cell>
        </row>
      </sheetData>
      <sheetData sheetId="6" refreshError="1"/>
      <sheetData sheetId="7" refreshError="1">
        <row r="18">
          <cell r="Z18">
            <v>0.33073677436726834</v>
          </cell>
        </row>
        <row r="20">
          <cell r="AC20">
            <v>0.2095860832011289</v>
          </cell>
          <cell r="AK20">
            <v>0.43549015768657823</v>
          </cell>
        </row>
        <row r="39">
          <cell r="AC39">
            <v>0.37964780853584096</v>
          </cell>
        </row>
        <row r="40">
          <cell r="AC40">
            <v>0.36547527560558957</v>
          </cell>
        </row>
        <row r="120">
          <cell r="AE120">
            <v>0.43886061148837213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rrorNote"/>
      <sheetName val="ControlPanel"/>
      <sheetName val="PL_ActReview"/>
      <sheetName val="PL_ActReview2"/>
      <sheetName val="BS_Close"/>
      <sheetName val="PL_ActTranx"/>
      <sheetName val="IS200PL"/>
      <sheetName val="IS210PL"/>
      <sheetName val="ProjRevCheck"/>
      <sheetName val="BDebtCheck"/>
      <sheetName val="52901Check"/>
      <sheetName val="ICCheck"/>
      <sheetName val="BSCheck"/>
      <sheetName val="BadJECheck"/>
      <sheetName val="JE_Review"/>
      <sheetName val="Proj1"/>
      <sheetName val="Proj2"/>
      <sheetName val="PL_ActReview3"/>
    </sheetNames>
    <sheetDataSet>
      <sheetData sheetId="0"/>
      <sheetData sheetId="1">
        <row r="2">
          <cell r="S2" t="str">
            <v>P&amp;L Close Report</v>
          </cell>
        </row>
        <row r="3">
          <cell r="S3" t="str">
            <v>P&amp;L Close Report 2</v>
          </cell>
        </row>
        <row r="4">
          <cell r="S4" t="str">
            <v>BS Close Report</v>
          </cell>
        </row>
        <row r="5">
          <cell r="S5" t="str">
            <v>IS 200 - PL Review</v>
          </cell>
        </row>
        <row r="6">
          <cell r="S6" t="str">
            <v>IS 210 - PL Review</v>
          </cell>
        </row>
        <row r="7">
          <cell r="S7" t="str">
            <v>P&amp;L Tranx Report</v>
          </cell>
        </row>
        <row r="8">
          <cell r="S8" t="str">
            <v>JE Review Report</v>
          </cell>
        </row>
        <row r="9">
          <cell r="S9" t="str">
            <v>Corp: Rev/Proj Check</v>
          </cell>
        </row>
        <row r="10">
          <cell r="S10" t="str">
            <v>Corp: 52901 Check</v>
          </cell>
        </row>
        <row r="11">
          <cell r="S11" t="str">
            <v>Corp: BS Check</v>
          </cell>
        </row>
        <row r="12">
          <cell r="S12" t="str">
            <v>Corp: Bad Debt Check</v>
          </cell>
        </row>
        <row r="13">
          <cell r="S13" t="str">
            <v>Corp: IC Check</v>
          </cell>
        </row>
        <row r="14">
          <cell r="S14" t="str">
            <v>Corp: JE Neg Check</v>
          </cell>
        </row>
        <row r="15">
          <cell r="S15" t="str">
            <v>Proj Review Report</v>
          </cell>
        </row>
        <row r="16">
          <cell r="S16" t="str">
            <v>Proj Review Report 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lassA, Certification"/>
      <sheetName val="OrgControl"/>
      <sheetName val="InsuranceAccident"/>
      <sheetName val="bsasset"/>
      <sheetName val="bsliab"/>
      <sheetName val="FixedAssets"/>
      <sheetName val="RetainedEarnings"/>
      <sheetName val="Income Statement"/>
      <sheetName val="RevenuesCust"/>
      <sheetName val="Recycle"/>
      <sheetName val="contracts"/>
      <sheetName val="GarbageDisp"/>
      <sheetName val="RecycleProcessing"/>
      <sheetName val="Payroll"/>
      <sheetName val="FeeCal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iance Report"/>
      <sheetName val="Vol&amp;Price"/>
      <sheetName val="Commodity"/>
      <sheetName val="Labor As % of Rev"/>
      <sheetName val="Group Ins Bridge"/>
      <sheetName val="Region Alloc"/>
      <sheetName val="Fuel"/>
      <sheetName val="2008 Inventory Adj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df"/>
      <sheetName val="pr"/>
      <sheetName val="rev"/>
      <sheetName val="Fuelcosts"/>
      <sheetName val="fuel"/>
      <sheetName val="oth"/>
      <sheetName val="RteHrs"/>
      <sheetName val="debt"/>
      <sheetName val="taxes"/>
      <sheetName val="recy "/>
      <sheetName val="Advertising"/>
      <sheetName val="Parties"/>
      <sheetName val="Donations"/>
      <sheetName val="Dues "/>
      <sheetName val="Hlth Ins"/>
      <sheetName val="Other Ins"/>
      <sheetName val="Postage"/>
      <sheetName val="Pullman EEs"/>
      <sheetName val="Penalties"/>
      <sheetName val="Pensions"/>
      <sheetName val="Payroll"/>
      <sheetName val="LOC"/>
      <sheetName val="Rent "/>
      <sheetName val="2007 COS"/>
      <sheetName val="ProfFees"/>
      <sheetName val="ReplParts"/>
      <sheetName val="RepairMaint"/>
      <sheetName val="LicensesUsedUseful"/>
      <sheetName val="Recycle truck"/>
      <sheetName val="RecycleCarts"/>
      <sheetName val="Depr"/>
      <sheetName val="StaffAdjSummary"/>
      <sheetName val="ProF"/>
      <sheetName val="Balance Sheet"/>
      <sheetName val="nonrg"/>
      <sheetName val="prcout"/>
      <sheetName val="Staff prcout"/>
      <sheetName val="StaffLGAllRegulated"/>
      <sheetName val="LGGarb"/>
      <sheetName val="LGMFam"/>
      <sheetName val="LGCurbRecy"/>
      <sheetName val="LGYdWaste"/>
      <sheetName val="Staff LGCombined"/>
      <sheetName val="LGMedWaste"/>
      <sheetName val="LGCmlEW"/>
      <sheetName val="Sheet1"/>
      <sheetName val="LNI"/>
      <sheetName val="RateCaseCo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G Nonpublic 2018 V5.0"/>
    </sheetNames>
    <sheetDataSet>
      <sheetData sheetId="0">
        <row r="55">
          <cell r="W55">
            <v>5.7225999999999999</v>
          </cell>
          <cell r="Y55">
            <v>5.6985000000000001</v>
          </cell>
        </row>
        <row r="56">
          <cell r="W56">
            <v>5.7082699999999997</v>
          </cell>
          <cell r="Y56">
            <v>5.6921999999999997</v>
          </cell>
        </row>
        <row r="58">
          <cell r="X58">
            <v>0.68367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"/>
      <sheetName val="Instructions"/>
      <sheetName val="User"/>
      <sheetName val="Settings"/>
      <sheetName val="Orientation"/>
      <sheetName val="Delivery"/>
      <sheetName val="RptClose"/>
      <sheetName val="Hidden"/>
      <sheetName val="Rev YOY Trends"/>
      <sheetName val="VLOOKUP"/>
    </sheetNames>
    <sheetDataSet>
      <sheetData sheetId="0"/>
      <sheetData sheetId="1"/>
      <sheetData sheetId="2" refreshError="1"/>
      <sheetData sheetId="3"/>
      <sheetData sheetId="4"/>
      <sheetData sheetId="5"/>
      <sheetData sheetId="6" refreshError="1"/>
      <sheetData sheetId="7"/>
      <sheetData sheetId="8" refreshError="1"/>
      <sheetData sheetId="9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ster Truck Schedule"/>
      <sheetName val="Jun 2011 FAR"/>
      <sheetName val="Scrap List"/>
      <sheetName val="Sheet1"/>
      <sheetName val="Sheet2"/>
      <sheetName val="Sheet3"/>
      <sheetName val="Sheet4"/>
      <sheetName val="Feb'12 FAR Data"/>
      <sheetName val="Sheet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Bud Capital Input"/>
      <sheetName val="Capital Summary By PO Type"/>
      <sheetName val="PO vs Truck Center Recon"/>
      <sheetName val="Truck Center Summary"/>
      <sheetName val="Bud Closure Input"/>
      <sheetName val="Closure Summary By PO Type"/>
      <sheetName val="TruckCenterReference"/>
      <sheetName val="AssetTypeList"/>
      <sheetName val="Reference"/>
      <sheetName val="ClosureReferenc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5">
          <cell r="F15" t="str">
            <v>OK!: ReportRange Formula OK [jAction{}]</v>
          </cell>
        </row>
        <row r="36">
          <cell r="C36" t="str">
            <v>Sideloader</v>
          </cell>
          <cell r="D36" t="str">
            <v>Sideloader</v>
          </cell>
        </row>
        <row r="37">
          <cell r="C37" t="str">
            <v>Other Truck</v>
          </cell>
          <cell r="D37" t="str">
            <v>Other</v>
          </cell>
        </row>
        <row r="38">
          <cell r="C38" t="str">
            <v>Passenger Car</v>
          </cell>
          <cell r="D38" t="str">
            <v>Other</v>
          </cell>
        </row>
        <row r="39">
          <cell r="C39" t="str">
            <v>Pickup</v>
          </cell>
          <cell r="D39" t="str">
            <v>Pickup</v>
          </cell>
        </row>
        <row r="40">
          <cell r="C40" t="str">
            <v>Pumper Truck</v>
          </cell>
          <cell r="D40" t="str">
            <v>Pumper Truck</v>
          </cell>
        </row>
        <row r="41">
          <cell r="C41" t="str">
            <v>Rear Load</v>
          </cell>
          <cell r="D41" t="str">
            <v>Rear Loader</v>
          </cell>
        </row>
        <row r="42">
          <cell r="C42" t="str">
            <v>Recycle Truck</v>
          </cell>
          <cell r="D42" t="str">
            <v>Recycle</v>
          </cell>
        </row>
        <row r="43">
          <cell r="C43" t="str">
            <v>Retriever</v>
          </cell>
          <cell r="D43" t="str">
            <v>Retriever</v>
          </cell>
        </row>
        <row r="44">
          <cell r="C44" t="str">
            <v>Roll Off</v>
          </cell>
          <cell r="D44" t="str">
            <v>Roll Off</v>
          </cell>
        </row>
        <row r="45">
          <cell r="C45" t="str">
            <v>Service Truck</v>
          </cell>
          <cell r="D45" t="str">
            <v>Service Truck</v>
          </cell>
        </row>
        <row r="46">
          <cell r="C46" t="str">
            <v>Service Truck</v>
          </cell>
          <cell r="D46" t="str">
            <v>Service Truck</v>
          </cell>
        </row>
        <row r="47">
          <cell r="C47" t="str">
            <v>Tipper Trailer</v>
          </cell>
          <cell r="D47" t="str">
            <v>Trailer</v>
          </cell>
        </row>
        <row r="48">
          <cell r="C48" t="str">
            <v>Walking Floor Trailer</v>
          </cell>
          <cell r="D48" t="str">
            <v>Trailer</v>
          </cell>
        </row>
        <row r="49">
          <cell r="C49" t="str">
            <v>Roll Off Pup Trailer</v>
          </cell>
          <cell r="D49" t="str">
            <v>Trailer</v>
          </cell>
        </row>
        <row r="50">
          <cell r="C50" t="str">
            <v>Other Trailer</v>
          </cell>
          <cell r="D50" t="str">
            <v>Trailer</v>
          </cell>
        </row>
        <row r="51">
          <cell r="C51" t="str">
            <v>Container Delivery Trailer</v>
          </cell>
          <cell r="D51" t="str">
            <v>Trailer</v>
          </cell>
        </row>
        <row r="52">
          <cell r="C52" t="str">
            <v>Railroad Cars</v>
          </cell>
          <cell r="D52" t="str">
            <v>Trailer</v>
          </cell>
        </row>
        <row r="53">
          <cell r="C53" t="str">
            <v>Barge</v>
          </cell>
          <cell r="D53" t="str">
            <v>Trailer</v>
          </cell>
        </row>
        <row r="54">
          <cell r="C54" t="str">
            <v>Transfer Tractor</v>
          </cell>
          <cell r="D54" t="str">
            <v>Transfer Tractor</v>
          </cell>
        </row>
        <row r="55">
          <cell r="C55" t="str">
            <v>ATV/Gator</v>
          </cell>
          <cell r="D55" t="str">
            <v>Yard Mule</v>
          </cell>
        </row>
        <row r="56">
          <cell r="C56" t="str">
            <v>Yard Mule</v>
          </cell>
          <cell r="D56" t="str">
            <v>Yard Mule</v>
          </cell>
        </row>
        <row r="57">
          <cell r="C57" t="str">
            <v>Automated</v>
          </cell>
          <cell r="D57" t="str">
            <v>Automated Sideloader</v>
          </cell>
        </row>
        <row r="58">
          <cell r="C58" t="str">
            <v>Container Delivery Truck</v>
          </cell>
          <cell r="D58" t="str">
            <v>Container Delivery</v>
          </cell>
        </row>
        <row r="59">
          <cell r="C59" t="str">
            <v>Front Load</v>
          </cell>
          <cell r="D59" t="str">
            <v>Front Loader</v>
          </cell>
        </row>
        <row r="60">
          <cell r="C60" t="str">
            <v>Grapple Brush Truck</v>
          </cell>
          <cell r="D60" t="str">
            <v>Grapple Truck</v>
          </cell>
        </row>
        <row r="61">
          <cell r="C61" t="str">
            <v>Hook Lift</v>
          </cell>
          <cell r="D61" t="str">
            <v>Hook Lift</v>
          </cell>
        </row>
        <row r="62">
          <cell r="C62" t="str">
            <v>Sideloader</v>
          </cell>
          <cell r="D62" t="str">
            <v>Manual Sideloader</v>
          </cell>
        </row>
        <row r="63">
          <cell r="C63" t="str">
            <v>Other Truck</v>
          </cell>
          <cell r="D63" t="str">
            <v>Other</v>
          </cell>
        </row>
        <row r="64">
          <cell r="C64" t="str">
            <v>Pickup</v>
          </cell>
          <cell r="D64" t="str">
            <v>Pickup</v>
          </cell>
        </row>
        <row r="65">
          <cell r="C65" t="str">
            <v>Pumper Truck</v>
          </cell>
          <cell r="D65" t="str">
            <v>Pumper Truck</v>
          </cell>
        </row>
        <row r="66">
          <cell r="C66" t="str">
            <v>Rear Load</v>
          </cell>
          <cell r="D66" t="str">
            <v>Rear Loader</v>
          </cell>
        </row>
        <row r="67">
          <cell r="C67" t="str">
            <v>Recycle Truck</v>
          </cell>
          <cell r="D67" t="str">
            <v>Recycle</v>
          </cell>
        </row>
        <row r="68">
          <cell r="C68" t="str">
            <v>Retriever</v>
          </cell>
          <cell r="D68" t="str">
            <v>Retriever</v>
          </cell>
        </row>
        <row r="69">
          <cell r="C69" t="str">
            <v>Roll Off</v>
          </cell>
          <cell r="D69" t="str">
            <v>Roll Off</v>
          </cell>
        </row>
        <row r="70">
          <cell r="C70" t="str">
            <v>Service Truck</v>
          </cell>
          <cell r="D70" t="str">
            <v>Serv Trk-Complete</v>
          </cell>
        </row>
        <row r="71">
          <cell r="C71" t="str">
            <v>Tipper Trailer</v>
          </cell>
          <cell r="D71" t="str">
            <v>Trailer</v>
          </cell>
        </row>
        <row r="72">
          <cell r="C72" t="str">
            <v>Walking Floor Trailer</v>
          </cell>
          <cell r="D72" t="str">
            <v>Trailer</v>
          </cell>
        </row>
        <row r="73">
          <cell r="C73" t="str">
            <v>Roll Off Pup Trailer</v>
          </cell>
          <cell r="D73" t="str">
            <v>Trailer</v>
          </cell>
        </row>
        <row r="74">
          <cell r="C74" t="str">
            <v>Barge</v>
          </cell>
          <cell r="D74" t="str">
            <v>Trailer</v>
          </cell>
        </row>
        <row r="75">
          <cell r="C75" t="str">
            <v>Railroad Cars</v>
          </cell>
          <cell r="D75" t="str">
            <v>Trailer</v>
          </cell>
        </row>
        <row r="76">
          <cell r="C76" t="str">
            <v>Container Delivery Trailer</v>
          </cell>
          <cell r="D76" t="str">
            <v>Trailer</v>
          </cell>
        </row>
        <row r="77">
          <cell r="C77" t="str">
            <v>Other Trailer</v>
          </cell>
          <cell r="D77" t="str">
            <v>Trailer</v>
          </cell>
        </row>
        <row r="78">
          <cell r="C78" t="str">
            <v>Transfer Tractor</v>
          </cell>
          <cell r="D78" t="str">
            <v>Transfer Tractor</v>
          </cell>
        </row>
        <row r="79">
          <cell r="C79" t="str">
            <v>Yard Mule</v>
          </cell>
          <cell r="D79" t="str">
            <v>Yard Mule</v>
          </cell>
        </row>
        <row r="80">
          <cell r="C80" t="str">
            <v>ATV/Gator</v>
          </cell>
          <cell r="D80" t="str">
            <v>Yard Mule</v>
          </cell>
        </row>
      </sheetData>
      <sheetData sheetId="8">
        <row r="7">
          <cell r="C7" t="str">
            <v>OK!: ReportRange Formula OK [jAction{}]</v>
          </cell>
        </row>
      </sheetData>
      <sheetData sheetId="9"/>
      <sheetData sheetId="10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ORS"/>
      <sheetName val="Budget"/>
      <sheetName val="Forecast"/>
      <sheetName val="Internal Rev Growth"/>
      <sheetName val="Rev Roll"/>
      <sheetName val="Intern of Wste"/>
      <sheetName val="Tonnage"/>
      <sheetName val="AR Analysis"/>
      <sheetName val="Cap X"/>
      <sheetName val="Goodwill"/>
      <sheetName val="Other Intangibles"/>
      <sheetName val="Debt Roll"/>
      <sheetName val="Env Liability"/>
      <sheetName val="Census"/>
      <sheetName val="Census Budget"/>
      <sheetName val="Jan"/>
      <sheetName val="Feb"/>
      <sheetName val="Mar"/>
      <sheetName val="Apr"/>
      <sheetName val="May"/>
      <sheetName val="Jun"/>
      <sheetName val="Jul"/>
      <sheetName val="Aug"/>
      <sheetName val="Sep"/>
      <sheetName val="Oct"/>
      <sheetName val="Nov"/>
      <sheetName val="Dec"/>
    </sheetNames>
    <sheetDataSet>
      <sheetData sheetId="0">
        <row r="5">
          <cell r="B5">
            <v>536</v>
          </cell>
        </row>
        <row r="7">
          <cell r="B7" t="str">
            <v>WM Grass Valley/Nevada City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rrorNote"/>
      <sheetName val="ControlPanel"/>
      <sheetName val="4MthProj1"/>
      <sheetName val="4MthProj2"/>
      <sheetName val="PL_ActReview"/>
      <sheetName val="PL_ActReview2"/>
      <sheetName val="BS_Close"/>
      <sheetName val="IS200PL"/>
      <sheetName val="PL_ActTranx"/>
      <sheetName val="IS210PL"/>
      <sheetName val="ProjRevCheck"/>
      <sheetName val="BDebtCheck"/>
      <sheetName val="52901Check"/>
      <sheetName val="ICCheck"/>
      <sheetName val="BSCheck"/>
      <sheetName val="BadJECheck"/>
      <sheetName val="JE_Review"/>
      <sheetName val="Proj1"/>
      <sheetName val="Proj2"/>
    </sheetNames>
    <sheetDataSet>
      <sheetData sheetId="0"/>
      <sheetData sheetId="1">
        <row r="2">
          <cell r="S2" t="str">
            <v>P&amp;L Close Report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f Rate Sheet"/>
      <sheetName val="ROE"/>
      <sheetName val="CostStudy"/>
      <sheetName val="Pro Forma"/>
      <sheetName val="LURITXPF AVG"/>
      <sheetName val="Price Out"/>
      <sheetName val="Summary Price Out"/>
      <sheetName val="Fly Sheet"/>
      <sheetName val="Comp Report"/>
      <sheetName val="Operations"/>
      <sheetName val="Assumptions"/>
      <sheetName val="Sch 1 - Restate Exp"/>
      <sheetName val="Sch 1, pg 2 - Restated"/>
      <sheetName val="Sch 2 - Forecast Exp"/>
      <sheetName val="Sch 2, pg 2 - Forecast"/>
      <sheetName val="Sch 3 - Reclass Exp"/>
      <sheetName val="Sch 3, pg 2 - Reclass"/>
      <sheetName val="Sch 4 - 12months"/>
      <sheetName val="WorkPapers"/>
      <sheetName val="WP-1 Exp Summary"/>
      <sheetName val="WP-1, pg 2 -  Expense Mat"/>
      <sheetName val="COS"/>
      <sheetName val="Annual Test Year Revenue"/>
      <sheetName val="WP-2 - Summary Depn"/>
      <sheetName val="WP-2. pg 2 -  Depn"/>
      <sheetName val="WP-3 - Labor Analysis"/>
      <sheetName val="WP-3, pg 2 -  Labor Increase"/>
      <sheetName val="WP-3, pg 3 -  Benefits Analysis"/>
      <sheetName val="WP-4 - Vehicle License"/>
      <sheetName val="WP-5 - Dues &amp; Sub"/>
      <sheetName val="WP-6 - CapitalStructure"/>
      <sheetName val="WP-7 - Affiliated "/>
      <sheetName val="WP-8 - Cust Counts (x per wk)"/>
      <sheetName val="WP-9 - Fuel"/>
      <sheetName val="IS-PBC"/>
      <sheetName val="Stud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10">
          <cell r="C10" t="str">
            <v>July</v>
          </cell>
          <cell r="D10" t="str">
            <v>August</v>
          </cell>
          <cell r="E10" t="str">
            <v>September</v>
          </cell>
          <cell r="F10" t="str">
            <v>October</v>
          </cell>
          <cell r="G10" t="str">
            <v>November</v>
          </cell>
          <cell r="H10" t="str">
            <v>December</v>
          </cell>
          <cell r="I10" t="str">
            <v>January</v>
          </cell>
          <cell r="J10" t="str">
            <v>February</v>
          </cell>
          <cell r="K10" t="str">
            <v>March</v>
          </cell>
          <cell r="L10" t="str">
            <v>April</v>
          </cell>
          <cell r="M10" t="str">
            <v>May</v>
          </cell>
          <cell r="N10" t="str">
            <v>June</v>
          </cell>
          <cell r="O10" t="str">
            <v>BOOKS</v>
          </cell>
        </row>
        <row r="11">
          <cell r="B11" t="str">
            <v>REVENUES</v>
          </cell>
        </row>
        <row r="12">
          <cell r="B12" t="str">
            <v>Residential</v>
          </cell>
          <cell r="C12">
            <v>174180.93</v>
          </cell>
          <cell r="D12">
            <v>173280.81</v>
          </cell>
          <cell r="E12">
            <v>173720.66</v>
          </cell>
          <cell r="F12">
            <v>174251.51999999999</v>
          </cell>
          <cell r="G12">
            <v>172742.2</v>
          </cell>
          <cell r="H12">
            <v>178132.76</v>
          </cell>
          <cell r="I12">
            <v>171317.32</v>
          </cell>
          <cell r="J12">
            <v>170743.6</v>
          </cell>
          <cell r="K12">
            <v>175193.55</v>
          </cell>
          <cell r="L12">
            <v>169715.71000000002</v>
          </cell>
          <cell r="M12">
            <v>171741.57</v>
          </cell>
          <cell r="N12">
            <v>172744.06</v>
          </cell>
          <cell r="O12">
            <v>2077764.6900000004</v>
          </cell>
        </row>
        <row r="13">
          <cell r="B13" t="str">
            <v>Commercial</v>
          </cell>
          <cell r="C13">
            <v>47309.79</v>
          </cell>
          <cell r="D13">
            <v>49650.83</v>
          </cell>
          <cell r="E13">
            <v>49046.720000000001</v>
          </cell>
          <cell r="F13">
            <v>51952.58</v>
          </cell>
          <cell r="G13">
            <v>50878.630000000005</v>
          </cell>
          <cell r="H13">
            <v>51199.67</v>
          </cell>
          <cell r="I13">
            <v>50673.659999999996</v>
          </cell>
          <cell r="J13">
            <v>50446.21</v>
          </cell>
          <cell r="K13">
            <v>50125.05</v>
          </cell>
          <cell r="L13">
            <v>50311.41</v>
          </cell>
          <cell r="M13">
            <v>49825.22</v>
          </cell>
          <cell r="N13">
            <v>48109.53</v>
          </cell>
          <cell r="O13">
            <v>599529.29999999993</v>
          </cell>
        </row>
        <row r="14">
          <cell r="B14" t="str">
            <v>Drop Box</v>
          </cell>
          <cell r="C14">
            <v>94770.37</v>
          </cell>
          <cell r="D14">
            <v>83414.399999999994</v>
          </cell>
          <cell r="E14">
            <v>70757</v>
          </cell>
          <cell r="F14">
            <v>93470.47</v>
          </cell>
          <cell r="G14">
            <v>77609.36</v>
          </cell>
          <cell r="H14">
            <v>78412.759999999995</v>
          </cell>
          <cell r="I14">
            <v>84127.209999999992</v>
          </cell>
          <cell r="J14">
            <v>73158.41</v>
          </cell>
          <cell r="K14">
            <v>67670.3</v>
          </cell>
          <cell r="L14">
            <v>146420.00999999998</v>
          </cell>
          <cell r="M14">
            <v>110569.68000000001</v>
          </cell>
          <cell r="N14">
            <v>117378.07</v>
          </cell>
          <cell r="O14">
            <v>1097758.04</v>
          </cell>
        </row>
        <row r="15">
          <cell r="B15" t="str">
            <v>Fuel Surcharge</v>
          </cell>
          <cell r="C15">
            <v>7080.29</v>
          </cell>
          <cell r="D15">
            <v>5415.91</v>
          </cell>
          <cell r="E15">
            <v>3962.36</v>
          </cell>
          <cell r="F15">
            <v>3711.91</v>
          </cell>
          <cell r="G15">
            <v>5004.82</v>
          </cell>
          <cell r="H15">
            <v>6228</v>
          </cell>
          <cell r="I15">
            <v>6504.57</v>
          </cell>
          <cell r="J15">
            <v>5362.94</v>
          </cell>
          <cell r="K15">
            <v>2299.0500000000002</v>
          </cell>
          <cell r="L15">
            <v>0</v>
          </cell>
          <cell r="M15">
            <v>0</v>
          </cell>
          <cell r="N15">
            <v>0</v>
          </cell>
          <cell r="O15">
            <v>45569.850000000006</v>
          </cell>
        </row>
        <row r="16">
          <cell r="B16" t="str">
            <v>Contract Hauling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 t="str">
            <v>Pass Thru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 t="str">
            <v>Kalama</v>
          </cell>
          <cell r="C18">
            <v>11685.96</v>
          </cell>
          <cell r="D18">
            <v>27113.64</v>
          </cell>
          <cell r="E18">
            <v>10043.36</v>
          </cell>
          <cell r="F18">
            <v>26012.52</v>
          </cell>
          <cell r="G18">
            <v>10203.26</v>
          </cell>
          <cell r="H18">
            <v>26231.71</v>
          </cell>
          <cell r="I18">
            <v>11775.31</v>
          </cell>
          <cell r="J18">
            <v>25567.59</v>
          </cell>
          <cell r="K18">
            <v>11624</v>
          </cell>
          <cell r="L18">
            <v>24865.22</v>
          </cell>
          <cell r="M18">
            <v>10928.64</v>
          </cell>
          <cell r="N18">
            <v>26085.200000000001</v>
          </cell>
          <cell r="O18">
            <v>222136.40999999997</v>
          </cell>
        </row>
        <row r="19">
          <cell r="B19" t="str">
            <v>Refunds</v>
          </cell>
          <cell r="C19">
            <v>0</v>
          </cell>
          <cell r="D19">
            <v>-293.45</v>
          </cell>
          <cell r="E19">
            <v>-1045.5</v>
          </cell>
          <cell r="F19">
            <v>-1708.6799999999998</v>
          </cell>
          <cell r="G19">
            <v>-1493.08</v>
          </cell>
          <cell r="H19">
            <v>-666.96</v>
          </cell>
          <cell r="I19">
            <v>-645.04</v>
          </cell>
          <cell r="J19">
            <v>0</v>
          </cell>
          <cell r="K19">
            <v>-1047.19</v>
          </cell>
          <cell r="L19">
            <v>-1848.9</v>
          </cell>
          <cell r="M19">
            <v>-900.50000000000011</v>
          </cell>
          <cell r="N19">
            <v>-93.44</v>
          </cell>
          <cell r="O19">
            <v>-9742.74</v>
          </cell>
        </row>
        <row r="20">
          <cell r="C20">
            <v>335027.33999999997</v>
          </cell>
          <cell r="D20">
            <v>338582.14</v>
          </cell>
          <cell r="E20">
            <v>306484.59999999998</v>
          </cell>
          <cell r="F20">
            <v>347690.31999999995</v>
          </cell>
          <cell r="G20">
            <v>314945.19</v>
          </cell>
          <cell r="H20">
            <v>339537.94</v>
          </cell>
          <cell r="I20">
            <v>323753.03000000003</v>
          </cell>
          <cell r="J20">
            <v>325278.75</v>
          </cell>
          <cell r="K20">
            <v>305864.75999999995</v>
          </cell>
          <cell r="L20">
            <v>389463.44999999995</v>
          </cell>
          <cell r="M20">
            <v>342164.61000000004</v>
          </cell>
          <cell r="N20">
            <v>364223.42000000004</v>
          </cell>
          <cell r="O20">
            <v>4033015.5500000003</v>
          </cell>
        </row>
        <row r="22">
          <cell r="B22" t="str">
            <v>OPERATING EXPENSES</v>
          </cell>
        </row>
        <row r="23">
          <cell r="B23" t="str">
            <v>Wages Drivers</v>
          </cell>
          <cell r="C23">
            <v>25914.53</v>
          </cell>
          <cell r="D23">
            <v>25612.28</v>
          </cell>
          <cell r="E23">
            <v>26860.720000000001</v>
          </cell>
          <cell r="F23">
            <v>22905.47</v>
          </cell>
          <cell r="G23">
            <v>24624.27</v>
          </cell>
          <cell r="H23">
            <v>34114.94</v>
          </cell>
          <cell r="I23">
            <v>27945.73</v>
          </cell>
          <cell r="J23">
            <v>27919.93</v>
          </cell>
          <cell r="K23">
            <v>31246.15</v>
          </cell>
          <cell r="L23">
            <v>28708.51</v>
          </cell>
          <cell r="M23">
            <v>30610.31</v>
          </cell>
          <cell r="N23">
            <v>32955.53</v>
          </cell>
          <cell r="O23">
            <v>339418.37</v>
          </cell>
        </row>
        <row r="24">
          <cell r="B24" t="str">
            <v>Wages Drop Box Drivers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 t="str">
            <v>Wages Mechanics</v>
          </cell>
          <cell r="C25">
            <v>12823.84</v>
          </cell>
          <cell r="D25">
            <v>16758.509999999998</v>
          </cell>
          <cell r="E25">
            <v>16738.03</v>
          </cell>
          <cell r="F25">
            <v>15679.32</v>
          </cell>
          <cell r="G25">
            <v>19706.93</v>
          </cell>
          <cell r="H25">
            <v>19005.95</v>
          </cell>
          <cell r="I25">
            <v>19410.27</v>
          </cell>
          <cell r="J25">
            <v>17054.080000000002</v>
          </cell>
          <cell r="K25">
            <v>20579.61</v>
          </cell>
          <cell r="L25">
            <v>21031.96</v>
          </cell>
          <cell r="M25">
            <v>23542.17</v>
          </cell>
          <cell r="N25">
            <v>21356.76</v>
          </cell>
          <cell r="O25">
            <v>223687.43</v>
          </cell>
        </row>
        <row r="26">
          <cell r="B26" t="str">
            <v>Wages Supervisor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 t="str">
            <v>Wages Extra Labor</v>
          </cell>
          <cell r="C27">
            <v>6623.09</v>
          </cell>
          <cell r="D27">
            <v>6114.4</v>
          </cell>
          <cell r="E27">
            <v>4761.58</v>
          </cell>
          <cell r="F27">
            <v>1667.53</v>
          </cell>
          <cell r="G27">
            <v>2320.4</v>
          </cell>
          <cell r="H27">
            <v>2540.62</v>
          </cell>
          <cell r="I27">
            <v>218.14</v>
          </cell>
          <cell r="J27">
            <v>248.16</v>
          </cell>
          <cell r="K27">
            <v>326.97000000000003</v>
          </cell>
          <cell r="L27">
            <v>-326.97000000000003</v>
          </cell>
          <cell r="M27">
            <v>0</v>
          </cell>
          <cell r="N27">
            <v>3574.45</v>
          </cell>
          <cell r="O27">
            <v>28068.37</v>
          </cell>
        </row>
        <row r="28">
          <cell r="B28" t="str">
            <v>Fringe Benefits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 t="str">
            <v>Contract Labor</v>
          </cell>
          <cell r="C29">
            <v>312.95999999999998</v>
          </cell>
          <cell r="D29">
            <v>309</v>
          </cell>
          <cell r="E29">
            <v>0</v>
          </cell>
          <cell r="F29">
            <v>550.20000000000005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1172.1600000000001</v>
          </cell>
        </row>
        <row r="30">
          <cell r="B30" t="str">
            <v>Maintenance</v>
          </cell>
          <cell r="C30">
            <v>7239.82</v>
          </cell>
          <cell r="D30">
            <v>10680.2</v>
          </cell>
          <cell r="E30">
            <v>7082.9800000000005</v>
          </cell>
          <cell r="F30">
            <v>17263.809999999998</v>
          </cell>
          <cell r="G30">
            <v>6765.65</v>
          </cell>
          <cell r="H30">
            <v>12578.570000000002</v>
          </cell>
          <cell r="I30">
            <v>8705</v>
          </cell>
          <cell r="J30">
            <v>8629.4699999999993</v>
          </cell>
          <cell r="K30">
            <v>12846.37</v>
          </cell>
          <cell r="L30">
            <v>9522.98</v>
          </cell>
          <cell r="M30">
            <v>6152.06</v>
          </cell>
          <cell r="N30">
            <v>12420.72</v>
          </cell>
          <cell r="O30">
            <v>119887.62999999999</v>
          </cell>
        </row>
        <row r="31">
          <cell r="B31" t="str">
            <v>Maintenance/ Cont./Dr Bx</v>
          </cell>
          <cell r="C31">
            <v>0</v>
          </cell>
          <cell r="D31">
            <v>0</v>
          </cell>
          <cell r="E31">
            <v>0</v>
          </cell>
          <cell r="F31">
            <v>410.72</v>
          </cell>
          <cell r="G31">
            <v>1250</v>
          </cell>
          <cell r="H31">
            <v>491.77</v>
          </cell>
          <cell r="I31">
            <v>341.34</v>
          </cell>
          <cell r="J31">
            <v>118.86</v>
          </cell>
          <cell r="K31">
            <v>0</v>
          </cell>
          <cell r="L31">
            <v>1620</v>
          </cell>
          <cell r="M31">
            <v>4860</v>
          </cell>
          <cell r="N31">
            <v>0</v>
          </cell>
          <cell r="O31">
            <v>9092.69</v>
          </cell>
        </row>
        <row r="32">
          <cell r="B32" t="str">
            <v>Truck Rental</v>
          </cell>
          <cell r="C32">
            <v>3000</v>
          </cell>
          <cell r="D32">
            <v>3000</v>
          </cell>
          <cell r="E32">
            <v>3000</v>
          </cell>
          <cell r="F32">
            <v>3000</v>
          </cell>
          <cell r="G32">
            <v>3000</v>
          </cell>
          <cell r="H32">
            <v>3000</v>
          </cell>
          <cell r="I32">
            <v>3000</v>
          </cell>
          <cell r="J32">
            <v>3000</v>
          </cell>
          <cell r="K32">
            <v>3000</v>
          </cell>
          <cell r="L32">
            <v>3000</v>
          </cell>
          <cell r="M32">
            <v>3000</v>
          </cell>
          <cell r="N32">
            <v>3000</v>
          </cell>
          <cell r="O32">
            <v>36000</v>
          </cell>
        </row>
        <row r="33">
          <cell r="B33" t="str">
            <v>Equipment Rent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 t="str">
            <v>Tires</v>
          </cell>
          <cell r="C34">
            <v>6067.27</v>
          </cell>
          <cell r="D34">
            <v>7800.67</v>
          </cell>
          <cell r="E34">
            <v>6023.77</v>
          </cell>
          <cell r="F34">
            <v>7511.52</v>
          </cell>
          <cell r="G34">
            <v>6007.28</v>
          </cell>
          <cell r="H34">
            <v>10259.75</v>
          </cell>
          <cell r="I34">
            <v>6118.4</v>
          </cell>
          <cell r="J34">
            <v>7359.39</v>
          </cell>
          <cell r="K34">
            <v>10000.81</v>
          </cell>
          <cell r="L34">
            <v>8372.99</v>
          </cell>
          <cell r="M34">
            <v>8042.56</v>
          </cell>
          <cell r="N34">
            <v>7165.97</v>
          </cell>
          <cell r="O34">
            <v>90730.38</v>
          </cell>
        </row>
        <row r="35">
          <cell r="B35" t="str">
            <v>Fuel</v>
          </cell>
          <cell r="C35">
            <v>26792.65</v>
          </cell>
          <cell r="D35">
            <v>28921.18</v>
          </cell>
          <cell r="E35">
            <v>24422.75</v>
          </cell>
          <cell r="F35">
            <v>28974.639999999999</v>
          </cell>
          <cell r="G35">
            <v>29501.34</v>
          </cell>
          <cell r="H35">
            <v>23414.98</v>
          </cell>
          <cell r="I35">
            <v>26385.67</v>
          </cell>
          <cell r="J35">
            <v>25155.59</v>
          </cell>
          <cell r="K35">
            <v>23578.45</v>
          </cell>
          <cell r="L35">
            <v>22344.26</v>
          </cell>
          <cell r="M35">
            <v>27773.759999999998</v>
          </cell>
          <cell r="N35">
            <v>24252.16</v>
          </cell>
          <cell r="O35">
            <v>311517.43</v>
          </cell>
        </row>
        <row r="36">
          <cell r="B36" t="str">
            <v>Contract Hauling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50197.35</v>
          </cell>
          <cell r="I36">
            <v>0</v>
          </cell>
          <cell r="J36">
            <v>0</v>
          </cell>
          <cell r="K36">
            <v>0</v>
          </cell>
          <cell r="L36">
            <v>59542.7</v>
          </cell>
          <cell r="M36">
            <v>0</v>
          </cell>
          <cell r="N36">
            <v>44344.66</v>
          </cell>
          <cell r="O36">
            <v>154084.71</v>
          </cell>
        </row>
        <row r="37">
          <cell r="B37" t="str">
            <v>Disposal Fees - Cowlitz County</v>
          </cell>
          <cell r="C37">
            <v>44780.83</v>
          </cell>
          <cell r="D37">
            <v>44188.160000000003</v>
          </cell>
          <cell r="E37">
            <v>39947.22</v>
          </cell>
          <cell r="F37">
            <v>46320.47</v>
          </cell>
          <cell r="G37">
            <v>45874.43</v>
          </cell>
          <cell r="H37">
            <v>41319.96</v>
          </cell>
          <cell r="I37">
            <v>42529.11</v>
          </cell>
          <cell r="J37">
            <v>36778.39</v>
          </cell>
          <cell r="K37">
            <v>39433.089999999997</v>
          </cell>
          <cell r="L37">
            <v>44657.21</v>
          </cell>
          <cell r="M37">
            <v>47362.61</v>
          </cell>
          <cell r="N37">
            <v>43503.02</v>
          </cell>
          <cell r="O37">
            <v>516694.50000000006</v>
          </cell>
        </row>
        <row r="38">
          <cell r="B38" t="str">
            <v>Disposal Fees - G-49 Packers</v>
          </cell>
          <cell r="C38">
            <v>5714.76</v>
          </cell>
          <cell r="D38">
            <v>6421.61</v>
          </cell>
          <cell r="E38">
            <v>4966.8900000000003</v>
          </cell>
          <cell r="F38">
            <v>4960.78</v>
          </cell>
          <cell r="G38">
            <v>5678.92</v>
          </cell>
          <cell r="H38">
            <v>4505.8500000000004</v>
          </cell>
          <cell r="I38">
            <v>4919.96</v>
          </cell>
          <cell r="J38">
            <v>1591.94</v>
          </cell>
          <cell r="K38">
            <v>4801.6400000000003</v>
          </cell>
          <cell r="L38">
            <v>4888.91</v>
          </cell>
          <cell r="M38">
            <v>5858.33</v>
          </cell>
          <cell r="N38">
            <v>5663.28</v>
          </cell>
          <cell r="O38">
            <v>59972.869999999995</v>
          </cell>
        </row>
        <row r="39">
          <cell r="B39" t="str">
            <v xml:space="preserve">Disposal Fees - G-49 </v>
          </cell>
          <cell r="C39">
            <v>2077.61</v>
          </cell>
          <cell r="D39">
            <v>1437.55</v>
          </cell>
          <cell r="E39">
            <v>1615.08</v>
          </cell>
          <cell r="F39">
            <v>2195.63</v>
          </cell>
          <cell r="G39">
            <v>2273.08</v>
          </cell>
          <cell r="H39">
            <v>665.8</v>
          </cell>
          <cell r="I39">
            <v>1985.48</v>
          </cell>
          <cell r="J39">
            <v>4490.55</v>
          </cell>
          <cell r="K39">
            <v>1440.9</v>
          </cell>
          <cell r="L39">
            <v>1575.56</v>
          </cell>
          <cell r="M39">
            <v>2304.38</v>
          </cell>
          <cell r="N39">
            <v>2752.72</v>
          </cell>
          <cell r="O39">
            <v>24814.340000000004</v>
          </cell>
        </row>
        <row r="40">
          <cell r="B40" t="str">
            <v>Disposal Fees Pass Thru</v>
          </cell>
          <cell r="C40">
            <v>42374.07</v>
          </cell>
          <cell r="D40">
            <v>34971.360000000001</v>
          </cell>
          <cell r="E40">
            <v>27081.54</v>
          </cell>
          <cell r="F40">
            <v>38805.300000000003</v>
          </cell>
          <cell r="G40">
            <v>31798.17</v>
          </cell>
          <cell r="H40">
            <v>34705.86</v>
          </cell>
          <cell r="I40">
            <v>35911.43</v>
          </cell>
          <cell r="J40">
            <v>31325.59</v>
          </cell>
          <cell r="K40">
            <v>32623.84</v>
          </cell>
          <cell r="L40">
            <v>35705.51</v>
          </cell>
          <cell r="M40">
            <v>35867.86</v>
          </cell>
          <cell r="N40">
            <v>35870.61</v>
          </cell>
          <cell r="O40">
            <v>417041.14</v>
          </cell>
        </row>
        <row r="41">
          <cell r="B41" t="str">
            <v>Stormwater management</v>
          </cell>
          <cell r="C41">
            <v>1000</v>
          </cell>
          <cell r="D41">
            <v>1000</v>
          </cell>
          <cell r="E41">
            <v>1000</v>
          </cell>
          <cell r="F41">
            <v>1000</v>
          </cell>
          <cell r="G41">
            <v>1000</v>
          </cell>
          <cell r="H41">
            <v>1000</v>
          </cell>
          <cell r="I41">
            <v>1000</v>
          </cell>
          <cell r="J41">
            <v>1000</v>
          </cell>
          <cell r="K41">
            <v>1000</v>
          </cell>
          <cell r="L41">
            <v>1000</v>
          </cell>
          <cell r="M41">
            <v>1000</v>
          </cell>
          <cell r="N41">
            <v>1000</v>
          </cell>
          <cell r="O41">
            <v>12000</v>
          </cell>
        </row>
        <row r="42">
          <cell r="B42" t="str">
            <v>Liability Insurance</v>
          </cell>
          <cell r="C42">
            <v>2451.96</v>
          </cell>
          <cell r="D42">
            <v>2451.96</v>
          </cell>
          <cell r="E42">
            <v>2451.96</v>
          </cell>
          <cell r="F42">
            <v>2337.96</v>
          </cell>
          <cell r="G42">
            <v>2451.96</v>
          </cell>
          <cell r="H42">
            <v>2451.96</v>
          </cell>
          <cell r="I42">
            <v>2261.9499999999998</v>
          </cell>
          <cell r="J42">
            <v>2261.9499999999998</v>
          </cell>
          <cell r="K42">
            <v>2261.9499999999998</v>
          </cell>
          <cell r="L42">
            <v>2261.9499999999998</v>
          </cell>
          <cell r="M42">
            <v>2261.9499999999998</v>
          </cell>
          <cell r="N42">
            <v>2261.96</v>
          </cell>
          <cell r="O42">
            <v>28169.47</v>
          </cell>
        </row>
        <row r="43">
          <cell r="B43" t="str">
            <v>Officer Salaries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 t="str">
            <v>Office Salaries</v>
          </cell>
          <cell r="C44">
            <v>14703.57</v>
          </cell>
          <cell r="D44">
            <v>16008.8</v>
          </cell>
          <cell r="E44">
            <v>18022.36</v>
          </cell>
          <cell r="F44">
            <v>16033.94</v>
          </cell>
          <cell r="G44">
            <v>16714.990000000002</v>
          </cell>
          <cell r="H44">
            <v>18842.7</v>
          </cell>
          <cell r="I44">
            <v>16418.29</v>
          </cell>
          <cell r="J44">
            <v>15327.01</v>
          </cell>
          <cell r="K44">
            <v>17203.59</v>
          </cell>
          <cell r="L44">
            <v>15963.53</v>
          </cell>
          <cell r="M44">
            <v>17123.25</v>
          </cell>
          <cell r="N44">
            <v>18468.03</v>
          </cell>
          <cell r="O44">
            <v>200830.06</v>
          </cell>
        </row>
        <row r="45">
          <cell r="B45" t="str">
            <v>Management Fees</v>
          </cell>
          <cell r="C45">
            <v>15000</v>
          </cell>
          <cell r="D45">
            <v>15000</v>
          </cell>
          <cell r="E45">
            <v>15000</v>
          </cell>
          <cell r="F45">
            <v>15000</v>
          </cell>
          <cell r="G45">
            <v>15000</v>
          </cell>
          <cell r="H45">
            <v>15000</v>
          </cell>
          <cell r="I45">
            <v>15000</v>
          </cell>
          <cell r="J45">
            <v>15000</v>
          </cell>
          <cell r="K45">
            <v>15000</v>
          </cell>
          <cell r="L45">
            <v>15000</v>
          </cell>
          <cell r="M45">
            <v>15000</v>
          </cell>
          <cell r="N45">
            <v>15000</v>
          </cell>
          <cell r="O45">
            <v>180000</v>
          </cell>
        </row>
        <row r="46">
          <cell r="B46" t="str">
            <v>Bad Debt Expense</v>
          </cell>
          <cell r="C46">
            <v>1492.98</v>
          </cell>
          <cell r="D46">
            <v>3927.6699999999992</v>
          </cell>
          <cell r="E46">
            <v>2901.04</v>
          </cell>
          <cell r="F46">
            <v>1615.34</v>
          </cell>
          <cell r="G46">
            <v>3780.5699999999997</v>
          </cell>
          <cell r="H46">
            <v>15379.85</v>
          </cell>
          <cell r="I46">
            <v>8831.99</v>
          </cell>
          <cell r="J46">
            <v>4601.5</v>
          </cell>
          <cell r="K46">
            <v>3034.8</v>
          </cell>
          <cell r="L46">
            <v>-939.91</v>
          </cell>
          <cell r="M46">
            <v>1362.4299999999998</v>
          </cell>
          <cell r="N46">
            <v>4179.01</v>
          </cell>
          <cell r="O46">
            <v>50167.27</v>
          </cell>
        </row>
        <row r="47">
          <cell r="B47" t="str">
            <v>Office Supply</v>
          </cell>
          <cell r="C47">
            <v>4318.51</v>
          </cell>
          <cell r="D47">
            <v>4748.49</v>
          </cell>
          <cell r="E47">
            <v>5046.9399999999996</v>
          </cell>
          <cell r="F47">
            <v>4715.07</v>
          </cell>
          <cell r="G47">
            <v>5303.17</v>
          </cell>
          <cell r="H47">
            <v>6065.01</v>
          </cell>
          <cell r="I47">
            <v>3913.67</v>
          </cell>
          <cell r="J47">
            <v>3599.26</v>
          </cell>
          <cell r="K47">
            <v>3683.92</v>
          </cell>
          <cell r="L47">
            <v>4149.17</v>
          </cell>
          <cell r="M47">
            <v>3015.0299999999997</v>
          </cell>
          <cell r="N47">
            <v>4175.4799999999996</v>
          </cell>
          <cell r="O47">
            <v>52733.72</v>
          </cell>
        </row>
        <row r="48">
          <cell r="B48" t="str">
            <v>Postage</v>
          </cell>
          <cell r="C48">
            <v>350</v>
          </cell>
          <cell r="D48">
            <v>0</v>
          </cell>
          <cell r="E48">
            <v>0</v>
          </cell>
          <cell r="F48">
            <v>350</v>
          </cell>
          <cell r="G48">
            <v>0</v>
          </cell>
          <cell r="H48">
            <v>200</v>
          </cell>
          <cell r="I48">
            <v>0</v>
          </cell>
          <cell r="J48">
            <v>90.47</v>
          </cell>
          <cell r="K48">
            <v>0</v>
          </cell>
          <cell r="L48">
            <v>300</v>
          </cell>
          <cell r="M48">
            <v>94.19</v>
          </cell>
          <cell r="N48">
            <v>300</v>
          </cell>
          <cell r="O48">
            <v>1684.66</v>
          </cell>
        </row>
        <row r="49">
          <cell r="B49" t="str">
            <v>Bank Charges</v>
          </cell>
          <cell r="C49">
            <v>447.54</v>
          </cell>
          <cell r="D49">
            <v>262.07</v>
          </cell>
          <cell r="E49">
            <v>362.1</v>
          </cell>
          <cell r="F49">
            <v>376.24</v>
          </cell>
          <cell r="G49">
            <v>460.67</v>
          </cell>
          <cell r="H49">
            <v>317.61</v>
          </cell>
          <cell r="I49">
            <v>395.2</v>
          </cell>
          <cell r="J49">
            <v>347.85</v>
          </cell>
          <cell r="K49">
            <v>523.35</v>
          </cell>
          <cell r="L49">
            <v>385.77</v>
          </cell>
          <cell r="M49">
            <v>436.54</v>
          </cell>
          <cell r="N49">
            <v>314.5</v>
          </cell>
          <cell r="O49">
            <v>4629.4399999999996</v>
          </cell>
        </row>
        <row r="50">
          <cell r="B50" t="str">
            <v>Maintenance</v>
          </cell>
          <cell r="C50">
            <v>141.12</v>
          </cell>
          <cell r="D50">
            <v>825.32999999999993</v>
          </cell>
          <cell r="E50">
            <v>634.54</v>
          </cell>
          <cell r="F50">
            <v>1633.31</v>
          </cell>
          <cell r="G50">
            <v>499.07</v>
          </cell>
          <cell r="H50">
            <v>221.97</v>
          </cell>
          <cell r="I50">
            <v>857.36</v>
          </cell>
          <cell r="J50">
            <v>0</v>
          </cell>
          <cell r="K50">
            <v>15.95</v>
          </cell>
          <cell r="L50">
            <v>361.08</v>
          </cell>
          <cell r="M50">
            <v>1058.49</v>
          </cell>
          <cell r="N50">
            <v>2850.03</v>
          </cell>
          <cell r="O50">
            <v>9098.25</v>
          </cell>
        </row>
        <row r="51">
          <cell r="B51" t="str">
            <v>Rate Case Expense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 t="str">
            <v>Accounting</v>
          </cell>
          <cell r="C52">
            <v>377.3</v>
          </cell>
          <cell r="D52">
            <v>2382.6</v>
          </cell>
          <cell r="E52">
            <v>0</v>
          </cell>
          <cell r="F52">
            <v>1852.4</v>
          </cell>
          <cell r="G52">
            <v>271.60000000000002</v>
          </cell>
          <cell r="H52">
            <v>889.4</v>
          </cell>
          <cell r="I52">
            <v>264</v>
          </cell>
          <cell r="J52">
            <v>253</v>
          </cell>
          <cell r="K52">
            <v>0</v>
          </cell>
          <cell r="L52">
            <v>3905.8</v>
          </cell>
          <cell r="M52">
            <v>6436.05</v>
          </cell>
          <cell r="N52">
            <v>1026</v>
          </cell>
          <cell r="O52">
            <v>17658.150000000001</v>
          </cell>
        </row>
        <row r="53">
          <cell r="B53" t="str">
            <v>Legal</v>
          </cell>
          <cell r="C53">
            <v>0</v>
          </cell>
          <cell r="D53">
            <v>277.39999999999998</v>
          </cell>
          <cell r="E53">
            <v>79.2</v>
          </cell>
          <cell r="F53">
            <v>0</v>
          </cell>
          <cell r="G53">
            <v>2725</v>
          </cell>
          <cell r="H53">
            <v>0</v>
          </cell>
          <cell r="I53">
            <v>1100</v>
          </cell>
          <cell r="J53">
            <v>0</v>
          </cell>
          <cell r="K53">
            <v>1125</v>
          </cell>
          <cell r="L53">
            <v>0</v>
          </cell>
          <cell r="M53">
            <v>0</v>
          </cell>
          <cell r="N53">
            <v>1458.33</v>
          </cell>
          <cell r="O53">
            <v>6764.93</v>
          </cell>
        </row>
        <row r="54">
          <cell r="B54" t="str">
            <v>WUTC Fee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16778.560000000001</v>
          </cell>
          <cell r="M54">
            <v>30.65</v>
          </cell>
          <cell r="N54">
            <v>0</v>
          </cell>
          <cell r="O54">
            <v>16809.210000000003</v>
          </cell>
        </row>
        <row r="55">
          <cell r="B55" t="str">
            <v>Franchise</v>
          </cell>
          <cell r="C55">
            <v>761.15</v>
          </cell>
          <cell r="D55">
            <v>588.66</v>
          </cell>
          <cell r="E55">
            <v>485.63</v>
          </cell>
          <cell r="F55">
            <v>716.57</v>
          </cell>
          <cell r="G55">
            <v>665.06</v>
          </cell>
          <cell r="H55">
            <v>624.52</v>
          </cell>
          <cell r="I55">
            <v>668.46</v>
          </cell>
          <cell r="J55">
            <v>736.87</v>
          </cell>
          <cell r="K55">
            <v>640.67999999999995</v>
          </cell>
          <cell r="L55">
            <v>572.41</v>
          </cell>
          <cell r="M55">
            <v>686.89</v>
          </cell>
          <cell r="N55">
            <v>564</v>
          </cell>
          <cell r="O55">
            <v>7710.9000000000005</v>
          </cell>
        </row>
        <row r="56">
          <cell r="B56" t="str">
            <v>Communications</v>
          </cell>
          <cell r="C56">
            <v>1485.08</v>
          </cell>
          <cell r="D56">
            <v>1681.71</v>
          </cell>
          <cell r="E56">
            <v>1611.77</v>
          </cell>
          <cell r="F56">
            <v>1923.83</v>
          </cell>
          <cell r="G56">
            <v>1462.07</v>
          </cell>
          <cell r="H56">
            <v>3733.84</v>
          </cell>
          <cell r="I56">
            <v>1723.96</v>
          </cell>
          <cell r="J56">
            <v>442.29</v>
          </cell>
          <cell r="K56">
            <v>1595.51</v>
          </cell>
          <cell r="L56">
            <v>1087.24</v>
          </cell>
          <cell r="M56">
            <v>1114.52</v>
          </cell>
          <cell r="N56">
            <v>1295.8</v>
          </cell>
          <cell r="O56">
            <v>19157.62</v>
          </cell>
        </row>
        <row r="57">
          <cell r="B57" t="str">
            <v>Utilities</v>
          </cell>
          <cell r="C57">
            <v>3540.79</v>
          </cell>
          <cell r="D57">
            <v>4687.87</v>
          </cell>
          <cell r="E57">
            <v>5805.68</v>
          </cell>
          <cell r="F57">
            <v>6407.79</v>
          </cell>
          <cell r="G57">
            <v>6200.55</v>
          </cell>
          <cell r="H57">
            <v>3914.38</v>
          </cell>
          <cell r="I57">
            <v>5517.2</v>
          </cell>
          <cell r="J57">
            <v>5876.54</v>
          </cell>
          <cell r="K57">
            <v>2912.57</v>
          </cell>
          <cell r="L57">
            <v>4981.25</v>
          </cell>
          <cell r="M57">
            <v>5160.37</v>
          </cell>
          <cell r="N57">
            <v>4818.08</v>
          </cell>
          <cell r="O57">
            <v>59823.070000000007</v>
          </cell>
        </row>
        <row r="58">
          <cell r="B58" t="str">
            <v>Laundry/Uniforms</v>
          </cell>
          <cell r="C58">
            <v>1759.71</v>
          </cell>
          <cell r="D58">
            <v>2344.33</v>
          </cell>
          <cell r="E58">
            <v>2202.5700000000002</v>
          </cell>
          <cell r="F58">
            <v>2348.59</v>
          </cell>
          <cell r="G58">
            <v>2092.77</v>
          </cell>
          <cell r="H58">
            <v>2451.9899999999998</v>
          </cell>
          <cell r="I58">
            <v>2760.65</v>
          </cell>
          <cell r="J58">
            <v>1809.44</v>
          </cell>
          <cell r="K58">
            <v>0</v>
          </cell>
          <cell r="L58">
            <v>872.81</v>
          </cell>
          <cell r="M58">
            <v>540.57000000000005</v>
          </cell>
          <cell r="N58">
            <v>0</v>
          </cell>
          <cell r="O58">
            <v>19183.43</v>
          </cell>
        </row>
        <row r="59">
          <cell r="B59" t="str">
            <v>Miscellaneous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 t="str">
            <v>Dues and Subscriptions</v>
          </cell>
          <cell r="C60">
            <v>1300</v>
          </cell>
          <cell r="D60">
            <v>1300</v>
          </cell>
          <cell r="E60">
            <v>1300</v>
          </cell>
          <cell r="F60">
            <v>1727.23</v>
          </cell>
          <cell r="G60">
            <v>1726.48</v>
          </cell>
          <cell r="H60">
            <v>1446.29</v>
          </cell>
          <cell r="I60">
            <v>1300</v>
          </cell>
          <cell r="J60">
            <v>1300</v>
          </cell>
          <cell r="K60">
            <v>1300</v>
          </cell>
          <cell r="L60">
            <v>1300</v>
          </cell>
          <cell r="M60">
            <v>1300</v>
          </cell>
          <cell r="N60">
            <v>1300</v>
          </cell>
          <cell r="O60">
            <v>16600</v>
          </cell>
        </row>
        <row r="61">
          <cell r="B61" t="str">
            <v>Dues Non-deductible</v>
          </cell>
          <cell r="C61">
            <v>0</v>
          </cell>
          <cell r="D61">
            <v>0</v>
          </cell>
          <cell r="E61">
            <v>1100</v>
          </cell>
          <cell r="F61">
            <v>0</v>
          </cell>
          <cell r="G61">
            <v>600</v>
          </cell>
          <cell r="H61">
            <v>172.16</v>
          </cell>
          <cell r="I61">
            <v>441.62</v>
          </cell>
          <cell r="J61">
            <v>0</v>
          </cell>
          <cell r="K61">
            <v>0</v>
          </cell>
          <cell r="L61">
            <v>428.63</v>
          </cell>
          <cell r="M61">
            <v>441.38</v>
          </cell>
          <cell r="N61">
            <v>498.28</v>
          </cell>
          <cell r="O61">
            <v>3682.0700000000006</v>
          </cell>
        </row>
        <row r="62">
          <cell r="B62" t="str">
            <v>Travel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717.44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717.44</v>
          </cell>
        </row>
        <row r="63">
          <cell r="B63" t="str">
            <v>Seminars</v>
          </cell>
          <cell r="C63">
            <v>0</v>
          </cell>
          <cell r="D63">
            <v>0</v>
          </cell>
          <cell r="E63">
            <v>0</v>
          </cell>
          <cell r="F63">
            <v>1315</v>
          </cell>
          <cell r="G63">
            <v>1325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750</v>
          </cell>
          <cell r="N63">
            <v>2580</v>
          </cell>
          <cell r="O63">
            <v>5970</v>
          </cell>
        </row>
        <row r="64">
          <cell r="B64" t="str">
            <v>Meals and Entertainment</v>
          </cell>
          <cell r="C64">
            <v>0</v>
          </cell>
          <cell r="D64">
            <v>0</v>
          </cell>
          <cell r="E64">
            <v>28.48</v>
          </cell>
          <cell r="F64">
            <v>0</v>
          </cell>
          <cell r="G64">
            <v>0</v>
          </cell>
          <cell r="H64">
            <v>0</v>
          </cell>
          <cell r="I64">
            <v>120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148.47999999999999</v>
          </cell>
        </row>
        <row r="65">
          <cell r="B65" t="str">
            <v>Advertising</v>
          </cell>
          <cell r="C65">
            <v>118.55</v>
          </cell>
          <cell r="D65">
            <v>212.95</v>
          </cell>
          <cell r="E65">
            <v>118.55</v>
          </cell>
          <cell r="F65">
            <v>118.55</v>
          </cell>
          <cell r="G65">
            <v>118.55</v>
          </cell>
          <cell r="H65">
            <v>158.43</v>
          </cell>
          <cell r="I65">
            <v>245.39</v>
          </cell>
          <cell r="J65">
            <v>118.55</v>
          </cell>
          <cell r="K65">
            <v>118.55</v>
          </cell>
          <cell r="L65">
            <v>118.55</v>
          </cell>
          <cell r="M65">
            <v>410.83</v>
          </cell>
          <cell r="N65">
            <v>124.7</v>
          </cell>
          <cell r="O65">
            <v>1982.1499999999996</v>
          </cell>
        </row>
        <row r="66">
          <cell r="B66" t="str">
            <v>Truck License</v>
          </cell>
          <cell r="C66">
            <v>92.75</v>
          </cell>
          <cell r="D66">
            <v>0</v>
          </cell>
          <cell r="E66">
            <v>1548</v>
          </cell>
          <cell r="F66">
            <v>735</v>
          </cell>
          <cell r="G66">
            <v>1599</v>
          </cell>
          <cell r="H66">
            <v>0</v>
          </cell>
          <cell r="I66">
            <v>798</v>
          </cell>
          <cell r="J66">
            <v>126</v>
          </cell>
          <cell r="K66">
            <v>1416</v>
          </cell>
          <cell r="L66">
            <v>718</v>
          </cell>
          <cell r="M66">
            <v>0</v>
          </cell>
          <cell r="N66">
            <v>80.75</v>
          </cell>
          <cell r="O66">
            <v>7113.5</v>
          </cell>
        </row>
        <row r="67">
          <cell r="B67" t="str">
            <v>Taxes and licensing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 t="str">
            <v>Permits</v>
          </cell>
          <cell r="C68">
            <v>45</v>
          </cell>
          <cell r="D68">
            <v>69</v>
          </cell>
          <cell r="E68">
            <v>0</v>
          </cell>
          <cell r="F68">
            <v>0</v>
          </cell>
          <cell r="G68">
            <v>0</v>
          </cell>
          <cell r="H68">
            <v>113.92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48</v>
          </cell>
          <cell r="N68">
            <v>0</v>
          </cell>
          <cell r="O68">
            <v>275.92</v>
          </cell>
        </row>
        <row r="69">
          <cell r="B69" t="str">
            <v>Contributions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100</v>
          </cell>
          <cell r="K69">
            <v>0</v>
          </cell>
          <cell r="L69">
            <v>750</v>
          </cell>
          <cell r="M69">
            <v>0</v>
          </cell>
          <cell r="N69">
            <v>300</v>
          </cell>
          <cell r="O69">
            <v>1150</v>
          </cell>
        </row>
        <row r="70">
          <cell r="B70" t="str">
            <v>B &amp; O Tax</v>
          </cell>
          <cell r="C70">
            <v>4485.3100000000004</v>
          </cell>
          <cell r="D70">
            <v>4316.3200000000006</v>
          </cell>
          <cell r="E70">
            <v>4219.34</v>
          </cell>
          <cell r="F70">
            <v>4511.91</v>
          </cell>
          <cell r="G70">
            <v>4344.54</v>
          </cell>
          <cell r="H70">
            <v>9459.91</v>
          </cell>
          <cell r="I70">
            <v>4372.21</v>
          </cell>
          <cell r="J70">
            <v>5016.0600000000004</v>
          </cell>
          <cell r="K70">
            <v>4073.7200000000003</v>
          </cell>
          <cell r="L70">
            <v>7179.7800000000007</v>
          </cell>
          <cell r="M70">
            <v>12349.94</v>
          </cell>
          <cell r="N70">
            <v>6934.43</v>
          </cell>
          <cell r="O70">
            <v>71263.47</v>
          </cell>
        </row>
        <row r="71">
          <cell r="B71" t="str">
            <v>Land Rent</v>
          </cell>
          <cell r="C71">
            <v>11500</v>
          </cell>
          <cell r="D71">
            <v>11500</v>
          </cell>
          <cell r="E71">
            <v>11500</v>
          </cell>
          <cell r="F71">
            <v>11500</v>
          </cell>
          <cell r="G71">
            <v>11500</v>
          </cell>
          <cell r="H71">
            <v>11500</v>
          </cell>
          <cell r="I71">
            <v>11500</v>
          </cell>
          <cell r="J71">
            <v>11500</v>
          </cell>
          <cell r="K71">
            <v>11500</v>
          </cell>
          <cell r="L71">
            <v>11500</v>
          </cell>
          <cell r="M71">
            <v>11500</v>
          </cell>
          <cell r="N71">
            <v>11500</v>
          </cell>
          <cell r="O71">
            <v>138000</v>
          </cell>
        </row>
        <row r="72">
          <cell r="B72" t="str">
            <v>Computer Expense</v>
          </cell>
          <cell r="C72">
            <v>0</v>
          </cell>
          <cell r="D72">
            <v>698.39</v>
          </cell>
          <cell r="E72">
            <v>0</v>
          </cell>
          <cell r="F72">
            <v>1298.3900000000001</v>
          </cell>
          <cell r="G72">
            <v>0</v>
          </cell>
          <cell r="H72">
            <v>1198.3900000000001</v>
          </cell>
          <cell r="I72">
            <v>232.8</v>
          </cell>
          <cell r="J72">
            <v>0</v>
          </cell>
          <cell r="K72">
            <v>698.39</v>
          </cell>
          <cell r="L72">
            <v>590</v>
          </cell>
          <cell r="M72">
            <v>232.8</v>
          </cell>
          <cell r="N72">
            <v>232.95</v>
          </cell>
          <cell r="O72">
            <v>5182.1100000000006</v>
          </cell>
        </row>
        <row r="73">
          <cell r="B73" t="str">
            <v>Workmen’s Comp</v>
          </cell>
          <cell r="C73">
            <v>0</v>
          </cell>
          <cell r="D73">
            <v>566.74</v>
          </cell>
          <cell r="E73">
            <v>10778.8</v>
          </cell>
          <cell r="F73">
            <v>0</v>
          </cell>
          <cell r="G73">
            <v>592.83000000000004</v>
          </cell>
          <cell r="H73">
            <v>9930.74</v>
          </cell>
          <cell r="I73">
            <v>0</v>
          </cell>
          <cell r="J73">
            <v>546.19000000000005</v>
          </cell>
          <cell r="K73">
            <v>10546.72</v>
          </cell>
          <cell r="L73">
            <v>580.07000000000005</v>
          </cell>
          <cell r="M73">
            <v>0</v>
          </cell>
          <cell r="N73">
            <v>2439.7600000000002</v>
          </cell>
          <cell r="O73">
            <v>35981.85</v>
          </cell>
        </row>
        <row r="74">
          <cell r="B74" t="str">
            <v>Payroll Taxes</v>
          </cell>
          <cell r="C74">
            <v>4840.6099999999997</v>
          </cell>
          <cell r="D74">
            <v>4829.1499999999996</v>
          </cell>
          <cell r="E74">
            <v>6169.2699999999995</v>
          </cell>
          <cell r="F74">
            <v>4390.2299999999996</v>
          </cell>
          <cell r="G74">
            <v>4742.8900000000003</v>
          </cell>
          <cell r="H74">
            <v>6197.079999999999</v>
          </cell>
          <cell r="I74">
            <v>5185.53</v>
          </cell>
          <cell r="J74">
            <v>4505.6099999999997</v>
          </cell>
          <cell r="K74">
            <v>8214.2199999999993</v>
          </cell>
          <cell r="L74">
            <v>5069.12</v>
          </cell>
          <cell r="M74">
            <v>5299.01</v>
          </cell>
          <cell r="N74">
            <v>7884.2300000000005</v>
          </cell>
          <cell r="O74">
            <v>67326.95</v>
          </cell>
        </row>
        <row r="75">
          <cell r="B75" t="str">
            <v>Employee Relations</v>
          </cell>
          <cell r="C75">
            <v>1255.4100000000001</v>
          </cell>
          <cell r="D75">
            <v>1846.92</v>
          </cell>
          <cell r="E75">
            <v>1509.96</v>
          </cell>
          <cell r="F75">
            <v>3349.65</v>
          </cell>
          <cell r="G75">
            <v>3552.83</v>
          </cell>
          <cell r="H75">
            <v>4626.29</v>
          </cell>
          <cell r="I75">
            <v>1299.8</v>
          </cell>
          <cell r="J75">
            <v>1088</v>
          </cell>
          <cell r="K75">
            <v>1381.25</v>
          </cell>
          <cell r="L75">
            <v>1075</v>
          </cell>
          <cell r="M75">
            <v>1562.01</v>
          </cell>
          <cell r="N75">
            <v>1392.5</v>
          </cell>
          <cell r="O75">
            <v>23939.62</v>
          </cell>
        </row>
        <row r="76">
          <cell r="B76" t="str">
            <v>Life Insurance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73.099999999999994</v>
          </cell>
          <cell r="J76">
            <v>73.099999999999994</v>
          </cell>
          <cell r="K76">
            <v>0</v>
          </cell>
          <cell r="L76">
            <v>167.7</v>
          </cell>
          <cell r="M76">
            <v>55.9</v>
          </cell>
          <cell r="N76">
            <v>77.400000000000006</v>
          </cell>
          <cell r="O76">
            <v>447.19999999999993</v>
          </cell>
        </row>
        <row r="77">
          <cell r="B77" t="str">
            <v>Counseling Services</v>
          </cell>
          <cell r="C77">
            <v>154.38</v>
          </cell>
          <cell r="D77">
            <v>154.38</v>
          </cell>
          <cell r="E77">
            <v>154.38</v>
          </cell>
          <cell r="F77">
            <v>154.38</v>
          </cell>
          <cell r="G77">
            <v>154.38</v>
          </cell>
          <cell r="H77">
            <v>154.38</v>
          </cell>
          <cell r="I77">
            <v>154.38</v>
          </cell>
          <cell r="J77">
            <v>154.38</v>
          </cell>
          <cell r="K77">
            <v>154.38</v>
          </cell>
          <cell r="L77">
            <v>154.38</v>
          </cell>
          <cell r="M77">
            <v>154.38</v>
          </cell>
          <cell r="N77">
            <v>154.38</v>
          </cell>
          <cell r="O77">
            <v>1852.5600000000004</v>
          </cell>
        </row>
        <row r="78">
          <cell r="B78" t="str">
            <v>Employee Medical Insurance</v>
          </cell>
          <cell r="C78">
            <v>8800.4399999999987</v>
          </cell>
          <cell r="D78">
            <v>7888.28</v>
          </cell>
          <cell r="E78">
            <v>7891.97</v>
          </cell>
          <cell r="F78">
            <v>8035.21</v>
          </cell>
          <cell r="G78">
            <v>8035.21</v>
          </cell>
          <cell r="H78">
            <v>318</v>
          </cell>
          <cell r="I78">
            <v>16953.82</v>
          </cell>
          <cell r="J78">
            <v>9964.0600000000013</v>
          </cell>
          <cell r="K78">
            <v>10237.189999999999</v>
          </cell>
          <cell r="L78">
            <v>8322.56</v>
          </cell>
          <cell r="M78">
            <v>13934.380000000001</v>
          </cell>
          <cell r="N78">
            <v>8637.33</v>
          </cell>
          <cell r="O78">
            <v>109018.45000000001</v>
          </cell>
        </row>
        <row r="79">
          <cell r="B79" t="str">
            <v>Property Taxes</v>
          </cell>
          <cell r="C79">
            <v>0</v>
          </cell>
          <cell r="D79">
            <v>0</v>
          </cell>
          <cell r="E79">
            <v>0</v>
          </cell>
          <cell r="F79">
            <v>6400.86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5728.36</v>
          </cell>
          <cell r="M79">
            <v>0</v>
          </cell>
          <cell r="N79">
            <v>0</v>
          </cell>
          <cell r="O79">
            <v>12129.22</v>
          </cell>
        </row>
        <row r="80">
          <cell r="B80" t="str">
            <v>Drug Testing</v>
          </cell>
          <cell r="C80">
            <v>165.5</v>
          </cell>
          <cell r="D80">
            <v>38.5</v>
          </cell>
          <cell r="E80">
            <v>55</v>
          </cell>
          <cell r="F80">
            <v>341</v>
          </cell>
          <cell r="G80">
            <v>20</v>
          </cell>
          <cell r="H80">
            <v>180</v>
          </cell>
          <cell r="I80">
            <v>106.5</v>
          </cell>
          <cell r="J80">
            <v>20</v>
          </cell>
          <cell r="K80">
            <v>0</v>
          </cell>
          <cell r="L80">
            <v>64</v>
          </cell>
          <cell r="M80">
            <v>93.5</v>
          </cell>
          <cell r="N80">
            <v>231.5</v>
          </cell>
          <cell r="O80">
            <v>1315.5</v>
          </cell>
        </row>
        <row r="81">
          <cell r="B81" t="str">
            <v>SEP Benefits</v>
          </cell>
          <cell r="C81">
            <v>3529.52</v>
          </cell>
          <cell r="D81">
            <v>3668.15</v>
          </cell>
          <cell r="E81">
            <v>3758.64</v>
          </cell>
          <cell r="F81">
            <v>3570.71</v>
          </cell>
          <cell r="G81">
            <v>3779.68</v>
          </cell>
          <cell r="H81">
            <v>4339.07</v>
          </cell>
          <cell r="I81">
            <v>4392.53</v>
          </cell>
          <cell r="J81">
            <v>3404.41</v>
          </cell>
          <cell r="K81">
            <v>3760.32</v>
          </cell>
          <cell r="L81">
            <v>3785.55</v>
          </cell>
          <cell r="M81">
            <v>3928.97</v>
          </cell>
          <cell r="N81">
            <v>3469.85</v>
          </cell>
          <cell r="O81">
            <v>45387.4</v>
          </cell>
        </row>
        <row r="82">
          <cell r="B82" t="str">
            <v>Interest</v>
          </cell>
          <cell r="C82">
            <v>3616.12</v>
          </cell>
          <cell r="D82">
            <v>3552.65</v>
          </cell>
          <cell r="E82">
            <v>3488.85</v>
          </cell>
          <cell r="F82">
            <v>3424.74</v>
          </cell>
          <cell r="G82">
            <v>3600.3</v>
          </cell>
          <cell r="H82">
            <v>14536.76</v>
          </cell>
          <cell r="I82">
            <v>3230.46</v>
          </cell>
          <cell r="J82">
            <v>3165.05</v>
          </cell>
          <cell r="K82">
            <v>3099.31</v>
          </cell>
          <cell r="L82">
            <v>3033.25</v>
          </cell>
          <cell r="M82">
            <v>2966.85</v>
          </cell>
          <cell r="N82">
            <v>2900.14</v>
          </cell>
          <cell r="O82">
            <v>50614.479999999996</v>
          </cell>
        </row>
        <row r="83">
          <cell r="B83" t="str">
            <v>Freight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288.3</v>
          </cell>
          <cell r="H83">
            <v>176.07</v>
          </cell>
          <cell r="I83">
            <v>0</v>
          </cell>
          <cell r="J83">
            <v>41.14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505.51</v>
          </cell>
        </row>
        <row r="84">
          <cell r="B84" t="str">
            <v>Consulting</v>
          </cell>
          <cell r="C84">
            <v>0</v>
          </cell>
          <cell r="D84">
            <v>4164</v>
          </cell>
          <cell r="E84">
            <v>0</v>
          </cell>
          <cell r="F84">
            <v>2138.5</v>
          </cell>
          <cell r="G84">
            <v>2401</v>
          </cell>
          <cell r="H84">
            <v>3838.5</v>
          </cell>
          <cell r="I84">
            <v>1076</v>
          </cell>
          <cell r="J84">
            <v>2463.5</v>
          </cell>
          <cell r="K84">
            <v>2163.5</v>
          </cell>
          <cell r="L84">
            <v>2176</v>
          </cell>
          <cell r="M84">
            <v>1819.75</v>
          </cell>
          <cell r="N84">
            <v>1732.25</v>
          </cell>
          <cell r="O84">
            <v>23973</v>
          </cell>
        </row>
        <row r="85">
          <cell r="B85" t="str">
            <v>Safety Equipment Expense</v>
          </cell>
          <cell r="C85">
            <v>728.2</v>
          </cell>
          <cell r="D85">
            <v>1079.05</v>
          </cell>
          <cell r="E85">
            <v>83.08</v>
          </cell>
          <cell r="F85">
            <v>2228.91</v>
          </cell>
          <cell r="G85">
            <v>304.52999999999997</v>
          </cell>
          <cell r="H85">
            <v>1061</v>
          </cell>
          <cell r="I85">
            <v>264.56</v>
          </cell>
          <cell r="J85">
            <v>-241.69</v>
          </cell>
          <cell r="K85">
            <v>716.53</v>
          </cell>
          <cell r="L85">
            <v>105.85</v>
          </cell>
          <cell r="M85">
            <v>1225.6300000000001</v>
          </cell>
          <cell r="N85">
            <v>386.26</v>
          </cell>
          <cell r="O85">
            <v>7941.9100000000008</v>
          </cell>
        </row>
        <row r="86">
          <cell r="B86" t="str">
            <v>Depreciation</v>
          </cell>
          <cell r="C86">
            <v>19219.580000000002</v>
          </cell>
          <cell r="D86">
            <v>19219.580000000002</v>
          </cell>
          <cell r="E86">
            <v>19219.580000000002</v>
          </cell>
          <cell r="F86">
            <v>19219.670000000002</v>
          </cell>
          <cell r="G86">
            <v>19219.580000000002</v>
          </cell>
          <cell r="H86">
            <v>19558.099999999999</v>
          </cell>
          <cell r="I86">
            <v>19247.79</v>
          </cell>
          <cell r="J86">
            <v>19247.79</v>
          </cell>
          <cell r="K86">
            <v>19247.79</v>
          </cell>
          <cell r="L86">
            <v>22142.720000000001</v>
          </cell>
          <cell r="M86">
            <v>22142.720000000001</v>
          </cell>
          <cell r="N86">
            <v>30827.510000000002</v>
          </cell>
          <cell r="O86">
            <v>248512.41000000003</v>
          </cell>
        </row>
      </sheetData>
      <sheetData sheetId="18"/>
      <sheetData sheetId="19"/>
      <sheetData sheetId="20"/>
      <sheetData sheetId="21"/>
      <sheetData sheetId="22">
        <row r="30">
          <cell r="J30">
            <v>2646.7177352709273</v>
          </cell>
        </row>
      </sheetData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>
        <row r="39">
          <cell r="J39">
            <v>0.96812272987956427</v>
          </cell>
        </row>
      </sheetData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me"/>
      <sheetName val="Amortization Table"/>
      <sheetName val="Amortization Table (2)"/>
    </sheetNames>
    <sheetDataSet>
      <sheetData sheetId="0"/>
      <sheetData sheetId="1">
        <row r="18">
          <cell r="F18">
            <v>127794.2761418313</v>
          </cell>
        </row>
      </sheetData>
      <sheetData sheetId="2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G Total Reg"/>
      <sheetName val="LG Total Clallum"/>
      <sheetName val="LG Total Jefferson"/>
      <sheetName val="LG Total Mill Haul"/>
      <sheetName val="2112-2148_IS210"/>
      <sheetName val="2113_IS210"/>
      <sheetName val="Revenue"/>
      <sheetName val="Interject_LastPulledValues"/>
      <sheetName val="Debt"/>
      <sheetName val="Converted IS"/>
      <sheetName val="Deprec. Summary"/>
      <sheetName val="Sorted Master-2112-2148"/>
      <sheetName val="2112-2148 Key Allocators"/>
      <sheetName val="Bud Proforma Calcs - Revenue"/>
      <sheetName val="43001"/>
      <sheetName val="52170 - Real Estate Rental"/>
      <sheetName val="Pricin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Consolidated IS"/>
      <sheetName val="Ratios"/>
      <sheetName val="Restating Adj Expl"/>
      <sheetName val="Aug Av. Fuel Price"/>
      <sheetName val="Pro forma Adj"/>
      <sheetName val="LG Total Regulated"/>
      <sheetName val="LG Public - BRG"/>
      <sheetName val="Revenue Summary"/>
      <sheetName val="Region OH"/>
      <sheetName val="70255 JE Query"/>
      <sheetName val="Bud Capital Input 2021"/>
      <sheetName val="2149_BS 08.2020"/>
      <sheetName val="2149_BS 08-2019"/>
    </sheetNames>
    <sheetDataSet>
      <sheetData sheetId="0"/>
      <sheetData sheetId="1">
        <row r="31">
          <cell r="A31">
            <v>57147</v>
          </cell>
        </row>
      </sheetData>
      <sheetData sheetId="2"/>
      <sheetData sheetId="3"/>
      <sheetData sheetId="4">
        <row r="15">
          <cell r="E15">
            <v>44074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24 Month Condensed Ops P&amp;L"/>
      <sheetName val="Report Template"/>
    </sheetNames>
    <sheetDataSet>
      <sheetData sheetId="0"/>
      <sheetData sheetId="1"/>
      <sheetData sheetId="2">
        <row r="2002">
          <cell r="B2002">
            <v>2006</v>
          </cell>
        </row>
        <row r="2003">
          <cell r="B2003">
            <v>2007</v>
          </cell>
        </row>
      </sheetData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ferences"/>
      <sheetName val="DF Calculation"/>
      <sheetName val="To Populate Tariff"/>
      <sheetName val="Questions"/>
      <sheetName val="Mapping"/>
      <sheetName val="Murrey's Price Out"/>
      <sheetName val="American Price Out"/>
    </sheetNames>
    <sheetDataSet>
      <sheetData sheetId="0">
        <row r="11">
          <cell r="C11">
            <v>4.333333333333333</v>
          </cell>
        </row>
        <row r="32">
          <cell r="C32">
            <v>175</v>
          </cell>
        </row>
        <row r="33">
          <cell r="C33">
            <v>250</v>
          </cell>
        </row>
      </sheetData>
      <sheetData sheetId="1" refreshError="1"/>
      <sheetData sheetId="2" refreshError="1"/>
      <sheetData sheetId="3" refreshError="1"/>
      <sheetData sheetId="4" refreshError="1"/>
      <sheetData sheetId="5">
        <row r="87">
          <cell r="C87" t="str">
            <v>1-20 GAL CART WKLY</v>
          </cell>
        </row>
      </sheetData>
      <sheetData sheetId="6">
        <row r="87">
          <cell r="C87" t="str">
            <v>1-20 GAL CART WKLY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"/>
      <sheetName val="Instructions"/>
      <sheetName val="User"/>
      <sheetName val="Settings"/>
      <sheetName val="Orientation"/>
      <sheetName val="Delivery"/>
      <sheetName val="RptClose"/>
      <sheetName val="Hidden"/>
    </sheetNames>
    <sheetDataSet>
      <sheetData sheetId="0"/>
      <sheetData sheetId="1"/>
      <sheetData sheetId="2" refreshError="1"/>
      <sheetData sheetId="3"/>
      <sheetData sheetId="4"/>
      <sheetData sheetId="5"/>
      <sheetData sheetId="6" refreshError="1"/>
      <sheetData sheetId="7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urrey's IS"/>
      <sheetName val="2132 IS"/>
      <sheetName val="2140 IS"/>
      <sheetName val="Consolidated IS"/>
      <sheetName val="Allocators (C)"/>
      <sheetName val="Murrey's LOB"/>
      <sheetName val="Restating ADJ's"/>
      <sheetName val="Pro forma Adj"/>
      <sheetName val="Deprec"/>
      <sheetName val="Payroll Summary"/>
      <sheetName val="Payroll Schedule"/>
      <sheetName val="2140-2111 70020 Rcls"/>
      <sheetName val="Fuel Adj"/>
      <sheetName val="Fuel Price Increase Calc"/>
      <sheetName val="LG BRG - Murrey's Total"/>
      <sheetName val="LG BRG - Murrey's MSW"/>
      <sheetName val="LG BRG -Murrey's Recycle"/>
      <sheetName val="LG BRG - Murrey's YW"/>
      <sheetName val="LG BRG - Murrey's Med Waste"/>
      <sheetName val="Murrey's Price Out"/>
      <sheetName val="Customers UTC-City %"/>
      <sheetName val="Murrey's Rate Sheet"/>
      <sheetName val="2111_BS_05.31.22"/>
      <sheetName val="2111_BS_05.31.21"/>
      <sheetName val="2132_BS_05.31.22"/>
      <sheetName val="2132_BS_05.31.21"/>
      <sheetName val="2140_BS_05.31.22"/>
      <sheetName val="Interject_LastPulledValues"/>
      <sheetName val="2111 Region OH"/>
      <sheetName val="2132 Region OH"/>
      <sheetName val="2140 Region OH"/>
      <sheetName val="Corp-OH (C)"/>
      <sheetName val="Corp IS-BS -2021"/>
      <sheetName val="DVP-DivCon Allocs  (C)"/>
      <sheetName val="Disposal"/>
      <sheetName val="41201 JE Query"/>
      <sheetName val="43001 JE Query"/>
      <sheetName val=" 57148 JE Query"/>
      <sheetName val="70195 JE Query"/>
      <sheetName val="Container TV JE Query"/>
      <sheetName val="52xxx TV JE Query"/>
      <sheetName val="70255 JE Query"/>
      <sheetName val="70235 JE Query"/>
      <sheetName val="91010 JE Query"/>
    </sheetNames>
    <sheetDataSet>
      <sheetData sheetId="0">
        <row r="18">
          <cell r="J18">
            <v>648977.19999999995</v>
          </cell>
          <cell r="L18">
            <v>655982.74</v>
          </cell>
          <cell r="N18">
            <v>669732.97</v>
          </cell>
          <cell r="P18">
            <v>772593.11</v>
          </cell>
          <cell r="R18">
            <v>669005.05000000005</v>
          </cell>
          <cell r="T18">
            <v>701994.34</v>
          </cell>
          <cell r="V18">
            <v>682743.1</v>
          </cell>
          <cell r="X18">
            <v>701077.57</v>
          </cell>
          <cell r="Z18">
            <v>607633.62</v>
          </cell>
          <cell r="AB18">
            <v>715758.85</v>
          </cell>
          <cell r="AD18">
            <v>690020.57</v>
          </cell>
          <cell r="AF18">
            <v>740641.6</v>
          </cell>
        </row>
        <row r="60">
          <cell r="J60">
            <v>2426401.2599999998</v>
          </cell>
          <cell r="L60">
            <v>2488540.35</v>
          </cell>
          <cell r="N60">
            <v>2379002.5299999998</v>
          </cell>
          <cell r="P60">
            <v>2483385.39</v>
          </cell>
          <cell r="R60">
            <v>2351857.9300000002</v>
          </cell>
          <cell r="T60">
            <v>2518510.56</v>
          </cell>
          <cell r="V60">
            <v>2150924.13</v>
          </cell>
          <cell r="X60">
            <v>2789579.99</v>
          </cell>
          <cell r="Z60">
            <v>2124259.11</v>
          </cell>
          <cell r="AB60">
            <v>2501863.12</v>
          </cell>
          <cell r="AD60">
            <v>2355012.02</v>
          </cell>
          <cell r="AF60">
            <v>2498155.14</v>
          </cell>
        </row>
      </sheetData>
      <sheetData sheetId="1" refreshError="1"/>
      <sheetData sheetId="2" refreshError="1"/>
      <sheetData sheetId="3">
        <row r="191">
          <cell r="Z191">
            <v>13090543.578274079</v>
          </cell>
          <cell r="AA191">
            <v>7426512.3120095469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6.2021 - 5.2022 Dump Fee Schedu"/>
      <sheetName val="Epicor 2021"/>
      <sheetName val="Epicor 2022"/>
      <sheetName val="YW"/>
    </sheetNames>
    <sheetDataSet>
      <sheetData sheetId="0">
        <row r="4">
          <cell r="N4">
            <v>104273.71178110322</v>
          </cell>
        </row>
        <row r="5">
          <cell r="N5">
            <v>19610.882731556721</v>
          </cell>
        </row>
      </sheetData>
      <sheetData sheetId="1">
        <row r="10">
          <cell r="N10">
            <v>44377</v>
          </cell>
        </row>
      </sheetData>
      <sheetData sheetId="2">
        <row r="10">
          <cell r="I10">
            <v>44562</v>
          </cell>
        </row>
      </sheetData>
      <sheetData sheetId="3">
        <row r="3">
          <cell r="R3">
            <v>4242.8799999999992</v>
          </cell>
        </row>
      </sheetData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un-May GL"/>
      <sheetName val="Revenue"/>
      <sheetName val="Customers"/>
      <sheetName val="Container Count"/>
      <sheetName val="Murrey's American G-9 Reg."/>
      <sheetName val="BonneyLake"/>
      <sheetName val="Buckley"/>
      <sheetName val="Carbonado"/>
      <sheetName val="Milton"/>
      <sheetName val="Orting"/>
      <sheetName val="DM-PIER"/>
      <sheetName val="Puyallup"/>
      <sheetName val="South Prairie"/>
      <sheetName val="Sumner"/>
      <sheetName val="Ruston"/>
      <sheetName val="Vashon"/>
      <sheetName val="Vahson IS"/>
      <sheetName val="TacomaH IS"/>
      <sheetName val="MM001 Data"/>
      <sheetName val="PI default pricing 7.1.18"/>
      <sheetName val="PI Default Pricing 1.1.19"/>
      <sheetName val="PI default Pricing 3.1.19"/>
      <sheetName val="b cycle Ref"/>
      <sheetName val="Sheet2"/>
      <sheetName val="PI Default Pricing 3.1.21"/>
      <sheetName val="PI Default Pricing 3.1.22"/>
      <sheetName val="Carb Cust"/>
      <sheetName val="Instructions"/>
    </sheetNames>
    <sheetDataSet>
      <sheetData sheetId="0"/>
      <sheetData sheetId="1"/>
      <sheetData sheetId="2"/>
      <sheetData sheetId="3"/>
      <sheetData sheetId="4">
        <row r="1">
          <cell r="B1" t="str">
            <v>Murrey's Disposal Co., Inc. G-9</v>
          </cell>
        </row>
        <row r="2">
          <cell r="B2" t="str">
            <v>Revenue Price Out by Service Level and Line of Business</v>
          </cell>
          <cell r="AB2" t="str">
            <v>Number of Months</v>
          </cell>
          <cell r="AC2">
            <v>12</v>
          </cell>
        </row>
        <row r="3">
          <cell r="B3" t="str">
            <v>June 2021 - May 2022</v>
          </cell>
          <cell r="G3">
            <v>6</v>
          </cell>
          <cell r="H3">
            <v>7</v>
          </cell>
          <cell r="I3">
            <v>8</v>
          </cell>
          <cell r="J3">
            <v>9</v>
          </cell>
          <cell r="K3">
            <v>10</v>
          </cell>
          <cell r="L3">
            <v>11</v>
          </cell>
          <cell r="M3">
            <v>12</v>
          </cell>
          <cell r="N3">
            <v>1</v>
          </cell>
          <cell r="O3">
            <v>2</v>
          </cell>
          <cell r="P3">
            <v>3</v>
          </cell>
          <cell r="Q3">
            <v>4</v>
          </cell>
          <cell r="R3">
            <v>5</v>
          </cell>
        </row>
        <row r="4">
          <cell r="G4" t="str">
            <v>Revenue</v>
          </cell>
          <cell r="U4" t="str">
            <v>Customer Count</v>
          </cell>
        </row>
        <row r="5">
          <cell r="B5" t="str">
            <v>Service Code</v>
          </cell>
          <cell r="C5" t="str">
            <v>Service Code Description</v>
          </cell>
          <cell r="D5" t="str">
            <v>Tariff Rate 3/1/2021 - 8/31/2021</v>
          </cell>
          <cell r="E5" t="str">
            <v>Tariff Rate 9/1/2021</v>
          </cell>
          <cell r="F5" t="str">
            <v>Tariff Rate 3/1/2022</v>
          </cell>
          <cell r="G5">
            <v>44348</v>
          </cell>
          <cell r="H5">
            <v>44378</v>
          </cell>
          <cell r="I5">
            <v>44409</v>
          </cell>
          <cell r="J5">
            <v>44440</v>
          </cell>
          <cell r="K5">
            <v>44470</v>
          </cell>
          <cell r="L5">
            <v>44501</v>
          </cell>
          <cell r="M5">
            <v>44531</v>
          </cell>
          <cell r="N5">
            <v>44562</v>
          </cell>
          <cell r="O5">
            <v>44593</v>
          </cell>
          <cell r="P5">
            <v>44624</v>
          </cell>
          <cell r="Q5">
            <v>44655</v>
          </cell>
          <cell r="R5">
            <v>44686</v>
          </cell>
          <cell r="S5" t="str">
            <v>Total</v>
          </cell>
          <cell r="U5">
            <v>44348</v>
          </cell>
          <cell r="V5">
            <v>44378</v>
          </cell>
          <cell r="W5">
            <v>44409</v>
          </cell>
          <cell r="X5">
            <v>44440</v>
          </cell>
          <cell r="Y5">
            <v>44470</v>
          </cell>
          <cell r="Z5">
            <v>44501</v>
          </cell>
          <cell r="AA5">
            <v>44531</v>
          </cell>
          <cell r="AB5">
            <v>44562</v>
          </cell>
          <cell r="AC5">
            <v>44593</v>
          </cell>
          <cell r="AD5">
            <v>44624</v>
          </cell>
          <cell r="AE5">
            <v>44655</v>
          </cell>
          <cell r="AF5">
            <v>44686</v>
          </cell>
          <cell r="AG5" t="str">
            <v>Total Customers</v>
          </cell>
          <cell r="AH5" t="str">
            <v>Average</v>
          </cell>
        </row>
        <row r="7">
          <cell r="B7" t="str">
            <v>RESIDENTIAL SERVICES</v>
          </cell>
        </row>
        <row r="9">
          <cell r="B9" t="str">
            <v>RESIDENTIAL GARBAGE</v>
          </cell>
        </row>
        <row r="10">
          <cell r="B10" t="str">
            <v>20RM1</v>
          </cell>
          <cell r="C10" t="str">
            <v>1-20 GAL CART MONTHLY</v>
          </cell>
          <cell r="D10">
            <v>10.06</v>
          </cell>
          <cell r="E10">
            <v>10.11</v>
          </cell>
          <cell r="F10">
            <v>10.09</v>
          </cell>
          <cell r="G10">
            <v>975.82</v>
          </cell>
          <cell r="H10">
            <v>975.81999999999994</v>
          </cell>
          <cell r="I10">
            <v>961.98</v>
          </cell>
          <cell r="J10">
            <v>928.82000000000016</v>
          </cell>
          <cell r="K10">
            <v>970.56</v>
          </cell>
          <cell r="L10">
            <v>960.45</v>
          </cell>
          <cell r="M10">
            <v>914.95499999999993</v>
          </cell>
          <cell r="N10">
            <v>945.28500000000008</v>
          </cell>
          <cell r="O10">
            <v>929.63000000000011</v>
          </cell>
          <cell r="P10">
            <v>984.28499999999997</v>
          </cell>
          <cell r="Q10">
            <v>983.77500000000009</v>
          </cell>
          <cell r="R10">
            <v>1008.9999999999999</v>
          </cell>
          <cell r="S10">
            <v>11540.38</v>
          </cell>
          <cell r="U10">
            <v>97</v>
          </cell>
          <cell r="V10">
            <v>96.999999999999986</v>
          </cell>
          <cell r="W10">
            <v>95.624254473161031</v>
          </cell>
          <cell r="X10">
            <v>91.871414441147394</v>
          </cell>
          <cell r="Y10">
            <v>96</v>
          </cell>
          <cell r="Z10">
            <v>95.000000000000014</v>
          </cell>
          <cell r="AA10">
            <v>90.5</v>
          </cell>
          <cell r="AB10">
            <v>93.500000000000014</v>
          </cell>
          <cell r="AC10">
            <v>91.951533135509408</v>
          </cell>
          <cell r="AD10">
            <v>97.550545094152625</v>
          </cell>
          <cell r="AE10">
            <v>97.500000000000014</v>
          </cell>
          <cell r="AF10">
            <v>99.999999999999986</v>
          </cell>
          <cell r="AG10">
            <v>1143.4977471439706</v>
          </cell>
          <cell r="AH10">
            <v>95.291478928664219</v>
          </cell>
        </row>
        <row r="11">
          <cell r="B11" t="str">
            <v>20RW1</v>
          </cell>
          <cell r="C11" t="str">
            <v>1-20 GAL CAN WEEKLY</v>
          </cell>
          <cell r="D11">
            <v>16.68</v>
          </cell>
          <cell r="E11">
            <v>16.760000000000002</v>
          </cell>
          <cell r="F11">
            <v>16.68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-15.4</v>
          </cell>
          <cell r="L11">
            <v>0</v>
          </cell>
          <cell r="M11">
            <v>0</v>
          </cell>
          <cell r="N11">
            <v>-3.87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-19.27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-0.91885441527446299</v>
          </cell>
          <cell r="Z11">
            <v>0</v>
          </cell>
          <cell r="AA11">
            <v>0</v>
          </cell>
          <cell r="AB11">
            <v>-0.23090692124105011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-1.149761336515513</v>
          </cell>
          <cell r="AH11">
            <v>-9.5813444709626092E-2</v>
          </cell>
        </row>
        <row r="12">
          <cell r="B12" t="str">
            <v>20RW1N</v>
          </cell>
          <cell r="C12" t="str">
            <v>1-20 GL CART WKLY NON REC</v>
          </cell>
          <cell r="D12">
            <v>17.68</v>
          </cell>
          <cell r="E12">
            <v>17.760000000000002</v>
          </cell>
          <cell r="F12">
            <v>17.68</v>
          </cell>
          <cell r="G12">
            <v>671.84</v>
          </cell>
          <cell r="H12">
            <v>707.2</v>
          </cell>
          <cell r="I12">
            <v>672.72</v>
          </cell>
          <cell r="J12">
            <v>678.43999999999994</v>
          </cell>
          <cell r="K12">
            <v>674.88</v>
          </cell>
          <cell r="L12">
            <v>674.88</v>
          </cell>
          <cell r="M12">
            <v>674.88</v>
          </cell>
          <cell r="N12">
            <v>674.88</v>
          </cell>
          <cell r="O12">
            <v>709.52</v>
          </cell>
          <cell r="P12">
            <v>694.86000000000013</v>
          </cell>
          <cell r="Q12">
            <v>724.88</v>
          </cell>
          <cell r="R12">
            <v>682.8900000000001</v>
          </cell>
          <cell r="S12">
            <v>8241.8700000000008</v>
          </cell>
          <cell r="U12">
            <v>38</v>
          </cell>
          <cell r="V12">
            <v>40</v>
          </cell>
          <cell r="W12">
            <v>38.049773755656112</v>
          </cell>
          <cell r="X12">
            <v>38.200450450450447</v>
          </cell>
          <cell r="Y12">
            <v>37.999999999999993</v>
          </cell>
          <cell r="Z12">
            <v>37.999999999999993</v>
          </cell>
          <cell r="AA12">
            <v>37.999999999999993</v>
          </cell>
          <cell r="AB12">
            <v>37.999999999999993</v>
          </cell>
          <cell r="AC12">
            <v>39.950450450450447</v>
          </cell>
          <cell r="AD12">
            <v>39.302036199095028</v>
          </cell>
          <cell r="AE12">
            <v>41</v>
          </cell>
          <cell r="AF12">
            <v>38.625000000000007</v>
          </cell>
          <cell r="AG12">
            <v>465.12771085565203</v>
          </cell>
          <cell r="AH12">
            <v>38.760642571304338</v>
          </cell>
        </row>
        <row r="13">
          <cell r="B13" t="str">
            <v>20RW1R</v>
          </cell>
          <cell r="C13" t="str">
            <v>1-20 GL CART WKLY W/ RECY</v>
          </cell>
          <cell r="D13">
            <v>16.68</v>
          </cell>
          <cell r="E13">
            <v>16.760000000000002</v>
          </cell>
          <cell r="F13">
            <v>16.68</v>
          </cell>
          <cell r="G13">
            <v>55609.465000000004</v>
          </cell>
          <cell r="H13">
            <v>55824.654999999992</v>
          </cell>
          <cell r="I13">
            <v>55956.83</v>
          </cell>
          <cell r="J13">
            <v>56456.844999999994</v>
          </cell>
          <cell r="K13">
            <v>56364.335000000006</v>
          </cell>
          <cell r="L13">
            <v>56119.72</v>
          </cell>
          <cell r="M13">
            <v>56063.834999999999</v>
          </cell>
          <cell r="N13">
            <v>55913.285000000003</v>
          </cell>
          <cell r="O13">
            <v>55698.45</v>
          </cell>
          <cell r="P13">
            <v>55674.080000000002</v>
          </cell>
          <cell r="Q13">
            <v>55982.674999999988</v>
          </cell>
          <cell r="R13">
            <v>56134.080000000002</v>
          </cell>
          <cell r="S13">
            <v>671798.255</v>
          </cell>
          <cell r="U13">
            <v>3333.900779376499</v>
          </cell>
          <cell r="V13">
            <v>3346.801858513189</v>
          </cell>
          <cell r="W13">
            <v>3354.7260191846526</v>
          </cell>
          <cell r="X13">
            <v>3368.54683770883</v>
          </cell>
          <cell r="Y13">
            <v>3363.0271479713606</v>
          </cell>
          <cell r="Z13">
            <v>3348.4319809069211</v>
          </cell>
          <cell r="AA13">
            <v>3345.0975536992837</v>
          </cell>
          <cell r="AB13">
            <v>3336.1148568019094</v>
          </cell>
          <cell r="AC13">
            <v>3323.2965393794743</v>
          </cell>
          <cell r="AD13">
            <v>3337.7745803357316</v>
          </cell>
          <cell r="AE13">
            <v>3356.2754796163063</v>
          </cell>
          <cell r="AF13">
            <v>3365.3525179856115</v>
          </cell>
          <cell r="AG13">
            <v>40179.346151479767</v>
          </cell>
          <cell r="AH13">
            <v>3348.2788459566473</v>
          </cell>
        </row>
        <row r="14">
          <cell r="B14" t="str">
            <v>35RM1</v>
          </cell>
          <cell r="C14" t="str">
            <v>1-35 GAL CART MONTHLY</v>
          </cell>
          <cell r="D14">
            <v>12.56</v>
          </cell>
          <cell r="E14">
            <v>12.62</v>
          </cell>
          <cell r="F14">
            <v>12.59</v>
          </cell>
          <cell r="G14">
            <v>6217.2</v>
          </cell>
          <cell r="H14">
            <v>6123</v>
          </cell>
          <cell r="I14">
            <v>6076.61</v>
          </cell>
          <cell r="J14">
            <v>6085.3599999999988</v>
          </cell>
          <cell r="K14">
            <v>6139.57</v>
          </cell>
          <cell r="L14">
            <v>6063.91</v>
          </cell>
          <cell r="M14">
            <v>6000.8099999999995</v>
          </cell>
          <cell r="N14">
            <v>6070.2199999999993</v>
          </cell>
          <cell r="O14">
            <v>6079.4349999999995</v>
          </cell>
          <cell r="P14">
            <v>5958.39</v>
          </cell>
          <cell r="Q14">
            <v>5954.6849999999995</v>
          </cell>
          <cell r="R14">
            <v>5989.6850000000004</v>
          </cell>
          <cell r="S14">
            <v>72758.874999999985</v>
          </cell>
          <cell r="U14">
            <v>494.99999999999994</v>
          </cell>
          <cell r="V14">
            <v>487.5</v>
          </cell>
          <cell r="W14">
            <v>483.80652866242036</v>
          </cell>
          <cell r="X14">
            <v>482.19968304278916</v>
          </cell>
          <cell r="Y14">
            <v>486.49524564183838</v>
          </cell>
          <cell r="Z14">
            <v>480.5</v>
          </cell>
          <cell r="AA14">
            <v>475.5</v>
          </cell>
          <cell r="AB14">
            <v>481</v>
          </cell>
          <cell r="AC14">
            <v>481.73019017432648</v>
          </cell>
          <cell r="AD14">
            <v>473.26370135027804</v>
          </cell>
          <cell r="AE14">
            <v>472.9694201747418</v>
          </cell>
          <cell r="AF14">
            <v>475.74940428911839</v>
          </cell>
          <cell r="AG14">
            <v>5775.714173335512</v>
          </cell>
          <cell r="AH14">
            <v>481.30951444462602</v>
          </cell>
        </row>
        <row r="15">
          <cell r="B15" t="str">
            <v>35RW1N</v>
          </cell>
          <cell r="C15" t="str">
            <v>1-35 GAL CART WKLY NONREC</v>
          </cell>
          <cell r="D15">
            <v>22.26</v>
          </cell>
          <cell r="E15">
            <v>22.36</v>
          </cell>
          <cell r="F15">
            <v>22.23</v>
          </cell>
          <cell r="G15">
            <v>7267.8850000000002</v>
          </cell>
          <cell r="H15">
            <v>7231.7</v>
          </cell>
          <cell r="I15">
            <v>7212.6449999999995</v>
          </cell>
          <cell r="J15">
            <v>7227.9349999999995</v>
          </cell>
          <cell r="K15">
            <v>7177.5599999999995</v>
          </cell>
          <cell r="L15">
            <v>6936.6249999999991</v>
          </cell>
          <cell r="M15">
            <v>6844.954999999999</v>
          </cell>
          <cell r="N15">
            <v>6742.1999999999989</v>
          </cell>
          <cell r="O15">
            <v>6679.9000000000005</v>
          </cell>
          <cell r="P15">
            <v>6711.5749999999998</v>
          </cell>
          <cell r="Q15">
            <v>6741.34</v>
          </cell>
          <cell r="R15">
            <v>6852.380000000001</v>
          </cell>
          <cell r="S15">
            <v>83626.7</v>
          </cell>
          <cell r="U15">
            <v>326.49977538185084</v>
          </cell>
          <cell r="V15">
            <v>324.87421383647796</v>
          </cell>
          <cell r="W15">
            <v>324.01819407008082</v>
          </cell>
          <cell r="X15">
            <v>323.25290697674416</v>
          </cell>
          <cell r="Y15">
            <v>321</v>
          </cell>
          <cell r="Z15">
            <v>310.22473166368513</v>
          </cell>
          <cell r="AA15">
            <v>306.12499999999994</v>
          </cell>
          <cell r="AB15">
            <v>301.52951699463324</v>
          </cell>
          <cell r="AC15">
            <v>298.74329159212886</v>
          </cell>
          <cell r="AD15">
            <v>301.91520467836256</v>
          </cell>
          <cell r="AE15">
            <v>303.25416104363472</v>
          </cell>
          <cell r="AF15">
            <v>308.24921277552863</v>
          </cell>
          <cell r="AG15">
            <v>3749.6862090131267</v>
          </cell>
          <cell r="AH15">
            <v>312.47385075109389</v>
          </cell>
        </row>
        <row r="16">
          <cell r="B16" t="str">
            <v>35RW1R</v>
          </cell>
          <cell r="C16" t="str">
            <v>1-35 GAL CART WKLY W/REC</v>
          </cell>
          <cell r="D16">
            <v>21.26</v>
          </cell>
          <cell r="E16">
            <v>21.36</v>
          </cell>
          <cell r="F16">
            <v>21.23</v>
          </cell>
          <cell r="G16">
            <v>657817.5149999999</v>
          </cell>
          <cell r="H16">
            <v>658537.33000000007</v>
          </cell>
          <cell r="I16">
            <v>656184.63000000012</v>
          </cell>
          <cell r="J16">
            <v>650503.61500000011</v>
          </cell>
          <cell r="K16">
            <v>647505.12</v>
          </cell>
          <cell r="L16">
            <v>645435.99</v>
          </cell>
          <cell r="M16">
            <v>641576.07499999995</v>
          </cell>
          <cell r="N16">
            <v>638885.80000000005</v>
          </cell>
          <cell r="O16">
            <v>635553.85499999986</v>
          </cell>
          <cell r="P16">
            <v>630992.52500000026</v>
          </cell>
          <cell r="Q16">
            <v>633903.01499999978</v>
          </cell>
          <cell r="R16">
            <v>634471.74500000011</v>
          </cell>
          <cell r="S16">
            <v>7731367.2149999999</v>
          </cell>
          <cell r="U16">
            <v>30941.557619943549</v>
          </cell>
          <cell r="V16">
            <v>30975.415333960489</v>
          </cell>
          <cell r="W16">
            <v>30864.752116650991</v>
          </cell>
          <cell r="X16">
            <v>30454.289091760307</v>
          </cell>
          <cell r="Y16">
            <v>30313.91011235955</v>
          </cell>
          <cell r="Z16">
            <v>30217.040730337078</v>
          </cell>
          <cell r="AA16">
            <v>30036.333099250936</v>
          </cell>
          <cell r="AB16">
            <v>29910.38389513109</v>
          </cell>
          <cell r="AC16">
            <v>29754.393960674151</v>
          </cell>
          <cell r="AD16">
            <v>29721.739284032043</v>
          </cell>
          <cell r="AE16">
            <v>29858.832548280723</v>
          </cell>
          <cell r="AF16">
            <v>29885.621526142255</v>
          </cell>
          <cell r="AG16">
            <v>362934.26931852312</v>
          </cell>
          <cell r="AH16">
            <v>30244.522443210259</v>
          </cell>
        </row>
        <row r="17">
          <cell r="B17" t="str">
            <v>65RM1</v>
          </cell>
          <cell r="C17" t="str">
            <v>1-65 GAL CART MONTHLY</v>
          </cell>
          <cell r="D17">
            <v>18.760000000000002</v>
          </cell>
          <cell r="E17">
            <v>18.850000000000001</v>
          </cell>
          <cell r="F17">
            <v>18.809999999999999</v>
          </cell>
          <cell r="G17">
            <v>1716.54</v>
          </cell>
          <cell r="H17">
            <v>1697.78</v>
          </cell>
          <cell r="I17">
            <v>1643.3</v>
          </cell>
          <cell r="J17">
            <v>1675.9399999999998</v>
          </cell>
          <cell r="K17">
            <v>1705.8799999999999</v>
          </cell>
          <cell r="L17">
            <v>1715.35</v>
          </cell>
          <cell r="M17">
            <v>1762.4750000000001</v>
          </cell>
          <cell r="N17">
            <v>1771.8999999999999</v>
          </cell>
          <cell r="O17">
            <v>1723.94</v>
          </cell>
          <cell r="P17">
            <v>1985.3549999999998</v>
          </cell>
          <cell r="Q17">
            <v>1770.49</v>
          </cell>
          <cell r="R17">
            <v>1808.1100000000001</v>
          </cell>
          <cell r="S17">
            <v>20977.06</v>
          </cell>
          <cell r="U17">
            <v>91.499999999999986</v>
          </cell>
          <cell r="V17">
            <v>90.499999999999986</v>
          </cell>
          <cell r="W17">
            <v>87.595948827292105</v>
          </cell>
          <cell r="X17">
            <v>88.909283819628627</v>
          </cell>
          <cell r="Y17">
            <v>90.497612732095476</v>
          </cell>
          <cell r="Z17">
            <v>90.999999999999986</v>
          </cell>
          <cell r="AA17">
            <v>93.5</v>
          </cell>
          <cell r="AB17">
            <v>93.999999999999986</v>
          </cell>
          <cell r="AC17">
            <v>91.455702917771873</v>
          </cell>
          <cell r="AD17">
            <v>105.54784688995215</v>
          </cell>
          <cell r="AE17">
            <v>94.124933545986181</v>
          </cell>
          <cell r="AF17">
            <v>96.124933545986195</v>
          </cell>
          <cell r="AG17">
            <v>1114.7562622787127</v>
          </cell>
          <cell r="AH17">
            <v>92.896355189892731</v>
          </cell>
        </row>
        <row r="18">
          <cell r="B18" t="str">
            <v>65RW1N</v>
          </cell>
          <cell r="C18" t="str">
            <v>1-65 GAL CART WKLY NONREC</v>
          </cell>
          <cell r="D18">
            <v>33.19</v>
          </cell>
          <cell r="E18">
            <v>33.340000000000003</v>
          </cell>
          <cell r="F18">
            <v>33.159999999999997</v>
          </cell>
          <cell r="G18">
            <v>6079.420000000001</v>
          </cell>
          <cell r="H18">
            <v>6099.4900000000007</v>
          </cell>
          <cell r="I18">
            <v>6029.9649999999992</v>
          </cell>
          <cell r="J18">
            <v>6040.9749999999995</v>
          </cell>
          <cell r="K18">
            <v>6080.38</v>
          </cell>
          <cell r="L18">
            <v>6047.0349999999999</v>
          </cell>
          <cell r="M18">
            <v>6013.7000000000007</v>
          </cell>
          <cell r="N18">
            <v>6042.0150000000003</v>
          </cell>
          <cell r="O18">
            <v>6044.2750000000005</v>
          </cell>
          <cell r="P18">
            <v>5917.81</v>
          </cell>
          <cell r="Q18">
            <v>5960.53</v>
          </cell>
          <cell r="R18">
            <v>5885.9000000000005</v>
          </cell>
          <cell r="S18">
            <v>72241.494999999995</v>
          </cell>
          <cell r="U18">
            <v>183.17023199758967</v>
          </cell>
          <cell r="V18">
            <v>183.77493220849658</v>
          </cell>
          <cell r="W18">
            <v>181.68017475143114</v>
          </cell>
          <cell r="X18">
            <v>181.19301139772043</v>
          </cell>
          <cell r="Y18">
            <v>182.37492501499699</v>
          </cell>
          <cell r="Z18">
            <v>181.37477504499097</v>
          </cell>
          <cell r="AA18">
            <v>180.37492501499702</v>
          </cell>
          <cell r="AB18">
            <v>181.2242051589682</v>
          </cell>
          <cell r="AC18">
            <v>181.29199160167965</v>
          </cell>
          <cell r="AD18">
            <v>178.46230398069966</v>
          </cell>
          <cell r="AE18">
            <v>179.75060313630883</v>
          </cell>
          <cell r="AF18">
            <v>177.50000000000003</v>
          </cell>
          <cell r="AG18">
            <v>2172.1720793078794</v>
          </cell>
          <cell r="AH18">
            <v>181.01433994232329</v>
          </cell>
        </row>
        <row r="19">
          <cell r="B19" t="str">
            <v>65RW1R</v>
          </cell>
          <cell r="C19" t="str">
            <v>1-65 GAL CART WKLY W/REC</v>
          </cell>
          <cell r="D19">
            <v>31.19</v>
          </cell>
          <cell r="E19">
            <v>31.34</v>
          </cell>
          <cell r="F19">
            <v>31.16</v>
          </cell>
          <cell r="G19">
            <v>689672.7649999999</v>
          </cell>
          <cell r="H19">
            <v>691613.40499999991</v>
          </cell>
          <cell r="I19">
            <v>696106.29</v>
          </cell>
          <cell r="J19">
            <v>701977.67999999993</v>
          </cell>
          <cell r="K19">
            <v>704505.4850000001</v>
          </cell>
          <cell r="L19">
            <v>710090.32</v>
          </cell>
          <cell r="M19">
            <v>711501.17</v>
          </cell>
          <cell r="N19">
            <v>713769.15</v>
          </cell>
          <cell r="O19">
            <v>716502.27500000014</v>
          </cell>
          <cell r="P19">
            <v>715050.28000000014</v>
          </cell>
          <cell r="Q19">
            <v>717454.35499999986</v>
          </cell>
          <cell r="R19">
            <v>721160.15999999992</v>
          </cell>
          <cell r="S19">
            <v>8489403.3350000009</v>
          </cell>
          <cell r="U19">
            <v>22111.983488297526</v>
          </cell>
          <cell r="V19">
            <v>22174.203430586724</v>
          </cell>
          <cell r="W19">
            <v>22318.25232446297</v>
          </cell>
          <cell r="X19">
            <v>22398.77728142948</v>
          </cell>
          <cell r="Y19">
            <v>22479.434747925978</v>
          </cell>
          <cell r="Z19">
            <v>22657.63624760689</v>
          </cell>
          <cell r="AA19">
            <v>22702.653797064457</v>
          </cell>
          <cell r="AB19">
            <v>22775.020740268028</v>
          </cell>
          <cell r="AC19">
            <v>22862.229578813021</v>
          </cell>
          <cell r="AD19">
            <v>22947.698331193842</v>
          </cell>
          <cell r="AE19">
            <v>23024.850930680353</v>
          </cell>
          <cell r="AF19">
            <v>23143.779204107828</v>
          </cell>
          <cell r="AG19">
            <v>271596.52010243706</v>
          </cell>
          <cell r="AH19">
            <v>22633.043341869754</v>
          </cell>
        </row>
        <row r="20">
          <cell r="B20" t="str">
            <v>95RM1</v>
          </cell>
          <cell r="C20" t="str">
            <v>1-95 GAL CART MONTHLY</v>
          </cell>
          <cell r="D20">
            <v>26.32</v>
          </cell>
          <cell r="E20">
            <v>26.44</v>
          </cell>
          <cell r="F20">
            <v>26.38</v>
          </cell>
          <cell r="G20">
            <v>447.43999999999994</v>
          </cell>
          <cell r="H20">
            <v>434.28</v>
          </cell>
          <cell r="I20">
            <v>474.29999999999995</v>
          </cell>
          <cell r="J20">
            <v>422.44000000000005</v>
          </cell>
          <cell r="K20">
            <v>489.14</v>
          </cell>
          <cell r="L20">
            <v>515.57999999999993</v>
          </cell>
          <cell r="M20">
            <v>489.14</v>
          </cell>
          <cell r="N20">
            <v>542.02</v>
          </cell>
          <cell r="O20">
            <v>515.28</v>
          </cell>
          <cell r="P20">
            <v>409.07</v>
          </cell>
          <cell r="Q20">
            <v>395.7</v>
          </cell>
          <cell r="R20">
            <v>448.46</v>
          </cell>
          <cell r="S20">
            <v>5582.8499999999995</v>
          </cell>
          <cell r="U20">
            <v>16.999999999999996</v>
          </cell>
          <cell r="V20">
            <v>16.5</v>
          </cell>
          <cell r="W20">
            <v>18.020516717325226</v>
          </cell>
          <cell r="X20">
            <v>15.97730711043873</v>
          </cell>
          <cell r="Y20">
            <v>18.5</v>
          </cell>
          <cell r="Z20">
            <v>19.499999999999996</v>
          </cell>
          <cell r="AA20">
            <v>18.5</v>
          </cell>
          <cell r="AB20">
            <v>20.5</v>
          </cell>
          <cell r="AC20">
            <v>19.488653555219361</v>
          </cell>
          <cell r="AD20">
            <v>15.506823351023503</v>
          </cell>
          <cell r="AE20">
            <v>15</v>
          </cell>
          <cell r="AF20">
            <v>17</v>
          </cell>
          <cell r="AG20">
            <v>211.49330073400685</v>
          </cell>
          <cell r="AH20">
            <v>17.624441727833904</v>
          </cell>
        </row>
        <row r="21">
          <cell r="B21" t="str">
            <v>95RW1N</v>
          </cell>
          <cell r="C21" t="str">
            <v>1-95 GAL CART WKLY NONREC</v>
          </cell>
          <cell r="D21">
            <v>46.47</v>
          </cell>
          <cell r="E21">
            <v>46.67</v>
          </cell>
          <cell r="F21">
            <v>46.41</v>
          </cell>
          <cell r="G21">
            <v>1562.55</v>
          </cell>
          <cell r="H21">
            <v>1701.9549999999999</v>
          </cell>
          <cell r="I21">
            <v>1785.49</v>
          </cell>
          <cell r="J21">
            <v>1660.4849999999999</v>
          </cell>
          <cell r="K21">
            <v>1691.78</v>
          </cell>
          <cell r="L21">
            <v>1645.115</v>
          </cell>
          <cell r="M21">
            <v>1773.46</v>
          </cell>
          <cell r="N21">
            <v>1808.46</v>
          </cell>
          <cell r="O21">
            <v>1724.19</v>
          </cell>
          <cell r="P21">
            <v>1603.7449999999999</v>
          </cell>
          <cell r="Q21">
            <v>1612.7399999999998</v>
          </cell>
          <cell r="R21">
            <v>1624.345</v>
          </cell>
          <cell r="S21">
            <v>20194.315000000002</v>
          </cell>
          <cell r="U21">
            <v>33.624919302775986</v>
          </cell>
          <cell r="V21">
            <v>36.624811706477296</v>
          </cell>
          <cell r="W21">
            <v>38.422423068646438</v>
          </cell>
          <cell r="X21">
            <v>35.579280051424895</v>
          </cell>
          <cell r="Y21">
            <v>36.249839297193056</v>
          </cell>
          <cell r="Z21">
            <v>35.249946432397685</v>
          </cell>
          <cell r="AA21">
            <v>38</v>
          </cell>
          <cell r="AB21">
            <v>38.749946432397685</v>
          </cell>
          <cell r="AC21">
            <v>36.944289693593312</v>
          </cell>
          <cell r="AD21">
            <v>34.556022408963585</v>
          </cell>
          <cell r="AE21">
            <v>34.749838396897218</v>
          </cell>
          <cell r="AF21">
            <v>34.999892264598152</v>
          </cell>
          <cell r="AG21">
            <v>433.75120905536534</v>
          </cell>
          <cell r="AH21">
            <v>36.145934087947111</v>
          </cell>
        </row>
        <row r="22">
          <cell r="B22" t="str">
            <v>95RW1R</v>
          </cell>
          <cell r="C22" t="str">
            <v>1-95 GAL CART WKLY W/REC</v>
          </cell>
          <cell r="D22">
            <v>43.47</v>
          </cell>
          <cell r="E22">
            <v>43.67</v>
          </cell>
          <cell r="F22">
            <v>43.41</v>
          </cell>
          <cell r="G22">
            <v>241556.80499999999</v>
          </cell>
          <cell r="H22">
            <v>246952.09499999997</v>
          </cell>
          <cell r="I22">
            <v>253949.01499999998</v>
          </cell>
          <cell r="J22">
            <v>258941.72</v>
          </cell>
          <cell r="K22">
            <v>262650.87499999988</v>
          </cell>
          <cell r="L22">
            <v>269984.73999999993</v>
          </cell>
          <cell r="M22">
            <v>274557.61</v>
          </cell>
          <cell r="N22">
            <v>276928.11000000004</v>
          </cell>
          <cell r="O22">
            <v>279860.77499999997</v>
          </cell>
          <cell r="P22">
            <v>281878.58999999997</v>
          </cell>
          <cell r="Q22">
            <v>287431.47000000003</v>
          </cell>
          <cell r="R22">
            <v>292025.755</v>
          </cell>
          <cell r="S22">
            <v>3226717.56</v>
          </cell>
          <cell r="U22">
            <v>5556.86231884058</v>
          </cell>
          <cell r="V22">
            <v>5680.9775707384397</v>
          </cell>
          <cell r="W22">
            <v>5841.9373130894865</v>
          </cell>
          <cell r="X22">
            <v>5929.5104190519805</v>
          </cell>
          <cell r="Y22">
            <v>6014.4464163040957</v>
          </cell>
          <cell r="Z22">
            <v>6182.3847034577493</v>
          </cell>
          <cell r="AA22">
            <v>6287.0989237462782</v>
          </cell>
          <cell r="AB22">
            <v>6341.3810396152976</v>
          </cell>
          <cell r="AC22">
            <v>6408.53618044424</v>
          </cell>
          <cell r="AD22">
            <v>6493.402211472011</v>
          </cell>
          <cell r="AE22">
            <v>6621.3192812715979</v>
          </cell>
          <cell r="AF22">
            <v>6727.1539967749377</v>
          </cell>
          <cell r="AG22">
            <v>74085.010374806705</v>
          </cell>
          <cell r="AH22">
            <v>6173.7508645672251</v>
          </cell>
        </row>
        <row r="23">
          <cell r="B23" t="str">
            <v>ADJRES</v>
          </cell>
          <cell r="C23" t="str">
            <v>SERVICE ADJ-RESIDENTIAL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-0.71999999999999886</v>
          </cell>
          <cell r="I23">
            <v>-0.90000000000009095</v>
          </cell>
          <cell r="J23">
            <v>-3.5500000000000114</v>
          </cell>
          <cell r="K23">
            <v>0</v>
          </cell>
          <cell r="L23">
            <v>0</v>
          </cell>
          <cell r="M23">
            <v>0</v>
          </cell>
          <cell r="N23">
            <v>-0.36000000000000032</v>
          </cell>
          <cell r="O23">
            <v>0</v>
          </cell>
          <cell r="P23">
            <v>205.55999999999997</v>
          </cell>
          <cell r="Q23">
            <v>-22.53</v>
          </cell>
          <cell r="R23">
            <v>0</v>
          </cell>
          <cell r="S23">
            <v>177.49999999999986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</row>
        <row r="24">
          <cell r="B24" t="str">
            <v>DRIVEPRVT-RES</v>
          </cell>
          <cell r="C24" t="str">
            <v>DRIVE IN PRIVATE RD - RES</v>
          </cell>
          <cell r="D24">
            <v>11.24</v>
          </cell>
          <cell r="E24">
            <v>11.24</v>
          </cell>
          <cell r="F24">
            <v>11.24</v>
          </cell>
          <cell r="G24">
            <v>13.96</v>
          </cell>
          <cell r="H24">
            <v>13.96</v>
          </cell>
          <cell r="I24">
            <v>13.96</v>
          </cell>
          <cell r="J24">
            <v>19</v>
          </cell>
          <cell r="K24">
            <v>19</v>
          </cell>
          <cell r="L24">
            <v>8.92</v>
          </cell>
          <cell r="M24">
            <v>19</v>
          </cell>
          <cell r="N24">
            <v>19</v>
          </cell>
          <cell r="O24">
            <v>5.04</v>
          </cell>
          <cell r="P24">
            <v>-5.04</v>
          </cell>
          <cell r="Q24">
            <v>0</v>
          </cell>
          <cell r="R24">
            <v>0</v>
          </cell>
          <cell r="S24">
            <v>126.8</v>
          </cell>
          <cell r="U24">
            <v>1.2419928825622777</v>
          </cell>
          <cell r="V24">
            <v>1.2419928825622777</v>
          </cell>
          <cell r="W24">
            <v>1.2419928825622777</v>
          </cell>
          <cell r="X24">
            <v>1.6903914590747331</v>
          </cell>
          <cell r="Y24">
            <v>1.6903914590747331</v>
          </cell>
          <cell r="Z24">
            <v>0.79359430604982206</v>
          </cell>
          <cell r="AA24">
            <v>1.6903914590747331</v>
          </cell>
          <cell r="AB24">
            <v>1.6903914590747331</v>
          </cell>
          <cell r="AC24">
            <v>0.44839857651245552</v>
          </cell>
          <cell r="AD24">
            <v>-0.44839857651245552</v>
          </cell>
          <cell r="AE24">
            <v>0</v>
          </cell>
          <cell r="AF24">
            <v>0</v>
          </cell>
          <cell r="AG24">
            <v>11.281138790035589</v>
          </cell>
          <cell r="AH24">
            <v>0.9400948991696324</v>
          </cell>
        </row>
        <row r="25">
          <cell r="B25" t="str">
            <v>DRVNRW1</v>
          </cell>
          <cell r="C25" t="str">
            <v>DRIVE IN UP TO 125'-WKLY</v>
          </cell>
          <cell r="D25">
            <v>5.04</v>
          </cell>
          <cell r="E25">
            <v>5.0599999999999996</v>
          </cell>
          <cell r="F25">
            <v>5.0599999999999996</v>
          </cell>
          <cell r="G25">
            <v>994.06000000000006</v>
          </cell>
          <cell r="H25">
            <v>990.86</v>
          </cell>
          <cell r="I25">
            <v>995.21</v>
          </cell>
          <cell r="J25">
            <v>987.18999999999994</v>
          </cell>
          <cell r="K25">
            <v>959.04</v>
          </cell>
          <cell r="L25">
            <v>927.40499999999997</v>
          </cell>
          <cell r="M25">
            <v>974.13499999999999</v>
          </cell>
          <cell r="N25">
            <v>970.96999999999991</v>
          </cell>
          <cell r="O25">
            <v>991.20500000000004</v>
          </cell>
          <cell r="P25">
            <v>965.12</v>
          </cell>
          <cell r="Q25">
            <v>975.80000000000007</v>
          </cell>
          <cell r="R25">
            <v>914.14499999999998</v>
          </cell>
          <cell r="S25">
            <v>11645.140000000001</v>
          </cell>
          <cell r="U25">
            <v>197.23412698412699</v>
          </cell>
          <cell r="V25">
            <v>196.59920634920636</v>
          </cell>
          <cell r="W25">
            <v>197.4623015873016</v>
          </cell>
          <cell r="X25">
            <v>195.09683794466403</v>
          </cell>
          <cell r="Y25">
            <v>189.53359683794469</v>
          </cell>
          <cell r="Z25">
            <v>183.28162055335969</v>
          </cell>
          <cell r="AA25">
            <v>192.51679841897234</v>
          </cell>
          <cell r="AB25">
            <v>191.89130434782609</v>
          </cell>
          <cell r="AC25">
            <v>195.89031620553362</v>
          </cell>
          <cell r="AD25">
            <v>190.73517786561266</v>
          </cell>
          <cell r="AE25">
            <v>192.84584980237156</v>
          </cell>
          <cell r="AF25">
            <v>180.6610671936759</v>
          </cell>
          <cell r="AG25">
            <v>2303.7482040905957</v>
          </cell>
          <cell r="AH25">
            <v>191.97901700754963</v>
          </cell>
        </row>
        <row r="26">
          <cell r="B26" t="str">
            <v>DRVNRW2</v>
          </cell>
          <cell r="C26" t="str">
            <v>DRIVE IN OVER 125'-WKLY</v>
          </cell>
          <cell r="D26">
            <v>5.04</v>
          </cell>
          <cell r="E26">
            <v>5.0599999999999996</v>
          </cell>
          <cell r="F26">
            <v>5.0599999999999996</v>
          </cell>
          <cell r="G26">
            <v>5.03</v>
          </cell>
          <cell r="H26">
            <v>5.03</v>
          </cell>
          <cell r="I26">
            <v>5.03</v>
          </cell>
          <cell r="J26">
            <v>5.03</v>
          </cell>
          <cell r="K26">
            <v>5.03</v>
          </cell>
          <cell r="L26">
            <v>5.03</v>
          </cell>
          <cell r="M26">
            <v>5.03</v>
          </cell>
          <cell r="N26">
            <v>5.03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40.24</v>
          </cell>
          <cell r="U26">
            <v>0.99801587301587302</v>
          </cell>
          <cell r="V26">
            <v>0.99801587301587302</v>
          </cell>
          <cell r="W26">
            <v>0.99801587301587302</v>
          </cell>
          <cell r="X26">
            <v>0.99407114624505943</v>
          </cell>
          <cell r="Y26">
            <v>0.99407114624505943</v>
          </cell>
          <cell r="Z26">
            <v>0.99407114624505943</v>
          </cell>
          <cell r="AA26">
            <v>0.99407114624505943</v>
          </cell>
          <cell r="AB26">
            <v>0.99407114624505943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7.9644033502729163</v>
          </cell>
          <cell r="AH26">
            <v>0.66370027918940966</v>
          </cell>
        </row>
        <row r="27">
          <cell r="B27" t="str">
            <v>OBSR</v>
          </cell>
          <cell r="C27" t="str">
            <v>OBSTRUCTION</v>
          </cell>
          <cell r="D27">
            <v>0.84</v>
          </cell>
          <cell r="E27">
            <v>0.84</v>
          </cell>
          <cell r="F27">
            <v>0.84</v>
          </cell>
          <cell r="G27">
            <v>5.04</v>
          </cell>
          <cell r="H27">
            <v>5.04</v>
          </cell>
          <cell r="I27">
            <v>5.04</v>
          </cell>
          <cell r="J27">
            <v>5.88</v>
          </cell>
          <cell r="K27">
            <v>5.88</v>
          </cell>
          <cell r="L27">
            <v>5.88</v>
          </cell>
          <cell r="M27">
            <v>5.88</v>
          </cell>
          <cell r="N27">
            <v>5.88</v>
          </cell>
          <cell r="O27">
            <v>5.88</v>
          </cell>
          <cell r="P27">
            <v>5.88</v>
          </cell>
          <cell r="Q27">
            <v>5.88</v>
          </cell>
          <cell r="R27">
            <v>5.88</v>
          </cell>
          <cell r="S27">
            <v>68.040000000000006</v>
          </cell>
          <cell r="U27">
            <v>6</v>
          </cell>
          <cell r="V27">
            <v>6</v>
          </cell>
          <cell r="W27">
            <v>6</v>
          </cell>
          <cell r="X27">
            <v>7</v>
          </cell>
          <cell r="Y27">
            <v>7</v>
          </cell>
          <cell r="Z27">
            <v>7</v>
          </cell>
          <cell r="AA27">
            <v>7</v>
          </cell>
          <cell r="AB27">
            <v>7</v>
          </cell>
          <cell r="AC27">
            <v>7</v>
          </cell>
          <cell r="AD27">
            <v>7</v>
          </cell>
          <cell r="AE27">
            <v>7</v>
          </cell>
          <cell r="AF27">
            <v>7</v>
          </cell>
          <cell r="AG27">
            <v>81</v>
          </cell>
          <cell r="AH27">
            <v>6.75</v>
          </cell>
        </row>
        <row r="28">
          <cell r="B28" t="str">
            <v>PACKR</v>
          </cell>
          <cell r="C28" t="str">
            <v>CARRY-OUT RESIDENTIAL</v>
          </cell>
          <cell r="D28">
            <v>5.41</v>
          </cell>
          <cell r="E28">
            <v>5.44</v>
          </cell>
          <cell r="F28">
            <v>5.44</v>
          </cell>
          <cell r="G28">
            <v>391.73</v>
          </cell>
          <cell r="H28">
            <v>390.38499999999999</v>
          </cell>
          <cell r="I28">
            <v>413.74</v>
          </cell>
          <cell r="J28">
            <v>411.435</v>
          </cell>
          <cell r="K28">
            <v>403.96500000000003</v>
          </cell>
          <cell r="L28">
            <v>406.38499999999999</v>
          </cell>
          <cell r="M28">
            <v>398.22499999999997</v>
          </cell>
          <cell r="N28">
            <v>406.70499999999993</v>
          </cell>
          <cell r="O28">
            <v>389.32499999999999</v>
          </cell>
          <cell r="P28">
            <v>381.16499999999996</v>
          </cell>
          <cell r="Q28">
            <v>388.21499999999997</v>
          </cell>
          <cell r="R28">
            <v>250.76499999999999</v>
          </cell>
          <cell r="S28">
            <v>4632.04</v>
          </cell>
          <cell r="U28">
            <v>72.40850277264326</v>
          </cell>
          <cell r="V28">
            <v>72.159889094269872</v>
          </cell>
          <cell r="W28">
            <v>76.476894639556377</v>
          </cell>
          <cell r="X28">
            <v>75.631433823529406</v>
          </cell>
          <cell r="Y28">
            <v>74.258272058823536</v>
          </cell>
          <cell r="Z28">
            <v>74.703125</v>
          </cell>
          <cell r="AA28">
            <v>73.203124999999986</v>
          </cell>
          <cell r="AB28">
            <v>74.76194852941174</v>
          </cell>
          <cell r="AC28">
            <v>71.56709558823529</v>
          </cell>
          <cell r="AD28">
            <v>70.067095588235276</v>
          </cell>
          <cell r="AE28">
            <v>71.363051470588232</v>
          </cell>
          <cell r="AF28">
            <v>46.096507352941174</v>
          </cell>
          <cell r="AG28">
            <v>852.69694091823408</v>
          </cell>
          <cell r="AH28">
            <v>71.05807840985284</v>
          </cell>
        </row>
        <row r="29">
          <cell r="B29" t="str">
            <v>RESTART FEE</v>
          </cell>
          <cell r="C29" t="str">
            <v>RESTART FEE</v>
          </cell>
          <cell r="D29">
            <v>11.22</v>
          </cell>
          <cell r="E29">
            <v>11.27</v>
          </cell>
          <cell r="F29">
            <v>11.27</v>
          </cell>
          <cell r="G29">
            <v>4507.6350000000002</v>
          </cell>
          <cell r="H29">
            <v>4344.9449999999997</v>
          </cell>
          <cell r="I29">
            <v>4936.7999999999993</v>
          </cell>
          <cell r="J29">
            <v>5146.8899999999994</v>
          </cell>
          <cell r="K29">
            <v>3685.29</v>
          </cell>
          <cell r="L29">
            <v>4547.4449999999997</v>
          </cell>
          <cell r="M29">
            <v>3259.85</v>
          </cell>
          <cell r="N29">
            <v>5068.33</v>
          </cell>
          <cell r="O29">
            <v>5587.1049999999996</v>
          </cell>
          <cell r="P29">
            <v>4936.3100000000004</v>
          </cell>
          <cell r="Q29">
            <v>6097.0700000000015</v>
          </cell>
          <cell r="R29">
            <v>5161.66</v>
          </cell>
          <cell r="S29">
            <v>57279.329999999987</v>
          </cell>
          <cell r="U29">
            <v>401.75</v>
          </cell>
          <cell r="V29">
            <v>387.24999999999994</v>
          </cell>
          <cell r="W29">
            <v>439.99999999999989</v>
          </cell>
          <cell r="X29">
            <v>456.68944099378876</v>
          </cell>
          <cell r="Y29">
            <v>327</v>
          </cell>
          <cell r="Z29">
            <v>403.5</v>
          </cell>
          <cell r="AA29">
            <v>289.25022182786159</v>
          </cell>
          <cell r="AB29">
            <v>449.71872227151732</v>
          </cell>
          <cell r="AC29">
            <v>495.75022182786154</v>
          </cell>
          <cell r="AD29">
            <v>438.00443655723166</v>
          </cell>
          <cell r="AE29">
            <v>541.00000000000011</v>
          </cell>
          <cell r="AF29">
            <v>458</v>
          </cell>
          <cell r="AG29">
            <v>5087.913043478261</v>
          </cell>
          <cell r="AH29">
            <v>423.99275362318843</v>
          </cell>
        </row>
        <row r="30">
          <cell r="B30" t="str">
            <v>REXTRA</v>
          </cell>
          <cell r="C30" t="str">
            <v>EXTRA UNITS</v>
          </cell>
          <cell r="D30">
            <v>4.8600000000000003</v>
          </cell>
          <cell r="E30">
            <v>4.88</v>
          </cell>
          <cell r="F30">
            <v>4.8499999999999996</v>
          </cell>
          <cell r="G30">
            <v>18124.050000000003</v>
          </cell>
          <cell r="H30">
            <v>19022.04</v>
          </cell>
          <cell r="I30">
            <v>13943.279999999999</v>
          </cell>
          <cell r="J30">
            <v>14374.359999999999</v>
          </cell>
          <cell r="K30">
            <v>11984.800000000001</v>
          </cell>
          <cell r="L30">
            <v>13527.3</v>
          </cell>
          <cell r="M30">
            <v>12106.93</v>
          </cell>
          <cell r="N30">
            <v>16133.299999999996</v>
          </cell>
          <cell r="O30">
            <v>11897.98</v>
          </cell>
          <cell r="P30">
            <v>14182.630000000001</v>
          </cell>
          <cell r="Q30">
            <v>13482.490000000002</v>
          </cell>
          <cell r="R30">
            <v>16300.55</v>
          </cell>
          <cell r="S30">
            <v>175079.71</v>
          </cell>
          <cell r="U30">
            <v>3729.2283950617289</v>
          </cell>
          <cell r="V30">
            <v>3914</v>
          </cell>
          <cell r="W30">
            <v>2868.9876543209871</v>
          </cell>
          <cell r="X30">
            <v>2945.5655737704915</v>
          </cell>
          <cell r="Y30">
            <v>2455.9016393442625</v>
          </cell>
          <cell r="Z30">
            <v>2771.9877049180327</v>
          </cell>
          <cell r="AA30">
            <v>2480.9282786885246</v>
          </cell>
          <cell r="AB30">
            <v>3306.004098360655</v>
          </cell>
          <cell r="AC30">
            <v>2438.1106557377047</v>
          </cell>
          <cell r="AD30">
            <v>2924.253608247423</v>
          </cell>
          <cell r="AE30">
            <v>2779.8948453608255</v>
          </cell>
          <cell r="AF30">
            <v>3360.9381443298971</v>
          </cell>
          <cell r="AG30">
            <v>35975.800598140529</v>
          </cell>
          <cell r="AH30">
            <v>2997.9833831783776</v>
          </cell>
        </row>
        <row r="31">
          <cell r="B31" t="str">
            <v>SUNKENR</v>
          </cell>
          <cell r="C31" t="str">
            <v>SUNKEN CAN CHARGE - RESI</v>
          </cell>
          <cell r="D31">
            <v>0.84</v>
          </cell>
          <cell r="E31">
            <v>0.84</v>
          </cell>
          <cell r="F31">
            <v>0.84</v>
          </cell>
          <cell r="G31">
            <v>0.84</v>
          </cell>
          <cell r="H31">
            <v>0.84</v>
          </cell>
          <cell r="I31">
            <v>0.84</v>
          </cell>
          <cell r="J31">
            <v>0.84</v>
          </cell>
          <cell r="K31">
            <v>0.84</v>
          </cell>
          <cell r="L31">
            <v>0.84</v>
          </cell>
          <cell r="M31">
            <v>0.84</v>
          </cell>
          <cell r="N31">
            <v>0.84</v>
          </cell>
          <cell r="O31">
            <v>0.84</v>
          </cell>
          <cell r="P31">
            <v>0.84</v>
          </cell>
          <cell r="Q31">
            <v>0</v>
          </cell>
          <cell r="R31">
            <v>0</v>
          </cell>
          <cell r="S31">
            <v>8.4</v>
          </cell>
          <cell r="U31">
            <v>1</v>
          </cell>
          <cell r="V31">
            <v>1</v>
          </cell>
          <cell r="W31">
            <v>1</v>
          </cell>
          <cell r="X31">
            <v>1</v>
          </cell>
          <cell r="Y31">
            <v>1</v>
          </cell>
          <cell r="Z31">
            <v>1</v>
          </cell>
          <cell r="AA31">
            <v>1</v>
          </cell>
          <cell r="AB31">
            <v>1</v>
          </cell>
          <cell r="AC31">
            <v>1</v>
          </cell>
          <cell r="AD31">
            <v>1</v>
          </cell>
          <cell r="AE31">
            <v>0</v>
          </cell>
          <cell r="AF31">
            <v>0</v>
          </cell>
          <cell r="AG31">
            <v>10</v>
          </cell>
          <cell r="AH31">
            <v>0.83333333333333337</v>
          </cell>
        </row>
        <row r="32">
          <cell r="B32" t="str">
            <v>TRIPRCANS</v>
          </cell>
          <cell r="C32" t="str">
            <v>RETURN TRIP CHARGE - CANS</v>
          </cell>
          <cell r="D32">
            <v>8.99</v>
          </cell>
          <cell r="E32">
            <v>9.0299999999999994</v>
          </cell>
          <cell r="F32">
            <v>9.0299999999999994</v>
          </cell>
          <cell r="G32">
            <v>593.33999999999992</v>
          </cell>
          <cell r="H32">
            <v>737.18</v>
          </cell>
          <cell r="I32">
            <v>566.36999999999989</v>
          </cell>
          <cell r="J32">
            <v>424.45</v>
          </cell>
          <cell r="K32">
            <v>496.68999999999994</v>
          </cell>
          <cell r="L32">
            <v>541.80000000000007</v>
          </cell>
          <cell r="M32">
            <v>478.59000000000003</v>
          </cell>
          <cell r="N32">
            <v>325.08</v>
          </cell>
          <cell r="O32">
            <v>388.28999999999996</v>
          </cell>
          <cell r="P32">
            <v>632.1</v>
          </cell>
          <cell r="Q32">
            <v>532.77</v>
          </cell>
          <cell r="R32">
            <v>460.53000000000003</v>
          </cell>
          <cell r="S32">
            <v>6177.19</v>
          </cell>
          <cell r="U32">
            <v>65.999999999999986</v>
          </cell>
          <cell r="V32">
            <v>81.999999999999986</v>
          </cell>
          <cell r="W32">
            <v>62.999999999999986</v>
          </cell>
          <cell r="X32">
            <v>47.004429678848282</v>
          </cell>
          <cell r="Y32">
            <v>55.004429678848282</v>
          </cell>
          <cell r="Z32">
            <v>60.000000000000014</v>
          </cell>
          <cell r="AA32">
            <v>53.000000000000007</v>
          </cell>
          <cell r="AB32">
            <v>36</v>
          </cell>
          <cell r="AC32">
            <v>43</v>
          </cell>
          <cell r="AD32">
            <v>70.000000000000014</v>
          </cell>
          <cell r="AE32">
            <v>59</v>
          </cell>
          <cell r="AF32">
            <v>51.000000000000007</v>
          </cell>
          <cell r="AG32">
            <v>685.00885935769656</v>
          </cell>
          <cell r="AH32">
            <v>57.084071613141383</v>
          </cell>
        </row>
        <row r="33">
          <cell r="B33" t="str">
            <v>TRIPRCARTS</v>
          </cell>
          <cell r="C33" t="str">
            <v>RESI TRIP CHARGE - CARTS</v>
          </cell>
          <cell r="D33">
            <v>12.91</v>
          </cell>
          <cell r="E33">
            <v>12.97</v>
          </cell>
          <cell r="F33">
            <v>12.97</v>
          </cell>
          <cell r="G33">
            <v>167.82999999999998</v>
          </cell>
          <cell r="H33">
            <v>142.01</v>
          </cell>
          <cell r="I33">
            <v>110.66000000000001</v>
          </cell>
          <cell r="J33">
            <v>116.78999999999999</v>
          </cell>
          <cell r="K33">
            <v>181.57999999999998</v>
          </cell>
          <cell r="L33">
            <v>207.57999999999998</v>
          </cell>
          <cell r="M33">
            <v>64.850000000000009</v>
          </cell>
          <cell r="N33">
            <v>96.38</v>
          </cell>
          <cell r="O33">
            <v>103.76</v>
          </cell>
          <cell r="P33">
            <v>155.64000000000001</v>
          </cell>
          <cell r="Q33">
            <v>90.789999999999992</v>
          </cell>
          <cell r="R33">
            <v>51.879999999999995</v>
          </cell>
          <cell r="S33">
            <v>1489.75</v>
          </cell>
          <cell r="U33">
            <v>12.999999999999998</v>
          </cell>
          <cell r="V33">
            <v>11</v>
          </cell>
          <cell r="W33">
            <v>8.5716498838110002</v>
          </cell>
          <cell r="X33">
            <v>9.0046260601387811</v>
          </cell>
          <cell r="Y33">
            <v>13.999999999999998</v>
          </cell>
          <cell r="Z33">
            <v>16.004626060138779</v>
          </cell>
          <cell r="AA33">
            <v>5</v>
          </cell>
          <cell r="AB33">
            <v>7.4309946029298377</v>
          </cell>
          <cell r="AC33">
            <v>8</v>
          </cell>
          <cell r="AD33">
            <v>12</v>
          </cell>
          <cell r="AE33">
            <v>6.9999999999999991</v>
          </cell>
          <cell r="AF33">
            <v>3.9999999999999996</v>
          </cell>
          <cell r="AG33">
            <v>115.0118966070184</v>
          </cell>
          <cell r="AH33">
            <v>9.5843247172515333</v>
          </cell>
        </row>
        <row r="34">
          <cell r="B34" t="str">
            <v>35ROCPU</v>
          </cell>
          <cell r="C34" t="str">
            <v>1-35 GAL CART ON CALL</v>
          </cell>
          <cell r="D34">
            <v>13.97</v>
          </cell>
          <cell r="E34">
            <v>14.04</v>
          </cell>
          <cell r="F34">
            <v>14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14.04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14.04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1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1</v>
          </cell>
          <cell r="AH34">
            <v>8.3333333333333329E-2</v>
          </cell>
        </row>
        <row r="35">
          <cell r="B35" t="str">
            <v>65ROCPU</v>
          </cell>
          <cell r="C35" t="str">
            <v>1-65 GAL CART ON CALL</v>
          </cell>
          <cell r="D35">
            <v>20.88</v>
          </cell>
          <cell r="E35">
            <v>20.98</v>
          </cell>
          <cell r="F35">
            <v>20.94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41.88</v>
          </cell>
          <cell r="Q35">
            <v>20.94</v>
          </cell>
          <cell r="R35">
            <v>0</v>
          </cell>
          <cell r="S35">
            <v>62.820000000000007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2</v>
          </cell>
          <cell r="AE35">
            <v>1</v>
          </cell>
          <cell r="AF35">
            <v>0</v>
          </cell>
          <cell r="AG35">
            <v>3</v>
          </cell>
          <cell r="AH35">
            <v>0.25</v>
          </cell>
        </row>
        <row r="36">
          <cell r="B36" t="str">
            <v>BULKY-RES</v>
          </cell>
          <cell r="C36" t="str">
            <v>BULKY ITEM</v>
          </cell>
          <cell r="D36">
            <v>25.8</v>
          </cell>
          <cell r="E36">
            <v>25.92</v>
          </cell>
          <cell r="F36">
            <v>25.81</v>
          </cell>
          <cell r="G36">
            <v>1481.1100000000001</v>
          </cell>
          <cell r="H36">
            <v>1352.36</v>
          </cell>
          <cell r="I36">
            <v>1660.63</v>
          </cell>
          <cell r="J36">
            <v>2243.83</v>
          </cell>
          <cell r="K36">
            <v>1182.5999999999999</v>
          </cell>
          <cell r="L36">
            <v>1266.56</v>
          </cell>
          <cell r="M36">
            <v>979.98</v>
          </cell>
          <cell r="N36">
            <v>1165.25</v>
          </cell>
          <cell r="O36">
            <v>1010.91</v>
          </cell>
          <cell r="P36">
            <v>1665.1699999999998</v>
          </cell>
          <cell r="Q36">
            <v>1268.1099999999999</v>
          </cell>
          <cell r="R36">
            <v>2002.6</v>
          </cell>
          <cell r="S36">
            <v>17279.11</v>
          </cell>
          <cell r="U36">
            <v>57.407364341085277</v>
          </cell>
          <cell r="V36">
            <v>52.417054263565888</v>
          </cell>
          <cell r="W36">
            <v>64.365503875968997</v>
          </cell>
          <cell r="X36">
            <v>86.567515432098759</v>
          </cell>
          <cell r="Y36">
            <v>45.624999999999993</v>
          </cell>
          <cell r="Z36">
            <v>48.864197530864189</v>
          </cell>
          <cell r="AA36">
            <v>37.807870370370367</v>
          </cell>
          <cell r="AB36">
            <v>44.955632716049379</v>
          </cell>
          <cell r="AC36">
            <v>39.001157407407405</v>
          </cell>
          <cell r="AD36">
            <v>64.516466485858189</v>
          </cell>
          <cell r="AE36">
            <v>49.132506780317705</v>
          </cell>
          <cell r="AF36">
            <v>77.590081363812473</v>
          </cell>
          <cell r="AG36">
            <v>668.25035056739875</v>
          </cell>
          <cell r="AH36">
            <v>55.687529213949894</v>
          </cell>
        </row>
        <row r="37">
          <cell r="B37" t="str">
            <v>DELCART</v>
          </cell>
          <cell r="C37" t="str">
            <v>CART REDELIVERY</v>
          </cell>
          <cell r="D37">
            <v>22.53</v>
          </cell>
          <cell r="E37">
            <v>22.64</v>
          </cell>
          <cell r="F37">
            <v>22.64</v>
          </cell>
          <cell r="G37">
            <v>90.12</v>
          </cell>
          <cell r="H37">
            <v>67.59</v>
          </cell>
          <cell r="I37">
            <v>67.59</v>
          </cell>
          <cell r="J37">
            <v>113.09</v>
          </cell>
          <cell r="K37">
            <v>113.2</v>
          </cell>
          <cell r="L37">
            <v>135.84</v>
          </cell>
          <cell r="M37">
            <v>384.88</v>
          </cell>
          <cell r="N37">
            <v>135.84</v>
          </cell>
          <cell r="O37">
            <v>22.64</v>
          </cell>
          <cell r="P37">
            <v>135.84</v>
          </cell>
          <cell r="Q37">
            <v>45.28</v>
          </cell>
          <cell r="R37">
            <v>22.64</v>
          </cell>
          <cell r="S37">
            <v>1334.55</v>
          </cell>
          <cell r="U37">
            <v>4</v>
          </cell>
          <cell r="V37">
            <v>3</v>
          </cell>
          <cell r="W37">
            <v>3</v>
          </cell>
          <cell r="X37">
            <v>4.9951413427561837</v>
          </cell>
          <cell r="Y37">
            <v>5</v>
          </cell>
          <cell r="Z37">
            <v>6</v>
          </cell>
          <cell r="AA37">
            <v>17</v>
          </cell>
          <cell r="AB37">
            <v>6</v>
          </cell>
          <cell r="AC37">
            <v>1</v>
          </cell>
          <cell r="AD37">
            <v>6</v>
          </cell>
          <cell r="AE37">
            <v>2</v>
          </cell>
          <cell r="AF37">
            <v>1</v>
          </cell>
          <cell r="AG37">
            <v>58.995141342756185</v>
          </cell>
          <cell r="AH37">
            <v>4.9162617785630154</v>
          </cell>
        </row>
        <row r="38">
          <cell r="B38" t="str">
            <v>GWCR</v>
          </cell>
          <cell r="C38" t="str">
            <v>GOOD WILL CREDIT - RESI</v>
          </cell>
          <cell r="D38">
            <v>0</v>
          </cell>
          <cell r="E38">
            <v>0</v>
          </cell>
          <cell r="F38">
            <v>0</v>
          </cell>
          <cell r="G38">
            <v>-65</v>
          </cell>
          <cell r="H38">
            <v>-170</v>
          </cell>
          <cell r="I38">
            <v>-170</v>
          </cell>
          <cell r="J38">
            <v>-54</v>
          </cell>
          <cell r="K38">
            <v>-15</v>
          </cell>
          <cell r="L38">
            <v>-60</v>
          </cell>
          <cell r="M38">
            <v>-15</v>
          </cell>
          <cell r="N38">
            <v>-660</v>
          </cell>
          <cell r="O38">
            <v>-290</v>
          </cell>
          <cell r="P38">
            <v>-94.91</v>
          </cell>
          <cell r="Q38">
            <v>-15</v>
          </cell>
          <cell r="R38">
            <v>-290</v>
          </cell>
          <cell r="S38">
            <v>-1898.91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</row>
        <row r="41">
          <cell r="C41" t="str">
            <v>TOTAL RESIDENTIAL GARBAGE</v>
          </cell>
          <cell r="G41">
            <v>1695904.9900000002</v>
          </cell>
          <cell r="H41">
            <v>1704800.2300000004</v>
          </cell>
          <cell r="I41">
            <v>1709602.0250000004</v>
          </cell>
          <cell r="J41">
            <v>1716391.49</v>
          </cell>
          <cell r="K41">
            <v>1714963.0800000003</v>
          </cell>
          <cell r="L41">
            <v>1727710.7000000002</v>
          </cell>
          <cell r="M41">
            <v>1726850.2950000002</v>
          </cell>
          <cell r="N41">
            <v>1733761.7000000004</v>
          </cell>
          <cell r="O41">
            <v>1732134.4999999995</v>
          </cell>
          <cell r="P41">
            <v>1731068.7500000009</v>
          </cell>
          <cell r="Q41">
            <v>1741785.4699999997</v>
          </cell>
          <cell r="R41">
            <v>1752973.16</v>
          </cell>
          <cell r="S41">
            <v>20687946.389999997</v>
          </cell>
          <cell r="U41">
            <v>63226.099133140364</v>
          </cell>
          <cell r="V41">
            <v>63454.172151550294</v>
          </cell>
          <cell r="W41">
            <v>63646.885587714118</v>
          </cell>
          <cell r="X41">
            <v>63408.30696724094</v>
          </cell>
          <cell r="Y41">
            <v>63439.01719283183</v>
          </cell>
          <cell r="Z41">
            <v>63656.343115449708</v>
          </cell>
          <cell r="AA41">
            <v>63611.683298775955</v>
          </cell>
          <cell r="AB41">
            <v>63611.173293481093</v>
          </cell>
          <cell r="AC41">
            <v>63590.012362431575</v>
          </cell>
          <cell r="AD41">
            <v>63746.718890986151</v>
          </cell>
          <cell r="AE41">
            <v>64099.627196146554</v>
          </cell>
          <cell r="AF41">
            <v>64370.155687885868</v>
          </cell>
          <cell r="AG41">
            <v>763860.19487763441</v>
          </cell>
          <cell r="AH41">
            <v>63655.016239802862</v>
          </cell>
        </row>
        <row r="42">
          <cell r="T42" t="str">
            <v>Recycling Customers</v>
          </cell>
          <cell r="U42">
            <v>62765.553077280194</v>
          </cell>
          <cell r="V42">
            <v>62995.147516292069</v>
          </cell>
          <cell r="W42">
            <v>63184.831056664698</v>
          </cell>
          <cell r="X42">
            <v>62950.949112556547</v>
          </cell>
          <cell r="Y42">
            <v>62970.392428519655</v>
          </cell>
          <cell r="Z42">
            <v>63204.24366230864</v>
          </cell>
          <cell r="AA42">
            <v>63164.551179516355</v>
          </cell>
          <cell r="AB42">
            <v>63165.16962489509</v>
          </cell>
          <cell r="AC42">
            <v>63146.130805958208</v>
          </cell>
          <cell r="AD42">
            <v>63299.778863233354</v>
          </cell>
          <cell r="AE42">
            <v>63646.622368547214</v>
          </cell>
          <cell r="AF42">
            <v>63912.321186806133</v>
          </cell>
          <cell r="AG42">
            <v>758405.69088257791</v>
          </cell>
          <cell r="AH42">
            <v>63200.474240214833</v>
          </cell>
        </row>
        <row r="43">
          <cell r="B43" t="str">
            <v>RESIDENTIAL RECYCLING</v>
          </cell>
        </row>
        <row r="44">
          <cell r="B44" t="str">
            <v>recyonly</v>
          </cell>
          <cell r="C44" t="str">
            <v>RECYCLE SERVICE ONLY</v>
          </cell>
          <cell r="D44">
            <v>11.07</v>
          </cell>
          <cell r="E44">
            <v>11.12</v>
          </cell>
          <cell r="F44">
            <v>11.11</v>
          </cell>
          <cell r="G44">
            <v>2410.48</v>
          </cell>
          <cell r="H44">
            <v>2471.37</v>
          </cell>
          <cell r="I44">
            <v>2388.2449999999999</v>
          </cell>
          <cell r="J44">
            <v>2365.6600000000003</v>
          </cell>
          <cell r="K44">
            <v>2279.6000000000004</v>
          </cell>
          <cell r="L44">
            <v>2310.1799999999998</v>
          </cell>
          <cell r="M44">
            <v>2289.25</v>
          </cell>
          <cell r="N44">
            <v>2301.8399999999997</v>
          </cell>
          <cell r="O44">
            <v>2279.6000000000004</v>
          </cell>
          <cell r="P44">
            <v>2275.84</v>
          </cell>
          <cell r="Q44">
            <v>2258.105</v>
          </cell>
          <cell r="R44">
            <v>2239.105</v>
          </cell>
          <cell r="S44">
            <v>27869.275000000005</v>
          </cell>
          <cell r="U44">
            <v>217.74887082204154</v>
          </cell>
          <cell r="V44">
            <v>223.24932249322492</v>
          </cell>
          <cell r="W44">
            <v>215.74028906955735</v>
          </cell>
          <cell r="X44">
            <v>212.73920863309357</v>
          </cell>
          <cell r="Y44">
            <v>205.00000000000006</v>
          </cell>
          <cell r="Z44">
            <v>207.75</v>
          </cell>
          <cell r="AA44">
            <v>205.86780575539569</v>
          </cell>
          <cell r="AB44">
            <v>207</v>
          </cell>
          <cell r="AC44">
            <v>205.00000000000006</v>
          </cell>
          <cell r="AD44">
            <v>204.84608460846087</v>
          </cell>
          <cell r="AE44">
            <v>203.24977497749776</v>
          </cell>
          <cell r="AF44">
            <v>201.53960396039605</v>
          </cell>
          <cell r="AG44">
            <v>2509.7309603196682</v>
          </cell>
          <cell r="AH44">
            <v>209.14424669330569</v>
          </cell>
        </row>
        <row r="45">
          <cell r="B45" t="str">
            <v>RECYR</v>
          </cell>
          <cell r="C45" t="str">
            <v>RECYCLE PROGRAM</v>
          </cell>
          <cell r="D45">
            <v>7.38</v>
          </cell>
          <cell r="E45">
            <v>7.41</v>
          </cell>
          <cell r="F45">
            <v>7.41</v>
          </cell>
          <cell r="G45">
            <v>461138.87500000006</v>
          </cell>
          <cell r="H45">
            <v>462136.69500000001</v>
          </cell>
          <cell r="I45">
            <v>463687.93</v>
          </cell>
          <cell r="J45">
            <v>466173.01499999984</v>
          </cell>
          <cell r="K45">
            <v>466205.74999999994</v>
          </cell>
          <cell r="L45">
            <v>467978.00999999995</v>
          </cell>
          <cell r="M45">
            <v>467661.12499999994</v>
          </cell>
          <cell r="N45">
            <v>466973.77</v>
          </cell>
          <cell r="O45">
            <v>468208.73499999993</v>
          </cell>
          <cell r="P45">
            <v>468398.10999999993</v>
          </cell>
          <cell r="Q45">
            <v>471862.09</v>
          </cell>
          <cell r="R45">
            <v>474431.90500000003</v>
          </cell>
          <cell r="S45">
            <v>5604856.0099999998</v>
          </cell>
          <cell r="U45">
            <v>62484.94241192413</v>
          </cell>
          <cell r="V45">
            <v>62620.148373983742</v>
          </cell>
          <cell r="W45">
            <v>62830.342818428187</v>
          </cell>
          <cell r="X45">
            <v>62911.338056680142</v>
          </cell>
          <cell r="Y45">
            <v>62915.755735492567</v>
          </cell>
          <cell r="Z45">
            <v>63154.927125506067</v>
          </cell>
          <cell r="AA45">
            <v>63112.162618083661</v>
          </cell>
          <cell r="AB45">
            <v>63019.402159244266</v>
          </cell>
          <cell r="AC45">
            <v>63186.064102564094</v>
          </cell>
          <cell r="AD45">
            <v>63211.620782726037</v>
          </cell>
          <cell r="AE45">
            <v>63679.094466936571</v>
          </cell>
          <cell r="AF45">
            <v>64025.89811066127</v>
          </cell>
          <cell r="AG45">
            <v>757151.6967622306</v>
          </cell>
          <cell r="AH45">
            <v>63095.974730185881</v>
          </cell>
        </row>
        <row r="46">
          <cell r="B46" t="str">
            <v>RECYRNB</v>
          </cell>
          <cell r="C46" t="str">
            <v>RECY PROGRAM-NO CART</v>
          </cell>
          <cell r="D46">
            <v>7.38</v>
          </cell>
          <cell r="E46">
            <v>7.41</v>
          </cell>
          <cell r="F46">
            <v>7.41</v>
          </cell>
          <cell r="G46">
            <v>4717.6649999999991</v>
          </cell>
          <cell r="H46">
            <v>4699.7950000000001</v>
          </cell>
          <cell r="I46">
            <v>4659.9049999999988</v>
          </cell>
          <cell r="J46">
            <v>4613.5149999999994</v>
          </cell>
          <cell r="K46">
            <v>4566.3899999999994</v>
          </cell>
          <cell r="L46">
            <v>4465.375</v>
          </cell>
          <cell r="M46">
            <v>4432.0949999999993</v>
          </cell>
          <cell r="N46">
            <v>4402.45</v>
          </cell>
          <cell r="O46">
            <v>4403.37</v>
          </cell>
          <cell r="P46">
            <v>4411.3750000000009</v>
          </cell>
          <cell r="Q46">
            <v>4414.835</v>
          </cell>
          <cell r="R46">
            <v>4421.8900000000003</v>
          </cell>
          <cell r="S46">
            <v>54208.659999999996</v>
          </cell>
          <cell r="U46">
            <v>639.24999999999989</v>
          </cell>
          <cell r="V46">
            <v>636.82859078590786</v>
          </cell>
          <cell r="W46">
            <v>631.42344173441722</v>
          </cell>
          <cell r="X46">
            <v>622.60661268555998</v>
          </cell>
          <cell r="Y46">
            <v>616.24696356275297</v>
          </cell>
          <cell r="Z46">
            <v>602.61470985155199</v>
          </cell>
          <cell r="AA46">
            <v>598.12348178137643</v>
          </cell>
          <cell r="AB46">
            <v>594.12280701754378</v>
          </cell>
          <cell r="AC46">
            <v>594.24696356275297</v>
          </cell>
          <cell r="AD46">
            <v>595.32726045883953</v>
          </cell>
          <cell r="AE46">
            <v>595.79419703103918</v>
          </cell>
          <cell r="AF46">
            <v>596.74628879892043</v>
          </cell>
          <cell r="AG46">
            <v>7323.3313172706621</v>
          </cell>
          <cell r="AH46">
            <v>610.27760977255514</v>
          </cell>
        </row>
        <row r="47">
          <cell r="B47" t="str">
            <v>DRVNR-RECYCLE</v>
          </cell>
          <cell r="C47" t="str">
            <v>DRIVE IN RECYCLE</v>
          </cell>
          <cell r="D47">
            <v>4.6100000000000003</v>
          </cell>
          <cell r="E47">
            <v>4.63</v>
          </cell>
          <cell r="F47">
            <v>4.63</v>
          </cell>
          <cell r="G47">
            <v>558.06999999999994</v>
          </cell>
          <cell r="H47">
            <v>562.67999999999995</v>
          </cell>
          <cell r="I47">
            <v>563.255</v>
          </cell>
          <cell r="J47">
            <v>569.0100000000001</v>
          </cell>
          <cell r="K47">
            <v>544.80499999999995</v>
          </cell>
          <cell r="L47">
            <v>544.12500000000011</v>
          </cell>
          <cell r="M47">
            <v>563</v>
          </cell>
          <cell r="N47">
            <v>558.01</v>
          </cell>
          <cell r="O47">
            <v>571.90499999999997</v>
          </cell>
          <cell r="P47">
            <v>547.65499999999997</v>
          </cell>
          <cell r="Q47">
            <v>544.74</v>
          </cell>
          <cell r="R47">
            <v>355.63500000000005</v>
          </cell>
          <cell r="S47">
            <v>6482.8899999999994</v>
          </cell>
          <cell r="U47">
            <v>121.05639913232102</v>
          </cell>
          <cell r="V47">
            <v>122.05639913232102</v>
          </cell>
          <cell r="W47">
            <v>122.18112798264642</v>
          </cell>
          <cell r="X47">
            <v>122.89632829373653</v>
          </cell>
          <cell r="Y47">
            <v>117.66846652267817</v>
          </cell>
          <cell r="Z47">
            <v>117.52159827213826</v>
          </cell>
          <cell r="AA47">
            <v>121.59827213822895</v>
          </cell>
          <cell r="AB47">
            <v>120.52051835853132</v>
          </cell>
          <cell r="AC47">
            <v>123.52159827213822</v>
          </cell>
          <cell r="AD47">
            <v>118.28401727861771</v>
          </cell>
          <cell r="AE47">
            <v>117.65442764578835</v>
          </cell>
          <cell r="AF47">
            <v>76.811015118790507</v>
          </cell>
          <cell r="AG47">
            <v>1401.7701681479364</v>
          </cell>
          <cell r="AH47">
            <v>116.8141806789947</v>
          </cell>
        </row>
        <row r="48">
          <cell r="B48" t="str">
            <v>PACKR-RECYCLE</v>
          </cell>
          <cell r="C48" t="str">
            <v>RECY ROLLOUT RESI &lt;25'</v>
          </cell>
          <cell r="D48">
            <v>5.41</v>
          </cell>
          <cell r="E48">
            <v>5.44</v>
          </cell>
          <cell r="F48">
            <v>5.44</v>
          </cell>
          <cell r="G48">
            <v>202.17</v>
          </cell>
          <cell r="H48">
            <v>201.95500000000001</v>
          </cell>
          <cell r="I48">
            <v>225.64500000000001</v>
          </cell>
          <cell r="J48">
            <v>227.63</v>
          </cell>
          <cell r="K48">
            <v>217.36499999999998</v>
          </cell>
          <cell r="L48">
            <v>222.38499999999999</v>
          </cell>
          <cell r="M48">
            <v>218.98500000000001</v>
          </cell>
          <cell r="N48">
            <v>224.42500000000001</v>
          </cell>
          <cell r="O48">
            <v>222.38499999999999</v>
          </cell>
          <cell r="P48">
            <v>233.26499999999999</v>
          </cell>
          <cell r="Q48">
            <v>241.39500000000004</v>
          </cell>
          <cell r="R48">
            <v>229.16499999999999</v>
          </cell>
          <cell r="S48">
            <v>2666.7699999999995</v>
          </cell>
          <cell r="U48">
            <v>37.369685767097963</v>
          </cell>
          <cell r="V48">
            <v>37.329944547134936</v>
          </cell>
          <cell r="W48">
            <v>41.708872458410355</v>
          </cell>
          <cell r="X48">
            <v>41.843749999999993</v>
          </cell>
          <cell r="Y48">
            <v>39.956801470588232</v>
          </cell>
          <cell r="Z48">
            <v>40.87959558823529</v>
          </cell>
          <cell r="AA48">
            <v>40.254595588235297</v>
          </cell>
          <cell r="AB48">
            <v>41.25459558823529</v>
          </cell>
          <cell r="AC48">
            <v>40.87959558823529</v>
          </cell>
          <cell r="AD48">
            <v>42.87959558823529</v>
          </cell>
          <cell r="AE48">
            <v>44.374080882352942</v>
          </cell>
          <cell r="AF48">
            <v>42.125919117647051</v>
          </cell>
          <cell r="AG48">
            <v>490.85703218440801</v>
          </cell>
          <cell r="AH48">
            <v>40.904752682034001</v>
          </cell>
        </row>
        <row r="49">
          <cell r="B49" t="str">
            <v>RECYDEL</v>
          </cell>
          <cell r="C49" t="str">
            <v>RECYCLE TOTER REDELIVERY</v>
          </cell>
          <cell r="D49">
            <v>22.53</v>
          </cell>
          <cell r="E49">
            <v>22.64</v>
          </cell>
          <cell r="F49">
            <v>22.64</v>
          </cell>
          <cell r="G49">
            <v>0</v>
          </cell>
          <cell r="H49">
            <v>45.06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45.06</v>
          </cell>
          <cell r="U49">
            <v>0</v>
          </cell>
          <cell r="V49">
            <v>2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2</v>
          </cell>
          <cell r="AH49">
            <v>0.16666666666666666</v>
          </cell>
        </row>
        <row r="50">
          <cell r="B50" t="str">
            <v>PACKR-RECYADL</v>
          </cell>
          <cell r="C50" t="str">
            <v>RECYROLLOUT &gt;25 PER 5</v>
          </cell>
          <cell r="D50">
            <v>1.17</v>
          </cell>
          <cell r="E50">
            <v>1.17</v>
          </cell>
          <cell r="F50">
            <v>1.17</v>
          </cell>
          <cell r="G50">
            <v>25.795000000000002</v>
          </cell>
          <cell r="H50">
            <v>18.594999999999999</v>
          </cell>
          <cell r="I50">
            <v>25.784999999999997</v>
          </cell>
          <cell r="J50">
            <v>22.869999999999997</v>
          </cell>
          <cell r="K50">
            <v>22.869999999999997</v>
          </cell>
          <cell r="L50">
            <v>22.285</v>
          </cell>
          <cell r="M50">
            <v>23.454999999999998</v>
          </cell>
          <cell r="N50">
            <v>21.114999999999998</v>
          </cell>
          <cell r="O50">
            <v>21.114999999999998</v>
          </cell>
          <cell r="P50">
            <v>13.51</v>
          </cell>
          <cell r="Q50">
            <v>10</v>
          </cell>
          <cell r="R50">
            <v>14.68</v>
          </cell>
          <cell r="S50">
            <v>242.07499999999999</v>
          </cell>
          <cell r="U50">
            <v>22.047008547008549</v>
          </cell>
          <cell r="V50">
            <v>15.893162393162394</v>
          </cell>
          <cell r="W50">
            <v>22.038461538461537</v>
          </cell>
          <cell r="X50">
            <v>19.547008547008545</v>
          </cell>
          <cell r="Y50">
            <v>19.547008547008545</v>
          </cell>
          <cell r="Z50">
            <v>19.047008547008549</v>
          </cell>
          <cell r="AA50">
            <v>20.047008547008545</v>
          </cell>
          <cell r="AB50">
            <v>18.047008547008545</v>
          </cell>
          <cell r="AC50">
            <v>18.047008547008545</v>
          </cell>
          <cell r="AD50">
            <v>11.547008547008547</v>
          </cell>
          <cell r="AE50">
            <v>8.5470085470085468</v>
          </cell>
          <cell r="AF50">
            <v>12.547008547008547</v>
          </cell>
          <cell r="AG50">
            <v>206.90170940170938</v>
          </cell>
          <cell r="AH50">
            <v>17.241809116809115</v>
          </cell>
        </row>
        <row r="51">
          <cell r="S51">
            <v>0</v>
          </cell>
        </row>
        <row r="52">
          <cell r="C52" t="str">
            <v>TOTAL RESIDENTIAL RECYCLING</v>
          </cell>
          <cell r="G52">
            <v>469053.05499999999</v>
          </cell>
          <cell r="H52">
            <v>470136.14999999997</v>
          </cell>
          <cell r="I52">
            <v>471550.76499999996</v>
          </cell>
          <cell r="J52">
            <v>473971.69999999984</v>
          </cell>
          <cell r="K52">
            <v>473836.77999999991</v>
          </cell>
          <cell r="L52">
            <v>475542.35999999993</v>
          </cell>
          <cell r="M52">
            <v>475187.90999999992</v>
          </cell>
          <cell r="N52">
            <v>474481.61000000004</v>
          </cell>
          <cell r="O52">
            <v>475707.10999999993</v>
          </cell>
          <cell r="P52">
            <v>475879.755</v>
          </cell>
          <cell r="Q52">
            <v>479331.16500000004</v>
          </cell>
          <cell r="R52">
            <v>481692.38</v>
          </cell>
          <cell r="S52">
            <v>5696370.7399999993</v>
          </cell>
          <cell r="U52">
            <v>63341.941282746171</v>
          </cell>
          <cell r="V52">
            <v>63480.226287262878</v>
          </cell>
          <cell r="W52">
            <v>63677.506549232166</v>
          </cell>
          <cell r="X52">
            <v>63746.683877998796</v>
          </cell>
          <cell r="Y52">
            <v>63737.002699055316</v>
          </cell>
          <cell r="Z52">
            <v>63965.291835357617</v>
          </cell>
          <cell r="AA52">
            <v>63916.153905620435</v>
          </cell>
          <cell r="AB52">
            <v>63820.524966261808</v>
          </cell>
          <cell r="AC52">
            <v>63985.311066126844</v>
          </cell>
          <cell r="AD52">
            <v>64011.794127793342</v>
          </cell>
          <cell r="AE52">
            <v>64478.138438945112</v>
          </cell>
          <cell r="AF52">
            <v>64824.184003420582</v>
          </cell>
          <cell r="AG52">
            <v>769086.28794955497</v>
          </cell>
          <cell r="AH52">
            <v>63915.396586651746</v>
          </cell>
        </row>
        <row r="54">
          <cell r="B54" t="str">
            <v>RESIDENTIAL YARD WASTE</v>
          </cell>
        </row>
        <row r="55">
          <cell r="B55" t="str">
            <v>YDW90</v>
          </cell>
          <cell r="C55" t="str">
            <v>90 GAL YARDWASTE</v>
          </cell>
          <cell r="D55">
            <v>6.2</v>
          </cell>
          <cell r="E55">
            <v>6.23</v>
          </cell>
          <cell r="F55">
            <v>6.23</v>
          </cell>
          <cell r="G55">
            <v>232246.56500000003</v>
          </cell>
          <cell r="H55">
            <v>233893.26000000004</v>
          </cell>
          <cell r="I55">
            <v>235277.63500000001</v>
          </cell>
          <cell r="J55">
            <v>237255.15500000003</v>
          </cell>
          <cell r="K55">
            <v>236949.535</v>
          </cell>
          <cell r="L55">
            <v>237835.43500000006</v>
          </cell>
          <cell r="M55">
            <v>237228.33499999996</v>
          </cell>
          <cell r="N55">
            <v>236208.77499999999</v>
          </cell>
          <cell r="O55">
            <v>236310.88</v>
          </cell>
          <cell r="P55">
            <v>236699.09</v>
          </cell>
          <cell r="Q55">
            <v>238819.39500000002</v>
          </cell>
          <cell r="R55">
            <v>241251.69500000001</v>
          </cell>
          <cell r="S55">
            <v>2839975.7549999999</v>
          </cell>
          <cell r="U55">
            <v>37459.123387096777</v>
          </cell>
          <cell r="V55">
            <v>37724.719354838715</v>
          </cell>
          <cell r="W55">
            <v>37948.005645161291</v>
          </cell>
          <cell r="X55">
            <v>38082.689406099518</v>
          </cell>
          <cell r="Y55">
            <v>38033.633226324237</v>
          </cell>
          <cell r="Z55">
            <v>38175.832263242381</v>
          </cell>
          <cell r="AA55">
            <v>38078.384430176557</v>
          </cell>
          <cell r="AB55">
            <v>37914.731139646865</v>
          </cell>
          <cell r="AC55">
            <v>37931.120385232745</v>
          </cell>
          <cell r="AD55">
            <v>37993.433386837874</v>
          </cell>
          <cell r="AE55">
            <v>38333.771268057782</v>
          </cell>
          <cell r="AF55">
            <v>38724.1886035313</v>
          </cell>
          <cell r="AG55">
            <v>456399.63249624608</v>
          </cell>
          <cell r="AH55">
            <v>38033.302708020507</v>
          </cell>
        </row>
        <row r="56">
          <cell r="B56" t="str">
            <v>MYDW90</v>
          </cell>
          <cell r="C56" t="str">
            <v>MF YARDWASTE</v>
          </cell>
          <cell r="D56">
            <v>3.1</v>
          </cell>
          <cell r="E56">
            <v>3.1150000000000002</v>
          </cell>
          <cell r="F56">
            <v>3.1150000000000002</v>
          </cell>
          <cell r="G56">
            <v>5308.75</v>
          </cell>
          <cell r="H56">
            <v>5378.5</v>
          </cell>
          <cell r="I56">
            <v>5379.2849999999999</v>
          </cell>
          <cell r="J56">
            <v>5445.7550000000001</v>
          </cell>
          <cell r="K56">
            <v>5466.8050000000003</v>
          </cell>
          <cell r="L56">
            <v>5460.5750000000007</v>
          </cell>
          <cell r="M56">
            <v>5462.1450000000004</v>
          </cell>
          <cell r="N56">
            <v>5507.3050000000003</v>
          </cell>
          <cell r="O56">
            <v>5515.0999999999995</v>
          </cell>
          <cell r="P56">
            <v>5501.55</v>
          </cell>
          <cell r="Q56">
            <v>5701.97</v>
          </cell>
          <cell r="R56">
            <v>5675.6100000000006</v>
          </cell>
          <cell r="S56">
            <v>65803.350000000006</v>
          </cell>
          <cell r="U56">
            <v>1712.5</v>
          </cell>
          <cell r="V56">
            <v>1735</v>
          </cell>
          <cell r="W56">
            <v>1735.2532258064516</v>
          </cell>
          <cell r="X56">
            <v>1748.2359550561796</v>
          </cell>
          <cell r="Y56">
            <v>1754.9935794542537</v>
          </cell>
          <cell r="Z56">
            <v>1752.9935794542537</v>
          </cell>
          <cell r="AA56">
            <v>1753.4975922953452</v>
          </cell>
          <cell r="AB56">
            <v>1767.9951845906901</v>
          </cell>
          <cell r="AC56">
            <v>1770.4975922953447</v>
          </cell>
          <cell r="AD56">
            <v>1766.1476725521668</v>
          </cell>
          <cell r="AE56">
            <v>1830.4879614767256</v>
          </cell>
          <cell r="AF56">
            <v>1822.0256821829855</v>
          </cell>
          <cell r="AG56">
            <v>21149.628025164402</v>
          </cell>
          <cell r="AH56">
            <v>1762.4690020970336</v>
          </cell>
        </row>
        <row r="57">
          <cell r="B57" t="str">
            <v>YDWDEL</v>
          </cell>
          <cell r="C57" t="str">
            <v>YARDWASTE REDELIVERY</v>
          </cell>
          <cell r="D57">
            <v>22.53</v>
          </cell>
          <cell r="E57">
            <v>22.64</v>
          </cell>
          <cell r="F57">
            <v>22.64</v>
          </cell>
          <cell r="G57">
            <v>87.295000000000002</v>
          </cell>
          <cell r="H57">
            <v>30.975000000000001</v>
          </cell>
          <cell r="I57">
            <v>67.59</v>
          </cell>
          <cell r="J57">
            <v>22.64</v>
          </cell>
          <cell r="K57">
            <v>0</v>
          </cell>
          <cell r="L57">
            <v>67.92</v>
          </cell>
          <cell r="M57">
            <v>45.28</v>
          </cell>
          <cell r="N57">
            <v>22.64</v>
          </cell>
          <cell r="O57">
            <v>0</v>
          </cell>
          <cell r="P57">
            <v>67.92</v>
          </cell>
          <cell r="Q57">
            <v>181.12</v>
          </cell>
          <cell r="R57">
            <v>67.92</v>
          </cell>
          <cell r="S57">
            <v>661.30000000000007</v>
          </cell>
          <cell r="U57">
            <v>3.8746116289391921</v>
          </cell>
          <cell r="V57">
            <v>1.3748335552596538</v>
          </cell>
          <cell r="W57">
            <v>3</v>
          </cell>
          <cell r="X57">
            <v>1</v>
          </cell>
          <cell r="Y57">
            <v>0</v>
          </cell>
          <cell r="Z57">
            <v>3</v>
          </cell>
          <cell r="AA57">
            <v>2</v>
          </cell>
          <cell r="AB57">
            <v>1</v>
          </cell>
          <cell r="AC57">
            <v>0</v>
          </cell>
          <cell r="AD57">
            <v>3</v>
          </cell>
          <cell r="AE57">
            <v>8</v>
          </cell>
          <cell r="AF57">
            <v>3</v>
          </cell>
          <cell r="AG57">
            <v>29.249445184198848</v>
          </cell>
          <cell r="AH57">
            <v>2.437453765349904</v>
          </cell>
        </row>
        <row r="58">
          <cell r="B58" t="str">
            <v>YDWEX</v>
          </cell>
          <cell r="C58" t="str">
            <v>EXTRA YARD WASTE</v>
          </cell>
          <cell r="D58">
            <v>2</v>
          </cell>
          <cell r="E58">
            <v>2.0099999999999998</v>
          </cell>
          <cell r="F58">
            <v>2.0099999999999998</v>
          </cell>
          <cell r="G58">
            <v>328</v>
          </cell>
          <cell r="H58">
            <v>270</v>
          </cell>
          <cell r="I58">
            <v>398</v>
          </cell>
          <cell r="J58">
            <v>295</v>
          </cell>
          <cell r="K58">
            <v>239.19</v>
          </cell>
          <cell r="L58">
            <v>747.72</v>
          </cell>
          <cell r="M58">
            <v>176.88</v>
          </cell>
          <cell r="N58">
            <v>64.319999999999993</v>
          </cell>
          <cell r="O58">
            <v>154.76999999999998</v>
          </cell>
          <cell r="P58">
            <v>243.21</v>
          </cell>
          <cell r="Q58">
            <v>476.37</v>
          </cell>
          <cell r="R58">
            <v>675.3599999999999</v>
          </cell>
          <cell r="S58">
            <v>4068.8199999999997</v>
          </cell>
          <cell r="U58">
            <v>164</v>
          </cell>
          <cell r="V58">
            <v>135</v>
          </cell>
          <cell r="W58">
            <v>199</v>
          </cell>
          <cell r="X58">
            <v>146.76616915422886</v>
          </cell>
          <cell r="Y58">
            <v>119.00000000000001</v>
          </cell>
          <cell r="Z58">
            <v>372.00000000000006</v>
          </cell>
          <cell r="AA58">
            <v>88</v>
          </cell>
          <cell r="AB58">
            <v>32</v>
          </cell>
          <cell r="AC58">
            <v>77</v>
          </cell>
          <cell r="AD58">
            <v>121.00000000000001</v>
          </cell>
          <cell r="AE58">
            <v>237.00000000000003</v>
          </cell>
          <cell r="AF58">
            <v>336</v>
          </cell>
          <cell r="AG58">
            <v>2026.7661691542289</v>
          </cell>
          <cell r="AH58">
            <v>168.8971807628524</v>
          </cell>
        </row>
        <row r="59">
          <cell r="B59" t="str">
            <v>DRVNR-YARDWASTE</v>
          </cell>
          <cell r="C59" t="str">
            <v>DRIVE IN YARDWASTE</v>
          </cell>
          <cell r="D59">
            <v>4.3099999999999996</v>
          </cell>
          <cell r="E59">
            <v>4.33</v>
          </cell>
          <cell r="F59">
            <v>4.33</v>
          </cell>
          <cell r="G59">
            <v>86.205000000000013</v>
          </cell>
          <cell r="H59">
            <v>94.820000000000007</v>
          </cell>
          <cell r="I59">
            <v>99.235000000000014</v>
          </cell>
          <cell r="J59">
            <v>97.3</v>
          </cell>
          <cell r="K59">
            <v>78.02</v>
          </cell>
          <cell r="L59">
            <v>95.259999999999991</v>
          </cell>
          <cell r="M59">
            <v>95.259999999999991</v>
          </cell>
          <cell r="N59">
            <v>95.259999999999991</v>
          </cell>
          <cell r="O59">
            <v>99.59</v>
          </cell>
          <cell r="P59">
            <v>95.259999999999991</v>
          </cell>
          <cell r="Q59">
            <v>85.51</v>
          </cell>
          <cell r="R59">
            <v>81.185000000000002</v>
          </cell>
          <cell r="S59">
            <v>1102.905</v>
          </cell>
          <cell r="U59">
            <v>20.001160092807428</v>
          </cell>
          <cell r="V59">
            <v>22.000000000000004</v>
          </cell>
          <cell r="W59">
            <v>23.024361948955921</v>
          </cell>
          <cell r="X59">
            <v>22.471131639722863</v>
          </cell>
          <cell r="Y59">
            <v>18.018475750577366</v>
          </cell>
          <cell r="Z59">
            <v>21.999999999999996</v>
          </cell>
          <cell r="AA59">
            <v>21.999999999999996</v>
          </cell>
          <cell r="AB59">
            <v>21.999999999999996</v>
          </cell>
          <cell r="AC59">
            <v>23</v>
          </cell>
          <cell r="AD59">
            <v>21.999999999999996</v>
          </cell>
          <cell r="AE59">
            <v>19.748267898383371</v>
          </cell>
          <cell r="AF59">
            <v>18.749422632794456</v>
          </cell>
          <cell r="AG59">
            <v>255.01281996324138</v>
          </cell>
          <cell r="AH59">
            <v>21.251068330270115</v>
          </cell>
        </row>
        <row r="60">
          <cell r="B60" t="str">
            <v>PACKR-YARDWASTE</v>
          </cell>
          <cell r="C60" t="str">
            <v>YRDWSTE ROLLOUT RES &lt;25'</v>
          </cell>
          <cell r="D60">
            <v>5.41</v>
          </cell>
          <cell r="E60">
            <v>5.44</v>
          </cell>
          <cell r="F60">
            <v>5.44</v>
          </cell>
          <cell r="G60">
            <v>40.064999999999998</v>
          </cell>
          <cell r="H60">
            <v>42.77</v>
          </cell>
          <cell r="I60">
            <v>42.814999999999998</v>
          </cell>
          <cell r="J60">
            <v>42.875</v>
          </cell>
          <cell r="K60">
            <v>42.92</v>
          </cell>
          <cell r="L60">
            <v>42.92</v>
          </cell>
          <cell r="M60">
            <v>42.92</v>
          </cell>
          <cell r="N60">
            <v>42.92</v>
          </cell>
          <cell r="O60">
            <v>42.92</v>
          </cell>
          <cell r="P60">
            <v>48.36</v>
          </cell>
          <cell r="Q60">
            <v>32.64</v>
          </cell>
          <cell r="R60">
            <v>32.64</v>
          </cell>
          <cell r="S60">
            <v>496.76500000000004</v>
          </cell>
          <cell r="U60">
            <v>7.405730129390018</v>
          </cell>
          <cell r="V60">
            <v>7.9057301293900188</v>
          </cell>
          <cell r="W60">
            <v>7.9140480591497218</v>
          </cell>
          <cell r="X60">
            <v>7.8814338235294112</v>
          </cell>
          <cell r="Y60">
            <v>7.8897058823529411</v>
          </cell>
          <cell r="Z60">
            <v>7.8897058823529411</v>
          </cell>
          <cell r="AA60">
            <v>7.8897058823529411</v>
          </cell>
          <cell r="AB60">
            <v>7.8897058823529411</v>
          </cell>
          <cell r="AC60">
            <v>7.8897058823529411</v>
          </cell>
          <cell r="AD60">
            <v>8.8897058823529402</v>
          </cell>
          <cell r="AE60">
            <v>6</v>
          </cell>
          <cell r="AF60">
            <v>6</v>
          </cell>
          <cell r="AG60">
            <v>91.445177435576824</v>
          </cell>
          <cell r="AH60">
            <v>7.620431452964735</v>
          </cell>
        </row>
        <row r="61">
          <cell r="B61" t="str">
            <v>TRIPYCARTS</v>
          </cell>
          <cell r="C61" t="str">
            <v>YDW TRIP CHARGE - RESI</v>
          </cell>
          <cell r="D61">
            <v>11</v>
          </cell>
          <cell r="E61">
            <v>11.05</v>
          </cell>
          <cell r="F61">
            <v>11.05</v>
          </cell>
          <cell r="G61">
            <v>77</v>
          </cell>
          <cell r="H61">
            <v>33</v>
          </cell>
          <cell r="I61">
            <v>11</v>
          </cell>
          <cell r="J61">
            <v>11.050000000000004</v>
          </cell>
          <cell r="K61">
            <v>33.15</v>
          </cell>
          <cell r="L61">
            <v>66.3</v>
          </cell>
          <cell r="M61">
            <v>11.05</v>
          </cell>
          <cell r="N61">
            <v>-11.05</v>
          </cell>
          <cell r="O61">
            <v>22.1</v>
          </cell>
          <cell r="P61">
            <v>44.2</v>
          </cell>
          <cell r="Q61">
            <v>66.3</v>
          </cell>
          <cell r="R61">
            <v>33.150000000000006</v>
          </cell>
          <cell r="S61">
            <v>397.25</v>
          </cell>
          <cell r="U61">
            <v>7</v>
          </cell>
          <cell r="V61">
            <v>3</v>
          </cell>
          <cell r="W61">
            <v>1</v>
          </cell>
          <cell r="X61">
            <v>1.0000000000000002</v>
          </cell>
          <cell r="Y61">
            <v>2.9999999999999996</v>
          </cell>
          <cell r="Z61">
            <v>5.9999999999999991</v>
          </cell>
          <cell r="AA61">
            <v>1</v>
          </cell>
          <cell r="AB61">
            <v>-1</v>
          </cell>
          <cell r="AC61">
            <v>2</v>
          </cell>
          <cell r="AD61">
            <v>4</v>
          </cell>
          <cell r="AE61">
            <v>5.9999999999999991</v>
          </cell>
          <cell r="AF61">
            <v>3.0000000000000004</v>
          </cell>
          <cell r="AG61">
            <v>36</v>
          </cell>
          <cell r="AH61">
            <v>3</v>
          </cell>
        </row>
        <row r="62">
          <cell r="B62" t="str">
            <v>PACKR-YARDAD</v>
          </cell>
          <cell r="C62" t="str">
            <v>YDWSTROLLOUT &gt;25 PER 5</v>
          </cell>
          <cell r="D62">
            <v>1.17</v>
          </cell>
          <cell r="E62">
            <v>1.17</v>
          </cell>
          <cell r="F62">
            <v>1.17</v>
          </cell>
          <cell r="G62">
            <v>1.17</v>
          </cell>
          <cell r="H62">
            <v>1.17</v>
          </cell>
          <cell r="I62">
            <v>1.17</v>
          </cell>
          <cell r="J62">
            <v>1.17</v>
          </cell>
          <cell r="K62">
            <v>1.17</v>
          </cell>
          <cell r="L62">
            <v>1.17</v>
          </cell>
          <cell r="M62">
            <v>1.17</v>
          </cell>
          <cell r="N62">
            <v>1.17</v>
          </cell>
          <cell r="O62">
            <v>1.17</v>
          </cell>
          <cell r="P62">
            <v>0</v>
          </cell>
          <cell r="Q62">
            <v>0</v>
          </cell>
          <cell r="R62">
            <v>0</v>
          </cell>
          <cell r="S62">
            <v>10.53</v>
          </cell>
          <cell r="U62">
            <v>1</v>
          </cell>
          <cell r="V62">
            <v>1</v>
          </cell>
          <cell r="W62">
            <v>1</v>
          </cell>
          <cell r="X62">
            <v>1</v>
          </cell>
          <cell r="Y62">
            <v>1</v>
          </cell>
          <cell r="Z62">
            <v>1</v>
          </cell>
          <cell r="AA62">
            <v>1</v>
          </cell>
          <cell r="AB62">
            <v>1</v>
          </cell>
          <cell r="AC62">
            <v>1</v>
          </cell>
          <cell r="AD62">
            <v>0</v>
          </cell>
          <cell r="AE62">
            <v>0</v>
          </cell>
          <cell r="AF62">
            <v>0</v>
          </cell>
          <cell r="AG62">
            <v>9</v>
          </cell>
          <cell r="AH62">
            <v>0.75</v>
          </cell>
        </row>
        <row r="64">
          <cell r="C64" t="str">
            <v>TOTAL RESIDENTIAL YARD WASTE</v>
          </cell>
          <cell r="G64">
            <v>238175.05000000005</v>
          </cell>
          <cell r="H64">
            <v>239744.49500000005</v>
          </cell>
          <cell r="I64">
            <v>241276.73</v>
          </cell>
          <cell r="J64">
            <v>243170.94500000004</v>
          </cell>
          <cell r="K64">
            <v>242810.79</v>
          </cell>
          <cell r="L64">
            <v>244317.3000000001</v>
          </cell>
          <cell r="M64">
            <v>243063.03999999998</v>
          </cell>
          <cell r="N64">
            <v>241931.34000000005</v>
          </cell>
          <cell r="O64">
            <v>242146.53000000003</v>
          </cell>
          <cell r="P64">
            <v>242699.59</v>
          </cell>
          <cell r="Q64">
            <v>245363.30500000002</v>
          </cell>
          <cell r="R64">
            <v>247817.56</v>
          </cell>
          <cell r="S64">
            <v>2912516.6749999993</v>
          </cell>
          <cell r="U64">
            <v>39171.623387096777</v>
          </cell>
          <cell r="V64">
            <v>39459.719354838715</v>
          </cell>
          <cell r="W64">
            <v>39683.258870967744</v>
          </cell>
          <cell r="X64">
            <v>39830.9253611557</v>
          </cell>
          <cell r="Y64">
            <v>39788.626805778491</v>
          </cell>
          <cell r="Z64">
            <v>39928.825842696635</v>
          </cell>
          <cell r="AA64">
            <v>39831.882022471902</v>
          </cell>
          <cell r="AB64">
            <v>39682.726324237556</v>
          </cell>
          <cell r="AC64">
            <v>39701.617977528091</v>
          </cell>
          <cell r="AD64">
            <v>39759.581059390039</v>
          </cell>
          <cell r="AE64">
            <v>40164.259229534509</v>
          </cell>
          <cell r="AF64">
            <v>40546.214285714283</v>
          </cell>
          <cell r="AG64">
            <v>477549.2605214105</v>
          </cell>
          <cell r="AH64">
            <v>39795.771710117537</v>
          </cell>
        </row>
        <row r="67">
          <cell r="B67" t="str">
            <v>SUBTOTAL RESIDENTIAL</v>
          </cell>
          <cell r="G67">
            <v>2403133.0950000007</v>
          </cell>
          <cell r="H67">
            <v>2414680.8750000005</v>
          </cell>
          <cell r="I67">
            <v>2422429.5200000005</v>
          </cell>
          <cell r="J67">
            <v>2433534.1349999998</v>
          </cell>
          <cell r="K67">
            <v>2431610.6500000004</v>
          </cell>
          <cell r="L67">
            <v>2447570.3600000003</v>
          </cell>
          <cell r="M67">
            <v>2445101.2450000001</v>
          </cell>
          <cell r="N67">
            <v>2450174.6500000004</v>
          </cell>
          <cell r="O67">
            <v>2449988.1399999997</v>
          </cell>
          <cell r="P67">
            <v>2449648.0950000007</v>
          </cell>
          <cell r="Q67">
            <v>2466479.94</v>
          </cell>
          <cell r="R67">
            <v>2482483.1</v>
          </cell>
          <cell r="S67">
            <v>29296833.804999996</v>
          </cell>
          <cell r="U67">
            <v>165739.6638029833</v>
          </cell>
          <cell r="V67">
            <v>166394.11779365188</v>
          </cell>
          <cell r="W67">
            <v>167007.65100791404</v>
          </cell>
          <cell r="X67">
            <v>166985.91620639543</v>
          </cell>
          <cell r="Y67">
            <v>166964.64669766562</v>
          </cell>
          <cell r="Z67">
            <v>167550.46079350397</v>
          </cell>
          <cell r="AA67">
            <v>167359.7192268683</v>
          </cell>
          <cell r="AB67">
            <v>167114.42458398046</v>
          </cell>
          <cell r="AC67">
            <v>167276.94140608649</v>
          </cell>
          <cell r="AD67">
            <v>167518.09407816952</v>
          </cell>
          <cell r="AE67">
            <v>168742.02486462618</v>
          </cell>
          <cell r="AF67">
            <v>169740.55397702073</v>
          </cell>
          <cell r="AG67">
            <v>2010495.7433485999</v>
          </cell>
          <cell r="AH67">
            <v>166651.26219013525</v>
          </cell>
        </row>
        <row r="70">
          <cell r="B70" t="str">
            <v>COMMERCIAL SERVICES</v>
          </cell>
        </row>
        <row r="72">
          <cell r="B72" t="str">
            <v>COMMERCIAL GARBAGE</v>
          </cell>
        </row>
        <row r="73">
          <cell r="B73" t="str">
            <v>20CW1</v>
          </cell>
          <cell r="C73" t="str">
            <v>1-20 GAL CART WKLY</v>
          </cell>
          <cell r="D73">
            <v>17.12</v>
          </cell>
          <cell r="E73">
            <v>17.2</v>
          </cell>
          <cell r="F73">
            <v>17.12</v>
          </cell>
          <cell r="G73">
            <v>59.92</v>
          </cell>
          <cell r="H73">
            <v>94.16</v>
          </cell>
          <cell r="I73">
            <v>89.88000000000001</v>
          </cell>
          <cell r="J73">
            <v>107.48</v>
          </cell>
          <cell r="K73">
            <v>90.3</v>
          </cell>
          <cell r="L73">
            <v>60.319999999999993</v>
          </cell>
          <cell r="M73">
            <v>108.57499999999999</v>
          </cell>
          <cell r="N73">
            <v>108.57499999999999</v>
          </cell>
          <cell r="O73">
            <v>103.19999999999999</v>
          </cell>
          <cell r="P73">
            <v>102.72</v>
          </cell>
          <cell r="Q73">
            <v>102.72</v>
          </cell>
          <cell r="R73">
            <v>102.72</v>
          </cell>
          <cell r="S73">
            <v>1130.5700000000002</v>
          </cell>
          <cell r="U73">
            <v>3.5</v>
          </cell>
          <cell r="V73">
            <v>5.4999999999999991</v>
          </cell>
          <cell r="W73">
            <v>5.25</v>
          </cell>
          <cell r="X73">
            <v>6.2488372093023257</v>
          </cell>
          <cell r="Y73">
            <v>5.25</v>
          </cell>
          <cell r="Z73">
            <v>3.5069767441860464</v>
          </cell>
          <cell r="AA73">
            <v>6.3125</v>
          </cell>
          <cell r="AB73">
            <v>6.3125</v>
          </cell>
          <cell r="AC73">
            <v>6</v>
          </cell>
          <cell r="AD73">
            <v>6</v>
          </cell>
          <cell r="AE73">
            <v>6</v>
          </cell>
          <cell r="AF73">
            <v>6</v>
          </cell>
          <cell r="AG73">
            <v>65.880813953488371</v>
          </cell>
          <cell r="AH73">
            <v>5.4900678294573639</v>
          </cell>
        </row>
        <row r="74">
          <cell r="B74" t="str">
            <v>35CW1</v>
          </cell>
          <cell r="C74" t="str">
            <v>1-35 GAL CART WKLY</v>
          </cell>
          <cell r="D74">
            <v>21.54</v>
          </cell>
          <cell r="E74">
            <v>21.64</v>
          </cell>
          <cell r="F74">
            <v>21.51</v>
          </cell>
          <cell r="G74">
            <v>1554.92</v>
          </cell>
          <cell r="H74">
            <v>1546.83</v>
          </cell>
          <cell r="I74">
            <v>1467.58</v>
          </cell>
          <cell r="J74">
            <v>1511.7800000000002</v>
          </cell>
          <cell r="K74">
            <v>1437.7049999999999</v>
          </cell>
          <cell r="L74">
            <v>1399.835</v>
          </cell>
          <cell r="M74">
            <v>1296.8400000000001</v>
          </cell>
          <cell r="N74">
            <v>1333.5650000000001</v>
          </cell>
          <cell r="O74">
            <v>1371.405</v>
          </cell>
          <cell r="P74">
            <v>1344.34</v>
          </cell>
          <cell r="Q74">
            <v>1312.1100000000001</v>
          </cell>
          <cell r="R74">
            <v>1247.58</v>
          </cell>
          <cell r="S74">
            <v>16824.490000000005</v>
          </cell>
          <cell r="U74">
            <v>72.187558031569182</v>
          </cell>
          <cell r="V74">
            <v>71.811977715877433</v>
          </cell>
          <cell r="W74">
            <v>68.132776230269272</v>
          </cell>
          <cell r="X74">
            <v>69.860443622920528</v>
          </cell>
          <cell r="Y74">
            <v>66.437384473197781</v>
          </cell>
          <cell r="Z74">
            <v>64.687384473197781</v>
          </cell>
          <cell r="AA74">
            <v>59.927911275415902</v>
          </cell>
          <cell r="AB74">
            <v>61.625</v>
          </cell>
          <cell r="AC74">
            <v>63.373613678373381</v>
          </cell>
          <cell r="AD74">
            <v>62.498372849837274</v>
          </cell>
          <cell r="AE74">
            <v>61</v>
          </cell>
          <cell r="AF74">
            <v>57.999999999999993</v>
          </cell>
          <cell r="AG74">
            <v>779.54242235065863</v>
          </cell>
          <cell r="AH74">
            <v>64.961868529221547</v>
          </cell>
        </row>
        <row r="75">
          <cell r="B75" t="str">
            <v>65CW1</v>
          </cell>
          <cell r="C75" t="str">
            <v>1-65 GAL CART WKLY</v>
          </cell>
          <cell r="D75">
            <v>32.159999999999997</v>
          </cell>
          <cell r="E75">
            <v>32.31</v>
          </cell>
          <cell r="F75">
            <v>32.130000000000003</v>
          </cell>
          <cell r="G75">
            <v>2327.58</v>
          </cell>
          <cell r="H75">
            <v>2259.2400000000002</v>
          </cell>
          <cell r="I75">
            <v>2186.92</v>
          </cell>
          <cell r="J75">
            <v>2221.27</v>
          </cell>
          <cell r="K75">
            <v>2302.98</v>
          </cell>
          <cell r="L75">
            <v>2326.31</v>
          </cell>
          <cell r="M75">
            <v>2358.63</v>
          </cell>
          <cell r="N75">
            <v>2358.62</v>
          </cell>
          <cell r="O75">
            <v>2358.63</v>
          </cell>
          <cell r="P75">
            <v>2345.4900000000002</v>
          </cell>
          <cell r="Q75">
            <v>2337.4500000000003</v>
          </cell>
          <cell r="R75">
            <v>2385.64</v>
          </cell>
          <cell r="S75">
            <v>27768.760000000002</v>
          </cell>
          <cell r="U75">
            <v>72.375</v>
          </cell>
          <cell r="V75">
            <v>70.250000000000014</v>
          </cell>
          <cell r="W75">
            <v>68.00124378109453</v>
          </cell>
          <cell r="X75">
            <v>68.748684617765392</v>
          </cell>
          <cell r="Y75">
            <v>71.277623026926648</v>
          </cell>
          <cell r="Z75">
            <v>71.999690498297738</v>
          </cell>
          <cell r="AA75">
            <v>73</v>
          </cell>
          <cell r="AB75">
            <v>72.999690498297738</v>
          </cell>
          <cell r="AC75">
            <v>73</v>
          </cell>
          <cell r="AD75">
            <v>73</v>
          </cell>
          <cell r="AE75">
            <v>72.749766573295986</v>
          </cell>
          <cell r="AF75">
            <v>74.249610955493296</v>
          </cell>
          <cell r="AG75">
            <v>861.65130995117136</v>
          </cell>
          <cell r="AH75">
            <v>71.804275829264284</v>
          </cell>
        </row>
        <row r="76">
          <cell r="B76" t="str">
            <v>95CW1</v>
          </cell>
          <cell r="C76" t="str">
            <v>1-95 GAL CART WKLY</v>
          </cell>
          <cell r="D76">
            <v>45.04</v>
          </cell>
          <cell r="E76">
            <v>45.25</v>
          </cell>
          <cell r="F76">
            <v>44.99</v>
          </cell>
          <cell r="G76">
            <v>3468.08</v>
          </cell>
          <cell r="H76">
            <v>4188.72</v>
          </cell>
          <cell r="I76">
            <v>3862.1800000000003</v>
          </cell>
          <cell r="J76">
            <v>3710.47</v>
          </cell>
          <cell r="K76">
            <v>3642.59</v>
          </cell>
          <cell r="L76">
            <v>3778.37</v>
          </cell>
          <cell r="M76">
            <v>3834.93</v>
          </cell>
          <cell r="N76">
            <v>3738.75</v>
          </cell>
          <cell r="O76">
            <v>3546.4700000000003</v>
          </cell>
          <cell r="P76">
            <v>3644.19</v>
          </cell>
          <cell r="Q76">
            <v>3756.58</v>
          </cell>
          <cell r="R76">
            <v>4060.37</v>
          </cell>
          <cell r="S76">
            <v>45231.700000000004</v>
          </cell>
          <cell r="U76">
            <v>77</v>
          </cell>
          <cell r="V76">
            <v>93.000000000000014</v>
          </cell>
          <cell r="W76">
            <v>85.750000000000014</v>
          </cell>
          <cell r="X76">
            <v>81.999337016574586</v>
          </cell>
          <cell r="Y76">
            <v>80.499226519337014</v>
          </cell>
          <cell r="Z76">
            <v>83.499889502762429</v>
          </cell>
          <cell r="AA76">
            <v>84.749834254143636</v>
          </cell>
          <cell r="AB76">
            <v>82.624309392265189</v>
          </cell>
          <cell r="AC76">
            <v>78.375027624309396</v>
          </cell>
          <cell r="AD76">
            <v>81</v>
          </cell>
          <cell r="AE76">
            <v>83.498110691264714</v>
          </cell>
          <cell r="AF76">
            <v>90.250500111135807</v>
          </cell>
          <cell r="AG76">
            <v>1002.2462351117928</v>
          </cell>
          <cell r="AH76">
            <v>83.520519592649393</v>
          </cell>
        </row>
        <row r="77">
          <cell r="B77" t="str">
            <v>F1YD1W</v>
          </cell>
          <cell r="C77" t="str">
            <v>1YD CONT 1X WEEKLY</v>
          </cell>
          <cell r="D77">
            <v>103.57</v>
          </cell>
          <cell r="E77">
            <v>104.05</v>
          </cell>
          <cell r="F77">
            <v>103.4</v>
          </cell>
          <cell r="G77">
            <v>621.41999999999996</v>
          </cell>
          <cell r="H77">
            <v>621.41999999999996</v>
          </cell>
          <cell r="I77">
            <v>621.41999999999996</v>
          </cell>
          <cell r="J77">
            <v>624.29999999999995</v>
          </cell>
          <cell r="K77">
            <v>624.29999999999995</v>
          </cell>
          <cell r="L77">
            <v>624.29999999999995</v>
          </cell>
          <cell r="M77">
            <v>676.31999999999994</v>
          </cell>
          <cell r="N77">
            <v>728.34999999999991</v>
          </cell>
          <cell r="O77">
            <v>676.32999999999993</v>
          </cell>
          <cell r="P77">
            <v>723.80000000000007</v>
          </cell>
          <cell r="Q77">
            <v>827.2</v>
          </cell>
          <cell r="R77">
            <v>827.2</v>
          </cell>
          <cell r="S77">
            <v>8196.36</v>
          </cell>
          <cell r="U77">
            <v>6</v>
          </cell>
          <cell r="V77">
            <v>6</v>
          </cell>
          <cell r="W77">
            <v>6</v>
          </cell>
          <cell r="X77">
            <v>6</v>
          </cell>
          <cell r="Y77">
            <v>6</v>
          </cell>
          <cell r="Z77">
            <v>6</v>
          </cell>
          <cell r="AA77">
            <v>6.4999519461797206</v>
          </cell>
          <cell r="AB77">
            <v>6.9999999999999991</v>
          </cell>
          <cell r="AC77">
            <v>6.5000480538202785</v>
          </cell>
          <cell r="AD77">
            <v>7</v>
          </cell>
          <cell r="AE77">
            <v>8</v>
          </cell>
          <cell r="AF77">
            <v>8</v>
          </cell>
          <cell r="AG77">
            <v>79</v>
          </cell>
          <cell r="AH77">
            <v>6.583333333333333</v>
          </cell>
        </row>
        <row r="78">
          <cell r="B78" t="str">
            <v>R1YD1W</v>
          </cell>
          <cell r="C78" t="str">
            <v>1YD CONT 1xWEEKLY</v>
          </cell>
          <cell r="D78">
            <v>103.57</v>
          </cell>
          <cell r="E78">
            <v>104.05</v>
          </cell>
          <cell r="F78">
            <v>103.4</v>
          </cell>
          <cell r="G78">
            <v>38263.279999999999</v>
          </cell>
          <cell r="H78">
            <v>38269.07</v>
          </cell>
          <cell r="I78">
            <v>37523.010000000009</v>
          </cell>
          <cell r="J78">
            <v>37241.11</v>
          </cell>
          <cell r="K78">
            <v>37171.79</v>
          </cell>
          <cell r="L78">
            <v>36495.509999999995</v>
          </cell>
          <cell r="M78">
            <v>36443.35</v>
          </cell>
          <cell r="N78">
            <v>35819.160000000003</v>
          </cell>
          <cell r="O78">
            <v>36053.31</v>
          </cell>
          <cell r="P78">
            <v>35802.25</v>
          </cell>
          <cell r="Q78">
            <v>35285.250000000007</v>
          </cell>
          <cell r="R78">
            <v>35466.199999999997</v>
          </cell>
          <cell r="S78">
            <v>439833.29000000004</v>
          </cell>
          <cell r="U78">
            <v>369.44366129187989</v>
          </cell>
          <cell r="V78">
            <v>369.49956551124848</v>
          </cell>
          <cell r="W78">
            <v>362.29612822245838</v>
          </cell>
          <cell r="X78">
            <v>357.91552138395002</v>
          </cell>
          <cell r="Y78">
            <v>357.24930321960596</v>
          </cell>
          <cell r="Z78">
            <v>350.74973570398845</v>
          </cell>
          <cell r="AA78">
            <v>350.24843825084093</v>
          </cell>
          <cell r="AB78">
            <v>344.24949543488714</v>
          </cell>
          <cell r="AC78">
            <v>346.49985583853913</v>
          </cell>
          <cell r="AD78">
            <v>346.25</v>
          </cell>
          <cell r="AE78">
            <v>341.25000000000006</v>
          </cell>
          <cell r="AF78">
            <v>342.99999999999994</v>
          </cell>
          <cell r="AG78">
            <v>4238.6517048573987</v>
          </cell>
          <cell r="AH78">
            <v>353.22097540478325</v>
          </cell>
        </row>
        <row r="79">
          <cell r="B79" t="str">
            <v>R1YD2W</v>
          </cell>
          <cell r="C79" t="str">
            <v>1YD CONT 2xWEEKLY</v>
          </cell>
          <cell r="D79">
            <v>207.14</v>
          </cell>
          <cell r="E79">
            <v>208.1</v>
          </cell>
          <cell r="F79">
            <v>206.8</v>
          </cell>
          <cell r="G79">
            <v>621.41999999999996</v>
          </cell>
          <cell r="H79">
            <v>595.52</v>
          </cell>
          <cell r="I79">
            <v>621.41999999999996</v>
          </cell>
          <cell r="J79">
            <v>624.29999999999995</v>
          </cell>
          <cell r="K79">
            <v>624.29999999999995</v>
          </cell>
          <cell r="L79">
            <v>702.32999999999993</v>
          </cell>
          <cell r="M79">
            <v>884.42000000000007</v>
          </cell>
          <cell r="N79">
            <v>1144.55</v>
          </cell>
          <cell r="O79">
            <v>1248.5999999999999</v>
          </cell>
          <cell r="P79">
            <v>1240.8000000000002</v>
          </cell>
          <cell r="Q79">
            <v>1240.8000000000002</v>
          </cell>
          <cell r="R79">
            <v>1240.8000000000002</v>
          </cell>
          <cell r="S79">
            <v>10789.259999999998</v>
          </cell>
          <cell r="U79">
            <v>3</v>
          </cell>
          <cell r="V79">
            <v>2.8749637926040359</v>
          </cell>
          <cell r="W79">
            <v>3</v>
          </cell>
          <cell r="X79">
            <v>3</v>
          </cell>
          <cell r="Y79">
            <v>3</v>
          </cell>
          <cell r="Z79">
            <v>3.3749639596347909</v>
          </cell>
          <cell r="AA79">
            <v>4.2499759730898612</v>
          </cell>
          <cell r="AB79">
            <v>5.5</v>
          </cell>
          <cell r="AC79">
            <v>6</v>
          </cell>
          <cell r="AD79">
            <v>6.0000000000000009</v>
          </cell>
          <cell r="AE79">
            <v>6.0000000000000009</v>
          </cell>
          <cell r="AF79">
            <v>6.0000000000000009</v>
          </cell>
          <cell r="AG79">
            <v>51.999903725328686</v>
          </cell>
          <cell r="AH79">
            <v>4.3333253104440574</v>
          </cell>
        </row>
        <row r="80">
          <cell r="B80" t="str">
            <v>R1YD3W</v>
          </cell>
          <cell r="C80" t="str">
            <v>1YD CONT 3xWEEKLY</v>
          </cell>
          <cell r="D80">
            <v>310.70999999999998</v>
          </cell>
          <cell r="E80">
            <v>312.14999999999998</v>
          </cell>
          <cell r="F80">
            <v>310.2</v>
          </cell>
          <cell r="G80">
            <v>1864.26</v>
          </cell>
          <cell r="H80">
            <v>1864.26</v>
          </cell>
          <cell r="I80">
            <v>1864.26</v>
          </cell>
          <cell r="J80">
            <v>1872.9</v>
          </cell>
          <cell r="K80">
            <v>1872.9</v>
          </cell>
          <cell r="L80">
            <v>1872.9</v>
          </cell>
          <cell r="M80">
            <v>1872.9</v>
          </cell>
          <cell r="N80">
            <v>1872.9</v>
          </cell>
          <cell r="O80">
            <v>1872.9</v>
          </cell>
          <cell r="P80">
            <v>1861.2</v>
          </cell>
          <cell r="Q80">
            <v>1861.2</v>
          </cell>
          <cell r="R80">
            <v>1861.2</v>
          </cell>
          <cell r="S80">
            <v>22413.780000000002</v>
          </cell>
          <cell r="U80">
            <v>6</v>
          </cell>
          <cell r="V80">
            <v>6</v>
          </cell>
          <cell r="W80">
            <v>6</v>
          </cell>
          <cell r="X80">
            <v>6.0000000000000009</v>
          </cell>
          <cell r="Y80">
            <v>6.0000000000000009</v>
          </cell>
          <cell r="Z80">
            <v>6.0000000000000009</v>
          </cell>
          <cell r="AA80">
            <v>6.0000000000000009</v>
          </cell>
          <cell r="AB80">
            <v>6.0000000000000009</v>
          </cell>
          <cell r="AC80">
            <v>6.0000000000000009</v>
          </cell>
          <cell r="AD80">
            <v>6</v>
          </cell>
          <cell r="AE80">
            <v>6</v>
          </cell>
          <cell r="AF80">
            <v>6</v>
          </cell>
          <cell r="AG80">
            <v>72</v>
          </cell>
          <cell r="AH80">
            <v>6</v>
          </cell>
        </row>
        <row r="81">
          <cell r="B81" t="str">
            <v>R1YDTPU</v>
          </cell>
          <cell r="C81" t="str">
            <v>1YD TEMP CONT</v>
          </cell>
          <cell r="D81">
            <v>26.09</v>
          </cell>
          <cell r="E81">
            <v>26.21</v>
          </cell>
          <cell r="F81">
            <v>26.06</v>
          </cell>
          <cell r="G81">
            <v>225.94</v>
          </cell>
          <cell r="H81">
            <v>338.9</v>
          </cell>
          <cell r="I81">
            <v>338.9</v>
          </cell>
          <cell r="J81">
            <v>198.2</v>
          </cell>
          <cell r="K81">
            <v>224.83</v>
          </cell>
          <cell r="L81">
            <v>368.83</v>
          </cell>
          <cell r="M81">
            <v>113.49</v>
          </cell>
          <cell r="N81">
            <v>50.95</v>
          </cell>
          <cell r="O81">
            <v>198.6</v>
          </cell>
          <cell r="P81">
            <v>197.63</v>
          </cell>
          <cell r="Q81">
            <v>169.26</v>
          </cell>
          <cell r="R81">
            <v>256.31</v>
          </cell>
          <cell r="S81">
            <v>2681.8399999999997</v>
          </cell>
          <cell r="U81">
            <v>8.6600229973169789</v>
          </cell>
          <cell r="V81">
            <v>12.98965120735914</v>
          </cell>
          <cell r="W81">
            <v>12.98965120735914</v>
          </cell>
          <cell r="X81">
            <v>7.5619992369324676</v>
          </cell>
          <cell r="Y81">
            <v>8.5780236550934763</v>
          </cell>
          <cell r="Z81">
            <v>14.072109881724531</v>
          </cell>
          <cell r="AA81">
            <v>4.3300267073636016</v>
          </cell>
          <cell r="AB81">
            <v>1.9439145364364747</v>
          </cell>
          <cell r="AC81">
            <v>7.5772605875619989</v>
          </cell>
          <cell r="AD81">
            <v>7.583653108211819</v>
          </cell>
          <cell r="AE81">
            <v>6.4950115118956253</v>
          </cell>
          <cell r="AF81">
            <v>9.8353798925556415</v>
          </cell>
          <cell r="AG81">
            <v>102.61670452981089</v>
          </cell>
          <cell r="AH81">
            <v>8.5513920441509068</v>
          </cell>
        </row>
        <row r="82">
          <cell r="B82" t="str">
            <v>R1.5YD1W</v>
          </cell>
          <cell r="C82" t="str">
            <v>1.5YD CONT 1xWEEKLY</v>
          </cell>
          <cell r="D82">
            <v>143.32</v>
          </cell>
          <cell r="E82">
            <v>143.97</v>
          </cell>
          <cell r="F82">
            <v>143.02000000000001</v>
          </cell>
          <cell r="G82">
            <v>11662.53</v>
          </cell>
          <cell r="H82">
            <v>11395.48</v>
          </cell>
          <cell r="I82">
            <v>11931.39</v>
          </cell>
          <cell r="J82">
            <v>11824.520000000002</v>
          </cell>
          <cell r="K82">
            <v>11697.550000000001</v>
          </cell>
          <cell r="L82">
            <v>12093.46</v>
          </cell>
          <cell r="M82">
            <v>12165.449999999999</v>
          </cell>
          <cell r="N82">
            <v>11805.54</v>
          </cell>
          <cell r="O82">
            <v>11985.49</v>
          </cell>
          <cell r="P82">
            <v>12092.330000000002</v>
          </cell>
          <cell r="Q82">
            <v>12195.17</v>
          </cell>
          <cell r="R82">
            <v>12585.760000000002</v>
          </cell>
          <cell r="S82">
            <v>143434.67000000001</v>
          </cell>
          <cell r="U82">
            <v>81.374058051911817</v>
          </cell>
          <cell r="V82">
            <v>79.510745185598665</v>
          </cell>
          <cell r="W82">
            <v>83.25</v>
          </cell>
          <cell r="X82">
            <v>82.131833020768227</v>
          </cell>
          <cell r="Y82">
            <v>81.249913176356188</v>
          </cell>
          <cell r="Z82">
            <v>83.999861082169886</v>
          </cell>
          <cell r="AA82">
            <v>84.499895811627411</v>
          </cell>
          <cell r="AB82">
            <v>82</v>
          </cell>
          <cell r="AC82">
            <v>83.249913176356188</v>
          </cell>
          <cell r="AD82">
            <v>84.549923087680057</v>
          </cell>
          <cell r="AE82">
            <v>85.268983358970772</v>
          </cell>
          <cell r="AF82">
            <v>88.000000000000014</v>
          </cell>
          <cell r="AG82">
            <v>999.08512595143918</v>
          </cell>
          <cell r="AH82">
            <v>83.257093829286603</v>
          </cell>
        </row>
        <row r="83">
          <cell r="B83" t="str">
            <v>F1.5YD1W</v>
          </cell>
          <cell r="C83" t="str">
            <v>1.5YD CONT 1X WEEKLY</v>
          </cell>
          <cell r="D83">
            <v>143.32</v>
          </cell>
          <cell r="E83">
            <v>143.97</v>
          </cell>
          <cell r="F83">
            <v>143.02000000000001</v>
          </cell>
          <cell r="G83">
            <v>465.79</v>
          </cell>
          <cell r="H83">
            <v>573.28</v>
          </cell>
          <cell r="I83">
            <v>429.96</v>
          </cell>
          <cell r="J83">
            <v>431.90999999999997</v>
          </cell>
          <cell r="K83">
            <v>431.90999999999997</v>
          </cell>
          <cell r="L83">
            <v>431.90999999999997</v>
          </cell>
          <cell r="M83">
            <v>431.90999999999997</v>
          </cell>
          <cell r="N83">
            <v>431.90999999999997</v>
          </cell>
          <cell r="O83">
            <v>395.90999999999997</v>
          </cell>
          <cell r="P83">
            <v>286.04000000000002</v>
          </cell>
          <cell r="Q83">
            <v>286.04000000000002</v>
          </cell>
          <cell r="R83">
            <v>286.04000000000002</v>
          </cell>
          <cell r="S83">
            <v>4882.6099999999997</v>
          </cell>
          <cell r="U83">
            <v>3.2500000000000004</v>
          </cell>
          <cell r="V83">
            <v>4</v>
          </cell>
          <cell r="W83">
            <v>3</v>
          </cell>
          <cell r="X83">
            <v>3</v>
          </cell>
          <cell r="Y83">
            <v>3</v>
          </cell>
          <cell r="Z83">
            <v>3</v>
          </cell>
          <cell r="AA83">
            <v>3</v>
          </cell>
          <cell r="AB83">
            <v>3</v>
          </cell>
          <cell r="AC83">
            <v>2.7499479058137108</v>
          </cell>
          <cell r="AD83">
            <v>2</v>
          </cell>
          <cell r="AE83">
            <v>2</v>
          </cell>
          <cell r="AF83">
            <v>2</v>
          </cell>
          <cell r="AG83">
            <v>33.999947905813713</v>
          </cell>
          <cell r="AH83">
            <v>2.8333289921511429</v>
          </cell>
        </row>
        <row r="84">
          <cell r="B84" t="str">
            <v>R1.5YD2W</v>
          </cell>
          <cell r="C84" t="str">
            <v>1.5YD CONT 2xWEEKLY</v>
          </cell>
          <cell r="D84">
            <v>286.64</v>
          </cell>
          <cell r="E84">
            <v>287.95</v>
          </cell>
          <cell r="F84">
            <v>286.04000000000002</v>
          </cell>
          <cell r="G84">
            <v>1146.56</v>
          </cell>
          <cell r="H84">
            <v>1433.2</v>
          </cell>
          <cell r="I84">
            <v>1576.5200000000002</v>
          </cell>
          <cell r="J84">
            <v>1583.72</v>
          </cell>
          <cell r="K84">
            <v>1511.73</v>
          </cell>
          <cell r="L84">
            <v>1439.75</v>
          </cell>
          <cell r="M84">
            <v>1223.78</v>
          </cell>
          <cell r="N84">
            <v>1151.8</v>
          </cell>
          <cell r="O84">
            <v>1151.8</v>
          </cell>
          <cell r="P84">
            <v>1144.1599999999999</v>
          </cell>
          <cell r="Q84">
            <v>1144.1599999999999</v>
          </cell>
          <cell r="R84">
            <v>1144.1599999999999</v>
          </cell>
          <cell r="S84">
            <v>15651.34</v>
          </cell>
          <cell r="U84">
            <v>4</v>
          </cell>
          <cell r="V84">
            <v>5</v>
          </cell>
          <cell r="W84">
            <v>5.5000000000000009</v>
          </cell>
          <cell r="X84">
            <v>5.499982635874284</v>
          </cell>
          <cell r="Y84">
            <v>5.2499739538114261</v>
          </cell>
          <cell r="Z84">
            <v>5</v>
          </cell>
          <cell r="AA84">
            <v>4.2499739538114261</v>
          </cell>
          <cell r="AB84">
            <v>4</v>
          </cell>
          <cell r="AC84">
            <v>4</v>
          </cell>
          <cell r="AD84">
            <v>3.9999999999999991</v>
          </cell>
          <cell r="AE84">
            <v>3.9999999999999991</v>
          </cell>
          <cell r="AF84">
            <v>3.9999999999999991</v>
          </cell>
          <cell r="AG84">
            <v>54.499930543497136</v>
          </cell>
          <cell r="AH84">
            <v>4.5416608786247616</v>
          </cell>
        </row>
        <row r="85">
          <cell r="B85" t="str">
            <v>R1.5YDTPU</v>
          </cell>
          <cell r="C85" t="str">
            <v>1.5YD TEMP CONTAINER</v>
          </cell>
          <cell r="D85">
            <v>35.29</v>
          </cell>
          <cell r="E85">
            <v>35.46</v>
          </cell>
          <cell r="F85">
            <v>35.24</v>
          </cell>
          <cell r="G85">
            <v>114.74000000000001</v>
          </cell>
          <cell r="H85">
            <v>152.81</v>
          </cell>
          <cell r="I85">
            <v>229.21</v>
          </cell>
          <cell r="J85">
            <v>153.54</v>
          </cell>
          <cell r="K85">
            <v>230.3</v>
          </cell>
          <cell r="L85">
            <v>230.3</v>
          </cell>
          <cell r="M85">
            <v>460.61</v>
          </cell>
          <cell r="N85">
            <v>230.3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1801.8099999999997</v>
          </cell>
          <cell r="U85">
            <v>3.2513459903655431</v>
          </cell>
          <cell r="V85">
            <v>4.330121847548881</v>
          </cell>
          <cell r="W85">
            <v>6.4950410881269489</v>
          </cell>
          <cell r="X85">
            <v>4.3299492385786795</v>
          </cell>
          <cell r="Y85">
            <v>6.4946418499717993</v>
          </cell>
          <cell r="Z85">
            <v>6.4946418499717993</v>
          </cell>
          <cell r="AA85">
            <v>12.989565707839819</v>
          </cell>
          <cell r="AB85">
            <v>6.4946418499717993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50.879949422375276</v>
          </cell>
          <cell r="AH85">
            <v>4.23999578519794</v>
          </cell>
        </row>
        <row r="86">
          <cell r="B86" t="str">
            <v>F2YD1W</v>
          </cell>
          <cell r="C86" t="str">
            <v>2YD CONT 1X WEEKLY</v>
          </cell>
          <cell r="D86">
            <v>178.87</v>
          </cell>
          <cell r="E86">
            <v>179.7</v>
          </cell>
          <cell r="F86">
            <v>178.48</v>
          </cell>
          <cell r="G86">
            <v>5276.66</v>
          </cell>
          <cell r="H86">
            <v>4382.29</v>
          </cell>
          <cell r="I86">
            <v>4382.2700000000004</v>
          </cell>
          <cell r="J86">
            <v>5121.4400000000005</v>
          </cell>
          <cell r="K86">
            <v>4986.67</v>
          </cell>
          <cell r="L86">
            <v>4986.67</v>
          </cell>
          <cell r="M86">
            <v>5121.4500000000007</v>
          </cell>
          <cell r="N86">
            <v>5166.37</v>
          </cell>
          <cell r="O86">
            <v>5211.3</v>
          </cell>
          <cell r="P86">
            <v>4997.4399999999996</v>
          </cell>
          <cell r="Q86">
            <v>5220.54</v>
          </cell>
          <cell r="R86">
            <v>4105.04</v>
          </cell>
          <cell r="S86">
            <v>58958.140000000007</v>
          </cell>
          <cell r="U86">
            <v>29.499972046737852</v>
          </cell>
          <cell r="V86">
            <v>24.499860233689272</v>
          </cell>
          <cell r="W86">
            <v>24.499748420640692</v>
          </cell>
          <cell r="X86">
            <v>28.499944351697277</v>
          </cell>
          <cell r="Y86">
            <v>27.74997217584864</v>
          </cell>
          <cell r="Z86">
            <v>27.74997217584864</v>
          </cell>
          <cell r="AA86">
            <v>28.500000000000007</v>
          </cell>
          <cell r="AB86">
            <v>28.749972175848637</v>
          </cell>
          <cell r="AC86">
            <v>29.000000000000004</v>
          </cell>
          <cell r="AD86">
            <v>28</v>
          </cell>
          <cell r="AE86">
            <v>29.25</v>
          </cell>
          <cell r="AF86">
            <v>23</v>
          </cell>
          <cell r="AG86">
            <v>328.99944158031099</v>
          </cell>
          <cell r="AH86">
            <v>27.416620131692582</v>
          </cell>
        </row>
        <row r="87">
          <cell r="B87" t="str">
            <v>R2YD1W</v>
          </cell>
          <cell r="C87" t="str">
            <v>2YD CONT 1xWEEKLY</v>
          </cell>
          <cell r="D87">
            <v>178.87</v>
          </cell>
          <cell r="E87">
            <v>179.7</v>
          </cell>
          <cell r="F87">
            <v>178.48</v>
          </cell>
          <cell r="G87">
            <v>80314.39</v>
          </cell>
          <cell r="H87">
            <v>78903.929999999993</v>
          </cell>
          <cell r="I87">
            <v>79540.900000000009</v>
          </cell>
          <cell r="J87">
            <v>82795.069999999992</v>
          </cell>
          <cell r="K87">
            <v>79832.47</v>
          </cell>
          <cell r="L87">
            <v>79274.59</v>
          </cell>
          <cell r="M87">
            <v>78573.76999999999</v>
          </cell>
          <cell r="N87">
            <v>76197.26999999999</v>
          </cell>
          <cell r="O87">
            <v>76237.709999999992</v>
          </cell>
          <cell r="P87">
            <v>78575.820000000007</v>
          </cell>
          <cell r="Q87">
            <v>78620.44</v>
          </cell>
          <cell r="R87">
            <v>78798.92</v>
          </cell>
          <cell r="S87">
            <v>947665.27999999991</v>
          </cell>
          <cell r="U87">
            <v>449.00983954827529</v>
          </cell>
          <cell r="V87">
            <v>441.12444792307258</v>
          </cell>
          <cell r="W87">
            <v>444.685525800861</v>
          </cell>
          <cell r="X87">
            <v>460.74051196438506</v>
          </cell>
          <cell r="Y87">
            <v>444.25414579855317</v>
          </cell>
          <cell r="Z87">
            <v>441.14963828603226</v>
          </cell>
          <cell r="AA87">
            <v>437.24969393433497</v>
          </cell>
          <cell r="AB87">
            <v>424.02487479131884</v>
          </cell>
          <cell r="AC87">
            <v>424.24991652754591</v>
          </cell>
          <cell r="AD87">
            <v>440.25000000000006</v>
          </cell>
          <cell r="AE87">
            <v>440.50000000000006</v>
          </cell>
          <cell r="AF87">
            <v>441.5</v>
          </cell>
          <cell r="AG87">
            <v>5288.738594574379</v>
          </cell>
          <cell r="AH87">
            <v>440.72821621453159</v>
          </cell>
        </row>
        <row r="88">
          <cell r="B88" t="str">
            <v>F2YD2W</v>
          </cell>
          <cell r="C88" t="str">
            <v>2YD CONT 2X WEEKLY</v>
          </cell>
          <cell r="D88">
            <v>357.74</v>
          </cell>
          <cell r="E88">
            <v>359.39</v>
          </cell>
          <cell r="F88">
            <v>356.97</v>
          </cell>
          <cell r="G88">
            <v>2504.1800000000003</v>
          </cell>
          <cell r="H88">
            <v>2504.1800000000003</v>
          </cell>
          <cell r="I88">
            <v>2225.9300000000003</v>
          </cell>
          <cell r="J88">
            <v>2156.34</v>
          </cell>
          <cell r="K88">
            <v>1796.94</v>
          </cell>
          <cell r="L88">
            <v>1437.56</v>
          </cell>
          <cell r="M88">
            <v>1437.56</v>
          </cell>
          <cell r="N88">
            <v>1437.56</v>
          </cell>
          <cell r="O88">
            <v>2156.3200000000002</v>
          </cell>
          <cell r="P88">
            <v>3569.7</v>
          </cell>
          <cell r="Q88">
            <v>3569.7</v>
          </cell>
          <cell r="R88">
            <v>2141.8200000000002</v>
          </cell>
          <cell r="S88">
            <v>26937.79</v>
          </cell>
          <cell r="U88">
            <v>7.0000000000000009</v>
          </cell>
          <cell r="V88">
            <v>7.0000000000000009</v>
          </cell>
          <cell r="W88">
            <v>6.2222004807961095</v>
          </cell>
          <cell r="X88">
            <v>6.0000000000000009</v>
          </cell>
          <cell r="Y88">
            <v>4.9999721750744319</v>
          </cell>
          <cell r="Z88">
            <v>4</v>
          </cell>
          <cell r="AA88">
            <v>4</v>
          </cell>
          <cell r="AB88">
            <v>4</v>
          </cell>
          <cell r="AC88">
            <v>5.9999443501488638</v>
          </cell>
          <cell r="AD88">
            <v>9.9999999999999982</v>
          </cell>
          <cell r="AE88">
            <v>9.9999999999999982</v>
          </cell>
          <cell r="AF88">
            <v>6</v>
          </cell>
          <cell r="AG88">
            <v>75.222117006019403</v>
          </cell>
          <cell r="AH88">
            <v>6.2685097505016172</v>
          </cell>
        </row>
        <row r="89">
          <cell r="B89" t="str">
            <v>R2YD2W</v>
          </cell>
          <cell r="C89" t="str">
            <v>2YD CONT 2xWEEKLY</v>
          </cell>
          <cell r="D89">
            <v>357.74</v>
          </cell>
          <cell r="E89">
            <v>359.39</v>
          </cell>
          <cell r="F89">
            <v>356.97</v>
          </cell>
          <cell r="G89">
            <v>35460.99</v>
          </cell>
          <cell r="H89">
            <v>35773.980000000003</v>
          </cell>
          <cell r="I89">
            <v>35639.83</v>
          </cell>
          <cell r="J89">
            <v>32709.39</v>
          </cell>
          <cell r="K89">
            <v>33513.120000000003</v>
          </cell>
          <cell r="L89">
            <v>33018.960000000006</v>
          </cell>
          <cell r="M89">
            <v>32974.020000000004</v>
          </cell>
          <cell r="N89">
            <v>33558.04</v>
          </cell>
          <cell r="O89">
            <v>33602.959999999999</v>
          </cell>
          <cell r="P89">
            <v>32469.37</v>
          </cell>
          <cell r="Q89">
            <v>33956.770000000004</v>
          </cell>
          <cell r="R89">
            <v>37347.97</v>
          </cell>
          <cell r="S89">
            <v>410025.4</v>
          </cell>
          <cell r="U89">
            <v>99.125034941577667</v>
          </cell>
          <cell r="V89">
            <v>99.999944093475719</v>
          </cell>
          <cell r="W89">
            <v>99.624951081791252</v>
          </cell>
          <cell r="X89">
            <v>91.013634213528476</v>
          </cell>
          <cell r="Y89">
            <v>93.250006956231402</v>
          </cell>
          <cell r="Z89">
            <v>91.875010434347104</v>
          </cell>
          <cell r="AA89">
            <v>91.749965218843059</v>
          </cell>
          <cell r="AB89">
            <v>93.374996521884313</v>
          </cell>
          <cell r="AC89">
            <v>93.499986087537224</v>
          </cell>
          <cell r="AD89">
            <v>90.958259797742102</v>
          </cell>
          <cell r="AE89">
            <v>95.12499649830518</v>
          </cell>
          <cell r="AF89">
            <v>104.62495447796734</v>
          </cell>
          <cell r="AG89">
            <v>1144.2217403232307</v>
          </cell>
          <cell r="AH89">
            <v>95.351811693602556</v>
          </cell>
        </row>
        <row r="90">
          <cell r="B90" t="str">
            <v>F2YD3W</v>
          </cell>
          <cell r="C90" t="str">
            <v>2YD CONT 3X WEEKLY</v>
          </cell>
          <cell r="D90">
            <v>536.61</v>
          </cell>
          <cell r="E90">
            <v>539.09</v>
          </cell>
          <cell r="F90">
            <v>535.45000000000005</v>
          </cell>
          <cell r="G90">
            <v>1073.22</v>
          </cell>
          <cell r="H90">
            <v>1073.22</v>
          </cell>
          <cell r="I90">
            <v>1073.22</v>
          </cell>
          <cell r="J90">
            <v>1078.18</v>
          </cell>
          <cell r="K90">
            <v>1078.18</v>
          </cell>
          <cell r="L90">
            <v>1078.18</v>
          </cell>
          <cell r="M90">
            <v>1078.18</v>
          </cell>
          <cell r="N90">
            <v>1078.18</v>
          </cell>
          <cell r="O90">
            <v>1078.18</v>
          </cell>
          <cell r="P90">
            <v>1070.9000000000001</v>
          </cell>
          <cell r="Q90">
            <v>1070.9000000000001</v>
          </cell>
          <cell r="R90">
            <v>1070.9000000000001</v>
          </cell>
          <cell r="S90">
            <v>12901.44</v>
          </cell>
          <cell r="U90">
            <v>2</v>
          </cell>
          <cell r="V90">
            <v>2</v>
          </cell>
          <cell r="W90">
            <v>2</v>
          </cell>
          <cell r="X90">
            <v>2</v>
          </cell>
          <cell r="Y90">
            <v>2</v>
          </cell>
          <cell r="Z90">
            <v>2</v>
          </cell>
          <cell r="AA90">
            <v>2</v>
          </cell>
          <cell r="AB90">
            <v>2</v>
          </cell>
          <cell r="AC90">
            <v>2</v>
          </cell>
          <cell r="AD90">
            <v>2</v>
          </cell>
          <cell r="AE90">
            <v>2</v>
          </cell>
          <cell r="AF90">
            <v>2</v>
          </cell>
          <cell r="AG90">
            <v>24</v>
          </cell>
          <cell r="AH90">
            <v>2</v>
          </cell>
        </row>
        <row r="91">
          <cell r="B91" t="str">
            <v>R2YD3W</v>
          </cell>
          <cell r="C91" t="str">
            <v>2YD CONT 3xWEEKLY</v>
          </cell>
          <cell r="D91">
            <v>536.61</v>
          </cell>
          <cell r="E91">
            <v>539.09</v>
          </cell>
          <cell r="F91">
            <v>535.45000000000005</v>
          </cell>
          <cell r="G91">
            <v>14622.62</v>
          </cell>
          <cell r="H91">
            <v>15025.080000000002</v>
          </cell>
          <cell r="I91">
            <v>15025.080000000002</v>
          </cell>
          <cell r="J91">
            <v>14824.970000000001</v>
          </cell>
          <cell r="K91">
            <v>13117.85</v>
          </cell>
          <cell r="L91">
            <v>13342.470000000001</v>
          </cell>
          <cell r="M91">
            <v>12354.150000000001</v>
          </cell>
          <cell r="N91">
            <v>12399.070000000002</v>
          </cell>
          <cell r="O91">
            <v>12938.160000000002</v>
          </cell>
          <cell r="P91">
            <v>13891.95</v>
          </cell>
          <cell r="Q91">
            <v>13921.700000000003</v>
          </cell>
          <cell r="R91">
            <v>13475.49</v>
          </cell>
          <cell r="S91">
            <v>164938.59000000003</v>
          </cell>
          <cell r="U91">
            <v>27.249995341122975</v>
          </cell>
          <cell r="V91">
            <v>28.000000000000004</v>
          </cell>
          <cell r="W91">
            <v>28.000000000000004</v>
          </cell>
          <cell r="X91">
            <v>27.499990725110834</v>
          </cell>
          <cell r="Y91">
            <v>24.333320966814444</v>
          </cell>
          <cell r="Z91">
            <v>24.749986087666255</v>
          </cell>
          <cell r="AA91">
            <v>22.916674395740973</v>
          </cell>
          <cell r="AB91">
            <v>23</v>
          </cell>
          <cell r="AC91">
            <v>24</v>
          </cell>
          <cell r="AD91">
            <v>25.944439256699972</v>
          </cell>
          <cell r="AE91">
            <v>26.000000000000004</v>
          </cell>
          <cell r="AF91">
            <v>25.16666355401998</v>
          </cell>
          <cell r="AG91">
            <v>306.86107032717547</v>
          </cell>
          <cell r="AH91">
            <v>25.571755860597957</v>
          </cell>
        </row>
        <row r="92">
          <cell r="B92" t="str">
            <v>R2YD4W</v>
          </cell>
          <cell r="C92" t="str">
            <v>2YD CONT 4xWEEKLY</v>
          </cell>
          <cell r="D92">
            <v>715.48</v>
          </cell>
          <cell r="E92">
            <v>718.78</v>
          </cell>
          <cell r="F92">
            <v>713.93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1437.56</v>
          </cell>
          <cell r="L92">
            <v>1437.56</v>
          </cell>
          <cell r="M92">
            <v>1437.56</v>
          </cell>
          <cell r="N92">
            <v>1437.56</v>
          </cell>
          <cell r="O92">
            <v>1437.56</v>
          </cell>
          <cell r="P92">
            <v>1427.86</v>
          </cell>
          <cell r="Q92">
            <v>1427.86</v>
          </cell>
          <cell r="R92">
            <v>1427.86</v>
          </cell>
          <cell r="S92">
            <v>11471.380000000001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2</v>
          </cell>
          <cell r="Z92">
            <v>2</v>
          </cell>
          <cell r="AA92">
            <v>2</v>
          </cell>
          <cell r="AB92">
            <v>2</v>
          </cell>
          <cell r="AC92">
            <v>2</v>
          </cell>
          <cell r="AD92">
            <v>2</v>
          </cell>
          <cell r="AE92">
            <v>2</v>
          </cell>
          <cell r="AF92">
            <v>2</v>
          </cell>
          <cell r="AG92">
            <v>16</v>
          </cell>
          <cell r="AH92">
            <v>1.3333333333333333</v>
          </cell>
        </row>
        <row r="93">
          <cell r="B93" t="str">
            <v>R2YD5W</v>
          </cell>
          <cell r="C93" t="str">
            <v>2YD CONT 5xWEEKLY</v>
          </cell>
          <cell r="D93">
            <v>894.35</v>
          </cell>
          <cell r="E93">
            <v>898.48</v>
          </cell>
          <cell r="F93">
            <v>892.41</v>
          </cell>
          <cell r="G93">
            <v>3577.4</v>
          </cell>
          <cell r="H93">
            <v>3577.4</v>
          </cell>
          <cell r="I93">
            <v>2683.05</v>
          </cell>
          <cell r="J93">
            <v>2695.44</v>
          </cell>
          <cell r="K93">
            <v>2695.44</v>
          </cell>
          <cell r="L93">
            <v>2695.44</v>
          </cell>
          <cell r="M93">
            <v>2695.44</v>
          </cell>
          <cell r="N93">
            <v>2695.44</v>
          </cell>
          <cell r="O93">
            <v>2695.44</v>
          </cell>
          <cell r="P93">
            <v>2677.23</v>
          </cell>
          <cell r="Q93">
            <v>2677.23</v>
          </cell>
          <cell r="R93">
            <v>2677.23</v>
          </cell>
          <cell r="S93">
            <v>34042.18</v>
          </cell>
          <cell r="U93">
            <v>4</v>
          </cell>
          <cell r="V93">
            <v>4</v>
          </cell>
          <cell r="W93">
            <v>3</v>
          </cell>
          <cell r="X93">
            <v>3</v>
          </cell>
          <cell r="Y93">
            <v>3</v>
          </cell>
          <cell r="Z93">
            <v>3</v>
          </cell>
          <cell r="AA93">
            <v>3</v>
          </cell>
          <cell r="AB93">
            <v>3</v>
          </cell>
          <cell r="AC93">
            <v>3</v>
          </cell>
          <cell r="AD93">
            <v>3</v>
          </cell>
          <cell r="AE93">
            <v>3</v>
          </cell>
          <cell r="AF93">
            <v>3</v>
          </cell>
          <cell r="AG93">
            <v>38</v>
          </cell>
          <cell r="AH93">
            <v>3.1666666666666665</v>
          </cell>
        </row>
        <row r="94">
          <cell r="B94" t="str">
            <v>R2YDTPU</v>
          </cell>
          <cell r="C94" t="str">
            <v>2YD TEMP CONTAINER</v>
          </cell>
          <cell r="D94">
            <v>43.49</v>
          </cell>
          <cell r="E94">
            <v>43.69</v>
          </cell>
          <cell r="F94">
            <v>43.41</v>
          </cell>
          <cell r="G94">
            <v>2108.31</v>
          </cell>
          <cell r="H94">
            <v>2593.54</v>
          </cell>
          <cell r="I94">
            <v>3194.43</v>
          </cell>
          <cell r="J94">
            <v>1326.0200000000004</v>
          </cell>
          <cell r="K94">
            <v>1694.24</v>
          </cell>
          <cell r="L94">
            <v>2361.98</v>
          </cell>
          <cell r="M94">
            <v>2615.64</v>
          </cell>
          <cell r="N94">
            <v>1418.83</v>
          </cell>
          <cell r="O94">
            <v>2175.52</v>
          </cell>
          <cell r="P94">
            <v>747.5</v>
          </cell>
          <cell r="Q94">
            <v>1644.68</v>
          </cell>
          <cell r="R94">
            <v>1879.62</v>
          </cell>
          <cell r="S94">
            <v>23760.309999999998</v>
          </cell>
          <cell r="U94">
            <v>48.478040928949177</v>
          </cell>
          <cell r="V94">
            <v>59.635318464014709</v>
          </cell>
          <cell r="W94">
            <v>73.452057944355019</v>
          </cell>
          <cell r="X94">
            <v>30.350652323186097</v>
          </cell>
          <cell r="Y94">
            <v>38.778667887388423</v>
          </cell>
          <cell r="Z94">
            <v>54.062256809338521</v>
          </cell>
          <cell r="AA94">
            <v>59.868162050812543</v>
          </cell>
          <cell r="AB94">
            <v>32.474937056534678</v>
          </cell>
          <cell r="AC94">
            <v>49.7944609750515</v>
          </cell>
          <cell r="AD94">
            <v>17.21953466943101</v>
          </cell>
          <cell r="AE94">
            <v>37.887122782768955</v>
          </cell>
          <cell r="AF94">
            <v>43.299239806496203</v>
          </cell>
          <cell r="AG94">
            <v>545.30045169832681</v>
          </cell>
          <cell r="AH94">
            <v>45.441704308193898</v>
          </cell>
        </row>
        <row r="95">
          <cell r="B95" t="str">
            <v>F4YD1W</v>
          </cell>
          <cell r="C95" t="str">
            <v>4YD CONT 1X WEEKLY</v>
          </cell>
          <cell r="D95">
            <v>336.09</v>
          </cell>
          <cell r="E95">
            <v>337.65</v>
          </cell>
          <cell r="F95">
            <v>335.36</v>
          </cell>
          <cell r="G95">
            <v>61515.29</v>
          </cell>
          <cell r="H95">
            <v>61460.11</v>
          </cell>
          <cell r="I95">
            <v>59824.009999999995</v>
          </cell>
          <cell r="J95">
            <v>60354.909999999989</v>
          </cell>
          <cell r="K95">
            <v>61199.05</v>
          </cell>
          <cell r="L95">
            <v>60945.81</v>
          </cell>
          <cell r="M95">
            <v>61283.45</v>
          </cell>
          <cell r="N95">
            <v>61452.290000000008</v>
          </cell>
          <cell r="O95">
            <v>60776.989999999991</v>
          </cell>
          <cell r="P95">
            <v>59868.15</v>
          </cell>
          <cell r="Q95">
            <v>59777.920000000006</v>
          </cell>
          <cell r="R95">
            <v>58268.800000000003</v>
          </cell>
          <cell r="S95">
            <v>726726.78</v>
          </cell>
          <cell r="U95">
            <v>183.03219375762447</v>
          </cell>
          <cell r="V95">
            <v>182.86801154452678</v>
          </cell>
          <cell r="W95">
            <v>177.99997024606503</v>
          </cell>
          <cell r="X95">
            <v>178.7499185547164</v>
          </cell>
          <cell r="Y95">
            <v>181.24996297941658</v>
          </cell>
          <cell r="Z95">
            <v>180.49995557529988</v>
          </cell>
          <cell r="AA95">
            <v>181.4999259588331</v>
          </cell>
          <cell r="AB95">
            <v>181.99997038353328</v>
          </cell>
          <cell r="AC95">
            <v>179.99997038353322</v>
          </cell>
          <cell r="AD95">
            <v>178.51905415076337</v>
          </cell>
          <cell r="AE95">
            <v>178.25</v>
          </cell>
          <cell r="AF95">
            <v>173.75</v>
          </cell>
          <cell r="AG95">
            <v>2158.4189335343121</v>
          </cell>
          <cell r="AH95">
            <v>179.86824446119269</v>
          </cell>
        </row>
        <row r="96">
          <cell r="B96" t="str">
            <v>F4YD2W</v>
          </cell>
          <cell r="C96" t="str">
            <v>4YD CONT 2X WEEKLY</v>
          </cell>
          <cell r="D96">
            <v>672.18</v>
          </cell>
          <cell r="E96">
            <v>675.31</v>
          </cell>
          <cell r="F96">
            <v>670.72</v>
          </cell>
          <cell r="G96">
            <v>20753.55</v>
          </cell>
          <cell r="H96">
            <v>19894.16</v>
          </cell>
          <cell r="I96">
            <v>21192.329999999998</v>
          </cell>
          <cell r="J96">
            <v>21272.260000000002</v>
          </cell>
          <cell r="K96">
            <v>20090.47</v>
          </cell>
          <cell r="L96">
            <v>20259.3</v>
          </cell>
          <cell r="M96">
            <v>20259.3</v>
          </cell>
          <cell r="N96">
            <v>20259.3</v>
          </cell>
          <cell r="O96">
            <v>20259.280000000002</v>
          </cell>
          <cell r="P96">
            <v>20960</v>
          </cell>
          <cell r="Q96">
            <v>21379.199999999997</v>
          </cell>
          <cell r="R96">
            <v>21295.360000000001</v>
          </cell>
          <cell r="S96">
            <v>247874.50999999995</v>
          </cell>
          <cell r="U96">
            <v>30.874988842274391</v>
          </cell>
          <cell r="V96">
            <v>29.596477134100986</v>
          </cell>
          <cell r="W96">
            <v>31.527760421315719</v>
          </cell>
          <cell r="X96">
            <v>31.499992595992957</v>
          </cell>
          <cell r="Y96">
            <v>29.749996297996478</v>
          </cell>
          <cell r="Z96">
            <v>30</v>
          </cell>
          <cell r="AA96">
            <v>30</v>
          </cell>
          <cell r="AB96">
            <v>30</v>
          </cell>
          <cell r="AC96">
            <v>29.99997038397181</v>
          </cell>
          <cell r="AD96">
            <v>31.25</v>
          </cell>
          <cell r="AE96">
            <v>31.874999999999993</v>
          </cell>
          <cell r="AF96">
            <v>31.75</v>
          </cell>
          <cell r="AG96">
            <v>368.12418567565237</v>
          </cell>
          <cell r="AH96">
            <v>30.677015472971032</v>
          </cell>
        </row>
        <row r="97">
          <cell r="B97" t="str">
            <v>F4YD3W</v>
          </cell>
          <cell r="C97" t="str">
            <v>4YD CONT 3X WEEKLY</v>
          </cell>
          <cell r="D97">
            <v>1008.27</v>
          </cell>
          <cell r="E97">
            <v>1012.96</v>
          </cell>
          <cell r="F97">
            <v>1006.08</v>
          </cell>
          <cell r="G97">
            <v>4033.079999999999</v>
          </cell>
          <cell r="H97">
            <v>4033.079999999999</v>
          </cell>
          <cell r="I97">
            <v>4033.079999999999</v>
          </cell>
          <cell r="J97">
            <v>5064.8</v>
          </cell>
          <cell r="K97">
            <v>4051.84</v>
          </cell>
          <cell r="L97">
            <v>4051.84</v>
          </cell>
          <cell r="M97">
            <v>4051.84</v>
          </cell>
          <cell r="N97">
            <v>4051.84</v>
          </cell>
          <cell r="O97">
            <v>4051.84</v>
          </cell>
          <cell r="P97">
            <v>4024.3199999999997</v>
          </cell>
          <cell r="Q97">
            <v>4024.3199999999997</v>
          </cell>
          <cell r="R97">
            <v>4024.3199999999997</v>
          </cell>
          <cell r="S97">
            <v>49496.19999999999</v>
          </cell>
          <cell r="U97">
            <v>3.9999999999999991</v>
          </cell>
          <cell r="V97">
            <v>3.9999999999999991</v>
          </cell>
          <cell r="W97">
            <v>3.9999999999999991</v>
          </cell>
          <cell r="X97">
            <v>5</v>
          </cell>
          <cell r="Y97">
            <v>4</v>
          </cell>
          <cell r="Z97">
            <v>4</v>
          </cell>
          <cell r="AA97">
            <v>4</v>
          </cell>
          <cell r="AB97">
            <v>4</v>
          </cell>
          <cell r="AC97">
            <v>4</v>
          </cell>
          <cell r="AD97">
            <v>3.9999999999999996</v>
          </cell>
          <cell r="AE97">
            <v>3.9999999999999996</v>
          </cell>
          <cell r="AF97">
            <v>3.9999999999999996</v>
          </cell>
          <cell r="AG97">
            <v>49</v>
          </cell>
          <cell r="AH97">
            <v>4.083333333333333</v>
          </cell>
        </row>
        <row r="98">
          <cell r="B98" t="str">
            <v>F4YD4W</v>
          </cell>
          <cell r="C98" t="str">
            <v>4YD CONT 4X WEEKLY SVC</v>
          </cell>
          <cell r="D98">
            <v>1344.36</v>
          </cell>
          <cell r="E98">
            <v>1350.61</v>
          </cell>
          <cell r="F98">
            <v>1341.43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670.71</v>
          </cell>
          <cell r="S98">
            <v>670.71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0.49999627263442742</v>
          </cell>
          <cell r="AG98">
            <v>0.49999627263442742</v>
          </cell>
          <cell r="AH98">
            <v>4.1666356052868954E-2</v>
          </cell>
        </row>
        <row r="99">
          <cell r="B99" t="str">
            <v>F6YD1W</v>
          </cell>
          <cell r="C99" t="str">
            <v>6YD CONT 1X WEEKLY</v>
          </cell>
          <cell r="D99">
            <v>464.44</v>
          </cell>
          <cell r="E99">
            <v>466.6</v>
          </cell>
          <cell r="F99">
            <v>463.44</v>
          </cell>
          <cell r="G99">
            <v>74310.399999999994</v>
          </cell>
          <cell r="H99">
            <v>68388.790000000008</v>
          </cell>
          <cell r="I99">
            <v>68195.270000000019</v>
          </cell>
          <cell r="J99">
            <v>68940.149999999994</v>
          </cell>
          <cell r="K99">
            <v>67540.350000000006</v>
          </cell>
          <cell r="L99">
            <v>67073.75</v>
          </cell>
          <cell r="M99">
            <v>68940.150000000009</v>
          </cell>
          <cell r="N99">
            <v>68823.5</v>
          </cell>
          <cell r="O99">
            <v>68823.5</v>
          </cell>
          <cell r="P99">
            <v>67556</v>
          </cell>
          <cell r="Q99">
            <v>69022.77</v>
          </cell>
          <cell r="R99">
            <v>67546.38</v>
          </cell>
          <cell r="S99">
            <v>825161.01</v>
          </cell>
          <cell r="U99">
            <v>160</v>
          </cell>
          <cell r="V99">
            <v>147.25000000000003</v>
          </cell>
          <cell r="W99">
            <v>146.83332615623121</v>
          </cell>
          <cell r="X99">
            <v>147.74999999999997</v>
          </cell>
          <cell r="Y99">
            <v>144.75</v>
          </cell>
          <cell r="Z99">
            <v>143.75</v>
          </cell>
          <cell r="AA99">
            <v>147.75</v>
          </cell>
          <cell r="AB99">
            <v>147.5</v>
          </cell>
          <cell r="AC99">
            <v>147.5</v>
          </cell>
          <cell r="AD99">
            <v>145.77075781115138</v>
          </cell>
          <cell r="AE99">
            <v>148.93571983428276</v>
          </cell>
          <cell r="AF99">
            <v>145.75</v>
          </cell>
          <cell r="AG99">
            <v>1773.5398038016651</v>
          </cell>
          <cell r="AH99">
            <v>147.79498365013876</v>
          </cell>
        </row>
        <row r="100">
          <cell r="B100" t="str">
            <v>F6YD2W</v>
          </cell>
          <cell r="C100" t="str">
            <v>6YD CONT 2X WEEKLY</v>
          </cell>
          <cell r="D100">
            <v>928.88</v>
          </cell>
          <cell r="E100">
            <v>933.2</v>
          </cell>
          <cell r="F100">
            <v>926.88</v>
          </cell>
          <cell r="G100">
            <v>95467.24</v>
          </cell>
          <cell r="H100">
            <v>94538.36</v>
          </cell>
          <cell r="I100">
            <v>96377.54</v>
          </cell>
          <cell r="J100">
            <v>101487.42</v>
          </cell>
          <cell r="K100">
            <v>102485.42</v>
          </cell>
          <cell r="L100">
            <v>106075.64</v>
          </cell>
          <cell r="M100">
            <v>105103.57</v>
          </cell>
          <cell r="N100">
            <v>106036.76999999999</v>
          </cell>
          <cell r="O100">
            <v>104403.67</v>
          </cell>
          <cell r="P100">
            <v>106695.92</v>
          </cell>
          <cell r="Q100">
            <v>104513.95999999999</v>
          </cell>
          <cell r="R100">
            <v>107294.59999999999</v>
          </cell>
          <cell r="S100">
            <v>1230480.1100000001</v>
          </cell>
          <cell r="U100">
            <v>102.77672035139094</v>
          </cell>
          <cell r="V100">
            <v>101.77672035139092</v>
          </cell>
          <cell r="W100">
            <v>103.75671776763413</v>
          </cell>
          <cell r="X100">
            <v>108.75205743677668</v>
          </cell>
          <cell r="Y100">
            <v>109.8214959279897</v>
          </cell>
          <cell r="Z100">
            <v>113.66870981568795</v>
          </cell>
          <cell r="AA100">
            <v>112.62705743677668</v>
          </cell>
          <cell r="AB100">
            <v>113.62705743677667</v>
          </cell>
          <cell r="AC100">
            <v>111.87705743677668</v>
          </cell>
          <cell r="AD100">
            <v>115.11298118418782</v>
          </cell>
          <cell r="AE100">
            <v>112.75889003970308</v>
          </cell>
          <cell r="AF100">
            <v>115.75889003970308</v>
          </cell>
          <cell r="AG100">
            <v>1322.3143552247946</v>
          </cell>
          <cell r="AH100">
            <v>110.19286293539955</v>
          </cell>
        </row>
        <row r="101">
          <cell r="B101" t="str">
            <v>F6YD3W</v>
          </cell>
          <cell r="C101" t="str">
            <v>6YD CONT 3X WEEKLY</v>
          </cell>
          <cell r="D101">
            <v>1393.32</v>
          </cell>
          <cell r="E101">
            <v>1399.8</v>
          </cell>
          <cell r="F101">
            <v>1390.32</v>
          </cell>
          <cell r="G101">
            <v>25089</v>
          </cell>
          <cell r="H101">
            <v>29259.719999999998</v>
          </cell>
          <cell r="I101">
            <v>30420.82</v>
          </cell>
          <cell r="J101">
            <v>29745.75</v>
          </cell>
          <cell r="K101">
            <v>30795.599999999999</v>
          </cell>
          <cell r="L101">
            <v>29162.5</v>
          </cell>
          <cell r="M101">
            <v>27762.699999999997</v>
          </cell>
          <cell r="N101">
            <v>28992.01</v>
          </cell>
          <cell r="O101">
            <v>26596.2</v>
          </cell>
          <cell r="P101">
            <v>26674.499999999996</v>
          </cell>
          <cell r="Q101">
            <v>29196.719999999998</v>
          </cell>
          <cell r="R101">
            <v>29180.16</v>
          </cell>
          <cell r="S101">
            <v>342875.68</v>
          </cell>
          <cell r="U101">
            <v>18.006631642408063</v>
          </cell>
          <cell r="V101">
            <v>21</v>
          </cell>
          <cell r="W101">
            <v>21.833333333333336</v>
          </cell>
          <cell r="X101">
            <v>21.25</v>
          </cell>
          <cell r="Y101">
            <v>22</v>
          </cell>
          <cell r="Z101">
            <v>20.833333333333336</v>
          </cell>
          <cell r="AA101">
            <v>19.833333333333332</v>
          </cell>
          <cell r="AB101">
            <v>20.711537362480353</v>
          </cell>
          <cell r="AC101">
            <v>19</v>
          </cell>
          <cell r="AD101">
            <v>19.185870878646639</v>
          </cell>
          <cell r="AE101">
            <v>21</v>
          </cell>
          <cell r="AF101">
            <v>20.988089073019161</v>
          </cell>
          <cell r="AG101">
            <v>245.64212895655422</v>
          </cell>
          <cell r="AH101">
            <v>20.470177413046184</v>
          </cell>
        </row>
        <row r="102">
          <cell r="B102" t="str">
            <v>F6YD4W</v>
          </cell>
          <cell r="C102" t="str">
            <v>6YD CONT 4X WEEKLY</v>
          </cell>
          <cell r="D102">
            <v>1857.76</v>
          </cell>
          <cell r="E102">
            <v>1866.4</v>
          </cell>
          <cell r="F102">
            <v>1853.76</v>
          </cell>
          <cell r="G102">
            <v>1857.76</v>
          </cell>
          <cell r="H102">
            <v>2786.64</v>
          </cell>
          <cell r="I102">
            <v>1857.76</v>
          </cell>
          <cell r="J102">
            <v>1866.4</v>
          </cell>
          <cell r="K102">
            <v>1866.4</v>
          </cell>
          <cell r="L102">
            <v>1866.4</v>
          </cell>
          <cell r="M102">
            <v>1866.4</v>
          </cell>
          <cell r="N102">
            <v>2854.49</v>
          </cell>
          <cell r="O102">
            <v>3732.8</v>
          </cell>
          <cell r="P102">
            <v>3707.52</v>
          </cell>
          <cell r="Q102">
            <v>3707.52</v>
          </cell>
          <cell r="R102">
            <v>5561.28</v>
          </cell>
          <cell r="S102">
            <v>33531.370000000003</v>
          </cell>
          <cell r="U102">
            <v>1</v>
          </cell>
          <cell r="V102">
            <v>1.5</v>
          </cell>
          <cell r="W102">
            <v>1</v>
          </cell>
          <cell r="X102">
            <v>1</v>
          </cell>
          <cell r="Y102">
            <v>1</v>
          </cell>
          <cell r="Z102">
            <v>1</v>
          </cell>
          <cell r="AA102">
            <v>1</v>
          </cell>
          <cell r="AB102">
            <v>1.5294095585083582</v>
          </cell>
          <cell r="AC102">
            <v>2</v>
          </cell>
          <cell r="AD102">
            <v>2</v>
          </cell>
          <cell r="AE102">
            <v>2</v>
          </cell>
          <cell r="AF102">
            <v>3</v>
          </cell>
          <cell r="AG102">
            <v>18.029409558508359</v>
          </cell>
          <cell r="AH102">
            <v>1.5024507965423632</v>
          </cell>
        </row>
        <row r="103">
          <cell r="B103" t="str">
            <v>F6YD5W</v>
          </cell>
          <cell r="C103" t="str">
            <v>6YD CONT 5X WEEKLY</v>
          </cell>
          <cell r="D103">
            <v>1161.0999999999999</v>
          </cell>
          <cell r="E103">
            <v>1166.5</v>
          </cell>
          <cell r="F103">
            <v>1158.5999999999999</v>
          </cell>
          <cell r="G103">
            <v>27866.399999999998</v>
          </cell>
          <cell r="H103">
            <v>20899.8</v>
          </cell>
          <cell r="I103">
            <v>25544.199999999997</v>
          </cell>
          <cell r="J103">
            <v>25663</v>
          </cell>
          <cell r="K103">
            <v>25663</v>
          </cell>
          <cell r="L103">
            <v>23330</v>
          </cell>
          <cell r="M103">
            <v>19986.020000000004</v>
          </cell>
          <cell r="N103">
            <v>20997</v>
          </cell>
          <cell r="O103">
            <v>20997</v>
          </cell>
          <cell r="P103">
            <v>18693.739999999998</v>
          </cell>
          <cell r="Q103">
            <v>15061.8</v>
          </cell>
          <cell r="R103">
            <v>11586</v>
          </cell>
          <cell r="S103">
            <v>256287.95999999996</v>
          </cell>
          <cell r="U103">
            <v>24</v>
          </cell>
          <cell r="V103">
            <v>18</v>
          </cell>
          <cell r="W103">
            <v>22</v>
          </cell>
          <cell r="X103">
            <v>22</v>
          </cell>
          <cell r="Y103">
            <v>22</v>
          </cell>
          <cell r="Z103">
            <v>20</v>
          </cell>
          <cell r="AA103">
            <v>17.133321903129023</v>
          </cell>
          <cell r="AB103">
            <v>18</v>
          </cell>
          <cell r="AC103">
            <v>18</v>
          </cell>
          <cell r="AD103">
            <v>16.134766097013635</v>
          </cell>
          <cell r="AE103">
            <v>13</v>
          </cell>
          <cell r="AF103">
            <v>10</v>
          </cell>
          <cell r="AG103">
            <v>220.26808800014265</v>
          </cell>
          <cell r="AH103">
            <v>18.355674000011888</v>
          </cell>
        </row>
        <row r="104">
          <cell r="B104" t="str">
            <v>FCP2YD1W2.25-1</v>
          </cell>
          <cell r="C104" t="str">
            <v>2 YD 2.25-1 COMP 1X WK</v>
          </cell>
          <cell r="D104">
            <v>381.99</v>
          </cell>
          <cell r="E104">
            <v>383.77</v>
          </cell>
          <cell r="F104">
            <v>381.04</v>
          </cell>
          <cell r="G104">
            <v>381.99</v>
          </cell>
          <cell r="H104">
            <v>381.99</v>
          </cell>
          <cell r="I104">
            <v>381.99</v>
          </cell>
          <cell r="J104">
            <v>383.77</v>
          </cell>
          <cell r="K104">
            <v>383.77</v>
          </cell>
          <cell r="L104">
            <v>383.77</v>
          </cell>
          <cell r="M104">
            <v>383.77</v>
          </cell>
          <cell r="N104">
            <v>383.77</v>
          </cell>
          <cell r="O104">
            <v>383.77</v>
          </cell>
          <cell r="P104">
            <v>381.04</v>
          </cell>
          <cell r="Q104">
            <v>381.04</v>
          </cell>
          <cell r="R104">
            <v>381.04</v>
          </cell>
          <cell r="S104">
            <v>4591.71</v>
          </cell>
          <cell r="U104">
            <v>1</v>
          </cell>
          <cell r="V104">
            <v>1</v>
          </cell>
          <cell r="W104">
            <v>1</v>
          </cell>
          <cell r="X104">
            <v>1</v>
          </cell>
          <cell r="Y104">
            <v>1</v>
          </cell>
          <cell r="Z104">
            <v>1</v>
          </cell>
          <cell r="AA104">
            <v>1</v>
          </cell>
          <cell r="AB104">
            <v>1</v>
          </cell>
          <cell r="AC104">
            <v>1</v>
          </cell>
          <cell r="AD104">
            <v>1</v>
          </cell>
          <cell r="AE104">
            <v>1</v>
          </cell>
          <cell r="AF104">
            <v>1</v>
          </cell>
          <cell r="AG104">
            <v>12</v>
          </cell>
          <cell r="AH104">
            <v>1</v>
          </cell>
        </row>
        <row r="105">
          <cell r="B105" t="str">
            <v>FCP4YD1W4-1</v>
          </cell>
          <cell r="C105" t="str">
            <v>4YD 4-1 COMP 1X WK</v>
          </cell>
          <cell r="D105">
            <v>1114.3699999999999</v>
          </cell>
          <cell r="E105">
            <v>1119.56</v>
          </cell>
          <cell r="F105">
            <v>1110.3</v>
          </cell>
          <cell r="G105">
            <v>1114.3699999999999</v>
          </cell>
          <cell r="H105">
            <v>1114.3699999999999</v>
          </cell>
          <cell r="I105">
            <v>1114.3699999999999</v>
          </cell>
          <cell r="J105">
            <v>1119.56</v>
          </cell>
          <cell r="K105">
            <v>1119.56</v>
          </cell>
          <cell r="L105">
            <v>1119.56</v>
          </cell>
          <cell r="M105">
            <v>1119.56</v>
          </cell>
          <cell r="N105">
            <v>1119.56</v>
          </cell>
          <cell r="O105">
            <v>1119.56</v>
          </cell>
          <cell r="P105">
            <v>1110.3</v>
          </cell>
          <cell r="Q105">
            <v>1110.3</v>
          </cell>
          <cell r="R105">
            <v>1110.3</v>
          </cell>
          <cell r="S105">
            <v>13391.369999999995</v>
          </cell>
          <cell r="U105">
            <v>1</v>
          </cell>
          <cell r="V105">
            <v>1</v>
          </cell>
          <cell r="W105">
            <v>1</v>
          </cell>
          <cell r="X105">
            <v>1</v>
          </cell>
          <cell r="Y105">
            <v>1</v>
          </cell>
          <cell r="Z105">
            <v>1</v>
          </cell>
          <cell r="AA105">
            <v>1</v>
          </cell>
          <cell r="AB105">
            <v>1</v>
          </cell>
          <cell r="AC105">
            <v>1</v>
          </cell>
          <cell r="AD105">
            <v>1</v>
          </cell>
          <cell r="AE105">
            <v>1</v>
          </cell>
          <cell r="AF105">
            <v>1</v>
          </cell>
          <cell r="AG105">
            <v>12</v>
          </cell>
          <cell r="AH105">
            <v>1</v>
          </cell>
        </row>
        <row r="106">
          <cell r="B106" t="str">
            <v>FCP4YD1W5-1</v>
          </cell>
          <cell r="C106" t="str">
            <v>4 YD 5-1 COMP 1X WK</v>
          </cell>
          <cell r="D106">
            <v>1262.1099999999999</v>
          </cell>
          <cell r="E106">
            <v>1268</v>
          </cell>
          <cell r="F106">
            <v>1256.44</v>
          </cell>
          <cell r="G106">
            <v>1262.1099999999999</v>
          </cell>
          <cell r="H106">
            <v>1262.1099999999999</v>
          </cell>
          <cell r="I106">
            <v>1262.1099999999999</v>
          </cell>
          <cell r="J106">
            <v>1268</v>
          </cell>
          <cell r="K106">
            <v>1268</v>
          </cell>
          <cell r="L106">
            <v>1268</v>
          </cell>
          <cell r="M106">
            <v>1268</v>
          </cell>
          <cell r="N106">
            <v>1268</v>
          </cell>
          <cell r="O106">
            <v>1268</v>
          </cell>
          <cell r="P106">
            <v>1256.44</v>
          </cell>
          <cell r="Q106">
            <v>1256.44</v>
          </cell>
          <cell r="R106">
            <v>1256.44</v>
          </cell>
          <cell r="S106">
            <v>15163.650000000001</v>
          </cell>
          <cell r="U106">
            <v>1</v>
          </cell>
          <cell r="V106">
            <v>1</v>
          </cell>
          <cell r="W106">
            <v>1</v>
          </cell>
          <cell r="X106">
            <v>1</v>
          </cell>
          <cell r="Y106">
            <v>1</v>
          </cell>
          <cell r="Z106">
            <v>1</v>
          </cell>
          <cell r="AA106">
            <v>1</v>
          </cell>
          <cell r="AB106">
            <v>1</v>
          </cell>
          <cell r="AC106">
            <v>1</v>
          </cell>
          <cell r="AD106">
            <v>1</v>
          </cell>
          <cell r="AE106">
            <v>1</v>
          </cell>
          <cell r="AF106">
            <v>1</v>
          </cell>
          <cell r="AG106">
            <v>12</v>
          </cell>
          <cell r="AH106">
            <v>1</v>
          </cell>
        </row>
        <row r="107">
          <cell r="B107" t="str">
            <v>FCP4YDEOW5-1</v>
          </cell>
          <cell r="C107" t="str">
            <v>4 YD 5-1 COMP EOW</v>
          </cell>
          <cell r="D107">
            <v>631.54</v>
          </cell>
          <cell r="E107">
            <v>634.49</v>
          </cell>
          <cell r="F107">
            <v>629.66</v>
          </cell>
          <cell r="G107">
            <v>631.54</v>
          </cell>
          <cell r="H107">
            <v>631.54</v>
          </cell>
          <cell r="I107">
            <v>631.54</v>
          </cell>
          <cell r="J107">
            <v>634.49</v>
          </cell>
          <cell r="K107">
            <v>634.49</v>
          </cell>
          <cell r="L107">
            <v>634.49</v>
          </cell>
          <cell r="M107">
            <v>634.49</v>
          </cell>
          <cell r="N107">
            <v>634.49</v>
          </cell>
          <cell r="O107">
            <v>634.49</v>
          </cell>
          <cell r="P107">
            <v>629.66</v>
          </cell>
          <cell r="Q107">
            <v>629.66</v>
          </cell>
          <cell r="R107">
            <v>629.66</v>
          </cell>
          <cell r="S107">
            <v>7590.5399999999981</v>
          </cell>
          <cell r="U107">
            <v>1</v>
          </cell>
          <cell r="V107">
            <v>1</v>
          </cell>
          <cell r="W107">
            <v>1</v>
          </cell>
          <cell r="X107">
            <v>1</v>
          </cell>
          <cell r="Y107">
            <v>1</v>
          </cell>
          <cell r="Z107">
            <v>1</v>
          </cell>
          <cell r="AA107">
            <v>1</v>
          </cell>
          <cell r="AB107">
            <v>1</v>
          </cell>
          <cell r="AC107">
            <v>1</v>
          </cell>
          <cell r="AD107">
            <v>1</v>
          </cell>
          <cell r="AE107">
            <v>1</v>
          </cell>
          <cell r="AF107">
            <v>1</v>
          </cell>
          <cell r="AG107">
            <v>12</v>
          </cell>
          <cell r="AH107">
            <v>1</v>
          </cell>
        </row>
        <row r="108">
          <cell r="B108" t="str">
            <v>FCP4YDOC5-1</v>
          </cell>
          <cell r="C108" t="str">
            <v>4 YD 5-1 COMP ON CALL</v>
          </cell>
          <cell r="D108">
            <v>298.02</v>
          </cell>
          <cell r="E108">
            <v>299.41000000000003</v>
          </cell>
          <cell r="F108">
            <v>296.74</v>
          </cell>
          <cell r="G108">
            <v>298.02</v>
          </cell>
          <cell r="H108">
            <v>298.02</v>
          </cell>
          <cell r="I108">
            <v>298.02</v>
          </cell>
          <cell r="J108">
            <v>299.41000000000003</v>
          </cell>
          <cell r="K108">
            <v>896.84</v>
          </cell>
          <cell r="L108">
            <v>598.82000000000005</v>
          </cell>
          <cell r="M108">
            <v>598.82000000000005</v>
          </cell>
          <cell r="N108">
            <v>598.82000000000005</v>
          </cell>
          <cell r="O108">
            <v>598.82000000000005</v>
          </cell>
          <cell r="P108">
            <v>0</v>
          </cell>
          <cell r="Q108">
            <v>593.48</v>
          </cell>
          <cell r="R108">
            <v>593.48</v>
          </cell>
          <cell r="S108">
            <v>5672.5499999999993</v>
          </cell>
          <cell r="U108">
            <v>1</v>
          </cell>
          <cell r="V108">
            <v>1</v>
          </cell>
          <cell r="W108">
            <v>1</v>
          </cell>
          <cell r="X108">
            <v>1</v>
          </cell>
          <cell r="Y108">
            <v>2.9953575364884273</v>
          </cell>
          <cell r="Z108">
            <v>2</v>
          </cell>
          <cell r="AA108">
            <v>2</v>
          </cell>
          <cell r="AB108">
            <v>2</v>
          </cell>
          <cell r="AC108">
            <v>2</v>
          </cell>
          <cell r="AD108">
            <v>0</v>
          </cell>
          <cell r="AE108">
            <v>2</v>
          </cell>
          <cell r="AF108">
            <v>2</v>
          </cell>
          <cell r="AG108">
            <v>18.995357536488427</v>
          </cell>
          <cell r="AH108">
            <v>1.5829464613740356</v>
          </cell>
        </row>
        <row r="109">
          <cell r="B109" t="str">
            <v>FCP6YD2W3-1</v>
          </cell>
          <cell r="C109" t="str">
            <v>6 YD 3-1 COMP 2X WK</v>
          </cell>
          <cell r="D109">
            <v>2456.7600000000002</v>
          </cell>
          <cell r="E109">
            <v>2468.27</v>
          </cell>
          <cell r="F109">
            <v>2449.31</v>
          </cell>
          <cell r="G109">
            <v>2456.7600000000002</v>
          </cell>
          <cell r="H109">
            <v>2456.7600000000002</v>
          </cell>
          <cell r="I109">
            <v>2456.7600000000002</v>
          </cell>
          <cell r="J109">
            <v>2468.27</v>
          </cell>
          <cell r="K109">
            <v>2468.27</v>
          </cell>
          <cell r="L109">
            <v>2468.27</v>
          </cell>
          <cell r="M109">
            <v>2468.27</v>
          </cell>
          <cell r="N109">
            <v>2468.27</v>
          </cell>
          <cell r="O109">
            <v>2468.27</v>
          </cell>
          <cell r="P109">
            <v>2449.31</v>
          </cell>
          <cell r="Q109">
            <v>2449.31</v>
          </cell>
          <cell r="R109">
            <v>2449.31</v>
          </cell>
          <cell r="S109">
            <v>29527.830000000005</v>
          </cell>
          <cell r="U109">
            <v>1</v>
          </cell>
          <cell r="V109">
            <v>1</v>
          </cell>
          <cell r="W109">
            <v>1</v>
          </cell>
          <cell r="X109">
            <v>1</v>
          </cell>
          <cell r="Y109">
            <v>1</v>
          </cell>
          <cell r="Z109">
            <v>1</v>
          </cell>
          <cell r="AA109">
            <v>1</v>
          </cell>
          <cell r="AB109">
            <v>1</v>
          </cell>
          <cell r="AC109">
            <v>1</v>
          </cell>
          <cell r="AD109">
            <v>1</v>
          </cell>
          <cell r="AE109">
            <v>1</v>
          </cell>
          <cell r="AF109">
            <v>1</v>
          </cell>
          <cell r="AG109">
            <v>12</v>
          </cell>
          <cell r="AH109">
            <v>1</v>
          </cell>
        </row>
        <row r="110">
          <cell r="B110" t="str">
            <v>FCP6YD2W4-1</v>
          </cell>
          <cell r="C110" t="str">
            <v>6 YD 4-1 COMP 2X WK</v>
          </cell>
          <cell r="D110">
            <v>3169.38</v>
          </cell>
          <cell r="E110">
            <v>3184.2</v>
          </cell>
          <cell r="F110">
            <v>3158.82</v>
          </cell>
          <cell r="G110">
            <v>3169.38</v>
          </cell>
          <cell r="H110">
            <v>3169.38</v>
          </cell>
          <cell r="I110">
            <v>3169.38</v>
          </cell>
          <cell r="J110">
            <v>3184.2</v>
          </cell>
          <cell r="K110">
            <v>3184.2</v>
          </cell>
          <cell r="L110">
            <v>3184.2</v>
          </cell>
          <cell r="M110">
            <v>3184.2</v>
          </cell>
          <cell r="N110">
            <v>3184.2</v>
          </cell>
          <cell r="O110">
            <v>3184.2</v>
          </cell>
          <cell r="P110">
            <v>3158.82</v>
          </cell>
          <cell r="Q110">
            <v>3158.82</v>
          </cell>
          <cell r="R110">
            <v>3158.82</v>
          </cell>
          <cell r="S110">
            <v>38089.800000000003</v>
          </cell>
          <cell r="U110">
            <v>1</v>
          </cell>
          <cell r="V110">
            <v>1</v>
          </cell>
          <cell r="W110">
            <v>1</v>
          </cell>
          <cell r="X110">
            <v>1</v>
          </cell>
          <cell r="Y110">
            <v>1</v>
          </cell>
          <cell r="Z110">
            <v>1</v>
          </cell>
          <cell r="AA110">
            <v>1</v>
          </cell>
          <cell r="AB110">
            <v>1</v>
          </cell>
          <cell r="AC110">
            <v>1</v>
          </cell>
          <cell r="AD110">
            <v>1</v>
          </cell>
          <cell r="AE110">
            <v>1</v>
          </cell>
          <cell r="AF110">
            <v>1</v>
          </cell>
          <cell r="AG110">
            <v>12</v>
          </cell>
          <cell r="AH110">
            <v>1</v>
          </cell>
        </row>
        <row r="111">
          <cell r="B111" t="str">
            <v>PACKC</v>
          </cell>
          <cell r="C111" t="str">
            <v>CARRY-OUT COMMERCIAL</v>
          </cell>
          <cell r="D111">
            <v>5.41</v>
          </cell>
          <cell r="E111">
            <v>5.44</v>
          </cell>
          <cell r="F111">
            <v>5.44</v>
          </cell>
          <cell r="G111">
            <v>32.46</v>
          </cell>
          <cell r="H111">
            <v>32.46</v>
          </cell>
          <cell r="I111">
            <v>32.46</v>
          </cell>
          <cell r="J111">
            <v>32.64</v>
          </cell>
          <cell r="K111">
            <v>32.64</v>
          </cell>
          <cell r="L111">
            <v>43.52</v>
          </cell>
          <cell r="M111">
            <v>43.52</v>
          </cell>
          <cell r="N111">
            <v>43.52</v>
          </cell>
          <cell r="O111">
            <v>43.52</v>
          </cell>
          <cell r="P111">
            <v>43.52</v>
          </cell>
          <cell r="Q111">
            <v>43.52</v>
          </cell>
          <cell r="R111">
            <v>43.52</v>
          </cell>
          <cell r="S111">
            <v>467.2999999999999</v>
          </cell>
          <cell r="U111">
            <v>6</v>
          </cell>
          <cell r="V111">
            <v>6</v>
          </cell>
          <cell r="W111">
            <v>6</v>
          </cell>
          <cell r="X111">
            <v>6</v>
          </cell>
          <cell r="Y111">
            <v>6</v>
          </cell>
          <cell r="Z111">
            <v>8</v>
          </cell>
          <cell r="AA111">
            <v>8</v>
          </cell>
          <cell r="AB111">
            <v>8</v>
          </cell>
          <cell r="AC111">
            <v>8</v>
          </cell>
          <cell r="AD111">
            <v>8</v>
          </cell>
          <cell r="AE111">
            <v>8</v>
          </cell>
          <cell r="AF111">
            <v>8</v>
          </cell>
          <cell r="AG111">
            <v>86</v>
          </cell>
          <cell r="AH111">
            <v>7.166666666666667</v>
          </cell>
        </row>
        <row r="112">
          <cell r="B112" t="str">
            <v>R1YDEX</v>
          </cell>
          <cell r="C112" t="str">
            <v>1YD CONTAINER EXTRA</v>
          </cell>
          <cell r="D112">
            <v>26.09</v>
          </cell>
          <cell r="E112">
            <v>26.21</v>
          </cell>
          <cell r="F112">
            <v>26.06</v>
          </cell>
          <cell r="G112">
            <v>26.09</v>
          </cell>
          <cell r="H112">
            <v>104.36</v>
          </cell>
          <cell r="I112">
            <v>78.27</v>
          </cell>
          <cell r="J112">
            <v>52.42</v>
          </cell>
          <cell r="K112">
            <v>104.84</v>
          </cell>
          <cell r="L112">
            <v>0</v>
          </cell>
          <cell r="M112">
            <v>0</v>
          </cell>
          <cell r="N112">
            <v>52.42</v>
          </cell>
          <cell r="O112">
            <v>0</v>
          </cell>
          <cell r="P112">
            <v>0</v>
          </cell>
          <cell r="Q112">
            <v>52.12</v>
          </cell>
          <cell r="R112">
            <v>0</v>
          </cell>
          <cell r="S112">
            <v>470.52000000000004</v>
          </cell>
          <cell r="U112">
            <v>1</v>
          </cell>
          <cell r="V112">
            <v>4</v>
          </cell>
          <cell r="W112">
            <v>3</v>
          </cell>
          <cell r="X112">
            <v>2</v>
          </cell>
          <cell r="Y112">
            <v>4</v>
          </cell>
          <cell r="Z112">
            <v>0</v>
          </cell>
          <cell r="AA112">
            <v>0</v>
          </cell>
          <cell r="AB112">
            <v>2</v>
          </cell>
          <cell r="AC112">
            <v>0</v>
          </cell>
          <cell r="AD112">
            <v>0</v>
          </cell>
          <cell r="AE112">
            <v>2</v>
          </cell>
          <cell r="AF112">
            <v>0</v>
          </cell>
          <cell r="AG112">
            <v>18</v>
          </cell>
          <cell r="AH112">
            <v>1.5</v>
          </cell>
        </row>
        <row r="113">
          <cell r="B113" t="str">
            <v>F1YDEX</v>
          </cell>
          <cell r="C113" t="str">
            <v>1YD CONT EXTRA</v>
          </cell>
          <cell r="D113">
            <v>26.09</v>
          </cell>
          <cell r="E113">
            <v>26.21</v>
          </cell>
          <cell r="F113">
            <v>26.06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26.21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26.21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1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1</v>
          </cell>
          <cell r="AH113">
            <v>8.3333333333333329E-2</v>
          </cell>
        </row>
        <row r="114">
          <cell r="B114" t="str">
            <v>R1.5YDEX</v>
          </cell>
          <cell r="C114" t="str">
            <v>1.5YD CONTAINER EXTRA</v>
          </cell>
          <cell r="D114">
            <v>35.29</v>
          </cell>
          <cell r="E114">
            <v>35.46</v>
          </cell>
          <cell r="F114">
            <v>35.24</v>
          </cell>
          <cell r="G114">
            <v>0</v>
          </cell>
          <cell r="H114">
            <v>35.29</v>
          </cell>
          <cell r="I114">
            <v>42.13</v>
          </cell>
          <cell r="J114">
            <v>35.46</v>
          </cell>
          <cell r="K114">
            <v>35.46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35.24</v>
          </cell>
          <cell r="Q114">
            <v>0</v>
          </cell>
          <cell r="R114">
            <v>0</v>
          </cell>
          <cell r="S114">
            <v>183.58</v>
          </cell>
          <cell r="U114">
            <v>0</v>
          </cell>
          <cell r="V114">
            <v>1</v>
          </cell>
          <cell r="W114">
            <v>1.1938226126381413</v>
          </cell>
          <cell r="X114">
            <v>1</v>
          </cell>
          <cell r="Y114">
            <v>1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1</v>
          </cell>
          <cell r="AE114">
            <v>0</v>
          </cell>
          <cell r="AF114">
            <v>0</v>
          </cell>
          <cell r="AG114">
            <v>5.193822612638141</v>
          </cell>
          <cell r="AH114">
            <v>0.4328185510531784</v>
          </cell>
        </row>
        <row r="115">
          <cell r="B115" t="str">
            <v>R2YDEX</v>
          </cell>
          <cell r="C115" t="str">
            <v>2YD CONTAINER EXTRA</v>
          </cell>
          <cell r="D115">
            <v>43.47</v>
          </cell>
          <cell r="E115">
            <v>43.67</v>
          </cell>
          <cell r="F115">
            <v>43.41</v>
          </cell>
          <cell r="G115">
            <v>260.82</v>
          </cell>
          <cell r="H115">
            <v>304.28999999999996</v>
          </cell>
          <cell r="I115">
            <v>86.94</v>
          </cell>
          <cell r="J115">
            <v>611.38</v>
          </cell>
          <cell r="K115">
            <v>480.37</v>
          </cell>
          <cell r="L115">
            <v>43.67</v>
          </cell>
          <cell r="M115">
            <v>262.02</v>
          </cell>
          <cell r="N115">
            <v>218.35</v>
          </cell>
          <cell r="O115">
            <v>174.68</v>
          </cell>
          <cell r="P115">
            <v>304.13</v>
          </cell>
          <cell r="Q115">
            <v>173.64</v>
          </cell>
          <cell r="R115">
            <v>130.22999999999999</v>
          </cell>
          <cell r="S115">
            <v>3050.5199999999995</v>
          </cell>
          <cell r="U115">
            <v>6</v>
          </cell>
          <cell r="V115">
            <v>6.9999999999999991</v>
          </cell>
          <cell r="W115">
            <v>2</v>
          </cell>
          <cell r="X115">
            <v>14</v>
          </cell>
          <cell r="Y115">
            <v>11</v>
          </cell>
          <cell r="Z115">
            <v>1</v>
          </cell>
          <cell r="AA115">
            <v>5.9999999999999991</v>
          </cell>
          <cell r="AB115">
            <v>5</v>
          </cell>
          <cell r="AC115">
            <v>4</v>
          </cell>
          <cell r="AD115">
            <v>7.005989403363281</v>
          </cell>
          <cell r="AE115">
            <v>4</v>
          </cell>
          <cell r="AF115">
            <v>3</v>
          </cell>
          <cell r="AG115">
            <v>70.005989403363287</v>
          </cell>
          <cell r="AH115">
            <v>5.8338324502802736</v>
          </cell>
        </row>
        <row r="116">
          <cell r="B116" t="str">
            <v>F2YDEX</v>
          </cell>
          <cell r="C116" t="str">
            <v>2YD CONT EXTRA</v>
          </cell>
          <cell r="D116">
            <v>43.47</v>
          </cell>
          <cell r="E116">
            <v>43.67</v>
          </cell>
          <cell r="F116">
            <v>43.41</v>
          </cell>
          <cell r="G116">
            <v>43.47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43.67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130.22999999999999</v>
          </cell>
          <cell r="S116">
            <v>217.37</v>
          </cell>
          <cell r="U116">
            <v>1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1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3</v>
          </cell>
          <cell r="AG116">
            <v>5</v>
          </cell>
          <cell r="AH116">
            <v>0.41666666666666669</v>
          </cell>
        </row>
        <row r="117">
          <cell r="B117" t="str">
            <v>F4YDEX</v>
          </cell>
          <cell r="C117" t="str">
            <v>4YD CONT EXTRA PICKUP</v>
          </cell>
          <cell r="D117">
            <v>79.8</v>
          </cell>
          <cell r="E117">
            <v>80.17</v>
          </cell>
          <cell r="F117">
            <v>79.64</v>
          </cell>
          <cell r="G117">
            <v>558.6</v>
          </cell>
          <cell r="H117">
            <v>1197</v>
          </cell>
          <cell r="I117">
            <v>1117.1999999999998</v>
          </cell>
          <cell r="J117">
            <v>881.5</v>
          </cell>
          <cell r="K117">
            <v>240.51</v>
          </cell>
          <cell r="L117">
            <v>400.85</v>
          </cell>
          <cell r="M117">
            <v>400.85</v>
          </cell>
          <cell r="N117">
            <v>0</v>
          </cell>
          <cell r="O117">
            <v>561.19000000000005</v>
          </cell>
          <cell r="P117">
            <v>0</v>
          </cell>
          <cell r="Q117">
            <v>159.27999999999997</v>
          </cell>
          <cell r="R117">
            <v>318.56</v>
          </cell>
          <cell r="S117">
            <v>5835.5400000000009</v>
          </cell>
          <cell r="U117">
            <v>7.0000000000000009</v>
          </cell>
          <cell r="V117">
            <v>15</v>
          </cell>
          <cell r="W117">
            <v>13.999999999999998</v>
          </cell>
          <cell r="X117">
            <v>10.99538480728452</v>
          </cell>
          <cell r="Y117">
            <v>3</v>
          </cell>
          <cell r="Z117">
            <v>5</v>
          </cell>
          <cell r="AA117">
            <v>5</v>
          </cell>
          <cell r="AB117">
            <v>0</v>
          </cell>
          <cell r="AC117">
            <v>7.0000000000000009</v>
          </cell>
          <cell r="AD117">
            <v>0</v>
          </cell>
          <cell r="AE117">
            <v>1.9999999999999996</v>
          </cell>
          <cell r="AF117">
            <v>4</v>
          </cell>
          <cell r="AG117">
            <v>72.995384807284523</v>
          </cell>
          <cell r="AH117">
            <v>6.0829487339403769</v>
          </cell>
        </row>
        <row r="118">
          <cell r="B118" t="str">
            <v>F6YDEX</v>
          </cell>
          <cell r="C118" t="str">
            <v>6YD CONT EXTRA PICKUP</v>
          </cell>
          <cell r="D118">
            <v>109.44</v>
          </cell>
          <cell r="E118">
            <v>109.95</v>
          </cell>
          <cell r="F118">
            <v>109.22</v>
          </cell>
          <cell r="G118">
            <v>1422.72</v>
          </cell>
          <cell r="H118">
            <v>2517.12</v>
          </cell>
          <cell r="I118">
            <v>2517.12</v>
          </cell>
          <cell r="J118">
            <v>1757.67</v>
          </cell>
          <cell r="K118">
            <v>2243.42</v>
          </cell>
          <cell r="L118">
            <v>2199</v>
          </cell>
          <cell r="M118">
            <v>1649.25</v>
          </cell>
          <cell r="N118">
            <v>1649.25</v>
          </cell>
          <cell r="O118">
            <v>1429.35</v>
          </cell>
          <cell r="P118">
            <v>1202.1500000000001</v>
          </cell>
          <cell r="Q118">
            <v>1092.2</v>
          </cell>
          <cell r="R118">
            <v>982.98</v>
          </cell>
          <cell r="S118">
            <v>20662.230000000003</v>
          </cell>
          <cell r="U118">
            <v>13</v>
          </cell>
          <cell r="V118">
            <v>23</v>
          </cell>
          <cell r="W118">
            <v>23</v>
          </cell>
          <cell r="X118">
            <v>15.986084583901773</v>
          </cell>
          <cell r="Y118">
            <v>20.404001819008641</v>
          </cell>
          <cell r="Z118">
            <v>20</v>
          </cell>
          <cell r="AA118">
            <v>15</v>
          </cell>
          <cell r="AB118">
            <v>15</v>
          </cell>
          <cell r="AC118">
            <v>12.999999999999998</v>
          </cell>
          <cell r="AD118">
            <v>11.006683757553562</v>
          </cell>
          <cell r="AE118">
            <v>10</v>
          </cell>
          <cell r="AF118">
            <v>9</v>
          </cell>
          <cell r="AG118">
            <v>188.39677016046397</v>
          </cell>
          <cell r="AH118">
            <v>15.69973084670533</v>
          </cell>
        </row>
        <row r="119">
          <cell r="B119" t="str">
            <v>CDEL</v>
          </cell>
          <cell r="C119" t="str">
            <v>CONTAINER DELIVERY CHARGE</v>
          </cell>
          <cell r="D119">
            <v>42.63</v>
          </cell>
          <cell r="E119">
            <v>42.83</v>
          </cell>
          <cell r="F119">
            <v>42.83</v>
          </cell>
          <cell r="G119">
            <v>213.15</v>
          </cell>
          <cell r="H119">
            <v>213.15</v>
          </cell>
          <cell r="I119">
            <v>0</v>
          </cell>
          <cell r="J119">
            <v>42.83</v>
          </cell>
          <cell r="K119">
            <v>0</v>
          </cell>
          <cell r="L119">
            <v>85.66</v>
          </cell>
          <cell r="M119">
            <v>42.83</v>
          </cell>
          <cell r="N119">
            <v>0</v>
          </cell>
          <cell r="O119">
            <v>128.49</v>
          </cell>
          <cell r="P119">
            <v>85.66</v>
          </cell>
          <cell r="Q119">
            <v>214.15</v>
          </cell>
          <cell r="R119">
            <v>0</v>
          </cell>
          <cell r="S119">
            <v>1025.92</v>
          </cell>
          <cell r="U119">
            <v>5</v>
          </cell>
          <cell r="V119">
            <v>5</v>
          </cell>
          <cell r="W119">
            <v>0</v>
          </cell>
          <cell r="X119">
            <v>1</v>
          </cell>
          <cell r="Y119">
            <v>0</v>
          </cell>
          <cell r="Z119">
            <v>2</v>
          </cell>
          <cell r="AA119">
            <v>1</v>
          </cell>
          <cell r="AB119">
            <v>0</v>
          </cell>
          <cell r="AC119">
            <v>3.0000000000000004</v>
          </cell>
          <cell r="AD119">
            <v>2</v>
          </cell>
          <cell r="AE119">
            <v>5</v>
          </cell>
          <cell r="AF119">
            <v>0</v>
          </cell>
          <cell r="AG119">
            <v>24</v>
          </cell>
          <cell r="AH119">
            <v>2</v>
          </cell>
        </row>
        <row r="120">
          <cell r="B120" t="str">
            <v>CEX</v>
          </cell>
          <cell r="C120" t="str">
            <v>EXTRA CANS</v>
          </cell>
          <cell r="D120">
            <v>4.8</v>
          </cell>
          <cell r="E120">
            <v>4.82</v>
          </cell>
          <cell r="F120">
            <v>4.79</v>
          </cell>
          <cell r="G120">
            <v>585.6</v>
          </cell>
          <cell r="H120">
            <v>835.2</v>
          </cell>
          <cell r="I120">
            <v>580.80000000000007</v>
          </cell>
          <cell r="J120">
            <v>558.76</v>
          </cell>
          <cell r="K120">
            <v>347.03999999999996</v>
          </cell>
          <cell r="L120">
            <v>727.81999999999994</v>
          </cell>
          <cell r="M120">
            <v>588.04</v>
          </cell>
          <cell r="N120">
            <v>371.14</v>
          </cell>
          <cell r="O120">
            <v>544.66</v>
          </cell>
          <cell r="P120">
            <v>704.25</v>
          </cell>
          <cell r="Q120">
            <v>196.39</v>
          </cell>
          <cell r="R120">
            <v>392.78</v>
          </cell>
          <cell r="S120">
            <v>6432.4800000000005</v>
          </cell>
          <cell r="U120">
            <v>122.00000000000001</v>
          </cell>
          <cell r="V120">
            <v>174.00000000000003</v>
          </cell>
          <cell r="W120">
            <v>121.00000000000001</v>
          </cell>
          <cell r="X120">
            <v>115.9253112033195</v>
          </cell>
          <cell r="Y120">
            <v>71.999999999999986</v>
          </cell>
          <cell r="Z120">
            <v>150.99999999999997</v>
          </cell>
          <cell r="AA120">
            <v>121.99999999999999</v>
          </cell>
          <cell r="AB120">
            <v>76.999999999999986</v>
          </cell>
          <cell r="AC120">
            <v>112.99999999999999</v>
          </cell>
          <cell r="AD120">
            <v>147.02505219206679</v>
          </cell>
          <cell r="AE120">
            <v>41</v>
          </cell>
          <cell r="AF120">
            <v>82</v>
          </cell>
          <cell r="AG120">
            <v>1337.9503633953864</v>
          </cell>
          <cell r="AH120">
            <v>111.49586361628219</v>
          </cell>
        </row>
        <row r="121">
          <cell r="B121" t="str">
            <v>CEXYD</v>
          </cell>
          <cell r="C121" t="str">
            <v>CMML EXTRA YARDAGE</v>
          </cell>
          <cell r="D121">
            <v>25.8</v>
          </cell>
          <cell r="E121">
            <v>25.92</v>
          </cell>
          <cell r="F121">
            <v>25.81</v>
          </cell>
          <cell r="G121">
            <v>11700.3</v>
          </cell>
          <cell r="H121">
            <v>16318.5</v>
          </cell>
          <cell r="I121">
            <v>10474.800000000001</v>
          </cell>
          <cell r="J121">
            <v>7914.5399999999991</v>
          </cell>
          <cell r="K121">
            <v>6920.6399999999994</v>
          </cell>
          <cell r="L121">
            <v>6104.1599999999989</v>
          </cell>
          <cell r="M121">
            <v>5196.96</v>
          </cell>
          <cell r="N121">
            <v>4885.92</v>
          </cell>
          <cell r="O121">
            <v>5248.8</v>
          </cell>
          <cell r="P121">
            <v>7228.24</v>
          </cell>
          <cell r="Q121">
            <v>10943.44</v>
          </cell>
          <cell r="R121">
            <v>17628.239999999998</v>
          </cell>
          <cell r="S121">
            <v>110564.54000000001</v>
          </cell>
          <cell r="U121">
            <v>453.49999999999994</v>
          </cell>
          <cell r="V121">
            <v>632.5</v>
          </cell>
          <cell r="W121">
            <v>406.00000000000006</v>
          </cell>
          <cell r="X121">
            <v>305.34490740740733</v>
          </cell>
          <cell r="Y121">
            <v>266.99999999999994</v>
          </cell>
          <cell r="Z121">
            <v>235.49999999999994</v>
          </cell>
          <cell r="AA121">
            <v>200.5</v>
          </cell>
          <cell r="AB121">
            <v>188.5</v>
          </cell>
          <cell r="AC121">
            <v>202.5</v>
          </cell>
          <cell r="AD121">
            <v>280.05579232855484</v>
          </cell>
          <cell r="AE121">
            <v>424.00000000000006</v>
          </cell>
          <cell r="AF121">
            <v>683.00038744672599</v>
          </cell>
          <cell r="AG121">
            <v>4278.4010871826877</v>
          </cell>
          <cell r="AH121">
            <v>356.53342393189064</v>
          </cell>
        </row>
        <row r="122">
          <cell r="B122" t="str">
            <v>CLOCK</v>
          </cell>
          <cell r="C122" t="str">
            <v>LOCK CHARGE-CONTAINER</v>
          </cell>
          <cell r="D122">
            <v>4.72</v>
          </cell>
          <cell r="E122">
            <v>4.76</v>
          </cell>
          <cell r="F122">
            <v>4.76</v>
          </cell>
          <cell r="G122">
            <v>626.58000000000004</v>
          </cell>
          <cell r="H122">
            <v>633.07000000000005</v>
          </cell>
          <cell r="I122">
            <v>666.7</v>
          </cell>
          <cell r="J122">
            <v>706.86000000000013</v>
          </cell>
          <cell r="K122">
            <v>696.15000000000009</v>
          </cell>
          <cell r="L122">
            <v>727.09</v>
          </cell>
          <cell r="M122">
            <v>730.66000000000008</v>
          </cell>
          <cell r="N122">
            <v>752.07999999999993</v>
          </cell>
          <cell r="O122">
            <v>760.40999999999985</v>
          </cell>
          <cell r="P122">
            <v>772.31</v>
          </cell>
          <cell r="Q122">
            <v>781.83</v>
          </cell>
          <cell r="R122">
            <v>778.2600000000001</v>
          </cell>
          <cell r="S122">
            <v>8632</v>
          </cell>
          <cell r="U122">
            <v>132.75000000000003</v>
          </cell>
          <cell r="V122">
            <v>134.12500000000003</v>
          </cell>
          <cell r="W122">
            <v>141.25000000000003</v>
          </cell>
          <cell r="X122">
            <v>148.50000000000003</v>
          </cell>
          <cell r="Y122">
            <v>146.25000000000003</v>
          </cell>
          <cell r="Z122">
            <v>152.75</v>
          </cell>
          <cell r="AA122">
            <v>153.50000000000003</v>
          </cell>
          <cell r="AB122">
            <v>158</v>
          </cell>
          <cell r="AC122">
            <v>159.74999999999997</v>
          </cell>
          <cell r="AD122">
            <v>162.25</v>
          </cell>
          <cell r="AE122">
            <v>164.25000000000003</v>
          </cell>
          <cell r="AF122">
            <v>163.50000000000003</v>
          </cell>
          <cell r="AG122">
            <v>1816.875</v>
          </cell>
          <cell r="AH122">
            <v>151.40625</v>
          </cell>
        </row>
        <row r="123">
          <cell r="B123" t="str">
            <v>CROLL</v>
          </cell>
          <cell r="C123" t="str">
            <v>ROLLOUT CHARGE - CMML</v>
          </cell>
          <cell r="D123">
            <v>16.97</v>
          </cell>
          <cell r="E123">
            <v>17.059999999999999</v>
          </cell>
          <cell r="F123">
            <v>17.059999999999999</v>
          </cell>
          <cell r="G123">
            <v>1780.5600000000002</v>
          </cell>
          <cell r="H123">
            <v>1776.3100000000002</v>
          </cell>
          <cell r="I123">
            <v>1797.53</v>
          </cell>
          <cell r="J123">
            <v>1794.23</v>
          </cell>
          <cell r="K123">
            <v>1755.2600000000002</v>
          </cell>
          <cell r="L123">
            <v>1755.2600000000002</v>
          </cell>
          <cell r="M123">
            <v>1755.2600000000002</v>
          </cell>
          <cell r="N123">
            <v>1687.02</v>
          </cell>
          <cell r="O123">
            <v>1687.02</v>
          </cell>
          <cell r="P123">
            <v>1678.49</v>
          </cell>
          <cell r="Q123">
            <v>1695.55</v>
          </cell>
          <cell r="R123">
            <v>1704.08</v>
          </cell>
          <cell r="S123">
            <v>20866.57</v>
          </cell>
          <cell r="U123">
            <v>104.92398350029465</v>
          </cell>
          <cell r="V123">
            <v>104.67354154390102</v>
          </cell>
          <cell r="W123">
            <v>105.92398350029464</v>
          </cell>
          <cell r="X123">
            <v>105.17174677608442</v>
          </cell>
          <cell r="Y123">
            <v>102.88745603751468</v>
          </cell>
          <cell r="Z123">
            <v>102.88745603751468</v>
          </cell>
          <cell r="AA123">
            <v>102.88745603751468</v>
          </cell>
          <cell r="AB123">
            <v>98.887456037514667</v>
          </cell>
          <cell r="AC123">
            <v>98.887456037514667</v>
          </cell>
          <cell r="AD123">
            <v>98.387456037514667</v>
          </cell>
          <cell r="AE123">
            <v>99.387456037514653</v>
          </cell>
          <cell r="AF123">
            <v>99.887456037514653</v>
          </cell>
          <cell r="AG123">
            <v>1224.792903620692</v>
          </cell>
          <cell r="AH123">
            <v>102.06607530172433</v>
          </cell>
        </row>
        <row r="124">
          <cell r="B124" t="str">
            <v>CTDEL</v>
          </cell>
          <cell r="C124" t="str">
            <v>TEMP CONTAINER DELIVERY</v>
          </cell>
          <cell r="D124">
            <v>42.63</v>
          </cell>
          <cell r="E124">
            <v>42.83</v>
          </cell>
          <cell r="F124">
            <v>42.83</v>
          </cell>
          <cell r="G124">
            <v>511.56</v>
          </cell>
          <cell r="H124">
            <v>1151.01</v>
          </cell>
          <cell r="I124">
            <v>844</v>
          </cell>
          <cell r="J124">
            <v>513.96</v>
          </cell>
          <cell r="K124">
            <v>856.6</v>
          </cell>
          <cell r="L124">
            <v>728.11</v>
          </cell>
          <cell r="M124">
            <v>299.81</v>
          </cell>
          <cell r="N124">
            <v>428.3</v>
          </cell>
          <cell r="O124">
            <v>599.62</v>
          </cell>
          <cell r="P124">
            <v>856.6</v>
          </cell>
          <cell r="Q124">
            <v>728.11</v>
          </cell>
          <cell r="R124">
            <v>599.62</v>
          </cell>
          <cell r="S124">
            <v>8117.3</v>
          </cell>
          <cell r="U124">
            <v>12</v>
          </cell>
          <cell r="V124">
            <v>26.999999999999996</v>
          </cell>
          <cell r="W124">
            <v>19.798264133239503</v>
          </cell>
          <cell r="X124">
            <v>12.000000000000002</v>
          </cell>
          <cell r="Y124">
            <v>20</v>
          </cell>
          <cell r="Z124">
            <v>17</v>
          </cell>
          <cell r="AA124">
            <v>7</v>
          </cell>
          <cell r="AB124">
            <v>10</v>
          </cell>
          <cell r="AC124">
            <v>14</v>
          </cell>
          <cell r="AD124">
            <v>20</v>
          </cell>
          <cell r="AE124">
            <v>17</v>
          </cell>
          <cell r="AF124">
            <v>14</v>
          </cell>
          <cell r="AG124">
            <v>189.79826413323951</v>
          </cell>
          <cell r="AH124">
            <v>15.816522011103293</v>
          </cell>
        </row>
        <row r="125">
          <cell r="B125" t="str">
            <v>CTRIP</v>
          </cell>
          <cell r="C125" t="str">
            <v>RETURN TRIP CHARGE - CONT</v>
          </cell>
          <cell r="D125">
            <v>16.8</v>
          </cell>
          <cell r="E125">
            <v>16.88</v>
          </cell>
          <cell r="F125">
            <v>16.88</v>
          </cell>
          <cell r="G125">
            <v>319.05</v>
          </cell>
          <cell r="H125">
            <v>268.79999999999995</v>
          </cell>
          <cell r="I125">
            <v>168</v>
          </cell>
          <cell r="J125">
            <v>219.44</v>
          </cell>
          <cell r="K125">
            <v>320.71999999999997</v>
          </cell>
          <cell r="L125">
            <v>168.79999999999998</v>
          </cell>
          <cell r="M125">
            <v>168.8</v>
          </cell>
          <cell r="N125">
            <v>286.95999999999998</v>
          </cell>
          <cell r="O125">
            <v>261.05</v>
          </cell>
          <cell r="P125">
            <v>354.48</v>
          </cell>
          <cell r="Q125">
            <v>288.84000000000003</v>
          </cell>
          <cell r="R125">
            <v>219.44</v>
          </cell>
          <cell r="S125">
            <v>3044.38</v>
          </cell>
          <cell r="U125">
            <v>18.991071428571427</v>
          </cell>
          <cell r="V125">
            <v>15.999999999999996</v>
          </cell>
          <cell r="W125">
            <v>10</v>
          </cell>
          <cell r="X125">
            <v>13</v>
          </cell>
          <cell r="Y125">
            <v>19</v>
          </cell>
          <cell r="Z125">
            <v>10</v>
          </cell>
          <cell r="AA125">
            <v>10.000000000000002</v>
          </cell>
          <cell r="AB125">
            <v>17</v>
          </cell>
          <cell r="AC125">
            <v>15.46504739336493</v>
          </cell>
          <cell r="AD125">
            <v>21.000000000000004</v>
          </cell>
          <cell r="AE125">
            <v>17.111374407582943</v>
          </cell>
          <cell r="AF125">
            <v>13</v>
          </cell>
          <cell r="AG125">
            <v>180.5674932295193</v>
          </cell>
          <cell r="AH125">
            <v>15.047291102459942</v>
          </cell>
        </row>
        <row r="126">
          <cell r="B126" t="str">
            <v>CUNLOCK</v>
          </cell>
          <cell r="C126" t="str">
            <v>COMM UNLOCK GATE OR CONT</v>
          </cell>
          <cell r="D126">
            <v>4.72</v>
          </cell>
          <cell r="E126">
            <v>4.76</v>
          </cell>
          <cell r="F126">
            <v>4.76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4.76</v>
          </cell>
          <cell r="L126">
            <v>4.76</v>
          </cell>
          <cell r="M126">
            <v>4.76</v>
          </cell>
          <cell r="N126">
            <v>4.76</v>
          </cell>
          <cell r="O126">
            <v>4.76</v>
          </cell>
          <cell r="P126">
            <v>4.76</v>
          </cell>
          <cell r="Q126">
            <v>4.76</v>
          </cell>
          <cell r="R126">
            <v>4.76</v>
          </cell>
          <cell r="S126">
            <v>38.079999999999991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1</v>
          </cell>
          <cell r="Z126">
            <v>1</v>
          </cell>
          <cell r="AA126">
            <v>1</v>
          </cell>
          <cell r="AB126">
            <v>1</v>
          </cell>
          <cell r="AC126">
            <v>1</v>
          </cell>
          <cell r="AD126">
            <v>1</v>
          </cell>
          <cell r="AE126">
            <v>1</v>
          </cell>
          <cell r="AF126">
            <v>1</v>
          </cell>
          <cell r="AG126">
            <v>8</v>
          </cell>
          <cell r="AH126">
            <v>0.66666666666666663</v>
          </cell>
        </row>
        <row r="127">
          <cell r="B127" t="str">
            <v>DRVNC</v>
          </cell>
          <cell r="C127" t="str">
            <v>DRIVE IN - CMML</v>
          </cell>
          <cell r="D127">
            <v>5.0199999999999996</v>
          </cell>
          <cell r="E127">
            <v>5.07</v>
          </cell>
          <cell r="F127">
            <v>5.07</v>
          </cell>
          <cell r="G127">
            <v>70.28</v>
          </cell>
          <cell r="H127">
            <v>70.28</v>
          </cell>
          <cell r="I127">
            <v>70.28</v>
          </cell>
          <cell r="J127">
            <v>70.98</v>
          </cell>
          <cell r="K127">
            <v>70.98</v>
          </cell>
          <cell r="L127">
            <v>70.98</v>
          </cell>
          <cell r="M127">
            <v>70.98</v>
          </cell>
          <cell r="N127">
            <v>76.05</v>
          </cell>
          <cell r="O127">
            <v>76.05</v>
          </cell>
          <cell r="P127">
            <v>76.05</v>
          </cell>
          <cell r="Q127">
            <v>81.12</v>
          </cell>
          <cell r="R127">
            <v>81.12</v>
          </cell>
          <cell r="S127">
            <v>885.15</v>
          </cell>
          <cell r="U127">
            <v>14.000000000000002</v>
          </cell>
          <cell r="V127">
            <v>14.000000000000002</v>
          </cell>
          <cell r="W127">
            <v>14.000000000000002</v>
          </cell>
          <cell r="X127">
            <v>14</v>
          </cell>
          <cell r="Y127">
            <v>14</v>
          </cell>
          <cell r="Z127">
            <v>14</v>
          </cell>
          <cell r="AA127">
            <v>14</v>
          </cell>
          <cell r="AB127">
            <v>14.999999999999998</v>
          </cell>
          <cell r="AC127">
            <v>14.999999999999998</v>
          </cell>
          <cell r="AD127">
            <v>14.999999999999998</v>
          </cell>
          <cell r="AE127">
            <v>16</v>
          </cell>
          <cell r="AF127">
            <v>16</v>
          </cell>
          <cell r="AG127">
            <v>175</v>
          </cell>
          <cell r="AH127">
            <v>14.583333333333334</v>
          </cell>
        </row>
        <row r="128">
          <cell r="B128" t="str">
            <v>TIMEC</v>
          </cell>
          <cell r="C128" t="str">
            <v>CMML TIME CHARGE</v>
          </cell>
          <cell r="D128">
            <v>101.39</v>
          </cell>
          <cell r="E128">
            <v>101.86</v>
          </cell>
          <cell r="F128">
            <v>101.86</v>
          </cell>
          <cell r="G128">
            <v>1064.6199999999999</v>
          </cell>
          <cell r="H128">
            <v>202.8</v>
          </cell>
          <cell r="I128">
            <v>101.4</v>
          </cell>
          <cell r="J128">
            <v>127.35</v>
          </cell>
          <cell r="K128">
            <v>4354.58</v>
          </cell>
          <cell r="L128">
            <v>202.99</v>
          </cell>
          <cell r="M128">
            <v>2979.46</v>
          </cell>
          <cell r="N128">
            <v>1426.05</v>
          </cell>
          <cell r="O128">
            <v>2037.24</v>
          </cell>
          <cell r="P128">
            <v>3539.69</v>
          </cell>
          <cell r="Q128">
            <v>1689.24</v>
          </cell>
          <cell r="R128">
            <v>50.94</v>
          </cell>
          <cell r="S128">
            <v>17776.36</v>
          </cell>
          <cell r="U128">
            <v>10.500246572640298</v>
          </cell>
          <cell r="V128">
            <v>2.00019725811224</v>
          </cell>
          <cell r="W128">
            <v>1.00009862905612</v>
          </cell>
          <cell r="X128">
            <v>1.2502454349106615</v>
          </cell>
          <cell r="Y128">
            <v>42.750638130767719</v>
          </cell>
          <cell r="Z128">
            <v>1.9928333006086787</v>
          </cell>
          <cell r="AA128">
            <v>29.250539956803458</v>
          </cell>
          <cell r="AB128">
            <v>14.000098173964265</v>
          </cell>
          <cell r="AC128">
            <v>20.000392695857059</v>
          </cell>
          <cell r="AD128">
            <v>34.750539956803458</v>
          </cell>
          <cell r="AE128">
            <v>16.5839387394463</v>
          </cell>
          <cell r="AF128">
            <v>0.5000981739642647</v>
          </cell>
          <cell r="AG128">
            <v>174.57986702293451</v>
          </cell>
          <cell r="AH128">
            <v>14.548322251911209</v>
          </cell>
        </row>
        <row r="129">
          <cell r="B129" t="str">
            <v>BULKY-COM</v>
          </cell>
          <cell r="C129" t="str">
            <v>BULKY ITEM</v>
          </cell>
          <cell r="D129">
            <v>25.8</v>
          </cell>
          <cell r="E129">
            <v>25.92</v>
          </cell>
          <cell r="F129">
            <v>25.81</v>
          </cell>
          <cell r="G129">
            <v>102.04</v>
          </cell>
          <cell r="H129">
            <v>0</v>
          </cell>
          <cell r="I129">
            <v>77.400000000000006</v>
          </cell>
          <cell r="J129">
            <v>25.92</v>
          </cell>
          <cell r="K129">
            <v>171.6</v>
          </cell>
          <cell r="L129">
            <v>0</v>
          </cell>
          <cell r="M129">
            <v>91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154.86000000000001</v>
          </cell>
          <cell r="S129">
            <v>622.82000000000005</v>
          </cell>
          <cell r="U129">
            <v>3.9550387596899226</v>
          </cell>
          <cell r="V129">
            <v>0</v>
          </cell>
          <cell r="W129">
            <v>3</v>
          </cell>
          <cell r="X129">
            <v>1</v>
          </cell>
          <cell r="Y129">
            <v>6.6203703703703694</v>
          </cell>
          <cell r="Z129">
            <v>0</v>
          </cell>
          <cell r="AA129">
            <v>3.5108024691358022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6.0000000000000009</v>
          </cell>
          <cell r="AG129">
            <v>24.086211599196094</v>
          </cell>
          <cell r="AH129">
            <v>2.0071842999330078</v>
          </cell>
        </row>
        <row r="130">
          <cell r="B130" t="str">
            <v>CGATE</v>
          </cell>
          <cell r="C130" t="str">
            <v>GATE OPEN/CLOSE</v>
          </cell>
          <cell r="D130">
            <v>0</v>
          </cell>
          <cell r="E130">
            <v>0</v>
          </cell>
          <cell r="F130">
            <v>0</v>
          </cell>
          <cell r="G130">
            <v>4.72</v>
          </cell>
          <cell r="H130">
            <v>4.72</v>
          </cell>
          <cell r="I130">
            <v>4.72</v>
          </cell>
          <cell r="J130">
            <v>4.72</v>
          </cell>
          <cell r="K130">
            <v>4.72</v>
          </cell>
          <cell r="L130">
            <v>4.72</v>
          </cell>
          <cell r="M130">
            <v>4.72</v>
          </cell>
          <cell r="N130">
            <v>0</v>
          </cell>
          <cell r="O130">
            <v>4.72</v>
          </cell>
          <cell r="P130">
            <v>4.72</v>
          </cell>
          <cell r="Q130">
            <v>0</v>
          </cell>
          <cell r="R130">
            <v>0</v>
          </cell>
          <cell r="S130">
            <v>42.48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</row>
        <row r="131">
          <cell r="B131" t="str">
            <v>CTRIPCAN</v>
          </cell>
          <cell r="C131" t="str">
            <v>RETURN TRIP CHG - CANS</v>
          </cell>
          <cell r="D131">
            <v>8.99</v>
          </cell>
          <cell r="E131">
            <v>9.0299999999999994</v>
          </cell>
          <cell r="F131">
            <v>9.0299999999999994</v>
          </cell>
          <cell r="G131">
            <v>-8.99</v>
          </cell>
          <cell r="H131">
            <v>0</v>
          </cell>
          <cell r="I131">
            <v>-8.9899999999999967</v>
          </cell>
          <cell r="J131">
            <v>-9.3600000000000012</v>
          </cell>
          <cell r="K131">
            <v>9.0299999999999994</v>
          </cell>
          <cell r="L131">
            <v>0</v>
          </cell>
          <cell r="M131">
            <v>0</v>
          </cell>
          <cell r="N131">
            <v>0</v>
          </cell>
          <cell r="O131">
            <v>-9.0299999999999994</v>
          </cell>
          <cell r="P131">
            <v>0</v>
          </cell>
          <cell r="Q131">
            <v>-9.0299999999999994</v>
          </cell>
          <cell r="R131">
            <v>-9.0299999999999994</v>
          </cell>
          <cell r="S131">
            <v>-45.4</v>
          </cell>
          <cell r="U131">
            <v>-1</v>
          </cell>
          <cell r="V131">
            <v>0</v>
          </cell>
          <cell r="W131">
            <v>-0.99999999999999956</v>
          </cell>
          <cell r="X131">
            <v>-1.036544850498339</v>
          </cell>
          <cell r="Y131">
            <v>1</v>
          </cell>
          <cell r="Z131">
            <v>0</v>
          </cell>
          <cell r="AA131">
            <v>0</v>
          </cell>
          <cell r="AB131">
            <v>0</v>
          </cell>
          <cell r="AC131">
            <v>-1</v>
          </cell>
          <cell r="AD131">
            <v>0</v>
          </cell>
          <cell r="AE131">
            <v>-1</v>
          </cell>
          <cell r="AF131">
            <v>-1</v>
          </cell>
          <cell r="AG131">
            <v>-5.0365448504983386</v>
          </cell>
          <cell r="AH131">
            <v>-0.41971207087486156</v>
          </cell>
        </row>
        <row r="132">
          <cell r="B132" t="str">
            <v>RESTART FEE-COM</v>
          </cell>
          <cell r="C132" t="str">
            <v>RESTART FEE</v>
          </cell>
          <cell r="D132">
            <v>11.22</v>
          </cell>
          <cell r="E132">
            <v>11.27</v>
          </cell>
          <cell r="F132">
            <v>11.27</v>
          </cell>
          <cell r="G132">
            <v>201.96</v>
          </cell>
          <cell r="H132">
            <v>179.52</v>
          </cell>
          <cell r="I132">
            <v>123.42</v>
          </cell>
          <cell r="J132">
            <v>247.94</v>
          </cell>
          <cell r="K132">
            <v>180.32</v>
          </cell>
          <cell r="L132">
            <v>247.94</v>
          </cell>
          <cell r="M132">
            <v>146.51</v>
          </cell>
          <cell r="N132">
            <v>202.85999999999999</v>
          </cell>
          <cell r="O132">
            <v>225.4</v>
          </cell>
          <cell r="P132">
            <v>247.94</v>
          </cell>
          <cell r="Q132">
            <v>214.13</v>
          </cell>
          <cell r="R132">
            <v>123.97</v>
          </cell>
          <cell r="S132">
            <v>2341.91</v>
          </cell>
          <cell r="U132">
            <v>18</v>
          </cell>
          <cell r="V132">
            <v>16</v>
          </cell>
          <cell r="W132">
            <v>11</v>
          </cell>
          <cell r="X132">
            <v>22</v>
          </cell>
          <cell r="Y132">
            <v>16</v>
          </cell>
          <cell r="Z132">
            <v>22</v>
          </cell>
          <cell r="AA132">
            <v>13</v>
          </cell>
          <cell r="AB132">
            <v>18</v>
          </cell>
          <cell r="AC132">
            <v>20</v>
          </cell>
          <cell r="AD132">
            <v>22</v>
          </cell>
          <cell r="AE132">
            <v>19</v>
          </cell>
          <cell r="AF132">
            <v>11</v>
          </cell>
          <cell r="AG132">
            <v>208</v>
          </cell>
          <cell r="AH132">
            <v>17.333333333333332</v>
          </cell>
        </row>
        <row r="133">
          <cell r="B133" t="str">
            <v>ADJCOM</v>
          </cell>
          <cell r="C133" t="str">
            <v>SERVICE ADJ-COMMERCIAL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-1.460000000000008</v>
          </cell>
          <cell r="I133">
            <v>-11.46999999999997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-12.929999999999978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</row>
        <row r="135">
          <cell r="C135" t="str">
            <v>TOTAL COMMERCIAL GARBAGE</v>
          </cell>
          <cell r="G135">
            <v>547056.68999999983</v>
          </cell>
          <cell r="H135">
            <v>543583.76000000013</v>
          </cell>
          <cell r="I135">
            <v>542029.25000000023</v>
          </cell>
          <cell r="J135">
            <v>544153.97999999975</v>
          </cell>
          <cell r="K135">
            <v>544492.55500000005</v>
          </cell>
          <cell r="L135">
            <v>537395.21500000008</v>
          </cell>
          <cell r="M135">
            <v>533574.82500000019</v>
          </cell>
          <cell r="N135">
            <v>531372.28000000014</v>
          </cell>
          <cell r="O135">
            <v>531572.11500000011</v>
          </cell>
          <cell r="P135">
            <v>534516.66999999993</v>
          </cell>
          <cell r="Q135">
            <v>537240.30999999994</v>
          </cell>
          <cell r="R135">
            <v>542730.0499999997</v>
          </cell>
          <cell r="S135">
            <v>6469717.7000000011</v>
          </cell>
          <cell r="U135">
            <v>1907.0950637634044</v>
          </cell>
          <cell r="V135">
            <v>1910.0178050045074</v>
          </cell>
          <cell r="W135">
            <v>1913.1004321823316</v>
          </cell>
          <cell r="X135">
            <v>1874.4032901480605</v>
          </cell>
          <cell r="Y135">
            <v>1864.2189885761015</v>
          </cell>
          <cell r="Z135">
            <v>1874.7241162134872</v>
          </cell>
          <cell r="AA135">
            <v>1873.1862081121155</v>
          </cell>
          <cell r="AB135">
            <v>1821.7423069987433</v>
          </cell>
          <cell r="AC135">
            <v>1837.2469730093394</v>
          </cell>
          <cell r="AD135">
            <v>1823.2276128913654</v>
          </cell>
          <cell r="AE135">
            <v>1847.8436012904872</v>
          </cell>
          <cell r="AF135">
            <v>1859.4233241830252</v>
          </cell>
          <cell r="AG135">
            <v>22406.229722372969</v>
          </cell>
          <cell r="AH135">
            <v>1867.1858101977475</v>
          </cell>
        </row>
        <row r="138">
          <cell r="B138" t="str">
            <v>MULTI-FAMILY GARBAGE</v>
          </cell>
        </row>
        <row r="139">
          <cell r="B139" t="str">
            <v>20MW1</v>
          </cell>
          <cell r="C139" t="str">
            <v>MF 1-20 GAL CART</v>
          </cell>
          <cell r="D139">
            <v>18.079999999999998</v>
          </cell>
          <cell r="E139">
            <v>18.16</v>
          </cell>
          <cell r="F139">
            <v>18.079999999999998</v>
          </cell>
          <cell r="G139">
            <v>307.36</v>
          </cell>
          <cell r="H139">
            <v>307.36</v>
          </cell>
          <cell r="I139">
            <v>352.56</v>
          </cell>
          <cell r="J139">
            <v>345.04</v>
          </cell>
          <cell r="K139">
            <v>363.20000000000005</v>
          </cell>
          <cell r="L139">
            <v>385.90000000000003</v>
          </cell>
          <cell r="M139">
            <v>399.52000000000004</v>
          </cell>
          <cell r="N139">
            <v>372.28000000000003</v>
          </cell>
          <cell r="O139">
            <v>367.74</v>
          </cell>
          <cell r="P139">
            <v>411.32</v>
          </cell>
          <cell r="Q139">
            <v>379.68</v>
          </cell>
          <cell r="R139">
            <v>361.59999999999997</v>
          </cell>
          <cell r="S139">
            <v>4353.5600000000004</v>
          </cell>
          <cell r="U139">
            <v>17.000000000000004</v>
          </cell>
          <cell r="V139">
            <v>17.000000000000004</v>
          </cell>
          <cell r="W139">
            <v>19.500000000000004</v>
          </cell>
          <cell r="X139">
            <v>19</v>
          </cell>
          <cell r="Y139">
            <v>20.000000000000004</v>
          </cell>
          <cell r="Z139">
            <v>21.25</v>
          </cell>
          <cell r="AA139">
            <v>22.000000000000004</v>
          </cell>
          <cell r="AB139">
            <v>20.5</v>
          </cell>
          <cell r="AC139">
            <v>20.25</v>
          </cell>
          <cell r="AD139">
            <v>22.75</v>
          </cell>
          <cell r="AE139">
            <v>21.000000000000004</v>
          </cell>
          <cell r="AF139">
            <v>20</v>
          </cell>
          <cell r="AG139">
            <v>240.25000000000003</v>
          </cell>
          <cell r="AH139">
            <v>20.020833333333336</v>
          </cell>
        </row>
        <row r="140">
          <cell r="B140" t="str">
            <v>35MW1</v>
          </cell>
          <cell r="C140" t="str">
            <v>MF 1-35 GAL CART</v>
          </cell>
          <cell r="D140">
            <v>23.02</v>
          </cell>
          <cell r="E140">
            <v>23.13</v>
          </cell>
          <cell r="F140">
            <v>23</v>
          </cell>
          <cell r="G140">
            <v>13012.19</v>
          </cell>
          <cell r="H140">
            <v>12798.56</v>
          </cell>
          <cell r="I140">
            <v>12836.52</v>
          </cell>
          <cell r="J140">
            <v>16208.32</v>
          </cell>
          <cell r="K140">
            <v>16219.810000000001</v>
          </cell>
          <cell r="L140">
            <v>16613.12</v>
          </cell>
          <cell r="M140">
            <v>16867.53</v>
          </cell>
          <cell r="N140">
            <v>18676.850000000002</v>
          </cell>
          <cell r="O140">
            <v>18613.82</v>
          </cell>
          <cell r="P140">
            <v>18509.25</v>
          </cell>
          <cell r="Q140">
            <v>18635.75</v>
          </cell>
          <cell r="R140">
            <v>17675.5</v>
          </cell>
          <cell r="S140">
            <v>196667.22</v>
          </cell>
          <cell r="U140">
            <v>565.25586446568207</v>
          </cell>
          <cell r="V140">
            <v>555.97567332754124</v>
          </cell>
          <cell r="W140">
            <v>557.62467419635107</v>
          </cell>
          <cell r="X140">
            <v>700.74881106787723</v>
          </cell>
          <cell r="Y140">
            <v>701.24556852572425</v>
          </cell>
          <cell r="Z140">
            <v>718.24989191526151</v>
          </cell>
          <cell r="AA140">
            <v>729.24902723735408</v>
          </cell>
          <cell r="AB140">
            <v>807.47297881539134</v>
          </cell>
          <cell r="AC140">
            <v>804.7479463899698</v>
          </cell>
          <cell r="AD140">
            <v>804.75</v>
          </cell>
          <cell r="AE140">
            <v>810.25</v>
          </cell>
          <cell r="AF140">
            <v>768.5</v>
          </cell>
          <cell r="AG140">
            <v>8524.0704359411538</v>
          </cell>
          <cell r="AH140">
            <v>710.33920299509612</v>
          </cell>
        </row>
        <row r="141">
          <cell r="B141" t="str">
            <v>35MW1N</v>
          </cell>
          <cell r="C141" t="str">
            <v>MF 1-35 GAL CART NONREC</v>
          </cell>
          <cell r="D141">
            <v>23.77</v>
          </cell>
          <cell r="E141">
            <v>23.88</v>
          </cell>
          <cell r="F141">
            <v>23.75</v>
          </cell>
          <cell r="G141">
            <v>106.96</v>
          </cell>
          <cell r="H141">
            <v>118.85</v>
          </cell>
          <cell r="I141">
            <v>101.02</v>
          </cell>
          <cell r="J141">
            <v>71.64</v>
          </cell>
          <cell r="K141">
            <v>71.64</v>
          </cell>
          <cell r="L141">
            <v>71.64</v>
          </cell>
          <cell r="M141">
            <v>71.64</v>
          </cell>
          <cell r="N141">
            <v>71.64</v>
          </cell>
          <cell r="O141">
            <v>71.64</v>
          </cell>
          <cell r="P141">
            <v>71.25</v>
          </cell>
          <cell r="Q141">
            <v>71.25</v>
          </cell>
          <cell r="R141">
            <v>71.25</v>
          </cell>
          <cell r="S141">
            <v>970.42</v>
          </cell>
          <cell r="U141">
            <v>4.4997896508203619</v>
          </cell>
          <cell r="V141">
            <v>5</v>
          </cell>
          <cell r="W141">
            <v>4.2498948254101805</v>
          </cell>
          <cell r="X141">
            <v>3</v>
          </cell>
          <cell r="Y141">
            <v>3</v>
          </cell>
          <cell r="Z141">
            <v>3</v>
          </cell>
          <cell r="AA141">
            <v>3</v>
          </cell>
          <cell r="AB141">
            <v>3</v>
          </cell>
          <cell r="AC141">
            <v>3</v>
          </cell>
          <cell r="AD141">
            <v>3</v>
          </cell>
          <cell r="AE141">
            <v>3</v>
          </cell>
          <cell r="AF141">
            <v>3</v>
          </cell>
          <cell r="AG141">
            <v>40.749684476230541</v>
          </cell>
          <cell r="AH141">
            <v>3.3958070396858786</v>
          </cell>
        </row>
        <row r="142">
          <cell r="B142" t="str">
            <v>65MW1</v>
          </cell>
          <cell r="C142" t="str">
            <v>MF 1-65 GAL CART</v>
          </cell>
          <cell r="D142">
            <v>35.96</v>
          </cell>
          <cell r="E142">
            <v>36.130000000000003</v>
          </cell>
          <cell r="F142">
            <v>35.950000000000003</v>
          </cell>
          <cell r="G142">
            <v>11902.76</v>
          </cell>
          <cell r="H142">
            <v>12127.51</v>
          </cell>
          <cell r="I142">
            <v>12262.36</v>
          </cell>
          <cell r="J142">
            <v>13006.800000000001</v>
          </cell>
          <cell r="K142">
            <v>13142.264999999999</v>
          </cell>
          <cell r="L142">
            <v>13205.514999999999</v>
          </cell>
          <cell r="M142">
            <v>13399.684999999999</v>
          </cell>
          <cell r="N142">
            <v>14406.835000000001</v>
          </cell>
          <cell r="O142">
            <v>14731.949999999999</v>
          </cell>
          <cell r="P142">
            <v>14833.460000000001</v>
          </cell>
          <cell r="Q142">
            <v>15072.02</v>
          </cell>
          <cell r="R142">
            <v>14766.42</v>
          </cell>
          <cell r="S142">
            <v>162857.58000000002</v>
          </cell>
          <cell r="U142">
            <v>331</v>
          </cell>
          <cell r="V142">
            <v>337.25</v>
          </cell>
          <cell r="W142">
            <v>341</v>
          </cell>
          <cell r="X142">
            <v>360</v>
          </cell>
          <cell r="Y142">
            <v>363.74937724882363</v>
          </cell>
          <cell r="Z142">
            <v>365.49999999999994</v>
          </cell>
          <cell r="AA142">
            <v>370.87420426238577</v>
          </cell>
          <cell r="AB142">
            <v>398.74993080542487</v>
          </cell>
          <cell r="AC142">
            <v>407.74840852477161</v>
          </cell>
          <cell r="AD142">
            <v>412.6136300417246</v>
          </cell>
          <cell r="AE142">
            <v>419.24951321279553</v>
          </cell>
          <cell r="AF142">
            <v>410.74881780250342</v>
          </cell>
          <cell r="AG142">
            <v>4518.483881898429</v>
          </cell>
          <cell r="AH142">
            <v>376.54032349153573</v>
          </cell>
        </row>
        <row r="143">
          <cell r="B143" t="str">
            <v>65MW1N</v>
          </cell>
          <cell r="C143" t="str">
            <v>MF 1-65 GAL CART NONREC</v>
          </cell>
          <cell r="D143">
            <v>36.71</v>
          </cell>
          <cell r="E143">
            <v>36.880000000000003</v>
          </cell>
          <cell r="F143">
            <v>36.700000000000003</v>
          </cell>
          <cell r="G143">
            <v>36.71</v>
          </cell>
          <cell r="H143">
            <v>36.71</v>
          </cell>
          <cell r="I143">
            <v>36.71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110.13</v>
          </cell>
          <cell r="U143">
            <v>1</v>
          </cell>
          <cell r="V143">
            <v>1</v>
          </cell>
          <cell r="W143">
            <v>1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3</v>
          </cell>
          <cell r="AH143">
            <v>0.25</v>
          </cell>
        </row>
        <row r="144">
          <cell r="B144" t="str">
            <v>95MW1</v>
          </cell>
          <cell r="C144" t="str">
            <v>MF 1-95 GAL CART</v>
          </cell>
          <cell r="D144">
            <v>52.94</v>
          </cell>
          <cell r="E144">
            <v>53.19</v>
          </cell>
          <cell r="F144">
            <v>52.93</v>
          </cell>
          <cell r="G144">
            <v>14240.84</v>
          </cell>
          <cell r="H144">
            <v>14082.01</v>
          </cell>
          <cell r="I144">
            <v>14227.61</v>
          </cell>
          <cell r="J144">
            <v>14680.41</v>
          </cell>
          <cell r="K144">
            <v>15119.210000000001</v>
          </cell>
          <cell r="L144">
            <v>15584.655000000001</v>
          </cell>
          <cell r="M144">
            <v>15770.834999999999</v>
          </cell>
          <cell r="N144">
            <v>15837.305</v>
          </cell>
          <cell r="O144">
            <v>15810.725</v>
          </cell>
          <cell r="P144">
            <v>16315.245000000001</v>
          </cell>
          <cell r="Q144">
            <v>16659.244999999999</v>
          </cell>
          <cell r="R144">
            <v>17215.45</v>
          </cell>
          <cell r="S144">
            <v>185543.54</v>
          </cell>
          <cell r="U144">
            <v>268.99962221382697</v>
          </cell>
          <cell r="V144">
            <v>265.99943332074048</v>
          </cell>
          <cell r="W144">
            <v>268.74971666037027</v>
          </cell>
          <cell r="X144">
            <v>275.99943598420759</v>
          </cell>
          <cell r="Y144">
            <v>284.24910697499536</v>
          </cell>
          <cell r="Z144">
            <v>292.9997179921038</v>
          </cell>
          <cell r="AA144">
            <v>296.5</v>
          </cell>
          <cell r="AB144">
            <v>297.74967099078776</v>
          </cell>
          <cell r="AC144">
            <v>297.24995299868397</v>
          </cell>
          <cell r="AD144">
            <v>308.24192329491785</v>
          </cell>
          <cell r="AE144">
            <v>314.74107311543548</v>
          </cell>
          <cell r="AF144">
            <v>325.24938598148498</v>
          </cell>
          <cell r="AG144">
            <v>3496.7290395275545</v>
          </cell>
          <cell r="AH144">
            <v>291.39408662729619</v>
          </cell>
        </row>
        <row r="145">
          <cell r="B145" t="str">
            <v>95MW1N</v>
          </cell>
          <cell r="C145" t="str">
            <v>MF 1-95 GAL CART NONREC</v>
          </cell>
          <cell r="D145">
            <v>53.69</v>
          </cell>
          <cell r="E145">
            <v>53.94</v>
          </cell>
          <cell r="F145">
            <v>53.68</v>
          </cell>
          <cell r="G145">
            <v>161.07</v>
          </cell>
          <cell r="H145">
            <v>161.07</v>
          </cell>
          <cell r="I145">
            <v>161.07</v>
          </cell>
          <cell r="J145">
            <v>161.82</v>
          </cell>
          <cell r="K145">
            <v>161.82</v>
          </cell>
          <cell r="L145">
            <v>161.82</v>
          </cell>
          <cell r="M145">
            <v>161.82</v>
          </cell>
          <cell r="N145">
            <v>161.82</v>
          </cell>
          <cell r="O145">
            <v>161.82</v>
          </cell>
          <cell r="P145">
            <v>53.68</v>
          </cell>
          <cell r="Q145">
            <v>53.68</v>
          </cell>
          <cell r="R145">
            <v>80.52</v>
          </cell>
          <cell r="S145">
            <v>1642.0099999999998</v>
          </cell>
          <cell r="U145">
            <v>3</v>
          </cell>
          <cell r="V145">
            <v>3</v>
          </cell>
          <cell r="W145">
            <v>3</v>
          </cell>
          <cell r="X145">
            <v>3</v>
          </cell>
          <cell r="Y145">
            <v>3</v>
          </cell>
          <cell r="Z145">
            <v>3</v>
          </cell>
          <cell r="AA145">
            <v>3</v>
          </cell>
          <cell r="AB145">
            <v>3</v>
          </cell>
          <cell r="AC145">
            <v>3</v>
          </cell>
          <cell r="AD145">
            <v>1</v>
          </cell>
          <cell r="AE145">
            <v>1</v>
          </cell>
          <cell r="AF145">
            <v>1.5</v>
          </cell>
          <cell r="AG145">
            <v>30.5</v>
          </cell>
          <cell r="AH145">
            <v>2.5416666666666665</v>
          </cell>
        </row>
        <row r="146">
          <cell r="B146" t="str">
            <v>MCCWR35</v>
          </cell>
          <cell r="C146" t="str">
            <v>MF 1-35 GL CART COUNT</v>
          </cell>
          <cell r="D146">
            <v>4.8600000000000003</v>
          </cell>
          <cell r="E146">
            <v>4.88</v>
          </cell>
          <cell r="F146">
            <v>4.8499999999999996</v>
          </cell>
          <cell r="G146">
            <v>22953.78</v>
          </cell>
          <cell r="H146">
            <v>20752.2</v>
          </cell>
          <cell r="I146">
            <v>23041.26</v>
          </cell>
          <cell r="J146">
            <v>21178.440000000002</v>
          </cell>
          <cell r="K146">
            <v>20374</v>
          </cell>
          <cell r="L146">
            <v>23619.200000000001</v>
          </cell>
          <cell r="M146">
            <v>17670.48</v>
          </cell>
          <cell r="N146">
            <v>18436.64</v>
          </cell>
          <cell r="O146">
            <v>18519.600000000002</v>
          </cell>
          <cell r="P146">
            <v>21113.97</v>
          </cell>
          <cell r="Q146">
            <v>18677.350000000002</v>
          </cell>
          <cell r="R146">
            <v>17949.850000000002</v>
          </cell>
          <cell r="S146">
            <v>244286.77000000002</v>
          </cell>
          <cell r="U146">
            <v>4722.9999999999991</v>
          </cell>
          <cell r="V146">
            <v>4270</v>
          </cell>
          <cell r="W146">
            <v>4740.9999999999991</v>
          </cell>
          <cell r="X146">
            <v>4339.8442622950824</v>
          </cell>
          <cell r="Y146">
            <v>4175</v>
          </cell>
          <cell r="Z146">
            <v>4840</v>
          </cell>
          <cell r="AA146">
            <v>3621</v>
          </cell>
          <cell r="AB146">
            <v>3778</v>
          </cell>
          <cell r="AC146">
            <v>3795.0000000000005</v>
          </cell>
          <cell r="AD146">
            <v>4353.3958762886605</v>
          </cell>
          <cell r="AE146">
            <v>3851.0000000000009</v>
          </cell>
          <cell r="AF146">
            <v>3701.0000000000009</v>
          </cell>
          <cell r="AG146">
            <v>50188.240138583744</v>
          </cell>
          <cell r="AH146">
            <v>4182.353344881979</v>
          </cell>
        </row>
        <row r="147">
          <cell r="B147" t="str">
            <v>MCCWR65</v>
          </cell>
          <cell r="C147" t="str">
            <v>MF 1-65 GL CART COUNT</v>
          </cell>
          <cell r="D147">
            <v>7.2</v>
          </cell>
          <cell r="E147">
            <v>7.23</v>
          </cell>
          <cell r="F147">
            <v>7.19</v>
          </cell>
          <cell r="G147">
            <v>813.6</v>
          </cell>
          <cell r="H147">
            <v>691.2</v>
          </cell>
          <cell r="I147">
            <v>1000.8</v>
          </cell>
          <cell r="J147">
            <v>816.96</v>
          </cell>
          <cell r="K147">
            <v>802.53</v>
          </cell>
          <cell r="L147">
            <v>1004.97</v>
          </cell>
          <cell r="M147">
            <v>807.41</v>
          </cell>
          <cell r="N147">
            <v>520.55999999999995</v>
          </cell>
          <cell r="O147">
            <v>520.55999999999995</v>
          </cell>
          <cell r="P147">
            <v>524.91</v>
          </cell>
          <cell r="Q147">
            <v>402.64</v>
          </cell>
          <cell r="R147">
            <v>64.709999999999994</v>
          </cell>
          <cell r="S147">
            <v>7970.85</v>
          </cell>
          <cell r="U147">
            <v>113</v>
          </cell>
          <cell r="V147">
            <v>96</v>
          </cell>
          <cell r="W147">
            <v>139</v>
          </cell>
          <cell r="X147">
            <v>112.99585062240664</v>
          </cell>
          <cell r="Y147">
            <v>110.99999999999999</v>
          </cell>
          <cell r="Z147">
            <v>139</v>
          </cell>
          <cell r="AA147">
            <v>111.67496542185337</v>
          </cell>
          <cell r="AB147">
            <v>71.999999999999986</v>
          </cell>
          <cell r="AC147">
            <v>71.999999999999986</v>
          </cell>
          <cell r="AD147">
            <v>73.005563282336567</v>
          </cell>
          <cell r="AE147">
            <v>55.999999999999993</v>
          </cell>
          <cell r="AF147">
            <v>8.9999999999999982</v>
          </cell>
          <cell r="AG147">
            <v>1104.6763793265966</v>
          </cell>
          <cell r="AH147">
            <v>92.056364943883054</v>
          </cell>
        </row>
        <row r="148">
          <cell r="B148" t="str">
            <v>65MOCPU</v>
          </cell>
          <cell r="C148" t="str">
            <v>MF 1-65 GAL CART ON CALL</v>
          </cell>
          <cell r="D148">
            <v>29.55</v>
          </cell>
          <cell r="E148">
            <v>26.69</v>
          </cell>
          <cell r="F148">
            <v>26.65</v>
          </cell>
          <cell r="G148">
            <v>0</v>
          </cell>
          <cell r="H148">
            <v>0</v>
          </cell>
          <cell r="I148">
            <v>20.88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20.88</v>
          </cell>
          <cell r="U148">
            <v>0</v>
          </cell>
          <cell r="V148">
            <v>0</v>
          </cell>
          <cell r="W148">
            <v>0.70659898477157357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0.70659898477157357</v>
          </cell>
          <cell r="AH148">
            <v>5.8883248730964462E-2</v>
          </cell>
        </row>
        <row r="149">
          <cell r="B149" t="str">
            <v>MSRTOT</v>
          </cell>
          <cell r="C149" t="str">
            <v>MF TOTER SERVICE</v>
          </cell>
          <cell r="D149">
            <v>7.47</v>
          </cell>
          <cell r="E149">
            <v>7.5</v>
          </cell>
          <cell r="F149">
            <v>7.5</v>
          </cell>
          <cell r="G149">
            <v>1018.4</v>
          </cell>
          <cell r="H149">
            <v>1018.4</v>
          </cell>
          <cell r="I149">
            <v>1018.4</v>
          </cell>
          <cell r="J149">
            <v>1018.4</v>
          </cell>
          <cell r="K149">
            <v>1018.4</v>
          </cell>
          <cell r="L149">
            <v>1018.4</v>
          </cell>
          <cell r="M149">
            <v>1023.34</v>
          </cell>
          <cell r="N149">
            <v>1023.6</v>
          </cell>
          <cell r="O149">
            <v>1023.6</v>
          </cell>
          <cell r="P149">
            <v>1023.6</v>
          </cell>
          <cell r="Q149">
            <v>1023.59</v>
          </cell>
          <cell r="R149">
            <v>1023.6</v>
          </cell>
          <cell r="S149">
            <v>12251.730000000001</v>
          </cell>
          <cell r="U149">
            <v>136.33199464524765</v>
          </cell>
          <cell r="V149">
            <v>136.33199464524765</v>
          </cell>
          <cell r="W149">
            <v>136.33199464524765</v>
          </cell>
          <cell r="X149">
            <v>135.78666666666666</v>
          </cell>
          <cell r="Y149">
            <v>135.78666666666666</v>
          </cell>
          <cell r="Z149">
            <v>135.78666666666666</v>
          </cell>
          <cell r="AA149">
            <v>136.44533333333334</v>
          </cell>
          <cell r="AB149">
            <v>136.47999999999999</v>
          </cell>
          <cell r="AC149">
            <v>136.47999999999999</v>
          </cell>
          <cell r="AD149">
            <v>136.47999999999999</v>
          </cell>
          <cell r="AE149">
            <v>136.47866666666667</v>
          </cell>
          <cell r="AF149">
            <v>136.47999999999999</v>
          </cell>
          <cell r="AG149">
            <v>1635.1999839357429</v>
          </cell>
          <cell r="AH149">
            <v>136.26666532797859</v>
          </cell>
        </row>
        <row r="150">
          <cell r="B150" t="str">
            <v>M1YD1W</v>
          </cell>
          <cell r="C150" t="str">
            <v>MF 1YD CONT 1X WKLY</v>
          </cell>
          <cell r="D150">
            <v>123.28</v>
          </cell>
          <cell r="E150">
            <v>123.85</v>
          </cell>
          <cell r="F150">
            <v>123.19</v>
          </cell>
          <cell r="G150">
            <v>38370.9</v>
          </cell>
          <cell r="H150">
            <v>37415.479999999996</v>
          </cell>
          <cell r="I150">
            <v>39022.819999999992</v>
          </cell>
          <cell r="J150">
            <v>38210.189999999995</v>
          </cell>
          <cell r="K150">
            <v>38207.68</v>
          </cell>
          <cell r="L150">
            <v>37402.65</v>
          </cell>
          <cell r="M150">
            <v>37587.259999999995</v>
          </cell>
          <cell r="N150">
            <v>37340.789999999994</v>
          </cell>
          <cell r="O150">
            <v>37867.159999999996</v>
          </cell>
          <cell r="P150">
            <v>37703.17</v>
          </cell>
          <cell r="Q150">
            <v>37390.479999999996</v>
          </cell>
          <cell r="R150">
            <v>37883.26</v>
          </cell>
          <cell r="S150">
            <v>454401.83999999991</v>
          </cell>
          <cell r="U150">
            <v>311.25</v>
          </cell>
          <cell r="V150">
            <v>303.49999999999994</v>
          </cell>
          <cell r="W150">
            <v>316.53812459441912</v>
          </cell>
          <cell r="X150">
            <v>308.51990310859907</v>
          </cell>
          <cell r="Y150">
            <v>308.4996366572467</v>
          </cell>
          <cell r="Z150">
            <v>301.99959628582968</v>
          </cell>
          <cell r="AA150">
            <v>303.49018974566002</v>
          </cell>
          <cell r="AB150">
            <v>301.50012111425104</v>
          </cell>
          <cell r="AC150">
            <v>305.75018167137665</v>
          </cell>
          <cell r="AD150">
            <v>306.0570663203182</v>
          </cell>
          <cell r="AE150">
            <v>303.51879210974914</v>
          </cell>
          <cell r="AF150">
            <v>307.51895446058933</v>
          </cell>
          <cell r="AG150">
            <v>3678.1425660680393</v>
          </cell>
          <cell r="AH150">
            <v>306.51188050566992</v>
          </cell>
        </row>
        <row r="151">
          <cell r="B151" t="str">
            <v>M1YDTPU</v>
          </cell>
          <cell r="C151" t="str">
            <v>MF 1YD TEMP CONT</v>
          </cell>
          <cell r="D151">
            <v>30.64</v>
          </cell>
          <cell r="E151">
            <v>30.78</v>
          </cell>
          <cell r="F151">
            <v>30.63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132.63</v>
          </cell>
          <cell r="Q151">
            <v>0</v>
          </cell>
          <cell r="R151">
            <v>0</v>
          </cell>
          <cell r="S151">
            <v>132.63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4.3300685602350635</v>
          </cell>
          <cell r="AE151">
            <v>0</v>
          </cell>
          <cell r="AF151">
            <v>0</v>
          </cell>
          <cell r="AG151">
            <v>4.3300685602350635</v>
          </cell>
          <cell r="AH151">
            <v>0.36083904668625527</v>
          </cell>
        </row>
        <row r="152">
          <cell r="B152" t="str">
            <v>M1.5YD1W</v>
          </cell>
          <cell r="C152" t="str">
            <v>MF 1.5YD CONT 1X WKLY</v>
          </cell>
          <cell r="D152">
            <v>172.94</v>
          </cell>
          <cell r="E152">
            <v>173.75</v>
          </cell>
          <cell r="F152">
            <v>172.81</v>
          </cell>
          <cell r="G152">
            <v>12149.029999999999</v>
          </cell>
          <cell r="H152">
            <v>12149.029999999999</v>
          </cell>
          <cell r="I152">
            <v>12371.8</v>
          </cell>
          <cell r="J152">
            <v>12640.31</v>
          </cell>
          <cell r="K152">
            <v>12683.75</v>
          </cell>
          <cell r="L152">
            <v>12509.99</v>
          </cell>
          <cell r="M152">
            <v>12510</v>
          </cell>
          <cell r="N152">
            <v>12466.56</v>
          </cell>
          <cell r="O152">
            <v>12466.56</v>
          </cell>
          <cell r="P152">
            <v>12312.7</v>
          </cell>
          <cell r="Q152">
            <v>12269.51</v>
          </cell>
          <cell r="R152">
            <v>12442.32</v>
          </cell>
          <cell r="S152">
            <v>148971.56</v>
          </cell>
          <cell r="U152">
            <v>70.249971088238695</v>
          </cell>
          <cell r="V152">
            <v>70.249971088238695</v>
          </cell>
          <cell r="W152">
            <v>71.538105701399331</v>
          </cell>
          <cell r="X152">
            <v>72.749985611510795</v>
          </cell>
          <cell r="Y152">
            <v>73</v>
          </cell>
          <cell r="Z152">
            <v>71.999942446043164</v>
          </cell>
          <cell r="AA152">
            <v>72</v>
          </cell>
          <cell r="AB152">
            <v>71.749985611510795</v>
          </cell>
          <cell r="AC152">
            <v>71.749985611510795</v>
          </cell>
          <cell r="AD152">
            <v>71.249927666223016</v>
          </cell>
          <cell r="AE152">
            <v>71</v>
          </cell>
          <cell r="AF152">
            <v>72</v>
          </cell>
          <cell r="AG152">
            <v>859.53787482467521</v>
          </cell>
          <cell r="AH152">
            <v>71.628156235389596</v>
          </cell>
        </row>
        <row r="153">
          <cell r="B153" t="str">
            <v>M1.5YD2W</v>
          </cell>
          <cell r="C153" t="str">
            <v>MF 1.5YD CONT 2X WKLY</v>
          </cell>
          <cell r="D153">
            <v>345.88</v>
          </cell>
          <cell r="E153">
            <v>347.5</v>
          </cell>
          <cell r="F153">
            <v>345.62</v>
          </cell>
          <cell r="G153">
            <v>1037.6400000000001</v>
          </cell>
          <cell r="H153">
            <v>1037.6400000000001</v>
          </cell>
          <cell r="I153">
            <v>1037.6400000000001</v>
          </cell>
          <cell r="J153">
            <v>1042.5</v>
          </cell>
          <cell r="K153">
            <v>1042.5</v>
          </cell>
          <cell r="L153">
            <v>1042.5</v>
          </cell>
          <cell r="M153">
            <v>1042.5</v>
          </cell>
          <cell r="N153">
            <v>1042.5</v>
          </cell>
          <cell r="O153">
            <v>1042.5</v>
          </cell>
          <cell r="P153">
            <v>1036.8599999999999</v>
          </cell>
          <cell r="Q153">
            <v>1036.8599999999999</v>
          </cell>
          <cell r="R153">
            <v>1036.8599999999999</v>
          </cell>
          <cell r="S153">
            <v>12478.500000000002</v>
          </cell>
          <cell r="U153">
            <v>3.0000000000000004</v>
          </cell>
          <cell r="V153">
            <v>3.0000000000000004</v>
          </cell>
          <cell r="W153">
            <v>3.0000000000000004</v>
          </cell>
          <cell r="X153">
            <v>3</v>
          </cell>
          <cell r="Y153">
            <v>3</v>
          </cell>
          <cell r="Z153">
            <v>3</v>
          </cell>
          <cell r="AA153">
            <v>3</v>
          </cell>
          <cell r="AB153">
            <v>3</v>
          </cell>
          <cell r="AC153">
            <v>3</v>
          </cell>
          <cell r="AD153">
            <v>2.9999999999999996</v>
          </cell>
          <cell r="AE153">
            <v>2.9999999999999996</v>
          </cell>
          <cell r="AF153">
            <v>2.9999999999999996</v>
          </cell>
          <cell r="AG153">
            <v>36</v>
          </cell>
          <cell r="AH153">
            <v>3</v>
          </cell>
        </row>
        <row r="154">
          <cell r="B154" t="str">
            <v>M1.5YDTPU</v>
          </cell>
          <cell r="C154" t="str">
            <v>MF 1.5YD TEMP CONT</v>
          </cell>
          <cell r="D154">
            <v>42.13</v>
          </cell>
          <cell r="E154">
            <v>42.33</v>
          </cell>
          <cell r="F154">
            <v>42.11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45.58</v>
          </cell>
          <cell r="S154">
            <v>45.58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1.0824032296366659</v>
          </cell>
          <cell r="AG154">
            <v>1.0824032296366659</v>
          </cell>
          <cell r="AH154">
            <v>9.020026913638883E-2</v>
          </cell>
        </row>
        <row r="155">
          <cell r="B155" t="str">
            <v>M2YD1W</v>
          </cell>
          <cell r="C155" t="str">
            <v>MF 2YD CONT 1X WKLY</v>
          </cell>
          <cell r="D155">
            <v>218.32</v>
          </cell>
          <cell r="E155">
            <v>219.34</v>
          </cell>
          <cell r="F155">
            <v>218.15</v>
          </cell>
          <cell r="G155">
            <v>30237.32</v>
          </cell>
          <cell r="H155">
            <v>31328.92</v>
          </cell>
          <cell r="I155">
            <v>31929.3</v>
          </cell>
          <cell r="J155">
            <v>32960.019999999997</v>
          </cell>
          <cell r="K155">
            <v>33614.36</v>
          </cell>
          <cell r="L155">
            <v>33848.379999999997</v>
          </cell>
          <cell r="M155">
            <v>34436.379999999997</v>
          </cell>
          <cell r="N155">
            <v>34381.54</v>
          </cell>
          <cell r="O155">
            <v>33778.36</v>
          </cell>
          <cell r="P155">
            <v>33918.44000000001</v>
          </cell>
          <cell r="Q155">
            <v>33594.99</v>
          </cell>
          <cell r="R155">
            <v>33649.61</v>
          </cell>
          <cell r="S155">
            <v>397677.61999999994</v>
          </cell>
          <cell r="U155">
            <v>138.5</v>
          </cell>
          <cell r="V155">
            <v>143.5</v>
          </cell>
          <cell r="W155">
            <v>146.25</v>
          </cell>
          <cell r="X155">
            <v>150.26907996717424</v>
          </cell>
          <cell r="Y155">
            <v>153.25230236163034</v>
          </cell>
          <cell r="Z155">
            <v>154.31923041852829</v>
          </cell>
          <cell r="AA155">
            <v>156.99999999999997</v>
          </cell>
          <cell r="AB155">
            <v>156.7499772043403</v>
          </cell>
          <cell r="AC155">
            <v>154</v>
          </cell>
          <cell r="AD155">
            <v>155.48219115287651</v>
          </cell>
          <cell r="AE155">
            <v>153.99949575979829</v>
          </cell>
          <cell r="AF155">
            <v>154.24987393994957</v>
          </cell>
          <cell r="AG155">
            <v>1817.5721508042973</v>
          </cell>
          <cell r="AH155">
            <v>151.4643459003581</v>
          </cell>
        </row>
        <row r="156">
          <cell r="B156" t="str">
            <v>M2YD2W</v>
          </cell>
          <cell r="C156" t="str">
            <v>MF 2YD CONT 2X WKLY</v>
          </cell>
          <cell r="D156">
            <v>436.64</v>
          </cell>
          <cell r="E156">
            <v>438.68</v>
          </cell>
          <cell r="F156">
            <v>436.29</v>
          </cell>
          <cell r="G156">
            <v>7422.88</v>
          </cell>
          <cell r="H156">
            <v>6877.08</v>
          </cell>
          <cell r="I156">
            <v>6877.08</v>
          </cell>
          <cell r="J156">
            <v>6580.2000000000007</v>
          </cell>
          <cell r="K156">
            <v>5594.7000000000007</v>
          </cell>
          <cell r="L156">
            <v>5044.82</v>
          </cell>
          <cell r="M156">
            <v>5154.49</v>
          </cell>
          <cell r="N156">
            <v>4715.8099999999995</v>
          </cell>
          <cell r="O156">
            <v>4496.47</v>
          </cell>
          <cell r="P156">
            <v>4362.9000000000005</v>
          </cell>
          <cell r="Q156">
            <v>5344.53</v>
          </cell>
          <cell r="R156">
            <v>5889.9</v>
          </cell>
          <cell r="S156">
            <v>68360.86</v>
          </cell>
          <cell r="U156">
            <v>17</v>
          </cell>
          <cell r="V156">
            <v>15.75</v>
          </cell>
          <cell r="W156">
            <v>15.75</v>
          </cell>
          <cell r="X156">
            <v>15.000000000000002</v>
          </cell>
          <cell r="Y156">
            <v>12.75348773593508</v>
          </cell>
          <cell r="Z156">
            <v>11.5</v>
          </cell>
          <cell r="AA156">
            <v>11.75</v>
          </cell>
          <cell r="AB156">
            <v>10.749999999999998</v>
          </cell>
          <cell r="AC156">
            <v>10.25</v>
          </cell>
          <cell r="AD156">
            <v>10</v>
          </cell>
          <cell r="AE156">
            <v>12.249948428797358</v>
          </cell>
          <cell r="AF156">
            <v>13.499965619198239</v>
          </cell>
          <cell r="AG156">
            <v>156.25340178393068</v>
          </cell>
          <cell r="AH156">
            <v>13.021116815327558</v>
          </cell>
        </row>
        <row r="157">
          <cell r="B157" t="str">
            <v>M2YD3W</v>
          </cell>
          <cell r="C157" t="str">
            <v>MF 2YD CONT 3X WKLY</v>
          </cell>
          <cell r="D157">
            <v>654.96</v>
          </cell>
          <cell r="E157">
            <v>658.02</v>
          </cell>
          <cell r="F157">
            <v>654.44000000000005</v>
          </cell>
          <cell r="G157">
            <v>654.96</v>
          </cell>
          <cell r="H157">
            <v>654.96</v>
          </cell>
          <cell r="I157">
            <v>654.96</v>
          </cell>
          <cell r="J157">
            <v>658.02</v>
          </cell>
          <cell r="K157">
            <v>1645.05</v>
          </cell>
          <cell r="L157">
            <v>2632.08</v>
          </cell>
          <cell r="M157">
            <v>2632.08</v>
          </cell>
          <cell r="N157">
            <v>2138.5500000000002</v>
          </cell>
          <cell r="O157">
            <v>1316.04</v>
          </cell>
          <cell r="P157">
            <v>1308.8800000000001</v>
          </cell>
          <cell r="Q157">
            <v>1308.8800000000001</v>
          </cell>
          <cell r="R157">
            <v>1308.8800000000001</v>
          </cell>
          <cell r="S157">
            <v>16913.340000000004</v>
          </cell>
          <cell r="U157">
            <v>1</v>
          </cell>
          <cell r="V157">
            <v>1</v>
          </cell>
          <cell r="W157">
            <v>1</v>
          </cell>
          <cell r="X157">
            <v>1</v>
          </cell>
          <cell r="Y157">
            <v>2.5</v>
          </cell>
          <cell r="Z157">
            <v>4</v>
          </cell>
          <cell r="AA157">
            <v>4</v>
          </cell>
          <cell r="AB157">
            <v>3.2499772043402939</v>
          </cell>
          <cell r="AC157">
            <v>2</v>
          </cell>
          <cell r="AD157">
            <v>2</v>
          </cell>
          <cell r="AE157">
            <v>2</v>
          </cell>
          <cell r="AF157">
            <v>2</v>
          </cell>
          <cell r="AG157">
            <v>25.749977204340293</v>
          </cell>
          <cell r="AH157">
            <v>2.1458314336950246</v>
          </cell>
        </row>
        <row r="158">
          <cell r="B158" t="str">
            <v>M2YD4W</v>
          </cell>
          <cell r="C158" t="str">
            <v>MF 2YD CONT 4X WKLY</v>
          </cell>
          <cell r="D158">
            <v>0</v>
          </cell>
          <cell r="E158">
            <v>877.36</v>
          </cell>
          <cell r="F158">
            <v>872.58</v>
          </cell>
          <cell r="G158">
            <v>1746.54</v>
          </cell>
          <cell r="H158">
            <v>1746.54</v>
          </cell>
          <cell r="I158">
            <v>2619.81</v>
          </cell>
          <cell r="J158">
            <v>2632.08</v>
          </cell>
          <cell r="K158">
            <v>2632.08</v>
          </cell>
          <cell r="L158">
            <v>2632.08</v>
          </cell>
          <cell r="M158">
            <v>2193.4</v>
          </cell>
          <cell r="N158">
            <v>1754.72</v>
          </cell>
          <cell r="O158">
            <v>1754.72</v>
          </cell>
          <cell r="P158">
            <v>1745.16</v>
          </cell>
          <cell r="Q158">
            <v>1745.16</v>
          </cell>
          <cell r="R158">
            <v>1745.16</v>
          </cell>
          <cell r="S158">
            <v>24947.45</v>
          </cell>
          <cell r="U158">
            <v>0</v>
          </cell>
          <cell r="V158">
            <v>0</v>
          </cell>
          <cell r="W158">
            <v>0</v>
          </cell>
          <cell r="X158">
            <v>3</v>
          </cell>
          <cell r="Y158">
            <v>3</v>
          </cell>
          <cell r="Z158">
            <v>3</v>
          </cell>
          <cell r="AA158">
            <v>2.5</v>
          </cell>
          <cell r="AB158">
            <v>2</v>
          </cell>
          <cell r="AC158">
            <v>2</v>
          </cell>
          <cell r="AD158">
            <v>2</v>
          </cell>
          <cell r="AE158">
            <v>2</v>
          </cell>
          <cell r="AF158">
            <v>2</v>
          </cell>
          <cell r="AG158">
            <v>21.5</v>
          </cell>
          <cell r="AH158">
            <v>1.7916666666666667</v>
          </cell>
        </row>
        <row r="159">
          <cell r="B159" t="str">
            <v>M2YDTPU</v>
          </cell>
          <cell r="C159" t="str">
            <v>MF 2YD TEMP CONT</v>
          </cell>
          <cell r="D159">
            <v>52.6</v>
          </cell>
          <cell r="E159">
            <v>52.85</v>
          </cell>
          <cell r="F159">
            <v>52.57</v>
          </cell>
          <cell r="G159">
            <v>455.52</v>
          </cell>
          <cell r="H159">
            <v>0</v>
          </cell>
          <cell r="I159">
            <v>0</v>
          </cell>
          <cell r="J159">
            <v>57.2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171.61</v>
          </cell>
          <cell r="P159">
            <v>512.73</v>
          </cell>
          <cell r="Q159">
            <v>796.67000000000007</v>
          </cell>
          <cell r="R159">
            <v>1024.29</v>
          </cell>
          <cell r="S159">
            <v>3018.02</v>
          </cell>
          <cell r="U159">
            <v>8.6600760456273758</v>
          </cell>
          <cell r="V159">
            <v>0</v>
          </cell>
          <cell r="W159">
            <v>0</v>
          </cell>
          <cell r="X159">
            <v>1.0823084200567645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3.2471144749290448</v>
          </cell>
          <cell r="AD159">
            <v>9.7532813391668256</v>
          </cell>
          <cell r="AE159">
            <v>15.15446071904128</v>
          </cell>
          <cell r="AF159">
            <v>19.484306638767357</v>
          </cell>
          <cell r="AG159">
            <v>57.381547637588646</v>
          </cell>
          <cell r="AH159">
            <v>4.7817956364657208</v>
          </cell>
        </row>
        <row r="160">
          <cell r="B160" t="str">
            <v>M4YD1W</v>
          </cell>
          <cell r="C160" t="str">
            <v>MF 4YD CONT 1X WKLY</v>
          </cell>
          <cell r="D160">
            <v>415.03</v>
          </cell>
          <cell r="E160">
            <v>416.97</v>
          </cell>
          <cell r="F160">
            <v>414.68</v>
          </cell>
          <cell r="G160">
            <v>9753.2000000000007</v>
          </cell>
          <cell r="H160">
            <v>8923.14</v>
          </cell>
          <cell r="I160">
            <v>7885.57</v>
          </cell>
          <cell r="J160">
            <v>7505.45</v>
          </cell>
          <cell r="K160">
            <v>6158.7</v>
          </cell>
          <cell r="L160">
            <v>6567.27</v>
          </cell>
          <cell r="M160">
            <v>7088.4900000000007</v>
          </cell>
          <cell r="N160">
            <v>7088.4900000000007</v>
          </cell>
          <cell r="O160">
            <v>7088.4900000000007</v>
          </cell>
          <cell r="P160">
            <v>6634.88</v>
          </cell>
          <cell r="Q160">
            <v>6634.88</v>
          </cell>
          <cell r="R160">
            <v>6738.55</v>
          </cell>
          <cell r="S160">
            <v>88067.110000000015</v>
          </cell>
          <cell r="U160">
            <v>23.499987952678122</v>
          </cell>
          <cell r="V160">
            <v>21.499987952678119</v>
          </cell>
          <cell r="W160">
            <v>19</v>
          </cell>
          <cell r="X160">
            <v>17.999976017459289</v>
          </cell>
          <cell r="Y160">
            <v>14.77012734729117</v>
          </cell>
          <cell r="Z160">
            <v>15.749982013094467</v>
          </cell>
          <cell r="AA160">
            <v>17</v>
          </cell>
          <cell r="AB160">
            <v>17</v>
          </cell>
          <cell r="AC160">
            <v>17</v>
          </cell>
          <cell r="AD160">
            <v>16</v>
          </cell>
          <cell r="AE160">
            <v>16</v>
          </cell>
          <cell r="AF160">
            <v>16.25</v>
          </cell>
          <cell r="AG160">
            <v>211.77006128320116</v>
          </cell>
          <cell r="AH160">
            <v>17.64750510693343</v>
          </cell>
        </row>
        <row r="161">
          <cell r="B161" t="str">
            <v>M4YD2W</v>
          </cell>
          <cell r="C161" t="str">
            <v>MF 4YD CONT 2X WKLY</v>
          </cell>
          <cell r="D161">
            <v>830.06</v>
          </cell>
          <cell r="E161">
            <v>833.95</v>
          </cell>
          <cell r="F161">
            <v>829.37</v>
          </cell>
          <cell r="G161">
            <v>3320.24</v>
          </cell>
          <cell r="H161">
            <v>3112.72</v>
          </cell>
          <cell r="I161">
            <v>2490.1799999999998</v>
          </cell>
          <cell r="J161">
            <v>2501.8500000000004</v>
          </cell>
          <cell r="K161">
            <v>3335.8</v>
          </cell>
          <cell r="L161">
            <v>3335.8</v>
          </cell>
          <cell r="M161">
            <v>3335.8</v>
          </cell>
          <cell r="N161">
            <v>3335.8</v>
          </cell>
          <cell r="O161">
            <v>3335.8</v>
          </cell>
          <cell r="P161">
            <v>4146.8500000000004</v>
          </cell>
          <cell r="Q161">
            <v>4146.8500000000004</v>
          </cell>
          <cell r="R161">
            <v>4354.1900000000005</v>
          </cell>
          <cell r="S161">
            <v>40751.879999999997</v>
          </cell>
          <cell r="U161">
            <v>4</v>
          </cell>
          <cell r="V161">
            <v>3.7499939763390597</v>
          </cell>
          <cell r="W161">
            <v>3</v>
          </cell>
          <cell r="X161">
            <v>3.0000000000000004</v>
          </cell>
          <cell r="Y161">
            <v>4</v>
          </cell>
          <cell r="Z161">
            <v>4</v>
          </cell>
          <cell r="AA161">
            <v>4</v>
          </cell>
          <cell r="AB161">
            <v>4</v>
          </cell>
          <cell r="AC161">
            <v>4</v>
          </cell>
          <cell r="AD161">
            <v>5</v>
          </cell>
          <cell r="AE161">
            <v>5</v>
          </cell>
          <cell r="AF161">
            <v>5.2499969856638176</v>
          </cell>
          <cell r="AG161">
            <v>48.999990962002876</v>
          </cell>
          <cell r="AH161">
            <v>4.083332580166906</v>
          </cell>
        </row>
        <row r="162">
          <cell r="B162" t="str">
            <v>M6YD1W</v>
          </cell>
          <cell r="C162" t="str">
            <v>MF 6YD CONT 1X WKLY</v>
          </cell>
          <cell r="D162">
            <v>582.73</v>
          </cell>
          <cell r="E162">
            <v>585.46</v>
          </cell>
          <cell r="F162">
            <v>582.29999999999995</v>
          </cell>
          <cell r="G162">
            <v>20395.53</v>
          </cell>
          <cell r="H162">
            <v>20395.55</v>
          </cell>
          <cell r="I162">
            <v>22143.739999999998</v>
          </cell>
          <cell r="J162">
            <v>24150.21</v>
          </cell>
          <cell r="K162">
            <v>19905.64</v>
          </cell>
          <cell r="L162">
            <v>19320.18</v>
          </cell>
          <cell r="M162">
            <v>18734.72</v>
          </cell>
          <cell r="N162">
            <v>17563.8</v>
          </cell>
          <cell r="O162">
            <v>18734.72</v>
          </cell>
          <cell r="P162">
            <v>18633.599999999999</v>
          </cell>
          <cell r="Q162">
            <v>19070.3</v>
          </cell>
          <cell r="R162">
            <v>19215.900000000001</v>
          </cell>
          <cell r="S162">
            <v>238263.88999999998</v>
          </cell>
          <cell r="U162">
            <v>34.999965678787774</v>
          </cell>
          <cell r="V162">
            <v>35</v>
          </cell>
          <cell r="W162">
            <v>37.999999999999993</v>
          </cell>
          <cell r="X162">
            <v>41.249974379120687</v>
          </cell>
          <cell r="Y162">
            <v>34</v>
          </cell>
          <cell r="Z162">
            <v>33</v>
          </cell>
          <cell r="AA162">
            <v>32</v>
          </cell>
          <cell r="AB162">
            <v>29.999999999999996</v>
          </cell>
          <cell r="AC162">
            <v>32</v>
          </cell>
          <cell r="AD162">
            <v>32</v>
          </cell>
          <cell r="AE162">
            <v>32.749957066804058</v>
          </cell>
          <cell r="AF162">
            <v>33.000000000000007</v>
          </cell>
          <cell r="AG162">
            <v>407.99989712471245</v>
          </cell>
          <cell r="AH162">
            <v>33.999991427059371</v>
          </cell>
        </row>
        <row r="163">
          <cell r="B163" t="str">
            <v>M6YD2W</v>
          </cell>
          <cell r="C163" t="str">
            <v>MF 6YD CONT 2X WKLY</v>
          </cell>
          <cell r="D163">
            <v>1165.46</v>
          </cell>
          <cell r="E163">
            <v>1170.92</v>
          </cell>
          <cell r="F163">
            <v>1164.5999999999999</v>
          </cell>
          <cell r="G163">
            <v>30884.67</v>
          </cell>
          <cell r="H163">
            <v>30593.300000000003</v>
          </cell>
          <cell r="I163">
            <v>31467.42</v>
          </cell>
          <cell r="J163">
            <v>31907.57</v>
          </cell>
          <cell r="K163">
            <v>29858.460000000003</v>
          </cell>
          <cell r="L163">
            <v>28102.080000000002</v>
          </cell>
          <cell r="M163">
            <v>26052.959999999999</v>
          </cell>
          <cell r="N163">
            <v>28102.080000000002</v>
          </cell>
          <cell r="O163">
            <v>28102.080000000002</v>
          </cell>
          <cell r="P163">
            <v>27950.400000000001</v>
          </cell>
          <cell r="Q163">
            <v>27950.400000000001</v>
          </cell>
          <cell r="R163">
            <v>27950.400000000001</v>
          </cell>
          <cell r="S163">
            <v>348921.82000000007</v>
          </cell>
          <cell r="U163">
            <v>26.499982839393883</v>
          </cell>
          <cell r="V163">
            <v>26.249978549242361</v>
          </cell>
          <cell r="W163">
            <v>26.999999999999996</v>
          </cell>
          <cell r="X163">
            <v>27.249999999999996</v>
          </cell>
          <cell r="Y163">
            <v>25.5</v>
          </cell>
          <cell r="Z163">
            <v>24</v>
          </cell>
          <cell r="AA163">
            <v>22.249991459706894</v>
          </cell>
          <cell r="AB163">
            <v>24</v>
          </cell>
          <cell r="AC163">
            <v>24</v>
          </cell>
          <cell r="AD163">
            <v>24.000000000000004</v>
          </cell>
          <cell r="AE163">
            <v>24.000000000000004</v>
          </cell>
          <cell r="AF163">
            <v>24.000000000000004</v>
          </cell>
          <cell r="AG163">
            <v>298.74995284834313</v>
          </cell>
          <cell r="AH163">
            <v>24.895829404028593</v>
          </cell>
        </row>
        <row r="164">
          <cell r="B164" t="str">
            <v>M6YD3W</v>
          </cell>
          <cell r="C164" t="str">
            <v>MF 6YD CONT 3X WKLY</v>
          </cell>
          <cell r="D164">
            <v>1748.19</v>
          </cell>
          <cell r="E164">
            <v>1756.38</v>
          </cell>
          <cell r="F164">
            <v>1746.9</v>
          </cell>
          <cell r="G164">
            <v>6118.66</v>
          </cell>
          <cell r="H164">
            <v>6992.76</v>
          </cell>
          <cell r="I164">
            <v>8740.9500000000007</v>
          </cell>
          <cell r="J164">
            <v>5277.3300000000008</v>
          </cell>
          <cell r="K164">
            <v>9660.09</v>
          </cell>
          <cell r="L164">
            <v>12294.66</v>
          </cell>
          <cell r="M164">
            <v>14051.04</v>
          </cell>
          <cell r="N164">
            <v>14051.04</v>
          </cell>
          <cell r="O164">
            <v>21076.560000000001</v>
          </cell>
          <cell r="P164">
            <v>22709.699999999997</v>
          </cell>
          <cell r="Q164">
            <v>22709.699999999997</v>
          </cell>
          <cell r="R164">
            <v>22709.699999999997</v>
          </cell>
          <cell r="S164">
            <v>166392.19</v>
          </cell>
          <cell r="U164">
            <v>3.4999971398989809</v>
          </cell>
          <cell r="V164">
            <v>4</v>
          </cell>
          <cell r="W164">
            <v>5</v>
          </cell>
          <cell r="X164">
            <v>3.0046630000341614</v>
          </cell>
          <cell r="Y164">
            <v>5.5</v>
          </cell>
          <cell r="Z164">
            <v>6.9999999999999991</v>
          </cell>
          <cell r="AA164">
            <v>8</v>
          </cell>
          <cell r="AB164">
            <v>8</v>
          </cell>
          <cell r="AC164">
            <v>12</v>
          </cell>
          <cell r="AD164">
            <v>12.999999999999998</v>
          </cell>
          <cell r="AE164">
            <v>12.999999999999998</v>
          </cell>
          <cell r="AF164">
            <v>12.999999999999998</v>
          </cell>
          <cell r="AG164">
            <v>95.004660139933137</v>
          </cell>
          <cell r="AH164">
            <v>7.9170550116610947</v>
          </cell>
        </row>
        <row r="165">
          <cell r="B165" t="str">
            <v>M1YDEX</v>
          </cell>
          <cell r="C165" t="str">
            <v>MF 1YD CONT EXTRA</v>
          </cell>
          <cell r="D165">
            <v>30.64</v>
          </cell>
          <cell r="E165">
            <v>30.78</v>
          </cell>
          <cell r="F165">
            <v>30.63</v>
          </cell>
          <cell r="G165">
            <v>61.28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61.28</v>
          </cell>
          <cell r="U165">
            <v>2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2</v>
          </cell>
          <cell r="AH165">
            <v>0.16666666666666666</v>
          </cell>
        </row>
        <row r="166">
          <cell r="B166" t="str">
            <v>M2YDEX</v>
          </cell>
          <cell r="C166" t="str">
            <v>MF 2YD CONT EXTRA</v>
          </cell>
          <cell r="D166">
            <v>52.6</v>
          </cell>
          <cell r="E166">
            <v>52.85</v>
          </cell>
          <cell r="F166">
            <v>52.57</v>
          </cell>
          <cell r="G166">
            <v>157.80000000000001</v>
          </cell>
          <cell r="H166">
            <v>0</v>
          </cell>
          <cell r="I166">
            <v>52.6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210.4</v>
          </cell>
          <cell r="U166">
            <v>3</v>
          </cell>
          <cell r="V166">
            <v>0</v>
          </cell>
          <cell r="W166">
            <v>1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4</v>
          </cell>
          <cell r="AH166">
            <v>0.33333333333333331</v>
          </cell>
        </row>
        <row r="167">
          <cell r="B167" t="str">
            <v>M4YDEX</v>
          </cell>
          <cell r="C167" t="str">
            <v>MF 4YD CONT EXTRA</v>
          </cell>
          <cell r="D167">
            <v>98.02</v>
          </cell>
          <cell r="E167">
            <v>98.48</v>
          </cell>
          <cell r="F167">
            <v>97.95</v>
          </cell>
          <cell r="G167">
            <v>0</v>
          </cell>
          <cell r="H167">
            <v>98.02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98.02</v>
          </cell>
          <cell r="U167">
            <v>0</v>
          </cell>
          <cell r="V167">
            <v>1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1</v>
          </cell>
          <cell r="AH167">
            <v>8.3333333333333329E-2</v>
          </cell>
        </row>
        <row r="168">
          <cell r="B168" t="str">
            <v>M6YDEX</v>
          </cell>
          <cell r="C168" t="str">
            <v>MF 6YD CONT EXTRA</v>
          </cell>
          <cell r="D168">
            <v>136.77000000000001</v>
          </cell>
          <cell r="E168">
            <v>137.41</v>
          </cell>
          <cell r="F168">
            <v>136.68</v>
          </cell>
          <cell r="G168">
            <v>136.77000000000001</v>
          </cell>
          <cell r="H168">
            <v>273.54000000000002</v>
          </cell>
          <cell r="I168">
            <v>0</v>
          </cell>
          <cell r="J168">
            <v>137.41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547.72</v>
          </cell>
          <cell r="U168">
            <v>1</v>
          </cell>
          <cell r="V168">
            <v>2</v>
          </cell>
          <cell r="W168">
            <v>0</v>
          </cell>
          <cell r="X168">
            <v>1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4</v>
          </cell>
          <cell r="AH168">
            <v>0.33333333333333331</v>
          </cell>
        </row>
        <row r="169">
          <cell r="B169" t="str">
            <v>MRENT90</v>
          </cell>
          <cell r="C169" t="str">
            <v>MF 90GAL TOTER RENT</v>
          </cell>
          <cell r="D169">
            <v>4.42</v>
          </cell>
          <cell r="E169">
            <v>4.4400000000000004</v>
          </cell>
          <cell r="F169">
            <v>4.4400000000000004</v>
          </cell>
          <cell r="G169">
            <v>176.8</v>
          </cell>
          <cell r="H169">
            <v>176.8</v>
          </cell>
          <cell r="I169">
            <v>176.8</v>
          </cell>
          <cell r="J169">
            <v>177.6</v>
          </cell>
          <cell r="K169">
            <v>177.6</v>
          </cell>
          <cell r="L169">
            <v>177.6</v>
          </cell>
          <cell r="M169">
            <v>177.6</v>
          </cell>
          <cell r="N169">
            <v>177.6</v>
          </cell>
          <cell r="O169">
            <v>177.6</v>
          </cell>
          <cell r="P169">
            <v>177.6</v>
          </cell>
          <cell r="Q169">
            <v>177.6</v>
          </cell>
          <cell r="R169">
            <v>177.6</v>
          </cell>
          <cell r="S169">
            <v>2128.7999999999997</v>
          </cell>
          <cell r="U169">
            <v>40</v>
          </cell>
          <cell r="V169">
            <v>40</v>
          </cell>
          <cell r="W169">
            <v>40</v>
          </cell>
          <cell r="X169">
            <v>39.999999999999993</v>
          </cell>
          <cell r="Y169">
            <v>39.999999999999993</v>
          </cell>
          <cell r="Z169">
            <v>39.999999999999993</v>
          </cell>
          <cell r="AA169">
            <v>39.999999999999993</v>
          </cell>
          <cell r="AB169">
            <v>39.999999999999993</v>
          </cell>
          <cell r="AC169">
            <v>39.999999999999993</v>
          </cell>
          <cell r="AD169">
            <v>39.999999999999993</v>
          </cell>
          <cell r="AE169">
            <v>39.999999999999993</v>
          </cell>
          <cell r="AF169">
            <v>39.999999999999993</v>
          </cell>
          <cell r="AG169">
            <v>480</v>
          </cell>
          <cell r="AH169">
            <v>40</v>
          </cell>
        </row>
        <row r="170">
          <cell r="B170" t="str">
            <v>MROLL</v>
          </cell>
          <cell r="C170" t="str">
            <v>ROLLOUT CHARGE - MF</v>
          </cell>
          <cell r="D170">
            <v>16.97</v>
          </cell>
          <cell r="E170">
            <v>17.059999999999999</v>
          </cell>
          <cell r="F170">
            <v>17.059999999999999</v>
          </cell>
          <cell r="G170">
            <v>750.11</v>
          </cell>
          <cell r="H170">
            <v>750.11</v>
          </cell>
          <cell r="I170">
            <v>733.13</v>
          </cell>
          <cell r="J170">
            <v>753.89</v>
          </cell>
          <cell r="K170">
            <v>753.89</v>
          </cell>
          <cell r="L170">
            <v>749.62</v>
          </cell>
          <cell r="M170">
            <v>753.89</v>
          </cell>
          <cell r="N170">
            <v>753.89</v>
          </cell>
          <cell r="O170">
            <v>749.62</v>
          </cell>
          <cell r="P170">
            <v>736.82999999999993</v>
          </cell>
          <cell r="Q170">
            <v>788.01</v>
          </cell>
          <cell r="R170">
            <v>788.01</v>
          </cell>
          <cell r="S170">
            <v>9061</v>
          </cell>
          <cell r="U170">
            <v>44.202121390689456</v>
          </cell>
          <cell r="V170">
            <v>44.202121390689456</v>
          </cell>
          <cell r="W170">
            <v>43.20153211549794</v>
          </cell>
          <cell r="X170">
            <v>44.190504103165303</v>
          </cell>
          <cell r="Y170">
            <v>44.190504103165303</v>
          </cell>
          <cell r="Z170">
            <v>43.940211019929663</v>
          </cell>
          <cell r="AA170">
            <v>44.190504103165303</v>
          </cell>
          <cell r="AB170">
            <v>44.190504103165303</v>
          </cell>
          <cell r="AC170">
            <v>43.940211019929663</v>
          </cell>
          <cell r="AD170">
            <v>43.190504103165296</v>
          </cell>
          <cell r="AE170">
            <v>46.190504103165303</v>
          </cell>
          <cell r="AF170">
            <v>46.190504103165303</v>
          </cell>
          <cell r="AG170">
            <v>531.81972565889339</v>
          </cell>
          <cell r="AH170">
            <v>44.318310471574449</v>
          </cell>
        </row>
        <row r="171">
          <cell r="B171" t="str">
            <v>PACKM</v>
          </cell>
          <cell r="C171" t="str">
            <v>CARRY-OUT MULTI FAMILY</v>
          </cell>
          <cell r="D171">
            <v>5.41</v>
          </cell>
          <cell r="E171">
            <v>5.44</v>
          </cell>
          <cell r="F171">
            <v>5.44</v>
          </cell>
          <cell r="G171">
            <v>37.869999999999997</v>
          </cell>
          <cell r="H171">
            <v>37.869999999999997</v>
          </cell>
          <cell r="I171">
            <v>37.869999999999997</v>
          </cell>
          <cell r="J171">
            <v>-31.42</v>
          </cell>
          <cell r="K171">
            <v>38.08</v>
          </cell>
          <cell r="L171">
            <v>48.96</v>
          </cell>
          <cell r="M171">
            <v>48.96</v>
          </cell>
          <cell r="N171">
            <v>48.96</v>
          </cell>
          <cell r="O171">
            <v>48.96</v>
          </cell>
          <cell r="P171">
            <v>48.96</v>
          </cell>
          <cell r="Q171">
            <v>48.96</v>
          </cell>
          <cell r="R171">
            <v>48.96</v>
          </cell>
          <cell r="S171">
            <v>462.9899999999999</v>
          </cell>
          <cell r="U171">
            <v>6.9999999999999991</v>
          </cell>
          <cell r="V171">
            <v>6.9999999999999991</v>
          </cell>
          <cell r="W171">
            <v>6.9999999999999991</v>
          </cell>
          <cell r="X171">
            <v>-5.7757352941176467</v>
          </cell>
          <cell r="Y171">
            <v>6.9999999999999991</v>
          </cell>
          <cell r="Z171">
            <v>9</v>
          </cell>
          <cell r="AA171">
            <v>9</v>
          </cell>
          <cell r="AB171">
            <v>9</v>
          </cell>
          <cell r="AC171">
            <v>9</v>
          </cell>
          <cell r="AD171">
            <v>9</v>
          </cell>
          <cell r="AE171">
            <v>9</v>
          </cell>
          <cell r="AF171">
            <v>9</v>
          </cell>
          <cell r="AG171">
            <v>85.224264705882348</v>
          </cell>
          <cell r="AH171">
            <v>7.102022058823529</v>
          </cell>
        </row>
        <row r="172">
          <cell r="B172" t="str">
            <v>DRVNM</v>
          </cell>
          <cell r="C172" t="str">
            <v>DRIVE IN - MULTIFAMILY</v>
          </cell>
          <cell r="D172">
            <v>5.0199999999999996</v>
          </cell>
          <cell r="E172">
            <v>5.07</v>
          </cell>
          <cell r="F172">
            <v>5.07</v>
          </cell>
          <cell r="G172">
            <v>83.82</v>
          </cell>
          <cell r="H172">
            <v>88.84</v>
          </cell>
          <cell r="I172">
            <v>88.84</v>
          </cell>
          <cell r="J172">
            <v>89.64</v>
          </cell>
          <cell r="K172">
            <v>89.64</v>
          </cell>
          <cell r="L172">
            <v>89.64</v>
          </cell>
          <cell r="M172">
            <v>89.64</v>
          </cell>
          <cell r="N172">
            <v>89.64</v>
          </cell>
          <cell r="O172">
            <v>89.64</v>
          </cell>
          <cell r="P172">
            <v>104.85</v>
          </cell>
          <cell r="Q172">
            <v>104.85</v>
          </cell>
          <cell r="R172">
            <v>104.85</v>
          </cell>
          <cell r="S172">
            <v>1113.8899999999999</v>
          </cell>
          <cell r="U172">
            <v>16.697211155378486</v>
          </cell>
          <cell r="V172">
            <v>17.69721115537849</v>
          </cell>
          <cell r="W172">
            <v>17.69721115537849</v>
          </cell>
          <cell r="X172">
            <v>17.680473372781066</v>
          </cell>
          <cell r="Y172">
            <v>17.680473372781066</v>
          </cell>
          <cell r="Z172">
            <v>17.680473372781066</v>
          </cell>
          <cell r="AA172">
            <v>17.680473372781066</v>
          </cell>
          <cell r="AB172">
            <v>17.680473372781066</v>
          </cell>
          <cell r="AC172">
            <v>17.680473372781066</v>
          </cell>
          <cell r="AD172">
            <v>20.680473372781062</v>
          </cell>
          <cell r="AE172">
            <v>20.680473372781062</v>
          </cell>
          <cell r="AF172">
            <v>20.680473372781062</v>
          </cell>
          <cell r="AG172">
            <v>220.215893821165</v>
          </cell>
          <cell r="AH172">
            <v>18.351324485097084</v>
          </cell>
        </row>
        <row r="173">
          <cell r="B173" t="str">
            <v>EXTRA-MF</v>
          </cell>
          <cell r="C173" t="str">
            <v>EXTRA CANS - MF</v>
          </cell>
          <cell r="D173">
            <v>4.83</v>
          </cell>
          <cell r="E173">
            <v>4.8499999999999996</v>
          </cell>
          <cell r="F173">
            <v>4.82</v>
          </cell>
          <cell r="G173">
            <v>1381.38</v>
          </cell>
          <cell r="H173">
            <v>1009.47</v>
          </cell>
          <cell r="I173">
            <v>1106.07</v>
          </cell>
          <cell r="J173">
            <v>993.98</v>
          </cell>
          <cell r="K173">
            <v>970.09</v>
          </cell>
          <cell r="L173">
            <v>829.34999999999991</v>
          </cell>
          <cell r="M173">
            <v>839.05000000000007</v>
          </cell>
          <cell r="N173">
            <v>1139.75</v>
          </cell>
          <cell r="O173">
            <v>1081.55</v>
          </cell>
          <cell r="P173">
            <v>1200.6299999999999</v>
          </cell>
          <cell r="Q173">
            <v>742.28</v>
          </cell>
          <cell r="R173">
            <v>1253.2</v>
          </cell>
          <cell r="S173">
            <v>12546.8</v>
          </cell>
          <cell r="U173">
            <v>286</v>
          </cell>
          <cell r="V173">
            <v>209</v>
          </cell>
          <cell r="W173">
            <v>228.99999999999997</v>
          </cell>
          <cell r="X173">
            <v>204.94432989690725</v>
          </cell>
          <cell r="Y173">
            <v>200.01855670103095</v>
          </cell>
          <cell r="Z173">
            <v>171</v>
          </cell>
          <cell r="AA173">
            <v>173.00000000000003</v>
          </cell>
          <cell r="AB173">
            <v>235.00000000000003</v>
          </cell>
          <cell r="AC173">
            <v>223</v>
          </cell>
          <cell r="AD173">
            <v>249.09336099585059</v>
          </cell>
          <cell r="AE173">
            <v>153.99999999999997</v>
          </cell>
          <cell r="AF173">
            <v>260</v>
          </cell>
          <cell r="AG173">
            <v>2594.0562475937886</v>
          </cell>
          <cell r="AH173">
            <v>216.17135396614904</v>
          </cell>
        </row>
        <row r="175">
          <cell r="C175" t="str">
            <v>TOTAL MULTI-FAMILY GARBAGE</v>
          </cell>
          <cell r="G175">
            <v>229886.58999999994</v>
          </cell>
          <cell r="H175">
            <v>225755.63999999996</v>
          </cell>
          <cell r="I175">
            <v>234495.76999999996</v>
          </cell>
          <cell r="J175">
            <v>235731.86000000002</v>
          </cell>
          <cell r="K175">
            <v>233640.98499999996</v>
          </cell>
          <cell r="L175">
            <v>238292.87999999995</v>
          </cell>
          <cell r="M175">
            <v>232900.51999999996</v>
          </cell>
          <cell r="N175">
            <v>235699.04999999996</v>
          </cell>
          <cell r="O175">
            <v>243199.89499999996</v>
          </cell>
          <cell r="P175">
            <v>248234.45500000002</v>
          </cell>
          <cell r="Q175">
            <v>246836.11499999999</v>
          </cell>
          <cell r="R175">
            <v>247576.12000000002</v>
          </cell>
          <cell r="S175">
            <v>2852249.88</v>
          </cell>
          <cell r="U175">
            <v>6805.2472517202013</v>
          </cell>
          <cell r="V175">
            <v>6315.0570328600288</v>
          </cell>
          <cell r="W175">
            <v>6858.2391096079673</v>
          </cell>
          <cell r="X175">
            <v>6597.5009171401962</v>
          </cell>
          <cell r="Y175">
            <v>6436.8062735183139</v>
          </cell>
          <cell r="Z175">
            <v>7152.3550277375271</v>
          </cell>
          <cell r="AA175">
            <v>5930.7337114602933</v>
          </cell>
          <cell r="AB175">
            <v>6148.9526417460456</v>
          </cell>
          <cell r="AC175">
            <v>6180.4735896712418</v>
          </cell>
          <cell r="AD175">
            <v>6769.1095279464589</v>
          </cell>
          <cell r="AE175">
            <v>6266.3919070790898</v>
          </cell>
          <cell r="AF175">
            <v>6041.813704657794</v>
          </cell>
          <cell r="AG175">
            <v>77502.680695145173</v>
          </cell>
          <cell r="AH175">
            <v>6458.5567245954308</v>
          </cell>
        </row>
        <row r="178">
          <cell r="B178" t="str">
            <v>MULTI-FAMILY RECYCLING</v>
          </cell>
        </row>
        <row r="179">
          <cell r="B179" t="str">
            <v>M2YDRECY</v>
          </cell>
          <cell r="C179" t="str">
            <v>MF 2YD RECYCLING</v>
          </cell>
          <cell r="D179">
            <v>12.16</v>
          </cell>
          <cell r="E179">
            <v>12.22</v>
          </cell>
          <cell r="F179">
            <v>12.22</v>
          </cell>
          <cell r="G179">
            <v>3001.29</v>
          </cell>
          <cell r="H179">
            <v>3001.29</v>
          </cell>
          <cell r="I179">
            <v>3001.29</v>
          </cell>
          <cell r="J179">
            <v>3001.29</v>
          </cell>
          <cell r="K179">
            <v>3001.29</v>
          </cell>
          <cell r="L179">
            <v>3001.29</v>
          </cell>
          <cell r="M179">
            <v>3015.33</v>
          </cell>
          <cell r="N179">
            <v>2963.2000000000003</v>
          </cell>
          <cell r="O179">
            <v>2963.2000000000003</v>
          </cell>
          <cell r="P179">
            <v>2963.2</v>
          </cell>
          <cell r="Q179">
            <v>3174.86</v>
          </cell>
          <cell r="R179">
            <v>3174.86</v>
          </cell>
          <cell r="S179">
            <v>36262.39</v>
          </cell>
          <cell r="U179">
            <v>246.81661184210526</v>
          </cell>
          <cell r="V179">
            <v>246.81661184210526</v>
          </cell>
          <cell r="W179">
            <v>246.81661184210526</v>
          </cell>
          <cell r="X179">
            <v>245.60474631751225</v>
          </cell>
          <cell r="Y179">
            <v>245.60474631751225</v>
          </cell>
          <cell r="Z179">
            <v>245.60474631751225</v>
          </cell>
          <cell r="AA179">
            <v>246.75368248772503</v>
          </cell>
          <cell r="AB179">
            <v>242.48772504091653</v>
          </cell>
          <cell r="AC179">
            <v>242.48772504091653</v>
          </cell>
          <cell r="AD179">
            <v>242.4877250409165</v>
          </cell>
          <cell r="AE179">
            <v>259.80851063829789</v>
          </cell>
          <cell r="AF179">
            <v>259.80851063829789</v>
          </cell>
          <cell r="AG179">
            <v>2971.0979533659229</v>
          </cell>
          <cell r="AH179">
            <v>247.59149611382691</v>
          </cell>
        </row>
        <row r="180">
          <cell r="B180" t="str">
            <v>M6YDRECY</v>
          </cell>
          <cell r="C180" t="str">
            <v>MF 6YD RECYCLING</v>
          </cell>
          <cell r="D180">
            <v>37.950000000000003</v>
          </cell>
          <cell r="E180">
            <v>38.130000000000003</v>
          </cell>
          <cell r="F180">
            <v>38.130000000000003</v>
          </cell>
          <cell r="G180">
            <v>11666.99</v>
          </cell>
          <cell r="H180">
            <v>11666.99</v>
          </cell>
          <cell r="I180">
            <v>11666.99</v>
          </cell>
          <cell r="J180">
            <v>11666.99</v>
          </cell>
          <cell r="K180">
            <v>11666.99</v>
          </cell>
          <cell r="L180">
            <v>11666.99</v>
          </cell>
          <cell r="M180">
            <v>12047.89</v>
          </cell>
          <cell r="N180">
            <v>12047.89</v>
          </cell>
          <cell r="O180">
            <v>12047.89</v>
          </cell>
          <cell r="P180">
            <v>12047.89</v>
          </cell>
          <cell r="Q180">
            <v>12212.98</v>
          </cell>
          <cell r="R180">
            <v>12212.99</v>
          </cell>
          <cell r="S180">
            <v>142619.47</v>
          </cell>
          <cell r="U180">
            <v>307.43056653491431</v>
          </cell>
          <cell r="V180">
            <v>307.43056653491431</v>
          </cell>
          <cell r="W180">
            <v>307.43056653491431</v>
          </cell>
          <cell r="X180">
            <v>305.97928140571724</v>
          </cell>
          <cell r="Y180">
            <v>305.97928140571724</v>
          </cell>
          <cell r="Z180">
            <v>305.97928140571724</v>
          </cell>
          <cell r="AA180">
            <v>315.96879097823233</v>
          </cell>
          <cell r="AB180">
            <v>315.96879097823233</v>
          </cell>
          <cell r="AC180">
            <v>315.96879097823233</v>
          </cell>
          <cell r="AD180">
            <v>315.96879097823233</v>
          </cell>
          <cell r="AE180">
            <v>320.29845266194593</v>
          </cell>
          <cell r="AF180">
            <v>320.29871492263305</v>
          </cell>
          <cell r="AG180">
            <v>3744.7018753194034</v>
          </cell>
          <cell r="AH180">
            <v>312.0584896099503</v>
          </cell>
        </row>
        <row r="181">
          <cell r="B181" t="str">
            <v>MCCRECYR</v>
          </cell>
          <cell r="C181" t="str">
            <v>MF CAN COUNT RECYCLE PROG</v>
          </cell>
          <cell r="D181">
            <v>7.47</v>
          </cell>
          <cell r="E181">
            <v>7.5</v>
          </cell>
          <cell r="F181">
            <v>7.5</v>
          </cell>
          <cell r="G181">
            <v>6827.58</v>
          </cell>
          <cell r="H181">
            <v>6827.58</v>
          </cell>
          <cell r="I181">
            <v>6827.58</v>
          </cell>
          <cell r="J181">
            <v>6855</v>
          </cell>
          <cell r="K181">
            <v>6855</v>
          </cell>
          <cell r="L181">
            <v>6780</v>
          </cell>
          <cell r="M181">
            <v>6810</v>
          </cell>
          <cell r="N181">
            <v>6277.5</v>
          </cell>
          <cell r="O181">
            <v>6277.5</v>
          </cell>
          <cell r="P181">
            <v>6277.5</v>
          </cell>
          <cell r="Q181">
            <v>6247.5</v>
          </cell>
          <cell r="R181">
            <v>6247.5</v>
          </cell>
          <cell r="S181">
            <v>79110.239999999991</v>
          </cell>
          <cell r="U181">
            <v>30.466666666666665</v>
          </cell>
          <cell r="V181">
            <v>30.466666666666665</v>
          </cell>
          <cell r="W181">
            <v>30.466666666666665</v>
          </cell>
          <cell r="X181">
            <v>30.58902275769746</v>
          </cell>
          <cell r="Y181">
            <v>30.58902275769746</v>
          </cell>
          <cell r="Z181">
            <v>30.25435073627845</v>
          </cell>
          <cell r="AA181">
            <v>30.388219544846052</v>
          </cell>
          <cell r="AB181">
            <v>28.012048192771086</v>
          </cell>
          <cell r="AC181">
            <v>28.012048192771086</v>
          </cell>
          <cell r="AD181">
            <v>28.012048192771086</v>
          </cell>
          <cell r="AE181">
            <v>27.878179384203481</v>
          </cell>
          <cell r="AF181">
            <v>27.878179384203481</v>
          </cell>
          <cell r="AG181">
            <v>353.01311914323958</v>
          </cell>
          <cell r="AH181">
            <v>29.417759928603299</v>
          </cell>
        </row>
        <row r="182">
          <cell r="B182" t="str">
            <v>MRECYONLY</v>
          </cell>
          <cell r="C182" t="str">
            <v>MF RECYCLE ONLY</v>
          </cell>
          <cell r="D182">
            <v>11.07</v>
          </cell>
          <cell r="E182">
            <v>11.12</v>
          </cell>
          <cell r="F182">
            <v>11.11</v>
          </cell>
          <cell r="G182">
            <v>55.35</v>
          </cell>
          <cell r="H182">
            <v>55.35</v>
          </cell>
          <cell r="I182">
            <v>55.35</v>
          </cell>
          <cell r="J182">
            <v>55.6</v>
          </cell>
          <cell r="K182">
            <v>55.6</v>
          </cell>
          <cell r="L182">
            <v>55.6</v>
          </cell>
          <cell r="M182">
            <v>55.6</v>
          </cell>
          <cell r="N182">
            <v>55.6</v>
          </cell>
          <cell r="O182">
            <v>55.6</v>
          </cell>
          <cell r="P182">
            <v>55.55</v>
          </cell>
          <cell r="Q182">
            <v>55.55</v>
          </cell>
          <cell r="R182">
            <v>55.55</v>
          </cell>
          <cell r="S182">
            <v>666.3</v>
          </cell>
          <cell r="U182">
            <v>5</v>
          </cell>
          <cell r="V182">
            <v>5</v>
          </cell>
          <cell r="W182">
            <v>5</v>
          </cell>
          <cell r="X182">
            <v>5.0000000000000009</v>
          </cell>
          <cell r="Y182">
            <v>5.0000000000000009</v>
          </cell>
          <cell r="Z182">
            <v>5.0000000000000009</v>
          </cell>
          <cell r="AA182">
            <v>5.0000000000000009</v>
          </cell>
          <cell r="AB182">
            <v>5.0000000000000009</v>
          </cell>
          <cell r="AC182">
            <v>5.0000000000000009</v>
          </cell>
          <cell r="AD182">
            <v>5</v>
          </cell>
          <cell r="AE182">
            <v>5</v>
          </cell>
          <cell r="AF182">
            <v>5</v>
          </cell>
          <cell r="AG182">
            <v>60</v>
          </cell>
          <cell r="AH182">
            <v>5</v>
          </cell>
        </row>
        <row r="183">
          <cell r="B183" t="str">
            <v>MRECYR</v>
          </cell>
          <cell r="C183" t="str">
            <v>RECYCLE PROGRAM W/ BINS</v>
          </cell>
          <cell r="D183">
            <v>7.38</v>
          </cell>
          <cell r="E183">
            <v>7.41</v>
          </cell>
          <cell r="F183">
            <v>7.41</v>
          </cell>
          <cell r="G183">
            <v>8817.4550000000017</v>
          </cell>
          <cell r="H183">
            <v>9703.755000000001</v>
          </cell>
          <cell r="I183">
            <v>9766.5000000000018</v>
          </cell>
          <cell r="J183">
            <v>9997.9149999999991</v>
          </cell>
          <cell r="K183">
            <v>10084.955</v>
          </cell>
          <cell r="L183">
            <v>10338.769999999999</v>
          </cell>
          <cell r="M183">
            <v>10453.670000000002</v>
          </cell>
          <cell r="N183">
            <v>11060.66</v>
          </cell>
          <cell r="O183">
            <v>11040.885</v>
          </cell>
          <cell r="P183">
            <v>11055.665000000001</v>
          </cell>
          <cell r="Q183">
            <v>11163.725</v>
          </cell>
          <cell r="R183">
            <v>10857.42</v>
          </cell>
          <cell r="S183">
            <v>124341.37500000001</v>
          </cell>
          <cell r="U183">
            <v>1194.7771002710031</v>
          </cell>
          <cell r="V183">
            <v>1314.8719512195123</v>
          </cell>
          <cell r="W183">
            <v>1323.3739837398377</v>
          </cell>
          <cell r="X183">
            <v>1349.2462887989202</v>
          </cell>
          <cell r="Y183">
            <v>1360.9925775978406</v>
          </cell>
          <cell r="Z183">
            <v>1395.2456140350876</v>
          </cell>
          <cell r="AA183">
            <v>1410.7516869095818</v>
          </cell>
          <cell r="AB183">
            <v>1492.6666666666665</v>
          </cell>
          <cell r="AC183">
            <v>1489.9979757085021</v>
          </cell>
          <cell r="AD183">
            <v>1491.9925775978409</v>
          </cell>
          <cell r="AE183">
            <v>1506.5755735492578</v>
          </cell>
          <cell r="AF183">
            <v>1465.2388663967611</v>
          </cell>
          <cell r="AG183">
            <v>16795.730862490811</v>
          </cell>
          <cell r="AH183">
            <v>1399.6442385409009</v>
          </cell>
        </row>
        <row r="184">
          <cell r="B184" t="str">
            <v>MRECYIN</v>
          </cell>
          <cell r="C184" t="str">
            <v>MF RECYCLING INCENTIVE</v>
          </cell>
          <cell r="D184">
            <v>0.75</v>
          </cell>
          <cell r="E184">
            <v>0.75</v>
          </cell>
          <cell r="F184">
            <v>0.75</v>
          </cell>
          <cell r="G184">
            <v>268.5</v>
          </cell>
          <cell r="H184">
            <v>268.5</v>
          </cell>
          <cell r="I184">
            <v>268.5</v>
          </cell>
          <cell r="J184">
            <v>269.25</v>
          </cell>
          <cell r="K184">
            <v>264.75</v>
          </cell>
          <cell r="L184">
            <v>264.75</v>
          </cell>
          <cell r="M184">
            <v>447.78999999999996</v>
          </cell>
          <cell r="N184">
            <v>447.59999999999997</v>
          </cell>
          <cell r="O184">
            <v>447.03999999999996</v>
          </cell>
          <cell r="P184">
            <v>446.28999999999996</v>
          </cell>
          <cell r="Q184">
            <v>446.28999999999996</v>
          </cell>
          <cell r="R184">
            <v>441.78999999999996</v>
          </cell>
          <cell r="S184">
            <v>4281.0499999999993</v>
          </cell>
          <cell r="U184">
            <v>358</v>
          </cell>
          <cell r="V184">
            <v>358</v>
          </cell>
          <cell r="W184">
            <v>358</v>
          </cell>
          <cell r="X184">
            <v>359</v>
          </cell>
          <cell r="Y184">
            <v>353</v>
          </cell>
          <cell r="Z184">
            <v>353</v>
          </cell>
          <cell r="AA184">
            <v>597.05333333333328</v>
          </cell>
          <cell r="AB184">
            <v>596.79999999999995</v>
          </cell>
          <cell r="AC184">
            <v>596.05333333333328</v>
          </cell>
          <cell r="AD184">
            <v>595.05333333333328</v>
          </cell>
          <cell r="AE184">
            <v>595.05333333333328</v>
          </cell>
          <cell r="AF184">
            <v>589.05333333333328</v>
          </cell>
          <cell r="AG184">
            <v>5708.0666666666666</v>
          </cell>
          <cell r="AH184">
            <v>475.67222222222222</v>
          </cell>
        </row>
        <row r="185">
          <cell r="B185" t="str">
            <v>MRENT2YDRECY</v>
          </cell>
          <cell r="C185" t="str">
            <v>MF 2YD RECYCLE RENT</v>
          </cell>
          <cell r="D185">
            <v>11.58</v>
          </cell>
          <cell r="E185">
            <v>11.63</v>
          </cell>
          <cell r="F185">
            <v>11.63</v>
          </cell>
          <cell r="G185">
            <v>370.55999999999995</v>
          </cell>
          <cell r="H185">
            <v>370.55999999999995</v>
          </cell>
          <cell r="I185">
            <v>370.55999999999995</v>
          </cell>
          <cell r="J185">
            <v>372.16</v>
          </cell>
          <cell r="K185">
            <v>372.16</v>
          </cell>
          <cell r="L185">
            <v>372.16</v>
          </cell>
          <cell r="M185">
            <v>372.16</v>
          </cell>
          <cell r="N185">
            <v>372.16</v>
          </cell>
          <cell r="O185">
            <v>372.16</v>
          </cell>
          <cell r="P185">
            <v>372.16</v>
          </cell>
          <cell r="Q185">
            <v>395.42</v>
          </cell>
          <cell r="R185">
            <v>395.42</v>
          </cell>
          <cell r="S185">
            <v>4507.6399999999994</v>
          </cell>
          <cell r="U185">
            <v>31.999999999999996</v>
          </cell>
          <cell r="V185">
            <v>31.999999999999996</v>
          </cell>
          <cell r="W185">
            <v>31.999999999999996</v>
          </cell>
          <cell r="X185">
            <v>32</v>
          </cell>
          <cell r="Y185">
            <v>32</v>
          </cell>
          <cell r="Z185">
            <v>32</v>
          </cell>
          <cell r="AA185">
            <v>32</v>
          </cell>
          <cell r="AB185">
            <v>32</v>
          </cell>
          <cell r="AC185">
            <v>32</v>
          </cell>
          <cell r="AD185">
            <v>32</v>
          </cell>
          <cell r="AE185">
            <v>34</v>
          </cell>
          <cell r="AF185">
            <v>34</v>
          </cell>
          <cell r="AG185">
            <v>388</v>
          </cell>
          <cell r="AH185">
            <v>32.333333333333336</v>
          </cell>
        </row>
        <row r="186">
          <cell r="B186" t="str">
            <v>MRENT6YDRECY</v>
          </cell>
          <cell r="C186" t="str">
            <v>MF 6YD RECYCLE RENT</v>
          </cell>
          <cell r="D186">
            <v>17.100000000000001</v>
          </cell>
          <cell r="E186">
            <v>17.18</v>
          </cell>
          <cell r="F186">
            <v>17.18</v>
          </cell>
          <cell r="G186">
            <v>615.6</v>
          </cell>
          <cell r="H186">
            <v>615.6</v>
          </cell>
          <cell r="I186">
            <v>615.6</v>
          </cell>
          <cell r="J186">
            <v>618.48</v>
          </cell>
          <cell r="K186">
            <v>618.48</v>
          </cell>
          <cell r="L186">
            <v>618.48</v>
          </cell>
          <cell r="M186">
            <v>635.66</v>
          </cell>
          <cell r="N186">
            <v>635.66</v>
          </cell>
          <cell r="O186">
            <v>635.66</v>
          </cell>
          <cell r="P186">
            <v>635.66000000000008</v>
          </cell>
          <cell r="Q186">
            <v>652.84</v>
          </cell>
          <cell r="R186">
            <v>652.84</v>
          </cell>
          <cell r="S186">
            <v>7550.56</v>
          </cell>
          <cell r="U186">
            <v>36</v>
          </cell>
          <cell r="V186">
            <v>36</v>
          </cell>
          <cell r="W186">
            <v>36</v>
          </cell>
          <cell r="X186">
            <v>36</v>
          </cell>
          <cell r="Y186">
            <v>36</v>
          </cell>
          <cell r="Z186">
            <v>36</v>
          </cell>
          <cell r="AA186">
            <v>37</v>
          </cell>
          <cell r="AB186">
            <v>37</v>
          </cell>
          <cell r="AC186">
            <v>37</v>
          </cell>
          <cell r="AD186">
            <v>37.000000000000007</v>
          </cell>
          <cell r="AE186">
            <v>38</v>
          </cell>
          <cell r="AF186">
            <v>38</v>
          </cell>
          <cell r="AG186">
            <v>440</v>
          </cell>
          <cell r="AH186">
            <v>36.666666666666664</v>
          </cell>
        </row>
        <row r="188">
          <cell r="C188" t="str">
            <v>TOTAL MULTI-FAMILY RECYCLING</v>
          </cell>
          <cell r="G188">
            <v>31623.325000000001</v>
          </cell>
          <cell r="H188">
            <v>32509.625</v>
          </cell>
          <cell r="I188">
            <v>32572.37</v>
          </cell>
          <cell r="J188">
            <v>32836.684999999998</v>
          </cell>
          <cell r="K188">
            <v>32919.224999999999</v>
          </cell>
          <cell r="L188">
            <v>33098.039999999994</v>
          </cell>
          <cell r="M188">
            <v>33838.100000000006</v>
          </cell>
          <cell r="N188">
            <v>33860.270000000004</v>
          </cell>
          <cell r="O188">
            <v>33839.935000000005</v>
          </cell>
          <cell r="P188">
            <v>33853.915000000008</v>
          </cell>
          <cell r="Q188">
            <v>34349.164999999994</v>
          </cell>
          <cell r="R188">
            <v>34038.369999999995</v>
          </cell>
          <cell r="S188">
            <v>399339.02499999997</v>
          </cell>
          <cell r="U188">
            <v>1784.4909453146893</v>
          </cell>
          <cell r="V188">
            <v>1904.5857962631985</v>
          </cell>
          <cell r="W188">
            <v>1913.0878287835239</v>
          </cell>
          <cell r="X188">
            <v>1936.419339279847</v>
          </cell>
          <cell r="Y188">
            <v>1948.1656280787674</v>
          </cell>
          <cell r="Z188">
            <v>1982.0839924945953</v>
          </cell>
          <cell r="AA188">
            <v>2008.8623799203851</v>
          </cell>
          <cell r="AB188">
            <v>2084.1352308785863</v>
          </cell>
          <cell r="AC188">
            <v>2081.4665399204223</v>
          </cell>
          <cell r="AD188">
            <v>2083.4611418097606</v>
          </cell>
          <cell r="AE188">
            <v>2119.5607162337051</v>
          </cell>
          <cell r="AF188">
            <v>2078.2242713418955</v>
          </cell>
          <cell r="AG188">
            <v>23924.543810319377</v>
          </cell>
          <cell r="AH188">
            <v>1993.7119841932815</v>
          </cell>
        </row>
        <row r="190">
          <cell r="B190" t="str">
            <v>SUBTOTAL MF &amp; COMMERCIAL</v>
          </cell>
          <cell r="G190">
            <v>808566.60499999975</v>
          </cell>
          <cell r="H190">
            <v>801849.02500000014</v>
          </cell>
          <cell r="I190">
            <v>809097.39000000013</v>
          </cell>
          <cell r="J190">
            <v>812722.52499999979</v>
          </cell>
          <cell r="K190">
            <v>811052.76500000001</v>
          </cell>
          <cell r="L190">
            <v>808786.13500000001</v>
          </cell>
          <cell r="M190">
            <v>800313.44500000018</v>
          </cell>
          <cell r="N190">
            <v>800931.60000000009</v>
          </cell>
          <cell r="O190">
            <v>808611.94500000007</v>
          </cell>
          <cell r="P190">
            <v>816605.03999999992</v>
          </cell>
          <cell r="Q190">
            <v>818425.58999999985</v>
          </cell>
          <cell r="R190">
            <v>824344.53999999969</v>
          </cell>
          <cell r="S190">
            <v>9721306.6050000004</v>
          </cell>
          <cell r="U190">
            <v>10496.833260798296</v>
          </cell>
          <cell r="V190">
            <v>10129.660634127735</v>
          </cell>
          <cell r="W190">
            <v>10684.427370573823</v>
          </cell>
          <cell r="X190">
            <v>10408.323546568103</v>
          </cell>
          <cell r="Y190">
            <v>10249.190890173182</v>
          </cell>
          <cell r="Z190">
            <v>11009.16313644561</v>
          </cell>
          <cell r="AA190">
            <v>9812.7822994927938</v>
          </cell>
          <cell r="AB190">
            <v>10054.830179623375</v>
          </cell>
          <cell r="AC190">
            <v>10099.187102601005</v>
          </cell>
          <cell r="AD190">
            <v>10675.798282647585</v>
          </cell>
          <cell r="AE190">
            <v>10233.796224603282</v>
          </cell>
          <cell r="AF190">
            <v>9979.4613001827147</v>
          </cell>
          <cell r="AG190">
            <v>123833.45422783752</v>
          </cell>
          <cell r="AH190">
            <v>10319.454518986458</v>
          </cell>
        </row>
        <row r="193">
          <cell r="B193" t="str">
            <v>DROP BOX SERVICES</v>
          </cell>
        </row>
        <row r="195">
          <cell r="B195" t="str">
            <v>DROP BOX HAULS/RENTAL</v>
          </cell>
        </row>
        <row r="196">
          <cell r="B196" t="str">
            <v>ROHAUL20</v>
          </cell>
          <cell r="C196" t="str">
            <v>20YD ROLL OFF-HAUL</v>
          </cell>
          <cell r="D196">
            <v>94.69</v>
          </cell>
          <cell r="E196">
            <v>95.13</v>
          </cell>
          <cell r="F196">
            <v>95.13</v>
          </cell>
          <cell r="G196">
            <v>15339.779999999999</v>
          </cell>
          <cell r="H196">
            <v>13635.36</v>
          </cell>
          <cell r="I196">
            <v>13256.6</v>
          </cell>
          <cell r="J196">
            <v>14451.84</v>
          </cell>
          <cell r="K196">
            <v>13698.720000000001</v>
          </cell>
          <cell r="L196">
            <v>13032.81</v>
          </cell>
          <cell r="M196">
            <v>15315.93</v>
          </cell>
          <cell r="N196">
            <v>17408.79</v>
          </cell>
          <cell r="O196">
            <v>16552.62</v>
          </cell>
          <cell r="P196">
            <v>17884.439999999999</v>
          </cell>
          <cell r="Q196">
            <v>16267.23</v>
          </cell>
          <cell r="R196">
            <v>16838.010000000002</v>
          </cell>
          <cell r="S196">
            <v>183682.13000000003</v>
          </cell>
          <cell r="U196">
            <v>162</v>
          </cell>
          <cell r="V196">
            <v>144</v>
          </cell>
          <cell r="W196">
            <v>140</v>
          </cell>
          <cell r="X196">
            <v>151.91674550614948</v>
          </cell>
          <cell r="Y196">
            <v>144.00000000000003</v>
          </cell>
          <cell r="Z196">
            <v>137</v>
          </cell>
          <cell r="AA196">
            <v>161</v>
          </cell>
          <cell r="AB196">
            <v>183.00000000000003</v>
          </cell>
          <cell r="AC196">
            <v>174</v>
          </cell>
          <cell r="AD196">
            <v>188</v>
          </cell>
          <cell r="AE196">
            <v>171</v>
          </cell>
          <cell r="AF196">
            <v>177.00000000000003</v>
          </cell>
          <cell r="AG196">
            <v>1932.9167455061495</v>
          </cell>
          <cell r="AH196">
            <v>161.07639545884578</v>
          </cell>
        </row>
        <row r="197">
          <cell r="B197" t="str">
            <v>ROHAUL20CO</v>
          </cell>
          <cell r="C197" t="str">
            <v>20YD CUST OWNED R/O HAUL</v>
          </cell>
          <cell r="D197">
            <v>94.69</v>
          </cell>
          <cell r="E197">
            <v>95.13</v>
          </cell>
          <cell r="F197">
            <v>95.13</v>
          </cell>
          <cell r="G197">
            <v>94.69</v>
          </cell>
          <cell r="H197">
            <v>0</v>
          </cell>
          <cell r="I197">
            <v>94.69</v>
          </cell>
          <cell r="J197">
            <v>95.13</v>
          </cell>
          <cell r="K197">
            <v>0</v>
          </cell>
          <cell r="L197">
            <v>95.13</v>
          </cell>
          <cell r="M197">
            <v>95.13</v>
          </cell>
          <cell r="N197">
            <v>95.13</v>
          </cell>
          <cell r="O197">
            <v>0</v>
          </cell>
          <cell r="P197">
            <v>0</v>
          </cell>
          <cell r="Q197">
            <v>95.13</v>
          </cell>
          <cell r="R197">
            <v>95.13</v>
          </cell>
          <cell r="S197">
            <v>760.16</v>
          </cell>
          <cell r="U197">
            <v>1</v>
          </cell>
          <cell r="V197">
            <v>0</v>
          </cell>
          <cell r="W197">
            <v>1</v>
          </cell>
          <cell r="X197">
            <v>1</v>
          </cell>
          <cell r="Y197">
            <v>0</v>
          </cell>
          <cell r="Z197">
            <v>1</v>
          </cell>
          <cell r="AA197">
            <v>1</v>
          </cell>
          <cell r="AB197">
            <v>1</v>
          </cell>
          <cell r="AC197">
            <v>0</v>
          </cell>
          <cell r="AD197">
            <v>0</v>
          </cell>
          <cell r="AE197">
            <v>1</v>
          </cell>
          <cell r="AF197">
            <v>1</v>
          </cell>
          <cell r="AG197">
            <v>8</v>
          </cell>
          <cell r="AH197">
            <v>0.66666666666666663</v>
          </cell>
        </row>
        <row r="198">
          <cell r="B198" t="str">
            <v>ROHAUL20T</v>
          </cell>
          <cell r="C198" t="str">
            <v>20YD ROLL OFF TEMP HAUL</v>
          </cell>
          <cell r="D198">
            <v>113</v>
          </cell>
          <cell r="E198">
            <v>113.53</v>
          </cell>
          <cell r="F198">
            <v>113.53</v>
          </cell>
          <cell r="G198">
            <v>5989</v>
          </cell>
          <cell r="H198">
            <v>3390</v>
          </cell>
          <cell r="I198">
            <v>3955</v>
          </cell>
          <cell r="J198">
            <v>4659.2299999999996</v>
          </cell>
          <cell r="K198">
            <v>4541.2</v>
          </cell>
          <cell r="L198">
            <v>3973.55</v>
          </cell>
          <cell r="M198">
            <v>5676.5</v>
          </cell>
          <cell r="N198">
            <v>5676.5</v>
          </cell>
          <cell r="O198">
            <v>2157.0700000000002</v>
          </cell>
          <cell r="P198">
            <v>4200.6099999999997</v>
          </cell>
          <cell r="Q198">
            <v>4541.2</v>
          </cell>
          <cell r="R198">
            <v>3746.49</v>
          </cell>
          <cell r="S198">
            <v>52506.349999999991</v>
          </cell>
          <cell r="U198">
            <v>53</v>
          </cell>
          <cell r="V198">
            <v>30</v>
          </cell>
          <cell r="W198">
            <v>35</v>
          </cell>
          <cell r="X198">
            <v>41.039637100325898</v>
          </cell>
          <cell r="Y198">
            <v>40</v>
          </cell>
          <cell r="Z198">
            <v>35</v>
          </cell>
          <cell r="AA198">
            <v>50</v>
          </cell>
          <cell r="AB198">
            <v>50</v>
          </cell>
          <cell r="AC198">
            <v>19</v>
          </cell>
          <cell r="AD198">
            <v>37</v>
          </cell>
          <cell r="AE198">
            <v>40</v>
          </cell>
          <cell r="AF198">
            <v>33</v>
          </cell>
          <cell r="AG198">
            <v>463.03963710032588</v>
          </cell>
          <cell r="AH198">
            <v>38.586636425027159</v>
          </cell>
        </row>
        <row r="199">
          <cell r="B199" t="str">
            <v>ROHAUL25</v>
          </cell>
          <cell r="C199" t="str">
            <v>25YD ROLL OFF - HAUL</v>
          </cell>
          <cell r="D199">
            <v>103.8</v>
          </cell>
          <cell r="E199">
            <v>104.29</v>
          </cell>
          <cell r="F199">
            <v>104.29</v>
          </cell>
          <cell r="G199">
            <v>10795.2</v>
          </cell>
          <cell r="H199">
            <v>10483.800000000001</v>
          </cell>
          <cell r="I199">
            <v>8719.2000000000007</v>
          </cell>
          <cell r="J199">
            <v>9174.09</v>
          </cell>
          <cell r="K199">
            <v>8760.36</v>
          </cell>
          <cell r="L199">
            <v>10324.709999999999</v>
          </cell>
          <cell r="M199">
            <v>11784.77</v>
          </cell>
          <cell r="N199">
            <v>12097.64</v>
          </cell>
          <cell r="O199">
            <v>11990.640000000001</v>
          </cell>
          <cell r="P199">
            <v>13244.829999999998</v>
          </cell>
          <cell r="Q199">
            <v>11263.32</v>
          </cell>
          <cell r="R199">
            <v>11576.189999999999</v>
          </cell>
          <cell r="S199">
            <v>130214.75</v>
          </cell>
          <cell r="U199">
            <v>104.00000000000001</v>
          </cell>
          <cell r="V199">
            <v>101.00000000000001</v>
          </cell>
          <cell r="W199">
            <v>84.000000000000014</v>
          </cell>
          <cell r="X199">
            <v>87.967110940646265</v>
          </cell>
          <cell r="Y199">
            <v>84</v>
          </cell>
          <cell r="Z199">
            <v>98.999999999999986</v>
          </cell>
          <cell r="AA199">
            <v>113</v>
          </cell>
          <cell r="AB199">
            <v>115.99999999999999</v>
          </cell>
          <cell r="AC199">
            <v>114.97401476651645</v>
          </cell>
          <cell r="AD199">
            <v>126.99999999999997</v>
          </cell>
          <cell r="AE199">
            <v>107.99999999999999</v>
          </cell>
          <cell r="AF199">
            <v>110.99999999999999</v>
          </cell>
          <cell r="AG199">
            <v>1249.9411257071627</v>
          </cell>
          <cell r="AH199">
            <v>104.16176047559689</v>
          </cell>
        </row>
        <row r="200">
          <cell r="B200" t="str">
            <v>ROHAUL25T</v>
          </cell>
          <cell r="C200" t="str">
            <v>25YD ROLL OFF TEMP HAUL</v>
          </cell>
          <cell r="D200">
            <v>120.65</v>
          </cell>
          <cell r="E200">
            <v>121.21</v>
          </cell>
          <cell r="F200">
            <v>121.21</v>
          </cell>
          <cell r="G200">
            <v>2774.95</v>
          </cell>
          <cell r="H200">
            <v>2292.35</v>
          </cell>
          <cell r="I200">
            <v>2413</v>
          </cell>
          <cell r="J200">
            <v>969.12</v>
          </cell>
          <cell r="K200">
            <v>2423.64</v>
          </cell>
          <cell r="L200">
            <v>1818.1499999999999</v>
          </cell>
          <cell r="M200">
            <v>242.42</v>
          </cell>
          <cell r="N200">
            <v>1090.8900000000001</v>
          </cell>
          <cell r="O200">
            <v>1090.8899999999999</v>
          </cell>
          <cell r="P200">
            <v>2060.5699999999997</v>
          </cell>
          <cell r="Q200">
            <v>848.47</v>
          </cell>
          <cell r="R200">
            <v>2302.9900000000002</v>
          </cell>
          <cell r="S200">
            <v>20327.439999999999</v>
          </cell>
          <cell r="U200">
            <v>22.999999999999996</v>
          </cell>
          <cell r="V200">
            <v>19</v>
          </cell>
          <cell r="W200">
            <v>20</v>
          </cell>
          <cell r="X200">
            <v>7.9953799191485855</v>
          </cell>
          <cell r="Y200">
            <v>19.995379919148586</v>
          </cell>
          <cell r="Z200">
            <v>15</v>
          </cell>
          <cell r="AA200">
            <v>2</v>
          </cell>
          <cell r="AB200">
            <v>9.0000000000000018</v>
          </cell>
          <cell r="AC200">
            <v>9</v>
          </cell>
          <cell r="AD200">
            <v>17</v>
          </cell>
          <cell r="AE200">
            <v>7.0000000000000009</v>
          </cell>
          <cell r="AF200">
            <v>19.000000000000004</v>
          </cell>
          <cell r="AG200">
            <v>167.99075983829718</v>
          </cell>
          <cell r="AH200">
            <v>13.999229986524766</v>
          </cell>
        </row>
        <row r="201">
          <cell r="B201" t="str">
            <v>ROHAUL30</v>
          </cell>
          <cell r="C201" t="str">
            <v>30YD ROLL OFF-HAUL</v>
          </cell>
          <cell r="D201">
            <v>111.59</v>
          </cell>
          <cell r="E201">
            <v>112.11</v>
          </cell>
          <cell r="F201">
            <v>112.11</v>
          </cell>
          <cell r="G201">
            <v>39279.68</v>
          </cell>
          <cell r="H201">
            <v>40395.58</v>
          </cell>
          <cell r="I201">
            <v>43296.92</v>
          </cell>
          <cell r="J201">
            <v>44603.14</v>
          </cell>
          <cell r="K201">
            <v>49103.66</v>
          </cell>
          <cell r="L201">
            <v>41073.81</v>
          </cell>
          <cell r="M201">
            <v>40920.149999999994</v>
          </cell>
          <cell r="N201">
            <v>45180.33</v>
          </cell>
          <cell r="O201">
            <v>39238.5</v>
          </cell>
          <cell r="P201">
            <v>48655.74</v>
          </cell>
          <cell r="Q201">
            <v>45516.659999999996</v>
          </cell>
          <cell r="R201">
            <v>48992.07</v>
          </cell>
          <cell r="S201">
            <v>526256.24</v>
          </cell>
          <cell r="U201">
            <v>352</v>
          </cell>
          <cell r="V201">
            <v>362</v>
          </cell>
          <cell r="W201">
            <v>388</v>
          </cell>
          <cell r="X201">
            <v>397.85157434662386</v>
          </cell>
          <cell r="Y201">
            <v>437.99536169833203</v>
          </cell>
          <cell r="Z201">
            <v>366.37061814289535</v>
          </cell>
          <cell r="AA201">
            <v>364.99999999999994</v>
          </cell>
          <cell r="AB201">
            <v>403</v>
          </cell>
          <cell r="AC201">
            <v>350</v>
          </cell>
          <cell r="AD201">
            <v>434</v>
          </cell>
          <cell r="AE201">
            <v>405.99999999999994</v>
          </cell>
          <cell r="AF201">
            <v>437</v>
          </cell>
          <cell r="AG201">
            <v>4699.2175541878514</v>
          </cell>
          <cell r="AH201">
            <v>391.60146284898764</v>
          </cell>
        </row>
        <row r="202">
          <cell r="B202" t="str">
            <v>ROHAUL30T</v>
          </cell>
          <cell r="C202" t="str">
            <v>30YD ROLL OFF TEMP HAUL</v>
          </cell>
          <cell r="D202">
            <v>127.13</v>
          </cell>
          <cell r="E202">
            <v>127.72</v>
          </cell>
          <cell r="F202">
            <v>127.72</v>
          </cell>
          <cell r="G202">
            <v>7627.8</v>
          </cell>
          <cell r="H202">
            <v>7119.2800000000007</v>
          </cell>
          <cell r="I202">
            <v>9534.75</v>
          </cell>
          <cell r="J202">
            <v>7532.53</v>
          </cell>
          <cell r="K202">
            <v>8428.58</v>
          </cell>
          <cell r="L202">
            <v>6513.72</v>
          </cell>
          <cell r="M202">
            <v>6386</v>
          </cell>
          <cell r="N202">
            <v>9962.16</v>
          </cell>
          <cell r="O202">
            <v>5236.5200000000004</v>
          </cell>
          <cell r="P202">
            <v>5364.24</v>
          </cell>
          <cell r="Q202">
            <v>7152.3200000000006</v>
          </cell>
          <cell r="R202">
            <v>10345.32</v>
          </cell>
          <cell r="S202">
            <v>91203.22000000003</v>
          </cell>
          <cell r="U202">
            <v>60.000000000000007</v>
          </cell>
          <cell r="V202">
            <v>56.000000000000007</v>
          </cell>
          <cell r="W202">
            <v>75</v>
          </cell>
          <cell r="X202">
            <v>58.976902599436265</v>
          </cell>
          <cell r="Y202">
            <v>65.992640150328839</v>
          </cell>
          <cell r="Z202">
            <v>51</v>
          </cell>
          <cell r="AA202">
            <v>50</v>
          </cell>
          <cell r="AB202">
            <v>78</v>
          </cell>
          <cell r="AC202">
            <v>41.000000000000007</v>
          </cell>
          <cell r="AD202">
            <v>42</v>
          </cell>
          <cell r="AE202">
            <v>56.000000000000007</v>
          </cell>
          <cell r="AF202">
            <v>81</v>
          </cell>
          <cell r="AG202">
            <v>714.96954274976508</v>
          </cell>
          <cell r="AH202">
            <v>59.580795229147093</v>
          </cell>
        </row>
        <row r="203">
          <cell r="B203" t="str">
            <v>ROHAUL40</v>
          </cell>
          <cell r="C203" t="str">
            <v>40YD ROLL OFF-HAUL</v>
          </cell>
          <cell r="D203">
            <v>134.91</v>
          </cell>
          <cell r="E203">
            <v>135.54</v>
          </cell>
          <cell r="F203">
            <v>135.54</v>
          </cell>
          <cell r="G203">
            <v>4452.03</v>
          </cell>
          <cell r="H203">
            <v>4452.0300000000007</v>
          </cell>
          <cell r="I203">
            <v>4317.12</v>
          </cell>
          <cell r="J203">
            <v>4066.2</v>
          </cell>
          <cell r="K203">
            <v>4743.8999999999996</v>
          </cell>
          <cell r="L203">
            <v>5150.5200000000004</v>
          </cell>
          <cell r="M203">
            <v>5557.1399999999994</v>
          </cell>
          <cell r="N203">
            <v>6505.92</v>
          </cell>
          <cell r="O203">
            <v>5557.1399999999994</v>
          </cell>
          <cell r="P203">
            <v>6505.92</v>
          </cell>
          <cell r="Q203">
            <v>6370.38</v>
          </cell>
          <cell r="R203">
            <v>5421.6</v>
          </cell>
          <cell r="S203">
            <v>63099.899999999994</v>
          </cell>
          <cell r="U203">
            <v>33</v>
          </cell>
          <cell r="V203">
            <v>33.000000000000007</v>
          </cell>
          <cell r="W203">
            <v>32</v>
          </cell>
          <cell r="X203">
            <v>30</v>
          </cell>
          <cell r="Y203">
            <v>35</v>
          </cell>
          <cell r="Z203">
            <v>38.000000000000007</v>
          </cell>
          <cell r="AA203">
            <v>41</v>
          </cell>
          <cell r="AB203">
            <v>48</v>
          </cell>
          <cell r="AC203">
            <v>41</v>
          </cell>
          <cell r="AD203">
            <v>48</v>
          </cell>
          <cell r="AE203">
            <v>47.000000000000007</v>
          </cell>
          <cell r="AF203">
            <v>40.000000000000007</v>
          </cell>
          <cell r="AG203">
            <v>466</v>
          </cell>
          <cell r="AH203">
            <v>38.833333333333336</v>
          </cell>
        </row>
        <row r="204">
          <cell r="B204" t="str">
            <v>ROHAUL40T</v>
          </cell>
          <cell r="C204" t="str">
            <v>40YD ROLL OFF TEMP</v>
          </cell>
          <cell r="D204">
            <v>146.59</v>
          </cell>
          <cell r="E204">
            <v>147.28</v>
          </cell>
          <cell r="F204">
            <v>147.28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736.4</v>
          </cell>
          <cell r="S204">
            <v>736.4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5</v>
          </cell>
          <cell r="AG204">
            <v>5</v>
          </cell>
          <cell r="AH204">
            <v>0.41666666666666669</v>
          </cell>
        </row>
        <row r="205">
          <cell r="B205" t="str">
            <v>CPHAUL10</v>
          </cell>
          <cell r="C205" t="str">
            <v>10YD COMPACTOR-HAUL</v>
          </cell>
          <cell r="D205">
            <v>136.22999999999999</v>
          </cell>
          <cell r="E205">
            <v>136.87</v>
          </cell>
          <cell r="F205">
            <v>136.87</v>
          </cell>
          <cell r="G205">
            <v>544.91999999999996</v>
          </cell>
          <cell r="H205">
            <v>408.69</v>
          </cell>
          <cell r="I205">
            <v>544.91999999999996</v>
          </cell>
          <cell r="J205">
            <v>410.61</v>
          </cell>
          <cell r="K205">
            <v>410.61</v>
          </cell>
          <cell r="L205">
            <v>273.74</v>
          </cell>
          <cell r="M205">
            <v>958.09</v>
          </cell>
          <cell r="N205">
            <v>1231.83</v>
          </cell>
          <cell r="O205">
            <v>821.22</v>
          </cell>
          <cell r="P205">
            <v>821.22</v>
          </cell>
          <cell r="Q205">
            <v>684.35</v>
          </cell>
          <cell r="R205">
            <v>821.22</v>
          </cell>
          <cell r="S205">
            <v>7931.420000000001</v>
          </cell>
          <cell r="U205">
            <v>4</v>
          </cell>
          <cell r="V205">
            <v>3</v>
          </cell>
          <cell r="W205">
            <v>4</v>
          </cell>
          <cell r="X205">
            <v>3</v>
          </cell>
          <cell r="Y205">
            <v>3</v>
          </cell>
          <cell r="Z205">
            <v>2</v>
          </cell>
          <cell r="AA205">
            <v>7</v>
          </cell>
          <cell r="AB205">
            <v>9</v>
          </cell>
          <cell r="AC205">
            <v>6</v>
          </cell>
          <cell r="AD205">
            <v>6</v>
          </cell>
          <cell r="AE205">
            <v>5</v>
          </cell>
          <cell r="AF205">
            <v>6</v>
          </cell>
          <cell r="AG205">
            <v>58</v>
          </cell>
          <cell r="AH205">
            <v>4.833333333333333</v>
          </cell>
        </row>
        <row r="206">
          <cell r="B206" t="str">
            <v>CPHAUL15</v>
          </cell>
          <cell r="C206" t="str">
            <v>15YD COMPACTOR-HAUL</v>
          </cell>
          <cell r="D206">
            <v>140.76</v>
          </cell>
          <cell r="E206">
            <v>141.41999999999999</v>
          </cell>
          <cell r="F206">
            <v>141.41999999999999</v>
          </cell>
          <cell r="G206">
            <v>281.52</v>
          </cell>
          <cell r="H206">
            <v>140.76</v>
          </cell>
          <cell r="I206">
            <v>140.76</v>
          </cell>
          <cell r="J206">
            <v>141.41999999999999</v>
          </cell>
          <cell r="K206">
            <v>282.83999999999997</v>
          </cell>
          <cell r="L206">
            <v>282.83999999999997</v>
          </cell>
          <cell r="M206">
            <v>141.41999999999999</v>
          </cell>
          <cell r="N206">
            <v>282.83999999999997</v>
          </cell>
          <cell r="O206">
            <v>0</v>
          </cell>
          <cell r="P206">
            <v>282.83999999999997</v>
          </cell>
          <cell r="Q206">
            <v>282.83999999999997</v>
          </cell>
          <cell r="R206">
            <v>141.41999999999999</v>
          </cell>
          <cell r="S206">
            <v>2401.5</v>
          </cell>
          <cell r="U206">
            <v>2</v>
          </cell>
          <cell r="V206">
            <v>1</v>
          </cell>
          <cell r="W206">
            <v>1</v>
          </cell>
          <cell r="X206">
            <v>1</v>
          </cell>
          <cell r="Y206">
            <v>2</v>
          </cell>
          <cell r="Z206">
            <v>2</v>
          </cell>
          <cell r="AA206">
            <v>1</v>
          </cell>
          <cell r="AB206">
            <v>2</v>
          </cell>
          <cell r="AC206">
            <v>0</v>
          </cell>
          <cell r="AD206">
            <v>2</v>
          </cell>
          <cell r="AE206">
            <v>2</v>
          </cell>
          <cell r="AF206">
            <v>1</v>
          </cell>
          <cell r="AG206">
            <v>17</v>
          </cell>
          <cell r="AH206">
            <v>1.4166666666666667</v>
          </cell>
        </row>
        <row r="207">
          <cell r="B207" t="str">
            <v>CPHAUL20</v>
          </cell>
          <cell r="C207" t="str">
            <v>20YD COMPACTOR-HAUL</v>
          </cell>
          <cell r="D207">
            <v>140.76</v>
          </cell>
          <cell r="E207">
            <v>141.41999999999999</v>
          </cell>
          <cell r="F207">
            <v>141.41999999999999</v>
          </cell>
          <cell r="G207">
            <v>5771.16</v>
          </cell>
          <cell r="H207">
            <v>4504.32</v>
          </cell>
          <cell r="I207">
            <v>5489.6399999999994</v>
          </cell>
          <cell r="J207">
            <v>6219.18</v>
          </cell>
          <cell r="K207">
            <v>5515.38</v>
          </cell>
          <cell r="L207">
            <v>6081.0599999999995</v>
          </cell>
          <cell r="M207">
            <v>4949.7</v>
          </cell>
          <cell r="N207">
            <v>5373.96</v>
          </cell>
          <cell r="O207">
            <v>5091.12</v>
          </cell>
          <cell r="P207">
            <v>5939.64</v>
          </cell>
          <cell r="Q207">
            <v>4949.7</v>
          </cell>
          <cell r="R207">
            <v>6363.9000000000005</v>
          </cell>
          <cell r="S207">
            <v>66248.759999999995</v>
          </cell>
          <cell r="U207">
            <v>41</v>
          </cell>
          <cell r="V207">
            <v>32</v>
          </cell>
          <cell r="W207">
            <v>39</v>
          </cell>
          <cell r="X207">
            <v>43.976665252439545</v>
          </cell>
          <cell r="Y207">
            <v>39.000000000000007</v>
          </cell>
          <cell r="Z207">
            <v>43</v>
          </cell>
          <cell r="AA207">
            <v>35</v>
          </cell>
          <cell r="AB207">
            <v>38.000000000000007</v>
          </cell>
          <cell r="AC207">
            <v>36</v>
          </cell>
          <cell r="AD207">
            <v>42.000000000000007</v>
          </cell>
          <cell r="AE207">
            <v>35</v>
          </cell>
          <cell r="AF207">
            <v>45.000000000000007</v>
          </cell>
          <cell r="AG207">
            <v>468.97666525243955</v>
          </cell>
          <cell r="AH207">
            <v>39.081388771036629</v>
          </cell>
        </row>
        <row r="208">
          <cell r="B208" t="str">
            <v>CPHAUL25</v>
          </cell>
          <cell r="C208" t="str">
            <v>25YD COMPACTOR-HAUL</v>
          </cell>
          <cell r="D208">
            <v>146</v>
          </cell>
          <cell r="E208">
            <v>146.68</v>
          </cell>
          <cell r="F208">
            <v>146.68</v>
          </cell>
          <cell r="G208">
            <v>8468</v>
          </cell>
          <cell r="H208">
            <v>8614</v>
          </cell>
          <cell r="I208">
            <v>9052</v>
          </cell>
          <cell r="J208">
            <v>8798.08</v>
          </cell>
          <cell r="K208">
            <v>10120.92</v>
          </cell>
          <cell r="L208">
            <v>10120.92</v>
          </cell>
          <cell r="M208">
            <v>9094.16</v>
          </cell>
          <cell r="N208">
            <v>10267.6</v>
          </cell>
          <cell r="O208">
            <v>8947.48</v>
          </cell>
          <cell r="P208">
            <v>10560.960000000001</v>
          </cell>
          <cell r="Q208">
            <v>9680.880000000001</v>
          </cell>
          <cell r="R208">
            <v>10414.280000000001</v>
          </cell>
          <cell r="S208">
            <v>114139.28000000001</v>
          </cell>
          <cell r="U208">
            <v>58</v>
          </cell>
          <cell r="V208">
            <v>59</v>
          </cell>
          <cell r="W208">
            <v>62</v>
          </cell>
          <cell r="X208">
            <v>59.981456231251698</v>
          </cell>
          <cell r="Y208">
            <v>69</v>
          </cell>
          <cell r="Z208">
            <v>69</v>
          </cell>
          <cell r="AA208">
            <v>61.999999999999993</v>
          </cell>
          <cell r="AB208">
            <v>70</v>
          </cell>
          <cell r="AC208">
            <v>60.999999999999993</v>
          </cell>
          <cell r="AD208">
            <v>72</v>
          </cell>
          <cell r="AE208">
            <v>66</v>
          </cell>
          <cell r="AF208">
            <v>71</v>
          </cell>
          <cell r="AG208">
            <v>778.98145623125163</v>
          </cell>
          <cell r="AH208">
            <v>64.915121352604302</v>
          </cell>
        </row>
        <row r="209">
          <cell r="B209" t="str">
            <v>CPHAUL30</v>
          </cell>
          <cell r="C209" t="str">
            <v>30YD COMPACTOR-HAUL</v>
          </cell>
          <cell r="D209">
            <v>155.04</v>
          </cell>
          <cell r="E209">
            <v>155.77000000000001</v>
          </cell>
          <cell r="F209">
            <v>155.77000000000001</v>
          </cell>
          <cell r="G209">
            <v>19690.080000000002</v>
          </cell>
          <cell r="H209">
            <v>17984.64</v>
          </cell>
          <cell r="I209">
            <v>18294.72</v>
          </cell>
          <cell r="J209">
            <v>18217.060000000001</v>
          </cell>
          <cell r="K209">
            <v>18380.86</v>
          </cell>
          <cell r="L209">
            <v>19159.71</v>
          </cell>
          <cell r="M209">
            <v>19627.02</v>
          </cell>
          <cell r="N209">
            <v>20094.330000000002</v>
          </cell>
          <cell r="O209">
            <v>16978.93</v>
          </cell>
          <cell r="P209">
            <v>20250.099999999999</v>
          </cell>
          <cell r="Q209">
            <v>20561.64</v>
          </cell>
          <cell r="R209">
            <v>19003.939999999999</v>
          </cell>
          <cell r="S209">
            <v>228243.02999999997</v>
          </cell>
          <cell r="U209">
            <v>127.00000000000001</v>
          </cell>
          <cell r="V209">
            <v>116</v>
          </cell>
          <cell r="W209">
            <v>118.00000000000001</v>
          </cell>
          <cell r="X209">
            <v>116.94844963728575</v>
          </cell>
          <cell r="Y209">
            <v>118</v>
          </cell>
          <cell r="Z209">
            <v>122.99999999999999</v>
          </cell>
          <cell r="AA209">
            <v>126</v>
          </cell>
          <cell r="AB209">
            <v>129</v>
          </cell>
          <cell r="AC209">
            <v>109</v>
          </cell>
          <cell r="AD209">
            <v>129.99999999999997</v>
          </cell>
          <cell r="AE209">
            <v>132</v>
          </cell>
          <cell r="AF209">
            <v>121.99999999999999</v>
          </cell>
          <cell r="AG209">
            <v>1466.9484496372856</v>
          </cell>
          <cell r="AH209">
            <v>122.24570413644047</v>
          </cell>
        </row>
        <row r="210">
          <cell r="B210" t="str">
            <v>CPHAUL35</v>
          </cell>
          <cell r="C210" t="str">
            <v>35YD COMPACTOR-HAUL</v>
          </cell>
          <cell r="D210">
            <v>160.28</v>
          </cell>
          <cell r="E210">
            <v>161.03</v>
          </cell>
          <cell r="F210">
            <v>161.03</v>
          </cell>
          <cell r="G210">
            <v>1282.24</v>
          </cell>
          <cell r="H210">
            <v>801.4</v>
          </cell>
          <cell r="I210">
            <v>961.68</v>
          </cell>
          <cell r="J210">
            <v>804.4</v>
          </cell>
          <cell r="K210">
            <v>966.18000000000006</v>
          </cell>
          <cell r="L210">
            <v>1449.27</v>
          </cell>
          <cell r="M210">
            <v>1449.27</v>
          </cell>
          <cell r="N210">
            <v>1449.27</v>
          </cell>
          <cell r="O210">
            <v>1288.24</v>
          </cell>
          <cell r="P210">
            <v>1449.27</v>
          </cell>
          <cell r="Q210">
            <v>1771.33</v>
          </cell>
          <cell r="R210">
            <v>1771.33</v>
          </cell>
          <cell r="S210">
            <v>15443.880000000001</v>
          </cell>
          <cell r="U210">
            <v>8</v>
          </cell>
          <cell r="V210">
            <v>5</v>
          </cell>
          <cell r="W210">
            <v>6</v>
          </cell>
          <cell r="X210">
            <v>4.9953424827671862</v>
          </cell>
          <cell r="Y210">
            <v>6</v>
          </cell>
          <cell r="Z210">
            <v>9</v>
          </cell>
          <cell r="AA210">
            <v>9</v>
          </cell>
          <cell r="AB210">
            <v>9</v>
          </cell>
          <cell r="AC210">
            <v>8</v>
          </cell>
          <cell r="AD210">
            <v>9</v>
          </cell>
          <cell r="AE210">
            <v>11</v>
          </cell>
          <cell r="AF210">
            <v>11</v>
          </cell>
          <cell r="AG210">
            <v>95.995342482767185</v>
          </cell>
          <cell r="AH210">
            <v>7.9996118735639321</v>
          </cell>
        </row>
        <row r="211">
          <cell r="B211" t="str">
            <v>CPHAUL40</v>
          </cell>
          <cell r="C211" t="str">
            <v>40YD COMPACTOR - HAUL</v>
          </cell>
          <cell r="D211">
            <v>166.7</v>
          </cell>
          <cell r="E211">
            <v>167.48</v>
          </cell>
          <cell r="F211">
            <v>167.48</v>
          </cell>
          <cell r="G211">
            <v>12502.5</v>
          </cell>
          <cell r="H211">
            <v>11002.2</v>
          </cell>
          <cell r="I211">
            <v>11168.9</v>
          </cell>
          <cell r="J211">
            <v>11049</v>
          </cell>
          <cell r="K211">
            <v>13063.439999999999</v>
          </cell>
          <cell r="L211">
            <v>12393.52</v>
          </cell>
          <cell r="M211">
            <v>12561</v>
          </cell>
          <cell r="N211">
            <v>15240.68</v>
          </cell>
          <cell r="O211">
            <v>13230.92</v>
          </cell>
          <cell r="P211">
            <v>14068.32</v>
          </cell>
          <cell r="Q211">
            <v>12226.04</v>
          </cell>
          <cell r="R211">
            <v>12226.04</v>
          </cell>
          <cell r="S211">
            <v>150732.56</v>
          </cell>
          <cell r="U211">
            <v>75</v>
          </cell>
          <cell r="V211">
            <v>66.000000000000014</v>
          </cell>
          <cell r="W211">
            <v>67</v>
          </cell>
          <cell r="X211">
            <v>65.972056364939107</v>
          </cell>
          <cell r="Y211">
            <v>78</v>
          </cell>
          <cell r="Z211">
            <v>74.000000000000014</v>
          </cell>
          <cell r="AA211">
            <v>75</v>
          </cell>
          <cell r="AB211">
            <v>91.000000000000014</v>
          </cell>
          <cell r="AC211">
            <v>79</v>
          </cell>
          <cell r="AD211">
            <v>84</v>
          </cell>
          <cell r="AE211">
            <v>73.000000000000014</v>
          </cell>
          <cell r="AF211">
            <v>73.000000000000014</v>
          </cell>
          <cell r="AG211">
            <v>900.97205636493914</v>
          </cell>
          <cell r="AH211">
            <v>75.081004697078257</v>
          </cell>
        </row>
        <row r="212">
          <cell r="B212" t="str">
            <v>RORENT20P</v>
          </cell>
          <cell r="C212" t="str">
            <v>20YD ROLL OFF-PERM RENT</v>
          </cell>
          <cell r="D212">
            <v>90.24</v>
          </cell>
          <cell r="E212">
            <v>90.66</v>
          </cell>
          <cell r="F212">
            <v>90.66</v>
          </cell>
          <cell r="G212">
            <v>6244.6</v>
          </cell>
          <cell r="H212">
            <v>6136.32</v>
          </cell>
          <cell r="I212">
            <v>6133.2999999999993</v>
          </cell>
          <cell r="J212">
            <v>6267.62</v>
          </cell>
          <cell r="K212">
            <v>6536.57</v>
          </cell>
          <cell r="L212">
            <v>6590.9800000000005</v>
          </cell>
          <cell r="M212">
            <v>6947.5599999999995</v>
          </cell>
          <cell r="N212">
            <v>7110.76</v>
          </cell>
          <cell r="O212">
            <v>7118.53</v>
          </cell>
          <cell r="P212">
            <v>7273.27</v>
          </cell>
          <cell r="Q212">
            <v>6941.5300000000007</v>
          </cell>
          <cell r="R212">
            <v>6512.3899999999994</v>
          </cell>
          <cell r="S212">
            <v>79813.429999999993</v>
          </cell>
          <cell r="U212">
            <v>69.199911347517741</v>
          </cell>
          <cell r="V212">
            <v>68</v>
          </cell>
          <cell r="W212">
            <v>67.966533687943254</v>
          </cell>
          <cell r="X212">
            <v>69.133245091550847</v>
          </cell>
          <cell r="Y212">
            <v>72.099823516435038</v>
          </cell>
          <cell r="Z212">
            <v>72.699977939554387</v>
          </cell>
          <cell r="AA212">
            <v>76.633134789322739</v>
          </cell>
          <cell r="AB212">
            <v>78.433267151996475</v>
          </cell>
          <cell r="AC212">
            <v>78.518971983234067</v>
          </cell>
          <cell r="AD212">
            <v>80.225788660930959</v>
          </cell>
          <cell r="AE212">
            <v>76.566622545775431</v>
          </cell>
          <cell r="AF212">
            <v>71.833112728877126</v>
          </cell>
          <cell r="AG212">
            <v>881.31038944313809</v>
          </cell>
          <cell r="AH212">
            <v>73.442532453594836</v>
          </cell>
        </row>
        <row r="213">
          <cell r="B213" t="str">
            <v>RORENT20T</v>
          </cell>
          <cell r="C213" t="str">
            <v>20YD ROLL OFF-TEMP RENT</v>
          </cell>
          <cell r="D213">
            <v>153.35</v>
          </cell>
          <cell r="E213">
            <v>154.07</v>
          </cell>
          <cell r="F213">
            <v>154.07</v>
          </cell>
          <cell r="G213">
            <v>3634.2500000000005</v>
          </cell>
          <cell r="H213">
            <v>4017.6000000000004</v>
          </cell>
          <cell r="I213">
            <v>4380.5499999999993</v>
          </cell>
          <cell r="J213">
            <v>5079.7300000000005</v>
          </cell>
          <cell r="K213">
            <v>4170.12</v>
          </cell>
          <cell r="L213">
            <v>2788.75</v>
          </cell>
          <cell r="M213">
            <v>2220.85</v>
          </cell>
          <cell r="N213">
            <v>2495.79</v>
          </cell>
          <cell r="O213">
            <v>2711.92</v>
          </cell>
          <cell r="P213">
            <v>3055.67</v>
          </cell>
          <cell r="Q213">
            <v>3789.94</v>
          </cell>
          <cell r="R213">
            <v>4983.3500000000004</v>
          </cell>
          <cell r="S213">
            <v>43328.52</v>
          </cell>
          <cell r="U213">
            <v>23.699054450603199</v>
          </cell>
          <cell r="V213">
            <v>26.198891424845129</v>
          </cell>
          <cell r="W213">
            <v>28.565699380502117</v>
          </cell>
          <cell r="X213">
            <v>32.970273252417734</v>
          </cell>
          <cell r="Y213">
            <v>27.066398390342052</v>
          </cell>
          <cell r="Z213">
            <v>18.100538716167975</v>
          </cell>
          <cell r="AA213">
            <v>14.414551827091582</v>
          </cell>
          <cell r="AB213">
            <v>16.199065359901343</v>
          </cell>
          <cell r="AC213">
            <v>17.601869280197313</v>
          </cell>
          <cell r="AD213">
            <v>19.832997987927566</v>
          </cell>
          <cell r="AE213">
            <v>24.5988187187642</v>
          </cell>
          <cell r="AF213">
            <v>32.344713441941977</v>
          </cell>
          <cell r="AG213">
            <v>281.59287223070214</v>
          </cell>
          <cell r="AH213">
            <v>23.466072685891845</v>
          </cell>
        </row>
        <row r="214">
          <cell r="B214" t="str">
            <v>RORENT25P</v>
          </cell>
          <cell r="C214" t="str">
            <v>25YD ROLL OFF-PERM RENT</v>
          </cell>
          <cell r="D214">
            <v>101.11</v>
          </cell>
          <cell r="E214">
            <v>101.58</v>
          </cell>
          <cell r="F214">
            <v>101.58</v>
          </cell>
          <cell r="G214">
            <v>3818.58</v>
          </cell>
          <cell r="H214">
            <v>3639.96</v>
          </cell>
          <cell r="I214">
            <v>3562.43</v>
          </cell>
          <cell r="J214">
            <v>3555.3</v>
          </cell>
          <cell r="K214">
            <v>3758.46</v>
          </cell>
          <cell r="L214">
            <v>4025.95</v>
          </cell>
          <cell r="M214">
            <v>4086.13</v>
          </cell>
          <cell r="N214">
            <v>4154.62</v>
          </cell>
          <cell r="O214">
            <v>4041.4100000000003</v>
          </cell>
          <cell r="P214">
            <v>3860.04</v>
          </cell>
          <cell r="Q214">
            <v>3758.46</v>
          </cell>
          <cell r="R214">
            <v>3694.12</v>
          </cell>
          <cell r="S214">
            <v>45955.460000000006</v>
          </cell>
          <cell r="U214">
            <v>37.766590841657603</v>
          </cell>
          <cell r="V214">
            <v>36</v>
          </cell>
          <cell r="W214">
            <v>35.233211353970923</v>
          </cell>
          <cell r="X214">
            <v>35</v>
          </cell>
          <cell r="Y214">
            <v>37</v>
          </cell>
          <cell r="Z214">
            <v>39.633293955503049</v>
          </cell>
          <cell r="AA214">
            <v>40.225733412088992</v>
          </cell>
          <cell r="AB214">
            <v>40.89998031108486</v>
          </cell>
          <cell r="AC214">
            <v>39.785489269541252</v>
          </cell>
          <cell r="AD214">
            <v>38</v>
          </cell>
          <cell r="AE214">
            <v>37</v>
          </cell>
          <cell r="AF214">
            <v>36.366607599921245</v>
          </cell>
          <cell r="AG214">
            <v>452.91090674376784</v>
          </cell>
          <cell r="AH214">
            <v>37.742575561980651</v>
          </cell>
        </row>
        <row r="215">
          <cell r="B215" t="str">
            <v>RORENT25T</v>
          </cell>
          <cell r="C215" t="str">
            <v>25YD ROLL OFF-TEMP RENT</v>
          </cell>
          <cell r="D215">
            <v>159.82</v>
          </cell>
          <cell r="E215">
            <v>160.57</v>
          </cell>
          <cell r="F215">
            <v>160.57</v>
          </cell>
          <cell r="G215">
            <v>1523.52</v>
          </cell>
          <cell r="H215">
            <v>2205.42</v>
          </cell>
          <cell r="I215">
            <v>1800.5600000000002</v>
          </cell>
          <cell r="J215">
            <v>1648.4699999999998</v>
          </cell>
          <cell r="K215">
            <v>1184.3</v>
          </cell>
          <cell r="L215">
            <v>770.67000000000007</v>
          </cell>
          <cell r="M215">
            <v>208.74</v>
          </cell>
          <cell r="N215">
            <v>567.30999999999995</v>
          </cell>
          <cell r="O215">
            <v>859.35</v>
          </cell>
          <cell r="P215">
            <v>1471.83</v>
          </cell>
          <cell r="Q215">
            <v>417.43999999999994</v>
          </cell>
          <cell r="R215">
            <v>1729.4099999999999</v>
          </cell>
          <cell r="S215">
            <v>14387.019999999999</v>
          </cell>
          <cell r="U215">
            <v>9.532724314854212</v>
          </cell>
          <cell r="V215">
            <v>13.79939932423977</v>
          </cell>
          <cell r="W215">
            <v>11.266174446252036</v>
          </cell>
          <cell r="X215">
            <v>10.26636357974715</v>
          </cell>
          <cell r="Y215">
            <v>7.3755994270411662</v>
          </cell>
          <cell r="Z215">
            <v>4.7995889643146299</v>
          </cell>
          <cell r="AA215">
            <v>1.2999937721865853</v>
          </cell>
          <cell r="AB215">
            <v>3.533100828299184</v>
          </cell>
          <cell r="AC215">
            <v>5.3518714579311206</v>
          </cell>
          <cell r="AD215">
            <v>9.1662826181727599</v>
          </cell>
          <cell r="AE215">
            <v>2.5997384318365819</v>
          </cell>
          <cell r="AF215">
            <v>10.770442797533786</v>
          </cell>
          <cell r="AG215">
            <v>89.761279962408977</v>
          </cell>
          <cell r="AH215">
            <v>7.4801066635340812</v>
          </cell>
        </row>
        <row r="216">
          <cell r="B216" t="str">
            <v>RORENT30P</v>
          </cell>
          <cell r="C216" t="str">
            <v>30YD ROLL OFF-PERM RENT</v>
          </cell>
          <cell r="D216">
            <v>110.9</v>
          </cell>
          <cell r="E216">
            <v>111.42</v>
          </cell>
          <cell r="F216">
            <v>111.42</v>
          </cell>
          <cell r="G216">
            <v>13529.79</v>
          </cell>
          <cell r="H216">
            <v>13588.939999999999</v>
          </cell>
          <cell r="I216">
            <v>13751.59</v>
          </cell>
          <cell r="J216">
            <v>14083.48</v>
          </cell>
          <cell r="K216">
            <v>14674.010000000002</v>
          </cell>
          <cell r="L216">
            <v>14443.73</v>
          </cell>
          <cell r="M216">
            <v>14545.32</v>
          </cell>
          <cell r="N216">
            <v>14068.630000000003</v>
          </cell>
          <cell r="O216">
            <v>14846.71</v>
          </cell>
          <cell r="P216">
            <v>15056.51</v>
          </cell>
          <cell r="Q216">
            <v>14707.43</v>
          </cell>
          <cell r="R216">
            <v>14748.28</v>
          </cell>
          <cell r="S216">
            <v>172044.41999999998</v>
          </cell>
          <cell r="U216">
            <v>121.99990982867449</v>
          </cell>
          <cell r="V216">
            <v>122.5332732191163</v>
          </cell>
          <cell r="W216">
            <v>123.99990982867448</v>
          </cell>
          <cell r="X216">
            <v>126.39992819960509</v>
          </cell>
          <cell r="Y216">
            <v>131.69996409980257</v>
          </cell>
          <cell r="Z216">
            <v>129.63318973254351</v>
          </cell>
          <cell r="AA216">
            <v>130.54496499730749</v>
          </cell>
          <cell r="AB216">
            <v>126.26664871656797</v>
          </cell>
          <cell r="AC216">
            <v>133.24995512475317</v>
          </cell>
          <cell r="AD216">
            <v>135.13292048106265</v>
          </cell>
          <cell r="AE216">
            <v>131.99991024950637</v>
          </cell>
          <cell r="AF216">
            <v>132.3665410159756</v>
          </cell>
          <cell r="AG216">
            <v>1545.8271154935899</v>
          </cell>
          <cell r="AH216">
            <v>128.8189262911325</v>
          </cell>
        </row>
        <row r="217">
          <cell r="B217" t="str">
            <v>RORENT30T</v>
          </cell>
          <cell r="C217" t="str">
            <v>30YD ROLL OFF-TEMP RENT</v>
          </cell>
          <cell r="D217">
            <v>166.94</v>
          </cell>
          <cell r="E217">
            <v>167.72</v>
          </cell>
          <cell r="F217">
            <v>167.72</v>
          </cell>
          <cell r="G217">
            <v>3321.97</v>
          </cell>
          <cell r="H217">
            <v>5063.67</v>
          </cell>
          <cell r="I217">
            <v>5336.26</v>
          </cell>
          <cell r="J217">
            <v>5863.32</v>
          </cell>
          <cell r="K217">
            <v>3761.49</v>
          </cell>
          <cell r="L217">
            <v>3466.38</v>
          </cell>
          <cell r="M217">
            <v>2802.66</v>
          </cell>
          <cell r="N217">
            <v>3057.1</v>
          </cell>
          <cell r="O217">
            <v>2797.25</v>
          </cell>
          <cell r="P217">
            <v>3046.83</v>
          </cell>
          <cell r="Q217">
            <v>4327.01</v>
          </cell>
          <cell r="R217">
            <v>5362.41</v>
          </cell>
          <cell r="S217">
            <v>48206.350000000006</v>
          </cell>
          <cell r="U217">
            <v>19.89918533604888</v>
          </cell>
          <cell r="V217">
            <v>30.332275068887025</v>
          </cell>
          <cell r="W217">
            <v>31.965137175032947</v>
          </cell>
          <cell r="X217">
            <v>34.958979251132838</v>
          </cell>
          <cell r="Y217">
            <v>22.42720009539709</v>
          </cell>
          <cell r="Z217">
            <v>20.667660386358218</v>
          </cell>
          <cell r="AA217">
            <v>16.710350584307179</v>
          </cell>
          <cell r="AB217">
            <v>18.227402814214166</v>
          </cell>
          <cell r="AC217">
            <v>16.678094443119484</v>
          </cell>
          <cell r="AD217">
            <v>18.166169806820893</v>
          </cell>
          <cell r="AE217">
            <v>25.79901025518722</v>
          </cell>
          <cell r="AF217">
            <v>31.972394466968758</v>
          </cell>
          <cell r="AG217">
            <v>287.80385968347474</v>
          </cell>
          <cell r="AH217">
            <v>23.983654973622894</v>
          </cell>
        </row>
        <row r="218">
          <cell r="B218" t="str">
            <v>RORENT40P</v>
          </cell>
          <cell r="C218" t="str">
            <v>40YD ROLL OFF-PERM RENT</v>
          </cell>
          <cell r="D218">
            <v>113.07</v>
          </cell>
          <cell r="E218">
            <v>113.6</v>
          </cell>
          <cell r="F218">
            <v>113.6</v>
          </cell>
          <cell r="G218">
            <v>791.49</v>
          </cell>
          <cell r="H218">
            <v>791.49</v>
          </cell>
          <cell r="I218">
            <v>791.49</v>
          </cell>
          <cell r="J218">
            <v>795.2</v>
          </cell>
          <cell r="K218">
            <v>958.02</v>
          </cell>
          <cell r="L218">
            <v>1022.4000000000001</v>
          </cell>
          <cell r="M218">
            <v>1003.4599999999999</v>
          </cell>
          <cell r="N218">
            <v>1098.1299999999999</v>
          </cell>
          <cell r="O218">
            <v>1249.5999999999999</v>
          </cell>
          <cell r="P218">
            <v>1136</v>
          </cell>
          <cell r="Q218">
            <v>1136</v>
          </cell>
          <cell r="R218">
            <v>1136</v>
          </cell>
          <cell r="S218">
            <v>11909.28</v>
          </cell>
          <cell r="U218">
            <v>7.0000000000000009</v>
          </cell>
          <cell r="V218">
            <v>7.0000000000000009</v>
          </cell>
          <cell r="W218">
            <v>7.0000000000000009</v>
          </cell>
          <cell r="X218">
            <v>7.0000000000000009</v>
          </cell>
          <cell r="Y218">
            <v>8.4332746478873251</v>
          </cell>
          <cell r="Z218">
            <v>9.0000000000000018</v>
          </cell>
          <cell r="AA218">
            <v>8.8332746478873236</v>
          </cell>
          <cell r="AB218">
            <v>9.6666373239436609</v>
          </cell>
          <cell r="AC218">
            <v>11</v>
          </cell>
          <cell r="AD218">
            <v>10</v>
          </cell>
          <cell r="AE218">
            <v>10</v>
          </cell>
          <cell r="AF218">
            <v>10</v>
          </cell>
          <cell r="AG218">
            <v>104.93318661971831</v>
          </cell>
          <cell r="AH218">
            <v>8.7444322183098588</v>
          </cell>
        </row>
        <row r="219">
          <cell r="B219" t="str">
            <v>RORENT40T</v>
          </cell>
          <cell r="C219" t="str">
            <v>40YD ROLL OFF-TEMP RENT</v>
          </cell>
          <cell r="D219">
            <v>202.2</v>
          </cell>
          <cell r="E219">
            <v>203.15</v>
          </cell>
          <cell r="F219">
            <v>203.15</v>
          </cell>
          <cell r="G219">
            <v>202.2</v>
          </cell>
          <cell r="H219">
            <v>202.2</v>
          </cell>
          <cell r="I219">
            <v>-202.2</v>
          </cell>
          <cell r="J219">
            <v>203.15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13.54</v>
          </cell>
          <cell r="S219">
            <v>418.89000000000004</v>
          </cell>
          <cell r="U219">
            <v>1</v>
          </cell>
          <cell r="V219">
            <v>1</v>
          </cell>
          <cell r="W219">
            <v>-1</v>
          </cell>
          <cell r="X219">
            <v>1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6.6650258429731712E-2</v>
          </cell>
          <cell r="AG219">
            <v>2.0666502584297319</v>
          </cell>
          <cell r="AH219">
            <v>0.17222085486914432</v>
          </cell>
        </row>
        <row r="220">
          <cell r="B220" t="str">
            <v>ROSPC</v>
          </cell>
          <cell r="C220" t="str">
            <v>SPECIAL CHARGES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60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60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</row>
        <row r="221">
          <cell r="B221" t="str">
            <v>ROTA</v>
          </cell>
          <cell r="C221" t="str">
            <v>TANDEM AXLE</v>
          </cell>
          <cell r="D221">
            <v>21.8</v>
          </cell>
          <cell r="E221">
            <v>21.8</v>
          </cell>
          <cell r="F221">
            <v>21.8</v>
          </cell>
          <cell r="G221">
            <v>7041.4</v>
          </cell>
          <cell r="H221">
            <v>6867</v>
          </cell>
          <cell r="I221">
            <v>7346.5999999999995</v>
          </cell>
          <cell r="J221">
            <v>7412</v>
          </cell>
          <cell r="K221">
            <v>7651.8</v>
          </cell>
          <cell r="L221">
            <v>7913.4</v>
          </cell>
          <cell r="M221">
            <v>7608.2000000000007</v>
          </cell>
          <cell r="N221">
            <v>7782.6</v>
          </cell>
          <cell r="O221">
            <v>6932.4</v>
          </cell>
          <cell r="P221">
            <v>8022.4000000000005</v>
          </cell>
          <cell r="Q221">
            <v>7848</v>
          </cell>
          <cell r="R221">
            <v>7521</v>
          </cell>
          <cell r="S221">
            <v>89946.8</v>
          </cell>
          <cell r="U221">
            <v>323</v>
          </cell>
          <cell r="V221">
            <v>315</v>
          </cell>
          <cell r="W221">
            <v>336.99999999999994</v>
          </cell>
          <cell r="X221">
            <v>340</v>
          </cell>
          <cell r="Y221">
            <v>351</v>
          </cell>
          <cell r="Z221">
            <v>362.99999999999994</v>
          </cell>
          <cell r="AA221">
            <v>349</v>
          </cell>
          <cell r="AB221">
            <v>357</v>
          </cell>
          <cell r="AC221">
            <v>318</v>
          </cell>
          <cell r="AD221">
            <v>368</v>
          </cell>
          <cell r="AE221">
            <v>360</v>
          </cell>
          <cell r="AF221">
            <v>345</v>
          </cell>
          <cell r="AG221">
            <v>4126</v>
          </cell>
          <cell r="AH221">
            <v>343.83333333333331</v>
          </cell>
        </row>
        <row r="222">
          <cell r="B222" t="str">
            <v>CPCONNECT</v>
          </cell>
          <cell r="C222" t="str">
            <v>COMP CONNECT/RECONNECT</v>
          </cell>
          <cell r="D222">
            <v>7.14</v>
          </cell>
          <cell r="E222">
            <v>7.17</v>
          </cell>
          <cell r="F222">
            <v>7.17</v>
          </cell>
          <cell r="G222">
            <v>2191.98</v>
          </cell>
          <cell r="H222">
            <v>1927.8</v>
          </cell>
          <cell r="I222">
            <v>2049.1800000000003</v>
          </cell>
          <cell r="J222">
            <v>2049.84</v>
          </cell>
          <cell r="K222">
            <v>2215.5299999999997</v>
          </cell>
          <cell r="L222">
            <v>2208.36</v>
          </cell>
          <cell r="M222">
            <v>2194.02</v>
          </cell>
          <cell r="N222">
            <v>2366.1</v>
          </cell>
          <cell r="O222">
            <v>2079.3000000000002</v>
          </cell>
          <cell r="P222">
            <v>2380.44</v>
          </cell>
          <cell r="Q222">
            <v>2237.04</v>
          </cell>
          <cell r="R222">
            <v>2265.7200000000003</v>
          </cell>
          <cell r="S222">
            <v>26165.309999999998</v>
          </cell>
          <cell r="U222">
            <v>307</v>
          </cell>
          <cell r="V222">
            <v>270</v>
          </cell>
          <cell r="W222">
            <v>287.00000000000006</v>
          </cell>
          <cell r="X222">
            <v>285.89121338912139</v>
          </cell>
          <cell r="Y222">
            <v>308.99999999999994</v>
          </cell>
          <cell r="Z222">
            <v>308</v>
          </cell>
          <cell r="AA222">
            <v>306</v>
          </cell>
          <cell r="AB222">
            <v>330</v>
          </cell>
          <cell r="AC222">
            <v>290</v>
          </cell>
          <cell r="AD222">
            <v>332</v>
          </cell>
          <cell r="AE222">
            <v>312</v>
          </cell>
          <cell r="AF222">
            <v>316.00000000000006</v>
          </cell>
          <cell r="AG222">
            <v>3652.8912133891213</v>
          </cell>
          <cell r="AH222">
            <v>304.40760111576009</v>
          </cell>
        </row>
        <row r="223">
          <cell r="B223" t="str">
            <v>ROCLEAN</v>
          </cell>
          <cell r="C223" t="str">
            <v>ROLLOFF CLEANING</v>
          </cell>
          <cell r="D223">
            <v>7.53</v>
          </cell>
          <cell r="E223">
            <v>7.57</v>
          </cell>
          <cell r="F223">
            <v>7.57</v>
          </cell>
          <cell r="G223">
            <v>270.89999999999998</v>
          </cell>
          <cell r="H223">
            <v>0</v>
          </cell>
          <cell r="I223">
            <v>483.15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264.95</v>
          </cell>
          <cell r="S223">
            <v>1019</v>
          </cell>
          <cell r="U223">
            <v>35.976095617529879</v>
          </cell>
          <cell r="V223">
            <v>0</v>
          </cell>
          <cell r="W223">
            <v>64.163346613545812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35</v>
          </cell>
          <cell r="AG223">
            <v>135.13944223107569</v>
          </cell>
          <cell r="AH223">
            <v>11.261620185922974</v>
          </cell>
        </row>
        <row r="224">
          <cell r="B224" t="str">
            <v>RODEL</v>
          </cell>
          <cell r="C224" t="str">
            <v>ROLL OFF-DELIVERY</v>
          </cell>
          <cell r="D224">
            <v>97.04</v>
          </cell>
          <cell r="E224">
            <v>97.49</v>
          </cell>
          <cell r="F224">
            <v>97.49</v>
          </cell>
          <cell r="G224">
            <v>6404.6399999999994</v>
          </cell>
          <cell r="H224">
            <v>7180.9600000000009</v>
          </cell>
          <cell r="I224">
            <v>7574.1500000000005</v>
          </cell>
          <cell r="J224">
            <v>5353.3200000000006</v>
          </cell>
          <cell r="K224">
            <v>5849.4</v>
          </cell>
          <cell r="L224">
            <v>3802.1099999999997</v>
          </cell>
          <cell r="M224">
            <v>2534.7399999999998</v>
          </cell>
          <cell r="N224">
            <v>4582.03</v>
          </cell>
          <cell r="O224">
            <v>4971.99</v>
          </cell>
          <cell r="P224">
            <v>5361.95</v>
          </cell>
          <cell r="Q224">
            <v>6239.3600000000006</v>
          </cell>
          <cell r="R224">
            <v>7896.69</v>
          </cell>
          <cell r="S224">
            <v>67751.34</v>
          </cell>
          <cell r="U224">
            <v>65.999999999999986</v>
          </cell>
          <cell r="V224">
            <v>74</v>
          </cell>
          <cell r="W224">
            <v>78.051834295136032</v>
          </cell>
          <cell r="X224">
            <v>54.911478100317993</v>
          </cell>
          <cell r="Y224">
            <v>60</v>
          </cell>
          <cell r="Z224">
            <v>39</v>
          </cell>
          <cell r="AA224">
            <v>26</v>
          </cell>
          <cell r="AB224">
            <v>47</v>
          </cell>
          <cell r="AC224">
            <v>51</v>
          </cell>
          <cell r="AD224">
            <v>55</v>
          </cell>
          <cell r="AE224">
            <v>64.000000000000014</v>
          </cell>
          <cell r="AF224">
            <v>81</v>
          </cell>
          <cell r="AG224">
            <v>695.96331239545407</v>
          </cell>
          <cell r="AH224">
            <v>57.996942699621172</v>
          </cell>
        </row>
        <row r="225">
          <cell r="B225" t="str">
            <v>ROMILE</v>
          </cell>
          <cell r="C225" t="str">
            <v>MILEAGE</v>
          </cell>
          <cell r="D225">
            <v>3.82</v>
          </cell>
          <cell r="E225">
            <v>3.84</v>
          </cell>
          <cell r="F225">
            <v>3.84</v>
          </cell>
          <cell r="G225">
            <v>49071.39</v>
          </cell>
          <cell r="H225">
            <v>46576.93</v>
          </cell>
          <cell r="I225">
            <v>49034.720000000001</v>
          </cell>
          <cell r="J225">
            <v>48922.85</v>
          </cell>
          <cell r="K225">
            <v>52498.41</v>
          </cell>
          <cell r="L225">
            <v>48432.82</v>
          </cell>
          <cell r="M225">
            <v>49810.74</v>
          </cell>
          <cell r="N225">
            <v>54284.31</v>
          </cell>
          <cell r="O225">
            <v>49288.58</v>
          </cell>
          <cell r="P225">
            <v>57306.01</v>
          </cell>
          <cell r="Q225">
            <v>53220.86</v>
          </cell>
          <cell r="R225">
            <v>54209.75</v>
          </cell>
          <cell r="S225">
            <v>612657.37</v>
          </cell>
          <cell r="U225">
            <v>12845.913612565446</v>
          </cell>
          <cell r="V225">
            <v>12192.913612565446</v>
          </cell>
          <cell r="W225">
            <v>12836.314136125655</v>
          </cell>
          <cell r="X225">
            <v>12740.325520833334</v>
          </cell>
          <cell r="Y225">
            <v>13671.460937500002</v>
          </cell>
          <cell r="Z225">
            <v>12612.713541666668</v>
          </cell>
          <cell r="AA225">
            <v>12971.546875</v>
          </cell>
          <cell r="AB225">
            <v>14136.5390625</v>
          </cell>
          <cell r="AC225">
            <v>12835.567708333334</v>
          </cell>
          <cell r="AD225">
            <v>14923.440104166668</v>
          </cell>
          <cell r="AE225">
            <v>13859.598958333334</v>
          </cell>
          <cell r="AF225">
            <v>14117.122395833334</v>
          </cell>
          <cell r="AG225">
            <v>159743.45646542322</v>
          </cell>
          <cell r="AH225">
            <v>13311.954705451935</v>
          </cell>
        </row>
        <row r="226">
          <cell r="B226" t="str">
            <v>RORELOCATE</v>
          </cell>
          <cell r="C226" t="str">
            <v>ROLLOFF RELOCATE</v>
          </cell>
          <cell r="D226">
            <v>97.31</v>
          </cell>
          <cell r="E226">
            <v>97.77</v>
          </cell>
          <cell r="F226">
            <v>97.77</v>
          </cell>
          <cell r="G226">
            <v>194.62</v>
          </cell>
          <cell r="H226">
            <v>97.31</v>
          </cell>
          <cell r="I226">
            <v>194.62</v>
          </cell>
          <cell r="J226">
            <v>195.54</v>
          </cell>
          <cell r="K226">
            <v>195.54</v>
          </cell>
          <cell r="L226">
            <v>97.77</v>
          </cell>
          <cell r="M226">
            <v>391.08</v>
          </cell>
          <cell r="N226">
            <v>488.84999999999997</v>
          </cell>
          <cell r="O226">
            <v>97.77</v>
          </cell>
          <cell r="P226">
            <v>97.77</v>
          </cell>
          <cell r="Q226">
            <v>195.54</v>
          </cell>
          <cell r="R226">
            <v>195.54</v>
          </cell>
          <cell r="S226">
            <v>2441.9499999999998</v>
          </cell>
          <cell r="U226">
            <v>2</v>
          </cell>
          <cell r="V226">
            <v>1</v>
          </cell>
          <cell r="W226">
            <v>2</v>
          </cell>
          <cell r="X226">
            <v>2</v>
          </cell>
          <cell r="Y226">
            <v>2</v>
          </cell>
          <cell r="Z226">
            <v>1</v>
          </cell>
          <cell r="AA226">
            <v>4</v>
          </cell>
          <cell r="AB226">
            <v>5</v>
          </cell>
          <cell r="AC226">
            <v>1</v>
          </cell>
          <cell r="AD226">
            <v>1</v>
          </cell>
          <cell r="AE226">
            <v>2</v>
          </cell>
          <cell r="AF226">
            <v>2</v>
          </cell>
          <cell r="AG226">
            <v>25</v>
          </cell>
          <cell r="AH226">
            <v>2.0833333333333335</v>
          </cell>
        </row>
        <row r="227">
          <cell r="B227" t="str">
            <v>RESTART FEE-RO</v>
          </cell>
          <cell r="C227" t="str">
            <v>RESTART FEE</v>
          </cell>
          <cell r="D227">
            <v>11.22</v>
          </cell>
          <cell r="E227">
            <v>11.27</v>
          </cell>
          <cell r="F227">
            <v>11.27</v>
          </cell>
          <cell r="G227">
            <v>0</v>
          </cell>
          <cell r="H227">
            <v>0</v>
          </cell>
          <cell r="I227">
            <v>11.22</v>
          </cell>
          <cell r="J227">
            <v>11.27</v>
          </cell>
          <cell r="K227">
            <v>11.27</v>
          </cell>
          <cell r="L227">
            <v>11.27</v>
          </cell>
          <cell r="M227">
            <v>11.27</v>
          </cell>
          <cell r="N227">
            <v>22.54</v>
          </cell>
          <cell r="O227">
            <v>0</v>
          </cell>
          <cell r="P227">
            <v>0</v>
          </cell>
          <cell r="Q227">
            <v>11.27</v>
          </cell>
          <cell r="R227">
            <v>0</v>
          </cell>
          <cell r="S227">
            <v>90.11</v>
          </cell>
          <cell r="U227">
            <v>0</v>
          </cell>
          <cell r="V227">
            <v>0</v>
          </cell>
          <cell r="W227">
            <v>0.9955634427684118</v>
          </cell>
          <cell r="X227">
            <v>1</v>
          </cell>
          <cell r="Y227">
            <v>1</v>
          </cell>
          <cell r="Z227">
            <v>1</v>
          </cell>
          <cell r="AA227">
            <v>1</v>
          </cell>
          <cell r="AB227">
            <v>2</v>
          </cell>
          <cell r="AC227">
            <v>0</v>
          </cell>
          <cell r="AD227">
            <v>0</v>
          </cell>
          <cell r="AE227">
            <v>1</v>
          </cell>
          <cell r="AF227">
            <v>0</v>
          </cell>
          <cell r="AG227">
            <v>7.9955634427684119</v>
          </cell>
          <cell r="AH227">
            <v>0.66629695356403429</v>
          </cell>
        </row>
        <row r="228">
          <cell r="B228" t="str">
            <v>ROHAUL10CO</v>
          </cell>
          <cell r="C228" t="str">
            <v>10YD CUST OWNED R/O HAUL</v>
          </cell>
          <cell r="D228">
            <v>89.4</v>
          </cell>
          <cell r="E228">
            <v>89.15</v>
          </cell>
          <cell r="F228">
            <v>89.4</v>
          </cell>
          <cell r="G228">
            <v>0</v>
          </cell>
          <cell r="H228">
            <v>0</v>
          </cell>
          <cell r="I228">
            <v>0</v>
          </cell>
          <cell r="J228">
            <v>89.4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89.4</v>
          </cell>
          <cell r="U228">
            <v>0</v>
          </cell>
          <cell r="V228">
            <v>0</v>
          </cell>
          <cell r="W228">
            <v>0</v>
          </cell>
          <cell r="X228">
            <v>1.0028042624789679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1.0028042624789679</v>
          </cell>
          <cell r="AH228">
            <v>8.3567021873247327E-2</v>
          </cell>
        </row>
        <row r="229">
          <cell r="B229" t="str">
            <v>RELO-RO</v>
          </cell>
          <cell r="C229" t="str">
            <v>ROLLOFF RELOCATE</v>
          </cell>
          <cell r="D229">
            <v>97.31</v>
          </cell>
          <cell r="E229">
            <v>97.77</v>
          </cell>
          <cell r="F229">
            <v>97.77</v>
          </cell>
          <cell r="G229">
            <v>0</v>
          </cell>
          <cell r="H229">
            <v>0</v>
          </cell>
          <cell r="I229">
            <v>96.77</v>
          </cell>
          <cell r="J229">
            <v>0</v>
          </cell>
          <cell r="K229">
            <v>97.77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194.54</v>
          </cell>
          <cell r="U229">
            <v>0</v>
          </cell>
          <cell r="V229">
            <v>0</v>
          </cell>
          <cell r="W229">
            <v>0.98977191367495143</v>
          </cell>
          <cell r="X229">
            <v>0</v>
          </cell>
          <cell r="Y229">
            <v>1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1.9897719136749514</v>
          </cell>
          <cell r="AH229">
            <v>0.16581432613957928</v>
          </cell>
        </row>
        <row r="230">
          <cell r="B230" t="str">
            <v>ROHAUL40CO</v>
          </cell>
          <cell r="C230" t="str">
            <v>40YD CUST OWNED R/O HAUL</v>
          </cell>
          <cell r="D230">
            <v>132.37</v>
          </cell>
          <cell r="E230">
            <v>132</v>
          </cell>
          <cell r="F230">
            <v>132.37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132.99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132.99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1.0075000000000001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1.0075000000000001</v>
          </cell>
          <cell r="AH230">
            <v>8.3958333333333343E-2</v>
          </cell>
        </row>
        <row r="231">
          <cell r="B231" t="str">
            <v>OT-RO</v>
          </cell>
          <cell r="C231" t="str">
            <v>OVERTIME PERIOD - RO</v>
          </cell>
          <cell r="D231">
            <v>76.31</v>
          </cell>
          <cell r="E231">
            <v>76.67</v>
          </cell>
          <cell r="F231">
            <v>76.67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766.7</v>
          </cell>
          <cell r="S231">
            <v>766.7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10</v>
          </cell>
          <cell r="AG231">
            <v>10</v>
          </cell>
          <cell r="AH231">
            <v>0.83333333333333337</v>
          </cell>
        </row>
        <row r="232">
          <cell r="B232" t="str">
            <v>TARP-RO</v>
          </cell>
          <cell r="C232" t="str">
            <v>TARPING FEE - RO</v>
          </cell>
          <cell r="D232">
            <v>12.98</v>
          </cell>
          <cell r="E232">
            <v>13.04</v>
          </cell>
          <cell r="F232">
            <v>13.04</v>
          </cell>
          <cell r="G232">
            <v>687.94</v>
          </cell>
          <cell r="H232">
            <v>597.07999999999993</v>
          </cell>
          <cell r="I232">
            <v>558.14</v>
          </cell>
          <cell r="J232">
            <v>625.43999999999994</v>
          </cell>
          <cell r="K232">
            <v>612.88</v>
          </cell>
          <cell r="L232">
            <v>691.12</v>
          </cell>
          <cell r="M232">
            <v>795.44</v>
          </cell>
          <cell r="N232">
            <v>860.64</v>
          </cell>
          <cell r="O232">
            <v>743.28</v>
          </cell>
          <cell r="P232">
            <v>808.48</v>
          </cell>
          <cell r="Q232">
            <v>743.28</v>
          </cell>
          <cell r="R232">
            <v>704.16</v>
          </cell>
          <cell r="S232">
            <v>8427.880000000001</v>
          </cell>
          <cell r="U232">
            <v>52.75613496932516</v>
          </cell>
          <cell r="V232">
            <v>45.788343558282207</v>
          </cell>
          <cell r="W232">
            <v>42.802147239263803</v>
          </cell>
          <cell r="X232">
            <v>47.963190184049076</v>
          </cell>
          <cell r="Y232">
            <v>47</v>
          </cell>
          <cell r="Z232">
            <v>53.000000000000007</v>
          </cell>
          <cell r="AA232">
            <v>61.000000000000007</v>
          </cell>
          <cell r="AB232">
            <v>66</v>
          </cell>
          <cell r="AC232">
            <v>57</v>
          </cell>
          <cell r="AD232">
            <v>62.000000000000007</v>
          </cell>
          <cell r="AE232">
            <v>57</v>
          </cell>
          <cell r="AF232">
            <v>54</v>
          </cell>
          <cell r="AG232">
            <v>646.30981595092032</v>
          </cell>
          <cell r="AH232">
            <v>53.85915132924336</v>
          </cell>
        </row>
        <row r="233">
          <cell r="B233" t="str">
            <v>TIME-RO</v>
          </cell>
          <cell r="C233" t="str">
            <v>ROLL OFF TIME CHARGE</v>
          </cell>
          <cell r="D233">
            <v>103.58</v>
          </cell>
          <cell r="E233">
            <v>104.06</v>
          </cell>
          <cell r="F233">
            <v>104.06</v>
          </cell>
          <cell r="G233">
            <v>1191.21</v>
          </cell>
          <cell r="H233">
            <v>1398.3899999999999</v>
          </cell>
          <cell r="I233">
            <v>880.44</v>
          </cell>
          <cell r="J233">
            <v>1498.85</v>
          </cell>
          <cell r="K233">
            <v>1274.78</v>
          </cell>
          <cell r="L233">
            <v>1482.91</v>
          </cell>
          <cell r="M233">
            <v>1847.1599999999999</v>
          </cell>
          <cell r="N233">
            <v>2263.41</v>
          </cell>
          <cell r="O233">
            <v>1170.71</v>
          </cell>
          <cell r="P233">
            <v>2703.3999999999996</v>
          </cell>
          <cell r="Q233">
            <v>2107.27</v>
          </cell>
          <cell r="R233">
            <v>12573.849999999999</v>
          </cell>
          <cell r="S233">
            <v>30392.379999999994</v>
          </cell>
          <cell r="U233">
            <v>11.447338074187968</v>
          </cell>
          <cell r="V233">
            <v>13.438304824139918</v>
          </cell>
          <cell r="W233">
            <v>8.4608879492600426</v>
          </cell>
          <cell r="X233">
            <v>14.403709398423985</v>
          </cell>
          <cell r="Y233">
            <v>12.250432442821449</v>
          </cell>
          <cell r="Z233">
            <v>14.250528541226217</v>
          </cell>
          <cell r="AA233">
            <v>17.750912934845278</v>
          </cell>
          <cell r="AB233">
            <v>21.751009033250046</v>
          </cell>
          <cell r="AC233">
            <v>11.250336344416683</v>
          </cell>
          <cell r="AD233">
            <v>25.979242744570435</v>
          </cell>
          <cell r="AE233">
            <v>20.250528541226213</v>
          </cell>
          <cell r="AF233">
            <v>120.83269267730154</v>
          </cell>
          <cell r="AG233">
            <v>292.06592350566973</v>
          </cell>
          <cell r="AH233">
            <v>24.338826958805811</v>
          </cell>
        </row>
        <row r="234">
          <cell r="B234" t="str">
            <v>ADJRO</v>
          </cell>
          <cell r="C234" t="str">
            <v>SERVICE ADJ-ROLL OFF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-4.78</v>
          </cell>
          <cell r="I234">
            <v>351.41</v>
          </cell>
          <cell r="J234">
            <v>-351.40999999999985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-4.7799999999998022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</row>
        <row r="236">
          <cell r="C236" t="str">
            <v>TOTAL DROP BOX HAULS/RENTAL</v>
          </cell>
          <cell r="G236">
            <v>235014.03</v>
          </cell>
          <cell r="H236">
            <v>225510.69999999998</v>
          </cell>
          <cell r="I236">
            <v>235374.27999999994</v>
          </cell>
          <cell r="J236">
            <v>234494.4</v>
          </cell>
          <cell r="K236">
            <v>245950.63999999993</v>
          </cell>
          <cell r="L236">
            <v>229625.07</v>
          </cell>
          <cell r="M236">
            <v>231766.06999999998</v>
          </cell>
          <cell r="N236">
            <v>257160.69000000006</v>
          </cell>
          <cell r="O236">
            <v>227090.09</v>
          </cell>
          <cell r="P236">
            <v>262869.30000000005</v>
          </cell>
          <cell r="Q236">
            <v>249891.91999999998</v>
          </cell>
          <cell r="R236">
            <v>275374.19</v>
          </cell>
          <cell r="S236">
            <v>2910121.38</v>
          </cell>
          <cell r="U236">
            <v>290.09737611935617</v>
          </cell>
          <cell r="V236">
            <v>304.86383903708827</v>
          </cell>
          <cell r="W236">
            <v>304.99666587237573</v>
          </cell>
          <cell r="X236">
            <v>316.72878937445364</v>
          </cell>
          <cell r="Y236">
            <v>306.10226017690525</v>
          </cell>
          <cell r="Z236">
            <v>294.53424969444177</v>
          </cell>
          <cell r="AA236">
            <v>288.66200403019189</v>
          </cell>
          <cell r="AB236">
            <v>293.22610250600769</v>
          </cell>
          <cell r="AC236">
            <v>302.18625155877641</v>
          </cell>
          <cell r="AD236">
            <v>310.52415955491483</v>
          </cell>
          <cell r="AE236">
            <v>308.56410020106978</v>
          </cell>
          <cell r="AF236">
            <v>325.72046230964821</v>
          </cell>
          <cell r="AG236">
            <v>3646.20626043523</v>
          </cell>
          <cell r="AH236">
            <v>303.85052170293574</v>
          </cell>
        </row>
        <row r="238">
          <cell r="B238" t="str">
            <v>PASSTHROUGH DISPOSAL</v>
          </cell>
        </row>
        <row r="239">
          <cell r="B239" t="str">
            <v>DISP</v>
          </cell>
          <cell r="C239" t="str">
            <v>DISPOSAL FEE PER TON</v>
          </cell>
          <cell r="D239">
            <v>168.51</v>
          </cell>
          <cell r="E239">
            <v>168.51</v>
          </cell>
          <cell r="F239">
            <v>166.45</v>
          </cell>
          <cell r="G239">
            <v>427241.98</v>
          </cell>
          <cell r="H239">
            <v>402280.71</v>
          </cell>
          <cell r="I239">
            <v>420054.93</v>
          </cell>
          <cell r="J239">
            <v>426254.62</v>
          </cell>
          <cell r="K239">
            <v>459927.9</v>
          </cell>
          <cell r="L239">
            <v>445832.08999999997</v>
          </cell>
          <cell r="M239">
            <v>435907.89999999997</v>
          </cell>
          <cell r="N239">
            <v>471079.83999999997</v>
          </cell>
          <cell r="O239">
            <v>401008.33999999997</v>
          </cell>
          <cell r="P239">
            <v>468482.10000000003</v>
          </cell>
          <cell r="Q239">
            <v>439368.31999999995</v>
          </cell>
          <cell r="R239">
            <v>504490.45</v>
          </cell>
          <cell r="S239">
            <v>5301929.18</v>
          </cell>
          <cell r="U239">
            <v>2535.4102427155658</v>
          </cell>
          <cell r="V239">
            <v>2387.2809328823218</v>
          </cell>
          <cell r="W239">
            <v>2492.7596581805237</v>
          </cell>
          <cell r="X239">
            <v>2529.5508871877041</v>
          </cell>
          <cell r="Y239">
            <v>2729.3804521986826</v>
          </cell>
          <cell r="Z239">
            <v>2645.7307578185269</v>
          </cell>
          <cell r="AA239">
            <v>2586.8369829683697</v>
          </cell>
          <cell r="AB239">
            <v>2795.5601447985282</v>
          </cell>
          <cell r="AC239">
            <v>2379.7302237255949</v>
          </cell>
          <cell r="AD239">
            <v>2814.5515169720643</v>
          </cell>
          <cell r="AE239">
            <v>2639.6414538900572</v>
          </cell>
          <cell r="AF239">
            <v>3030.8828477020129</v>
          </cell>
          <cell r="AG239">
            <v>31567.316101039949</v>
          </cell>
          <cell r="AH239">
            <v>2630.6096750866623</v>
          </cell>
        </row>
        <row r="241">
          <cell r="C241" t="str">
            <v>TOTAL PASSTHROUGH DISPOSAL</v>
          </cell>
          <cell r="G241">
            <v>427241.98</v>
          </cell>
          <cell r="H241">
            <v>402280.71</v>
          </cell>
          <cell r="I241">
            <v>420054.93</v>
          </cell>
          <cell r="J241">
            <v>426254.62</v>
          </cell>
          <cell r="K241">
            <v>459927.9</v>
          </cell>
          <cell r="L241">
            <v>445832.08999999997</v>
          </cell>
          <cell r="M241">
            <v>435907.89999999997</v>
          </cell>
          <cell r="N241">
            <v>471079.83999999997</v>
          </cell>
          <cell r="O241">
            <v>401008.33999999997</v>
          </cell>
          <cell r="P241">
            <v>468482.10000000003</v>
          </cell>
          <cell r="Q241">
            <v>439368.31999999995</v>
          </cell>
          <cell r="R241">
            <v>504490.45</v>
          </cell>
          <cell r="S241">
            <v>5301929.18</v>
          </cell>
        </row>
        <row r="244">
          <cell r="B244" t="str">
            <v>SUBTOTAL DROP BOX</v>
          </cell>
          <cell r="G244">
            <v>662256.01</v>
          </cell>
          <cell r="H244">
            <v>627791.41</v>
          </cell>
          <cell r="I244">
            <v>655429.21</v>
          </cell>
          <cell r="J244">
            <v>660749.02</v>
          </cell>
          <cell r="K244">
            <v>705878.53999999992</v>
          </cell>
          <cell r="L244">
            <v>675457.15999999992</v>
          </cell>
          <cell r="M244">
            <v>667673.97</v>
          </cell>
          <cell r="N244">
            <v>728240.53</v>
          </cell>
          <cell r="O244">
            <v>628098.42999999993</v>
          </cell>
          <cell r="P244">
            <v>731351.40000000014</v>
          </cell>
          <cell r="Q244">
            <v>689260.24</v>
          </cell>
          <cell r="R244">
            <v>779864.64</v>
          </cell>
          <cell r="S244">
            <v>8212050.5599999996</v>
          </cell>
          <cell r="U244">
            <v>290.09737611935617</v>
          </cell>
          <cell r="V244">
            <v>304.86383903708827</v>
          </cell>
          <cell r="W244">
            <v>304.99666587237573</v>
          </cell>
          <cell r="X244">
            <v>316.72878937445364</v>
          </cell>
          <cell r="Y244">
            <v>306.10226017690525</v>
          </cell>
          <cell r="Z244">
            <v>294.53424969444177</v>
          </cell>
          <cell r="AA244">
            <v>288.66200403019189</v>
          </cell>
          <cell r="AB244">
            <v>293.22610250600769</v>
          </cell>
          <cell r="AC244">
            <v>302.18625155877641</v>
          </cell>
          <cell r="AD244">
            <v>310.52415955491483</v>
          </cell>
          <cell r="AE244">
            <v>308.56410020106978</v>
          </cell>
          <cell r="AF244">
            <v>325.72046230964821</v>
          </cell>
          <cell r="AG244">
            <v>3646.20626043523</v>
          </cell>
          <cell r="AH244">
            <v>303.85052170293574</v>
          </cell>
        </row>
        <row r="247">
          <cell r="B247" t="str">
            <v>MEDICAL WASTE</v>
          </cell>
        </row>
        <row r="248">
          <cell r="B248" t="str">
            <v>MD10</v>
          </cell>
          <cell r="C248" t="str">
            <v>10 GALLON</v>
          </cell>
          <cell r="D248">
            <v>23.599999999999998</v>
          </cell>
          <cell r="E248">
            <v>23.599999999999998</v>
          </cell>
          <cell r="F248">
            <v>23.599999999999998</v>
          </cell>
          <cell r="G248">
            <v>590</v>
          </cell>
          <cell r="H248">
            <v>306.8</v>
          </cell>
          <cell r="I248">
            <v>505.75</v>
          </cell>
          <cell r="J248">
            <v>660.8</v>
          </cell>
          <cell r="K248">
            <v>424.8</v>
          </cell>
          <cell r="L248">
            <v>309.16000000000003</v>
          </cell>
          <cell r="M248">
            <v>472</v>
          </cell>
          <cell r="N248">
            <v>777.56000000000006</v>
          </cell>
          <cell r="O248">
            <v>495.6</v>
          </cell>
          <cell r="P248">
            <v>847.4</v>
          </cell>
          <cell r="Q248">
            <v>731.6</v>
          </cell>
          <cell r="R248">
            <v>472</v>
          </cell>
          <cell r="S248">
            <v>6593.47</v>
          </cell>
          <cell r="U248">
            <v>25.000000000000004</v>
          </cell>
          <cell r="V248">
            <v>13.000000000000002</v>
          </cell>
          <cell r="W248">
            <v>21.430084745762713</v>
          </cell>
          <cell r="X248">
            <v>28</v>
          </cell>
          <cell r="Y248">
            <v>18.000000000000004</v>
          </cell>
          <cell r="Z248">
            <v>13.100000000000001</v>
          </cell>
          <cell r="AA248">
            <v>20.000000000000004</v>
          </cell>
          <cell r="AB248">
            <v>32.947457627118652</v>
          </cell>
          <cell r="AC248">
            <v>21.000000000000004</v>
          </cell>
          <cell r="AD248">
            <v>35.906779661016948</v>
          </cell>
          <cell r="AE248">
            <v>31.000000000000004</v>
          </cell>
          <cell r="AF248">
            <v>20.000000000000004</v>
          </cell>
          <cell r="AG248">
            <v>279.38432203389834</v>
          </cell>
          <cell r="AH248">
            <v>23.282026836158195</v>
          </cell>
        </row>
        <row r="249">
          <cell r="B249" t="str">
            <v>MD20</v>
          </cell>
          <cell r="C249" t="str">
            <v>20 GALLON</v>
          </cell>
          <cell r="D249">
            <v>47.2</v>
          </cell>
          <cell r="E249">
            <v>47.2</v>
          </cell>
          <cell r="F249">
            <v>47.2</v>
          </cell>
          <cell r="G249">
            <v>5893.6</v>
          </cell>
          <cell r="H249">
            <v>3300.8</v>
          </cell>
          <cell r="I249">
            <v>3996.8</v>
          </cell>
          <cell r="J249">
            <v>4468</v>
          </cell>
          <cell r="K249">
            <v>5500.6</v>
          </cell>
          <cell r="L249">
            <v>4734.7999999999993</v>
          </cell>
          <cell r="M249">
            <v>4353.6000000000004</v>
          </cell>
          <cell r="N249">
            <v>5627.5999999999995</v>
          </cell>
          <cell r="O249">
            <v>4941.2</v>
          </cell>
          <cell r="P249">
            <v>5619.8</v>
          </cell>
          <cell r="Q249">
            <v>4814.95</v>
          </cell>
          <cell r="R249">
            <v>5055.2000000000007</v>
          </cell>
          <cell r="S249">
            <v>58306.95</v>
          </cell>
          <cell r="U249">
            <v>124.86440677966101</v>
          </cell>
          <cell r="V249">
            <v>69.932203389830505</v>
          </cell>
          <cell r="W249">
            <v>84.677966101694921</v>
          </cell>
          <cell r="X249">
            <v>94.66101694915254</v>
          </cell>
          <cell r="Y249">
            <v>116.53813559322035</v>
          </cell>
          <cell r="Z249">
            <v>100.31355932203388</v>
          </cell>
          <cell r="AA249">
            <v>92.237288135593218</v>
          </cell>
          <cell r="AB249">
            <v>119.22881355932202</v>
          </cell>
          <cell r="AC249">
            <v>104.68644067796609</v>
          </cell>
          <cell r="AD249">
            <v>119.0635593220339</v>
          </cell>
          <cell r="AE249">
            <v>102.01165254237287</v>
          </cell>
          <cell r="AF249">
            <v>107.10169491525424</v>
          </cell>
          <cell r="AG249">
            <v>1235.3167372881355</v>
          </cell>
          <cell r="AH249">
            <v>102.94306144067797</v>
          </cell>
        </row>
        <row r="250">
          <cell r="B250" t="str">
            <v>MD35</v>
          </cell>
          <cell r="C250" t="str">
            <v>35 GALLON</v>
          </cell>
          <cell r="D250">
            <v>82.6</v>
          </cell>
          <cell r="E250">
            <v>82.6</v>
          </cell>
          <cell r="F250">
            <v>82.6</v>
          </cell>
          <cell r="G250">
            <v>7219.4500000000007</v>
          </cell>
          <cell r="H250">
            <v>4200.5499999999993</v>
          </cell>
          <cell r="I250">
            <v>4782.3999999999996</v>
          </cell>
          <cell r="J250">
            <v>5430.95</v>
          </cell>
          <cell r="K250">
            <v>5357.8</v>
          </cell>
          <cell r="L250">
            <v>5025.75</v>
          </cell>
          <cell r="M250">
            <v>4203.1499999999996</v>
          </cell>
          <cell r="N250">
            <v>8401.4500000000007</v>
          </cell>
          <cell r="O250">
            <v>7677.75</v>
          </cell>
          <cell r="P250">
            <v>8606.7099999999991</v>
          </cell>
          <cell r="Q250">
            <v>6739.2</v>
          </cell>
          <cell r="R250">
            <v>4799.8499999999995</v>
          </cell>
          <cell r="S250">
            <v>72445.010000000009</v>
          </cell>
          <cell r="U250">
            <v>87.402542372881371</v>
          </cell>
          <cell r="V250">
            <v>50.854116222760283</v>
          </cell>
          <cell r="W250">
            <v>57.898305084745765</v>
          </cell>
          <cell r="X250">
            <v>65.75</v>
          </cell>
          <cell r="Y250">
            <v>64.864406779661024</v>
          </cell>
          <cell r="Z250">
            <v>60.844430992736079</v>
          </cell>
          <cell r="AA250">
            <v>50.885593220338983</v>
          </cell>
          <cell r="AB250">
            <v>101.71246973365619</v>
          </cell>
          <cell r="AC250">
            <v>92.95096852300243</v>
          </cell>
          <cell r="AD250">
            <v>104.19745762711864</v>
          </cell>
          <cell r="AE250">
            <v>81.58837772397095</v>
          </cell>
          <cell r="AF250">
            <v>58.109564164648909</v>
          </cell>
          <cell r="AG250">
            <v>877.05823244552062</v>
          </cell>
          <cell r="AH250">
            <v>73.088186037126718</v>
          </cell>
        </row>
        <row r="251">
          <cell r="B251" t="str">
            <v>MDMINMO</v>
          </cell>
          <cell r="C251" t="str">
            <v>MINIMUM MONTHLY CHARGE</v>
          </cell>
          <cell r="D251">
            <v>15</v>
          </cell>
          <cell r="E251">
            <v>15</v>
          </cell>
          <cell r="F251">
            <v>15</v>
          </cell>
          <cell r="G251">
            <v>2325</v>
          </cell>
          <cell r="H251">
            <v>2400</v>
          </cell>
          <cell r="I251">
            <v>2325</v>
          </cell>
          <cell r="J251">
            <v>2310</v>
          </cell>
          <cell r="K251">
            <v>2385</v>
          </cell>
          <cell r="L251">
            <v>2235</v>
          </cell>
          <cell r="M251">
            <v>2325</v>
          </cell>
          <cell r="N251">
            <v>2100</v>
          </cell>
          <cell r="O251">
            <v>2070</v>
          </cell>
          <cell r="P251">
            <v>1965</v>
          </cell>
          <cell r="Q251">
            <v>2220</v>
          </cell>
          <cell r="R251">
            <v>1965</v>
          </cell>
          <cell r="S251">
            <v>26625</v>
          </cell>
          <cell r="U251">
            <v>155</v>
          </cell>
          <cell r="V251">
            <v>160</v>
          </cell>
          <cell r="W251">
            <v>155</v>
          </cell>
          <cell r="X251">
            <v>154</v>
          </cell>
          <cell r="Y251">
            <v>159</v>
          </cell>
          <cell r="Z251">
            <v>149</v>
          </cell>
          <cell r="AA251">
            <v>155</v>
          </cell>
          <cell r="AB251">
            <v>140</v>
          </cell>
          <cell r="AC251">
            <v>138</v>
          </cell>
          <cell r="AD251">
            <v>131</v>
          </cell>
          <cell r="AE251">
            <v>148</v>
          </cell>
          <cell r="AF251">
            <v>131</v>
          </cell>
          <cell r="AG251">
            <v>1775</v>
          </cell>
          <cell r="AH251">
            <v>147.91666666666666</v>
          </cell>
        </row>
        <row r="252">
          <cell r="B252" t="str">
            <v>MDDEL</v>
          </cell>
          <cell r="C252" t="str">
            <v>MED WASTE DELIVERY</v>
          </cell>
          <cell r="D252">
            <v>15</v>
          </cell>
          <cell r="E252">
            <v>15</v>
          </cell>
          <cell r="F252">
            <v>15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15</v>
          </cell>
          <cell r="Q252">
            <v>15</v>
          </cell>
          <cell r="R252">
            <v>45</v>
          </cell>
          <cell r="S252">
            <v>75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1</v>
          </cell>
          <cell r="AE252">
            <v>1</v>
          </cell>
          <cell r="AF252">
            <v>3</v>
          </cell>
          <cell r="AG252">
            <v>5</v>
          </cell>
          <cell r="AH252">
            <v>0.41666666666666669</v>
          </cell>
        </row>
        <row r="253">
          <cell r="B253" t="str">
            <v>MDTRIP</v>
          </cell>
          <cell r="C253" t="str">
            <v>MED WASTE MINIMUM TRIP CH</v>
          </cell>
          <cell r="D253">
            <v>0</v>
          </cell>
          <cell r="G253">
            <v>150</v>
          </cell>
          <cell r="H253">
            <v>15</v>
          </cell>
          <cell r="I253">
            <v>0</v>
          </cell>
          <cell r="J253">
            <v>330</v>
          </cell>
          <cell r="K253">
            <v>105</v>
          </cell>
          <cell r="L253">
            <v>165</v>
          </cell>
          <cell r="M253">
            <v>150</v>
          </cell>
          <cell r="N253">
            <v>135</v>
          </cell>
          <cell r="O253">
            <v>105</v>
          </cell>
          <cell r="P253">
            <v>180</v>
          </cell>
          <cell r="Q253">
            <v>135</v>
          </cell>
          <cell r="R253">
            <v>75</v>
          </cell>
          <cell r="S253">
            <v>1545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</row>
        <row r="255">
          <cell r="C255" t="str">
            <v>TOTAL MEDICAL WASTE</v>
          </cell>
          <cell r="G255">
            <v>16178.050000000001</v>
          </cell>
          <cell r="H255">
            <v>10223.15</v>
          </cell>
          <cell r="I255">
            <v>11609.95</v>
          </cell>
          <cell r="J255">
            <v>13199.75</v>
          </cell>
          <cell r="K255">
            <v>13773.2</v>
          </cell>
          <cell r="L255">
            <v>12469.71</v>
          </cell>
          <cell r="M255">
            <v>11503.75</v>
          </cell>
          <cell r="N255">
            <v>17041.61</v>
          </cell>
          <cell r="O255">
            <v>15289.55</v>
          </cell>
          <cell r="P255">
            <v>17233.91</v>
          </cell>
          <cell r="Q255">
            <v>14655.75</v>
          </cell>
          <cell r="R255">
            <v>12412.05</v>
          </cell>
          <cell r="S255">
            <v>165590.43</v>
          </cell>
          <cell r="U255">
            <v>392.2669491525424</v>
          </cell>
          <cell r="V255">
            <v>293.78631961259077</v>
          </cell>
          <cell r="W255">
            <v>319.00635593220341</v>
          </cell>
          <cell r="X255">
            <v>342.41101694915255</v>
          </cell>
          <cell r="Y255">
            <v>358.40254237288138</v>
          </cell>
          <cell r="Z255">
            <v>323.25799031476993</v>
          </cell>
          <cell r="AA255">
            <v>318.12288135593224</v>
          </cell>
          <cell r="AB255">
            <v>393.88874092009684</v>
          </cell>
          <cell r="AC255">
            <v>356.63740920096853</v>
          </cell>
          <cell r="AD255">
            <v>390.16779661016949</v>
          </cell>
          <cell r="AE255">
            <v>362.60003026634382</v>
          </cell>
          <cell r="AF255">
            <v>316.21125907990313</v>
          </cell>
          <cell r="AG255">
            <v>4166.7592917675547</v>
          </cell>
          <cell r="AH255">
            <v>347.22994098062952</v>
          </cell>
        </row>
        <row r="258">
          <cell r="B258" t="str">
            <v>SUBTOTAL MEDICAL WASTE</v>
          </cell>
          <cell r="G258">
            <v>16178.050000000001</v>
          </cell>
          <cell r="H258">
            <v>10223.15</v>
          </cell>
          <cell r="I258">
            <v>11609.95</v>
          </cell>
          <cell r="J258">
            <v>13199.75</v>
          </cell>
          <cell r="K258">
            <v>13773.2</v>
          </cell>
          <cell r="L258">
            <v>12469.71</v>
          </cell>
          <cell r="M258">
            <v>11503.75</v>
          </cell>
          <cell r="N258">
            <v>17041.61</v>
          </cell>
          <cell r="O258">
            <v>15289.55</v>
          </cell>
          <cell r="P258">
            <v>17233.91</v>
          </cell>
          <cell r="Q258">
            <v>14655.75</v>
          </cell>
          <cell r="R258">
            <v>12412.05</v>
          </cell>
          <cell r="S258">
            <v>165590.43</v>
          </cell>
          <cell r="U258">
            <v>392.2669491525424</v>
          </cell>
          <cell r="V258">
            <v>293.78631961259077</v>
          </cell>
          <cell r="W258">
            <v>319.00635593220341</v>
          </cell>
          <cell r="X258">
            <v>342.41101694915255</v>
          </cell>
          <cell r="Y258">
            <v>358.40254237288138</v>
          </cell>
          <cell r="Z258">
            <v>323.25799031476993</v>
          </cell>
          <cell r="AA258">
            <v>318.12288135593224</v>
          </cell>
          <cell r="AB258">
            <v>393.88874092009684</v>
          </cell>
          <cell r="AC258">
            <v>356.63740920096853</v>
          </cell>
          <cell r="AD258">
            <v>390.16779661016949</v>
          </cell>
          <cell r="AE258">
            <v>362.60003026634382</v>
          </cell>
          <cell r="AF258">
            <v>316.21125907990313</v>
          </cell>
          <cell r="AG258">
            <v>4166.7592917675547</v>
          </cell>
          <cell r="AH258">
            <v>347.22994098062952</v>
          </cell>
        </row>
        <row r="261">
          <cell r="B261" t="str">
            <v>SERVICE CHARGES</v>
          </cell>
        </row>
        <row r="262">
          <cell r="B262" t="str">
            <v>ADJ-SB</v>
          </cell>
          <cell r="C262" t="str">
            <v>SERVICE ADJ-SMALL BALANCE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0.71</v>
          </cell>
          <cell r="J262">
            <v>0</v>
          </cell>
          <cell r="K262">
            <v>14.34</v>
          </cell>
          <cell r="L262">
            <v>0</v>
          </cell>
          <cell r="M262">
            <v>3.1100000000000003</v>
          </cell>
          <cell r="N262">
            <v>-0.4</v>
          </cell>
          <cell r="O262">
            <v>0</v>
          </cell>
          <cell r="P262">
            <v>1.26</v>
          </cell>
          <cell r="Q262">
            <v>-7.0000000000000007E-2</v>
          </cell>
          <cell r="R262">
            <v>0</v>
          </cell>
          <cell r="S262">
            <v>18.950000000000003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</row>
        <row r="263">
          <cell r="B263" t="str">
            <v>ADJTAX</v>
          </cell>
          <cell r="C263" t="str">
            <v>TAX ADJUSTMENT</v>
          </cell>
          <cell r="D263">
            <v>0</v>
          </cell>
          <cell r="E263">
            <v>0</v>
          </cell>
          <cell r="F263">
            <v>0</v>
          </cell>
          <cell r="G263">
            <v>-48.33</v>
          </cell>
          <cell r="H263">
            <v>0</v>
          </cell>
          <cell r="I263">
            <v>-130.18</v>
          </cell>
          <cell r="J263">
            <v>261.92</v>
          </cell>
          <cell r="K263">
            <v>-122.57</v>
          </cell>
          <cell r="L263">
            <v>-13.15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-52.309999999999967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</row>
        <row r="264">
          <cell r="B264" t="str">
            <v>FINCHG</v>
          </cell>
          <cell r="C264" t="str">
            <v>LATE FEE</v>
          </cell>
          <cell r="D264">
            <v>0</v>
          </cell>
          <cell r="E264">
            <v>0</v>
          </cell>
          <cell r="F264">
            <v>0</v>
          </cell>
          <cell r="G264">
            <v>2326.1949999999997</v>
          </cell>
          <cell r="H264">
            <v>3145.4300000000003</v>
          </cell>
          <cell r="I264">
            <v>2721.9649999999997</v>
          </cell>
          <cell r="J264">
            <v>2940.4349999999999</v>
          </cell>
          <cell r="K264">
            <v>3295.4600000000005</v>
          </cell>
          <cell r="L264">
            <v>3510.08</v>
          </cell>
          <cell r="M264">
            <v>2942.9200000000005</v>
          </cell>
          <cell r="N264">
            <v>4292.579999999999</v>
          </cell>
          <cell r="O264">
            <v>3272.4100000000003</v>
          </cell>
          <cell r="P264">
            <v>2530.6249999999995</v>
          </cell>
          <cell r="Q264">
            <v>3025.9050000000002</v>
          </cell>
          <cell r="R264">
            <v>3555.01</v>
          </cell>
          <cell r="S264">
            <v>37559.015000000007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</row>
        <row r="265">
          <cell r="B265" t="str">
            <v>NSF FEES</v>
          </cell>
          <cell r="C265" t="str">
            <v>RETURNED CHECK FEE</v>
          </cell>
          <cell r="D265">
            <v>21.8</v>
          </cell>
          <cell r="E265">
            <v>21.8</v>
          </cell>
          <cell r="F265">
            <v>21.8</v>
          </cell>
          <cell r="G265">
            <v>65.400000000000006</v>
          </cell>
          <cell r="H265">
            <v>43.6</v>
          </cell>
          <cell r="I265">
            <v>87.2</v>
          </cell>
          <cell r="J265">
            <v>87.2</v>
          </cell>
          <cell r="K265">
            <v>43.599999999999994</v>
          </cell>
          <cell r="L265">
            <v>130.80000000000001</v>
          </cell>
          <cell r="M265">
            <v>65.400000000000006</v>
          </cell>
          <cell r="N265">
            <v>21.799999999999997</v>
          </cell>
          <cell r="O265">
            <v>152.6</v>
          </cell>
          <cell r="P265">
            <v>109</v>
          </cell>
          <cell r="Q265">
            <v>21.8</v>
          </cell>
          <cell r="R265">
            <v>43.6</v>
          </cell>
          <cell r="S265">
            <v>872</v>
          </cell>
          <cell r="U265">
            <v>3</v>
          </cell>
          <cell r="V265">
            <v>2</v>
          </cell>
          <cell r="W265">
            <v>4</v>
          </cell>
          <cell r="X265">
            <v>4</v>
          </cell>
          <cell r="Y265">
            <v>1.9999999999999998</v>
          </cell>
          <cell r="Z265">
            <v>6</v>
          </cell>
          <cell r="AA265">
            <v>3</v>
          </cell>
          <cell r="AB265">
            <v>0.99999999999999989</v>
          </cell>
          <cell r="AC265">
            <v>6.9999999999999991</v>
          </cell>
          <cell r="AD265">
            <v>5</v>
          </cell>
          <cell r="AE265">
            <v>1</v>
          </cell>
          <cell r="AF265">
            <v>2</v>
          </cell>
          <cell r="AG265">
            <v>40</v>
          </cell>
          <cell r="AH265">
            <v>3.3333333333333335</v>
          </cell>
        </row>
        <row r="266">
          <cell r="B266" t="str">
            <v>SHOPSERVICE</v>
          </cell>
          <cell r="C266" t="str">
            <v>MAINTENANCE SERVICES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32.5</v>
          </cell>
          <cell r="P266">
            <v>0</v>
          </cell>
          <cell r="Q266">
            <v>0</v>
          </cell>
          <cell r="R266">
            <v>0</v>
          </cell>
          <cell r="S266">
            <v>32.5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</row>
        <row r="268">
          <cell r="C268" t="str">
            <v>TOTAL SERVICE CHARGES</v>
          </cell>
          <cell r="G268">
            <v>2343.2649999999999</v>
          </cell>
          <cell r="H268">
            <v>3189.03</v>
          </cell>
          <cell r="I268">
            <v>2679.6949999999997</v>
          </cell>
          <cell r="J268">
            <v>3289.5549999999998</v>
          </cell>
          <cell r="K268">
            <v>3230.8300000000004</v>
          </cell>
          <cell r="L268">
            <v>3627.73</v>
          </cell>
          <cell r="M268">
            <v>3011.4300000000007</v>
          </cell>
          <cell r="N268">
            <v>4313.9799999999996</v>
          </cell>
          <cell r="O268">
            <v>3457.51</v>
          </cell>
          <cell r="P268">
            <v>2640.8849999999998</v>
          </cell>
          <cell r="Q268">
            <v>3047.6350000000002</v>
          </cell>
          <cell r="R268">
            <v>3598.61</v>
          </cell>
          <cell r="S268">
            <v>38430.155000000006</v>
          </cell>
        </row>
        <row r="271">
          <cell r="B271" t="str">
            <v>SUBTOTAL SERVICE CHARGES</v>
          </cell>
          <cell r="G271">
            <v>2343.2649999999999</v>
          </cell>
          <cell r="H271">
            <v>3189.03</v>
          </cell>
          <cell r="I271">
            <v>2679.6949999999997</v>
          </cell>
          <cell r="J271">
            <v>3289.5549999999998</v>
          </cell>
          <cell r="K271">
            <v>3230.8300000000004</v>
          </cell>
          <cell r="L271">
            <v>3627.73</v>
          </cell>
          <cell r="M271">
            <v>3011.4300000000007</v>
          </cell>
          <cell r="N271">
            <v>4313.9799999999996</v>
          </cell>
          <cell r="O271">
            <v>3457.51</v>
          </cell>
          <cell r="P271">
            <v>2640.8849999999998</v>
          </cell>
          <cell r="Q271">
            <v>3047.6350000000002</v>
          </cell>
          <cell r="R271">
            <v>3598.61</v>
          </cell>
          <cell r="S271">
            <v>38430.155000000006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</row>
        <row r="274">
          <cell r="B274" t="str">
            <v>Grand Total District Operations</v>
          </cell>
          <cell r="G274">
            <v>3892477.0250000004</v>
          </cell>
          <cell r="H274">
            <v>3857733.49</v>
          </cell>
          <cell r="I274">
            <v>3901245.7650000006</v>
          </cell>
          <cell r="J274">
            <v>3923494.9849999999</v>
          </cell>
          <cell r="K274">
            <v>3965545.9850000008</v>
          </cell>
          <cell r="L274">
            <v>3947911.0950000007</v>
          </cell>
          <cell r="M274">
            <v>3927603.8400000003</v>
          </cell>
          <cell r="N274">
            <v>4000702.3700000006</v>
          </cell>
          <cell r="O274">
            <v>3905445.5749999993</v>
          </cell>
          <cell r="P274">
            <v>4017479.330000001</v>
          </cell>
          <cell r="Q274">
            <v>3991869.1549999993</v>
          </cell>
          <cell r="R274">
            <v>4102702.9399999995</v>
          </cell>
          <cell r="S274">
            <v>47434211.554999992</v>
          </cell>
          <cell r="U274">
            <v>176918.86138905349</v>
          </cell>
          <cell r="V274">
            <v>177122.42858642928</v>
          </cell>
          <cell r="W274">
            <v>178316.08140029246</v>
          </cell>
          <cell r="X274">
            <v>178053.37955928716</v>
          </cell>
          <cell r="Y274">
            <v>177878.3423903886</v>
          </cell>
          <cell r="Z274">
            <v>179177.41616995877</v>
          </cell>
          <cell r="AA274">
            <v>177779.28641174722</v>
          </cell>
          <cell r="AB274">
            <v>177856.36960702995</v>
          </cell>
          <cell r="AC274">
            <v>178034.95216944726</v>
          </cell>
          <cell r="AD274">
            <v>178894.58431698219</v>
          </cell>
          <cell r="AE274">
            <v>179646.98521969686</v>
          </cell>
          <cell r="AF274">
            <v>180361.94699859299</v>
          </cell>
          <cell r="AG274">
            <v>2142142.1631286405</v>
          </cell>
          <cell r="AH274">
            <v>177621.79717180529</v>
          </cell>
        </row>
      </sheetData>
      <sheetData sheetId="5">
        <row r="10">
          <cell r="B10" t="str">
            <v>10RW1N</v>
          </cell>
          <cell r="C10" t="str">
            <v>1-10 GAL CART WKLY NON REC</v>
          </cell>
          <cell r="D10">
            <v>17.86</v>
          </cell>
          <cell r="E10">
            <v>18.73</v>
          </cell>
          <cell r="F10">
            <v>35.72</v>
          </cell>
          <cell r="G10">
            <v>35.72</v>
          </cell>
          <cell r="H10">
            <v>35.72</v>
          </cell>
          <cell r="I10">
            <v>35.72</v>
          </cell>
          <cell r="J10">
            <v>35.72</v>
          </cell>
          <cell r="K10">
            <v>35.72</v>
          </cell>
          <cell r="L10">
            <v>35.72</v>
          </cell>
          <cell r="M10">
            <v>35.72</v>
          </cell>
          <cell r="N10">
            <v>35.72</v>
          </cell>
          <cell r="O10">
            <v>37.46</v>
          </cell>
          <cell r="P10">
            <v>37.46</v>
          </cell>
          <cell r="Q10">
            <v>37.46</v>
          </cell>
          <cell r="R10">
            <v>433.85999999999996</v>
          </cell>
          <cell r="T10">
            <v>2</v>
          </cell>
          <cell r="U10">
            <v>2</v>
          </cell>
          <cell r="V10">
            <v>2</v>
          </cell>
          <cell r="W10">
            <v>2</v>
          </cell>
          <cell r="X10">
            <v>2</v>
          </cell>
          <cell r="Y10">
            <v>2</v>
          </cell>
          <cell r="Z10">
            <v>2</v>
          </cell>
          <cell r="AA10">
            <v>2</v>
          </cell>
          <cell r="AB10">
            <v>2</v>
          </cell>
          <cell r="AC10">
            <v>2</v>
          </cell>
          <cell r="AD10">
            <v>2</v>
          </cell>
          <cell r="AE10">
            <v>2</v>
          </cell>
          <cell r="AF10">
            <v>24</v>
          </cell>
          <cell r="AG10">
            <v>2</v>
          </cell>
        </row>
        <row r="11">
          <cell r="B11" t="str">
            <v>10RW1R</v>
          </cell>
          <cell r="C11" t="str">
            <v>1-10 GAL CART WKLY W/ REC</v>
          </cell>
          <cell r="D11">
            <v>17.86</v>
          </cell>
          <cell r="E11">
            <v>18.73</v>
          </cell>
          <cell r="F11">
            <v>1946.74</v>
          </cell>
          <cell r="G11">
            <v>1866.37</v>
          </cell>
          <cell r="H11">
            <v>1866.37</v>
          </cell>
          <cell r="I11">
            <v>1910.875</v>
          </cell>
          <cell r="J11">
            <v>1910.875</v>
          </cell>
          <cell r="K11">
            <v>1991.39</v>
          </cell>
          <cell r="L11">
            <v>1991.39</v>
          </cell>
          <cell r="M11">
            <v>1876.49</v>
          </cell>
          <cell r="N11">
            <v>1884.23</v>
          </cell>
          <cell r="O11">
            <v>2077.7250000000004</v>
          </cell>
          <cell r="P11">
            <v>2077.7250000000004</v>
          </cell>
          <cell r="Q11">
            <v>2107.125</v>
          </cell>
          <cell r="R11">
            <v>23507.305</v>
          </cell>
          <cell r="T11">
            <v>109</v>
          </cell>
          <cell r="U11">
            <v>104.5</v>
          </cell>
          <cell r="V11">
            <v>104.5</v>
          </cell>
          <cell r="W11">
            <v>106.99188129899217</v>
          </cell>
          <cell r="X11">
            <v>106.99188129899217</v>
          </cell>
          <cell r="Y11">
            <v>111.50000000000001</v>
          </cell>
          <cell r="Z11">
            <v>111.50000000000001</v>
          </cell>
          <cell r="AA11">
            <v>105.06662933930572</v>
          </cell>
          <cell r="AB11">
            <v>105.5</v>
          </cell>
          <cell r="AC11">
            <v>110.93032568072613</v>
          </cell>
          <cell r="AD11">
            <v>110.93032568072613</v>
          </cell>
          <cell r="AE11">
            <v>112.5</v>
          </cell>
          <cell r="AF11">
            <v>1299.9110432987422</v>
          </cell>
          <cell r="AG11">
            <v>108.32592027489518</v>
          </cell>
        </row>
        <row r="12">
          <cell r="B12" t="str">
            <v>20RM1</v>
          </cell>
          <cell r="C12" t="str">
            <v>1-20 GAL CART MONTHLY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</row>
        <row r="13">
          <cell r="B13" t="str">
            <v>20RW1</v>
          </cell>
          <cell r="C13" t="str">
            <v>1-20 GAL CAN WEEKLY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</row>
        <row r="14">
          <cell r="B14" t="str">
            <v>20RW1N</v>
          </cell>
          <cell r="C14" t="str">
            <v>1-20 GL CART WKLY NON REC</v>
          </cell>
          <cell r="D14">
            <v>24.79</v>
          </cell>
          <cell r="E14">
            <v>25.99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</row>
        <row r="15">
          <cell r="B15" t="str">
            <v>20RW1NR</v>
          </cell>
          <cell r="C15" t="str">
            <v>1-20 GAL WKLY NON REC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</row>
        <row r="16">
          <cell r="B16" t="str">
            <v>20RW1R</v>
          </cell>
          <cell r="C16" t="str">
            <v>1-20 GL CART WKLY W/ RECY</v>
          </cell>
          <cell r="D16">
            <v>24.79</v>
          </cell>
          <cell r="E16">
            <v>25.99</v>
          </cell>
          <cell r="F16">
            <v>9209.4849999999988</v>
          </cell>
          <cell r="G16">
            <v>9035.9549999999999</v>
          </cell>
          <cell r="H16">
            <v>9159.9050000000007</v>
          </cell>
          <cell r="I16">
            <v>8998.77</v>
          </cell>
          <cell r="J16">
            <v>8874.82</v>
          </cell>
          <cell r="K16">
            <v>8921.3599999999988</v>
          </cell>
          <cell r="L16">
            <v>8896.5699999999979</v>
          </cell>
          <cell r="M16">
            <v>8846.0999999999985</v>
          </cell>
          <cell r="N16">
            <v>8921.3599999999988</v>
          </cell>
          <cell r="O16">
            <v>9602.2749999999996</v>
          </cell>
          <cell r="P16">
            <v>9618.9549999999999</v>
          </cell>
          <cell r="Q16">
            <v>9612.0600000000013</v>
          </cell>
          <cell r="R16">
            <v>109697.61499999999</v>
          </cell>
          <cell r="T16">
            <v>371.49999999999994</v>
          </cell>
          <cell r="U16">
            <v>364.5</v>
          </cell>
          <cell r="V16">
            <v>369.50000000000006</v>
          </cell>
          <cell r="W16">
            <v>363.00000000000006</v>
          </cell>
          <cell r="X16">
            <v>358</v>
          </cell>
          <cell r="Y16">
            <v>359.87736990722061</v>
          </cell>
          <cell r="Z16">
            <v>358.87736990722055</v>
          </cell>
          <cell r="AA16">
            <v>356.84146833400558</v>
          </cell>
          <cell r="AB16">
            <v>359.87736990722061</v>
          </cell>
          <cell r="AC16">
            <v>369.46036937283571</v>
          </cell>
          <cell r="AD16">
            <v>370.10215467487495</v>
          </cell>
          <cell r="AE16">
            <v>369.83686033089657</v>
          </cell>
          <cell r="AF16">
            <v>4371.372962434275</v>
          </cell>
          <cell r="AG16">
            <v>364.28108020285623</v>
          </cell>
        </row>
        <row r="17">
          <cell r="B17" t="str">
            <v>24RW1N</v>
          </cell>
          <cell r="C17" t="str">
            <v>1-24 GL CART WKLY NON REC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</row>
        <row r="18">
          <cell r="B18" t="str">
            <v>24RW1R</v>
          </cell>
          <cell r="C18" t="str">
            <v>1-24 GL CART WKLY W/ RECY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</row>
        <row r="19">
          <cell r="B19" t="str">
            <v>32RE1</v>
          </cell>
          <cell r="C19" t="str">
            <v>1-32 GAL CAN EOW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</row>
        <row r="20">
          <cell r="B20" t="str">
            <v>32RM1</v>
          </cell>
          <cell r="C20" t="str">
            <v>1-32 GAL CAN MONTHLY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</row>
        <row r="21">
          <cell r="B21" t="str">
            <v>32ROCPU</v>
          </cell>
          <cell r="C21" t="str">
            <v>1-32 GAL CAN-ON CALL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</row>
        <row r="22">
          <cell r="B22" t="str">
            <v>32RW1</v>
          </cell>
          <cell r="C22" t="str">
            <v>1-32 GAL CAN WEEKLY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</row>
        <row r="23">
          <cell r="B23" t="str">
            <v>32RW1N</v>
          </cell>
          <cell r="C23" t="str">
            <v>1-32 GL CART WKLY NON REC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</row>
        <row r="24">
          <cell r="B24" t="str">
            <v>32RW1NR</v>
          </cell>
          <cell r="C24" t="str">
            <v>1-32 GAL WKLY NON REC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</row>
        <row r="25">
          <cell r="B25" t="str">
            <v>32RW1R</v>
          </cell>
          <cell r="C25" t="str">
            <v>1-32 GL CART WKLY W/ RECY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</row>
        <row r="26">
          <cell r="B26" t="str">
            <v>32RW2</v>
          </cell>
          <cell r="C26" t="str">
            <v>2-32 GAL CANS WEEKLY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</row>
        <row r="27">
          <cell r="B27" t="str">
            <v>32RW2R</v>
          </cell>
          <cell r="C27" t="str">
            <v>2-32 GL CART WKLY W/ RECY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</row>
        <row r="28">
          <cell r="B28" t="str">
            <v>32RW2NR</v>
          </cell>
          <cell r="C28" t="str">
            <v>2-32 GAL WKLY NON REC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</row>
        <row r="29">
          <cell r="B29" t="str">
            <v>32RW3</v>
          </cell>
          <cell r="C29" t="str">
            <v>3-32 GAL CANS WEEKLY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</row>
        <row r="30">
          <cell r="B30" t="str">
            <v>32RW3NR</v>
          </cell>
          <cell r="C30" t="str">
            <v>3-32 GAL WKLY NON REC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</row>
        <row r="31">
          <cell r="B31" t="str">
            <v>32RW4</v>
          </cell>
          <cell r="C31" t="str">
            <v>4-32 GAL CANS WEEKLY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</row>
        <row r="32">
          <cell r="B32" t="str">
            <v>32RW4NR</v>
          </cell>
          <cell r="C32" t="str">
            <v>4-32 GAL WKLY NON REC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</row>
        <row r="33">
          <cell r="B33" t="str">
            <v>32RW5</v>
          </cell>
          <cell r="C33" t="str">
            <v>5-32 GAL CANS WEEKLY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</row>
        <row r="34">
          <cell r="B34" t="str">
            <v>32RW5NR</v>
          </cell>
          <cell r="C34" t="str">
            <v>5-32 GAL WKLY NON REC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</row>
        <row r="35">
          <cell r="B35" t="str">
            <v>32RW6</v>
          </cell>
          <cell r="C35" t="str">
            <v>6-32 GAL CANS WEEKLY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</row>
        <row r="36">
          <cell r="B36" t="str">
            <v>35RM1</v>
          </cell>
          <cell r="C36" t="str">
            <v>1-35 GAL CART MONTHLY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</row>
        <row r="37">
          <cell r="B37" t="str">
            <v>35RW1N</v>
          </cell>
          <cell r="C37" t="str">
            <v>1-35 GAL CART WKLY NONREC</v>
          </cell>
          <cell r="D37">
            <v>30.76</v>
          </cell>
          <cell r="E37">
            <v>32.22</v>
          </cell>
          <cell r="F37">
            <v>276.83999999999997</v>
          </cell>
          <cell r="G37">
            <v>322.98</v>
          </cell>
          <cell r="H37">
            <v>322.98</v>
          </cell>
          <cell r="I37">
            <v>307.59999999999997</v>
          </cell>
          <cell r="J37">
            <v>307.59999999999997</v>
          </cell>
          <cell r="K37">
            <v>307.60000000000002</v>
          </cell>
          <cell r="L37">
            <v>307.60000000000002</v>
          </cell>
          <cell r="M37">
            <v>307.60000000000002</v>
          </cell>
          <cell r="N37">
            <v>307.60000000000002</v>
          </cell>
          <cell r="O37">
            <v>257.76</v>
          </cell>
          <cell r="P37">
            <v>257.76</v>
          </cell>
          <cell r="Q37">
            <v>257.76</v>
          </cell>
          <cell r="R37">
            <v>3541.6800000000003</v>
          </cell>
          <cell r="T37">
            <v>8.9999999999999982</v>
          </cell>
          <cell r="U37">
            <v>10.5</v>
          </cell>
          <cell r="V37">
            <v>10.5</v>
          </cell>
          <cell r="W37">
            <v>9.9999999999999982</v>
          </cell>
          <cell r="X37">
            <v>9.9999999999999982</v>
          </cell>
          <cell r="Y37">
            <v>10</v>
          </cell>
          <cell r="Z37">
            <v>10</v>
          </cell>
          <cell r="AA37">
            <v>10</v>
          </cell>
          <cell r="AB37">
            <v>10</v>
          </cell>
          <cell r="AC37">
            <v>8</v>
          </cell>
          <cell r="AD37">
            <v>8</v>
          </cell>
          <cell r="AE37">
            <v>8</v>
          </cell>
          <cell r="AF37">
            <v>114</v>
          </cell>
          <cell r="AG37">
            <v>9.5</v>
          </cell>
        </row>
        <row r="38">
          <cell r="B38" t="str">
            <v>35RW1R</v>
          </cell>
          <cell r="C38" t="str">
            <v>1-35 GAL CART WKLY W/REC</v>
          </cell>
          <cell r="D38">
            <v>30.76</v>
          </cell>
          <cell r="E38">
            <v>32.22</v>
          </cell>
          <cell r="F38">
            <v>103246.19</v>
          </cell>
          <cell r="G38">
            <v>102698.89499999999</v>
          </cell>
          <cell r="H38">
            <v>103058.31499999999</v>
          </cell>
          <cell r="I38">
            <v>101790.19999999998</v>
          </cell>
          <cell r="J38">
            <v>101694.93</v>
          </cell>
          <cell r="K38">
            <v>101194.625</v>
          </cell>
          <cell r="L38">
            <v>101348.86500000001</v>
          </cell>
          <cell r="M38">
            <v>100121.02500000001</v>
          </cell>
          <cell r="N38">
            <v>100267.645</v>
          </cell>
          <cell r="O38">
            <v>105186.355</v>
          </cell>
          <cell r="P38">
            <v>105549.625</v>
          </cell>
          <cell r="Q38">
            <v>105240.07</v>
          </cell>
          <cell r="R38">
            <v>1231396.74</v>
          </cell>
          <cell r="T38">
            <v>3356.5081274382314</v>
          </cell>
          <cell r="U38">
            <v>3338.7157022106626</v>
          </cell>
          <cell r="V38">
            <v>3350.4003576072814</v>
          </cell>
          <cell r="W38">
            <v>3309.1742522756822</v>
          </cell>
          <cell r="X38">
            <v>3306.0770481144341</v>
          </cell>
          <cell r="Y38">
            <v>3289.8122561768528</v>
          </cell>
          <cell r="Z38">
            <v>3294.8265604681405</v>
          </cell>
          <cell r="AA38">
            <v>3254.909785435631</v>
          </cell>
          <cell r="AB38">
            <v>3259.676365409623</v>
          </cell>
          <cell r="AC38">
            <v>3264.6292675356922</v>
          </cell>
          <cell r="AD38">
            <v>3275.9039416511487</v>
          </cell>
          <cell r="AE38">
            <v>3266.2963997517072</v>
          </cell>
          <cell r="AF38">
            <v>39566.930064075088</v>
          </cell>
          <cell r="AG38">
            <v>3297.2441720062575</v>
          </cell>
        </row>
        <row r="39">
          <cell r="B39" t="str">
            <v>64RW1N</v>
          </cell>
          <cell r="C39" t="str">
            <v>1-64 GAL CART WKLY NONREC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</row>
        <row r="40">
          <cell r="B40" t="str">
            <v>64RW1R</v>
          </cell>
          <cell r="C40" t="str">
            <v>1-64 GAL CART WKLY W/REC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</row>
        <row r="41">
          <cell r="B41" t="str">
            <v>65RM1</v>
          </cell>
          <cell r="C41" t="str">
            <v>1-65 GAL CART MONTHLY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</row>
        <row r="42">
          <cell r="B42" t="str">
            <v>65RW1N</v>
          </cell>
          <cell r="C42" t="str">
            <v>1-65 GAL CART WKLY NONREC</v>
          </cell>
          <cell r="D42">
            <v>45.1</v>
          </cell>
          <cell r="E42">
            <v>47.15</v>
          </cell>
          <cell r="F42">
            <v>270.60000000000002</v>
          </cell>
          <cell r="G42">
            <v>270.60000000000002</v>
          </cell>
          <cell r="H42">
            <v>270.60000000000002</v>
          </cell>
          <cell r="I42">
            <v>270.60000000000002</v>
          </cell>
          <cell r="J42">
            <v>270.60000000000002</v>
          </cell>
          <cell r="K42">
            <v>270.60000000000002</v>
          </cell>
          <cell r="L42">
            <v>270.60000000000002</v>
          </cell>
          <cell r="M42">
            <v>270.60000000000002</v>
          </cell>
          <cell r="N42">
            <v>270.60000000000002</v>
          </cell>
          <cell r="O42">
            <v>330.05</v>
          </cell>
          <cell r="P42">
            <v>330.05</v>
          </cell>
          <cell r="Q42">
            <v>330.05</v>
          </cell>
          <cell r="R42">
            <v>3425.55</v>
          </cell>
          <cell r="T42">
            <v>6</v>
          </cell>
          <cell r="U42">
            <v>6</v>
          </cell>
          <cell r="V42">
            <v>6</v>
          </cell>
          <cell r="W42">
            <v>6</v>
          </cell>
          <cell r="X42">
            <v>6</v>
          </cell>
          <cell r="Y42">
            <v>6</v>
          </cell>
          <cell r="Z42">
            <v>6</v>
          </cell>
          <cell r="AA42">
            <v>6</v>
          </cell>
          <cell r="AB42">
            <v>6</v>
          </cell>
          <cell r="AC42">
            <v>7.0000000000000009</v>
          </cell>
          <cell r="AD42">
            <v>7.0000000000000009</v>
          </cell>
          <cell r="AE42">
            <v>7.0000000000000009</v>
          </cell>
          <cell r="AF42">
            <v>75</v>
          </cell>
          <cell r="AG42">
            <v>6.25</v>
          </cell>
        </row>
        <row r="43">
          <cell r="B43" t="str">
            <v>65RW1R</v>
          </cell>
          <cell r="C43" t="str">
            <v>1-65 GAL CART WKLY W/REC</v>
          </cell>
          <cell r="D43">
            <v>45.1</v>
          </cell>
          <cell r="E43">
            <v>47.15</v>
          </cell>
          <cell r="F43">
            <v>107545.33</v>
          </cell>
          <cell r="G43">
            <v>107045.34999999999</v>
          </cell>
          <cell r="H43">
            <v>107151.97</v>
          </cell>
          <cell r="I43">
            <v>108515.535</v>
          </cell>
          <cell r="J43">
            <v>108397.845</v>
          </cell>
          <cell r="K43">
            <v>108702.28000000001</v>
          </cell>
          <cell r="L43">
            <v>108343.01000000002</v>
          </cell>
          <cell r="M43">
            <v>109298.40999999999</v>
          </cell>
          <cell r="N43">
            <v>109153.25</v>
          </cell>
          <cell r="O43">
            <v>113769.63500000001</v>
          </cell>
          <cell r="P43">
            <v>114152.71500000001</v>
          </cell>
          <cell r="Q43">
            <v>115005.29999999999</v>
          </cell>
          <cell r="R43">
            <v>1317080.6300000004</v>
          </cell>
          <cell r="T43">
            <v>2384.5971175166296</v>
          </cell>
          <cell r="U43">
            <v>2373.5110864745006</v>
          </cell>
          <cell r="V43">
            <v>2375.8751662971176</v>
          </cell>
          <cell r="W43">
            <v>2406.1094235033261</v>
          </cell>
          <cell r="X43">
            <v>2403.4998891352548</v>
          </cell>
          <cell r="Y43">
            <v>2410.2501108647452</v>
          </cell>
          <cell r="Z43">
            <v>2402.2840354767191</v>
          </cell>
          <cell r="AA43">
            <v>2423.4680709534364</v>
          </cell>
          <cell r="AB43">
            <v>2420.2494456762747</v>
          </cell>
          <cell r="AC43">
            <v>2412.9296924708378</v>
          </cell>
          <cell r="AD43">
            <v>2421.0544008483566</v>
          </cell>
          <cell r="AE43">
            <v>2439.1367974549307</v>
          </cell>
          <cell r="AF43">
            <v>28872.965236672131</v>
          </cell>
          <cell r="AG43">
            <v>2406.0804363893444</v>
          </cell>
        </row>
        <row r="44">
          <cell r="B44" t="str">
            <v>95RM1</v>
          </cell>
          <cell r="C44" t="str">
            <v>1-95 GAL CART MONTHLY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</row>
        <row r="45">
          <cell r="B45" t="str">
            <v>95RW1N</v>
          </cell>
          <cell r="C45" t="str">
            <v>1-95 GAL CART WKLY NONREC</v>
          </cell>
          <cell r="D45">
            <v>62.25</v>
          </cell>
          <cell r="E45">
            <v>65.040000000000006</v>
          </cell>
          <cell r="F45">
            <v>404.625</v>
          </cell>
          <cell r="G45">
            <v>435.75</v>
          </cell>
          <cell r="H45">
            <v>435.75</v>
          </cell>
          <cell r="I45">
            <v>498</v>
          </cell>
          <cell r="J45">
            <v>498</v>
          </cell>
          <cell r="K45">
            <v>435.75</v>
          </cell>
          <cell r="L45">
            <v>435.75</v>
          </cell>
          <cell r="M45">
            <v>435.75</v>
          </cell>
          <cell r="N45">
            <v>435.75</v>
          </cell>
          <cell r="O45">
            <v>390.24</v>
          </cell>
          <cell r="P45">
            <v>390.24</v>
          </cell>
          <cell r="Q45">
            <v>292.68</v>
          </cell>
          <cell r="R45">
            <v>5088.2849999999999</v>
          </cell>
          <cell r="T45">
            <v>6.5</v>
          </cell>
          <cell r="U45">
            <v>7</v>
          </cell>
          <cell r="V45">
            <v>7</v>
          </cell>
          <cell r="W45">
            <v>8</v>
          </cell>
          <cell r="X45">
            <v>8</v>
          </cell>
          <cell r="Y45">
            <v>7</v>
          </cell>
          <cell r="Z45">
            <v>7</v>
          </cell>
          <cell r="AA45">
            <v>7</v>
          </cell>
          <cell r="AB45">
            <v>7</v>
          </cell>
          <cell r="AC45">
            <v>6</v>
          </cell>
          <cell r="AD45">
            <v>6</v>
          </cell>
          <cell r="AE45">
            <v>4.5</v>
          </cell>
          <cell r="AF45">
            <v>81</v>
          </cell>
          <cell r="AG45">
            <v>6.75</v>
          </cell>
        </row>
        <row r="46">
          <cell r="B46" t="str">
            <v>95RW1R</v>
          </cell>
          <cell r="C46" t="str">
            <v>1-95 GAL CART WKLY W/REC</v>
          </cell>
          <cell r="D46">
            <v>62.25</v>
          </cell>
          <cell r="E46">
            <v>65.040000000000006</v>
          </cell>
          <cell r="F46">
            <v>32215.785</v>
          </cell>
          <cell r="G46">
            <v>33552.754999999997</v>
          </cell>
          <cell r="H46">
            <v>33926.25</v>
          </cell>
          <cell r="I46">
            <v>34766.625</v>
          </cell>
          <cell r="J46">
            <v>35015.625</v>
          </cell>
          <cell r="K46">
            <v>35702.75</v>
          </cell>
          <cell r="L46">
            <v>35607</v>
          </cell>
          <cell r="M46">
            <v>36182.81</v>
          </cell>
          <cell r="N46">
            <v>36307.31</v>
          </cell>
          <cell r="O46">
            <v>39018.415000000001</v>
          </cell>
          <cell r="P46">
            <v>38888.334999999999</v>
          </cell>
          <cell r="Q46">
            <v>39702.720000000001</v>
          </cell>
          <cell r="R46">
            <v>430886.38</v>
          </cell>
          <cell r="T46">
            <v>517.52265060240961</v>
          </cell>
          <cell r="U46">
            <v>539.00008032128505</v>
          </cell>
          <cell r="V46">
            <v>545</v>
          </cell>
          <cell r="W46">
            <v>558.5</v>
          </cell>
          <cell r="X46">
            <v>562.5</v>
          </cell>
          <cell r="Y46">
            <v>573.53815261044178</v>
          </cell>
          <cell r="Z46">
            <v>572</v>
          </cell>
          <cell r="AA46">
            <v>581.24995983935742</v>
          </cell>
          <cell r="AB46">
            <v>583.24995983935742</v>
          </cell>
          <cell r="AC46">
            <v>599.91412976629761</v>
          </cell>
          <cell r="AD46">
            <v>597.91412976629761</v>
          </cell>
          <cell r="AE46">
            <v>610.43542435424354</v>
          </cell>
          <cell r="AF46">
            <v>6840.8244870996896</v>
          </cell>
          <cell r="AG46">
            <v>570.06870725830743</v>
          </cell>
        </row>
        <row r="47">
          <cell r="B47" t="str">
            <v>96RW1N</v>
          </cell>
          <cell r="C47" t="str">
            <v>1-96 GAL CART WKLY NONREC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</row>
        <row r="48">
          <cell r="B48" t="str">
            <v>96RW1R</v>
          </cell>
          <cell r="C48" t="str">
            <v>1-96 GAL CART WKLY W/REC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</row>
        <row r="49">
          <cell r="B49" t="str">
            <v>ADJRES</v>
          </cell>
          <cell r="C49" t="str">
            <v>SERVICE ADJ-RESIDENTIAL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3.8400000000000318</v>
          </cell>
          <cell r="R49">
            <v>3.8400000000000318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</row>
        <row r="50">
          <cell r="B50" t="str">
            <v>CARRY-RES</v>
          </cell>
          <cell r="C50" t="str">
            <v>CARRY OUT -RES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</row>
        <row r="51">
          <cell r="B51" t="str">
            <v>DELTOT</v>
          </cell>
          <cell r="C51" t="str">
            <v>GARB CART REDELIVERY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</row>
        <row r="52">
          <cell r="B52" t="str">
            <v>DRIVEPRVT-RES</v>
          </cell>
          <cell r="C52" t="str">
            <v>DRIVE IN PRIVATE RD - RES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</row>
        <row r="53">
          <cell r="B53" t="str">
            <v>DRVNRE1</v>
          </cell>
          <cell r="C53" t="str">
            <v>DRIVE IN UP TO 125'-EOW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</row>
        <row r="54">
          <cell r="B54" t="str">
            <v>DRVNRW1</v>
          </cell>
          <cell r="C54" t="str">
            <v>DRIVE IN UP TO 125'-WKLY</v>
          </cell>
          <cell r="D54">
            <v>19.329999999999998</v>
          </cell>
          <cell r="E54">
            <v>20.34</v>
          </cell>
          <cell r="F54">
            <v>19.329999999999998</v>
          </cell>
          <cell r="G54">
            <v>19.329999999999998</v>
          </cell>
          <cell r="H54">
            <v>19.329999999999998</v>
          </cell>
          <cell r="I54">
            <v>19.329999999999998</v>
          </cell>
          <cell r="J54">
            <v>19.329999999999998</v>
          </cell>
          <cell r="K54">
            <v>19.329999999999998</v>
          </cell>
          <cell r="L54">
            <v>19.329999999999998</v>
          </cell>
          <cell r="M54">
            <v>19.329999999999998</v>
          </cell>
          <cell r="N54">
            <v>19.329999999999998</v>
          </cell>
          <cell r="O54">
            <v>20.34</v>
          </cell>
          <cell r="P54">
            <v>20.34</v>
          </cell>
          <cell r="Q54">
            <v>20.34</v>
          </cell>
          <cell r="R54">
            <v>234.98999999999998</v>
          </cell>
          <cell r="T54">
            <v>1</v>
          </cell>
          <cell r="U54">
            <v>1</v>
          </cell>
          <cell r="V54">
            <v>1</v>
          </cell>
          <cell r="W54">
            <v>1</v>
          </cell>
          <cell r="X54">
            <v>1</v>
          </cell>
          <cell r="Y54">
            <v>1</v>
          </cell>
          <cell r="Z54">
            <v>1</v>
          </cell>
          <cell r="AA54">
            <v>1</v>
          </cell>
          <cell r="AB54">
            <v>1</v>
          </cell>
          <cell r="AC54">
            <v>1</v>
          </cell>
          <cell r="AD54">
            <v>1</v>
          </cell>
          <cell r="AE54">
            <v>1</v>
          </cell>
          <cell r="AF54">
            <v>12</v>
          </cell>
          <cell r="AG54">
            <v>1</v>
          </cell>
        </row>
        <row r="55">
          <cell r="B55" t="str">
            <v>DRVNRW2</v>
          </cell>
          <cell r="C55" t="str">
            <v>DRIVE IN OVER 125'-WKLY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</row>
        <row r="56">
          <cell r="B56" t="str">
            <v>GWCR</v>
          </cell>
          <cell r="C56" t="str">
            <v>GOOD WILL CREDIT - RESI</v>
          </cell>
          <cell r="D56">
            <v>0</v>
          </cell>
          <cell r="E56">
            <v>0</v>
          </cell>
          <cell r="F56">
            <v>-15</v>
          </cell>
          <cell r="G56">
            <v>0</v>
          </cell>
          <cell r="H56">
            <v>-25</v>
          </cell>
          <cell r="I56">
            <v>0</v>
          </cell>
          <cell r="J56">
            <v>-32</v>
          </cell>
          <cell r="K56">
            <v>0</v>
          </cell>
          <cell r="L56">
            <v>0</v>
          </cell>
          <cell r="M56">
            <v>-15</v>
          </cell>
          <cell r="N56">
            <v>0</v>
          </cell>
          <cell r="O56">
            <v>0</v>
          </cell>
          <cell r="P56">
            <v>-15</v>
          </cell>
          <cell r="Q56">
            <v>0</v>
          </cell>
          <cell r="R56">
            <v>-102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</row>
        <row r="57">
          <cell r="B57" t="str">
            <v>IMPCNR1</v>
          </cell>
          <cell r="C57" t="str">
            <v>1 IMPROPER CAN - RESI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</row>
        <row r="58">
          <cell r="B58" t="str">
            <v>IMPCNR2</v>
          </cell>
          <cell r="C58" t="str">
            <v>2 IMPROPER CANS - RESI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</row>
        <row r="59">
          <cell r="B59" t="str">
            <v>OBSR</v>
          </cell>
          <cell r="C59" t="str">
            <v>OBSTRUCTION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</row>
        <row r="60">
          <cell r="B60" t="str">
            <v>OS</v>
          </cell>
          <cell r="C60" t="str">
            <v>OVERSIZE UNIT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</row>
        <row r="61">
          <cell r="B61" t="str">
            <v>OSOW</v>
          </cell>
          <cell r="C61" t="str">
            <v>OVERSIZE/OVERWEIGHT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</row>
        <row r="62">
          <cell r="B62" t="str">
            <v>OW</v>
          </cell>
          <cell r="C62" t="str">
            <v>OVERWEIGHT UNIT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</row>
        <row r="63">
          <cell r="B63" t="str">
            <v>PACKLC</v>
          </cell>
          <cell r="C63" t="str">
            <v>CARRY-OUT LONG DISTANCE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</row>
        <row r="64">
          <cell r="B64" t="str">
            <v>PACKR</v>
          </cell>
          <cell r="C64" t="str">
            <v>CARRY-OUT RESIDENTIAL</v>
          </cell>
          <cell r="D64">
            <v>19.329999999999998</v>
          </cell>
          <cell r="E64">
            <v>20.34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</row>
        <row r="65">
          <cell r="B65" t="str">
            <v>PACKSNR</v>
          </cell>
          <cell r="C65" t="str">
            <v>CARRY-OUT SENIOR SERVICE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</row>
        <row r="66">
          <cell r="B66" t="str">
            <v>RESTART FEE</v>
          </cell>
          <cell r="C66" t="str">
            <v>RESTART FEE</v>
          </cell>
          <cell r="D66">
            <v>25</v>
          </cell>
          <cell r="E66">
            <v>26.31</v>
          </cell>
          <cell r="F66">
            <v>50</v>
          </cell>
          <cell r="G66">
            <v>650</v>
          </cell>
          <cell r="H66">
            <v>75</v>
          </cell>
          <cell r="I66">
            <v>1250</v>
          </cell>
          <cell r="J66">
            <v>100</v>
          </cell>
          <cell r="K66">
            <v>775</v>
          </cell>
          <cell r="L66">
            <v>50</v>
          </cell>
          <cell r="M66">
            <v>675</v>
          </cell>
          <cell r="N66">
            <v>200</v>
          </cell>
          <cell r="O66">
            <v>1126.0900000000001</v>
          </cell>
          <cell r="P66">
            <v>157.86000000000001</v>
          </cell>
          <cell r="Q66">
            <v>631.44000000000005</v>
          </cell>
          <cell r="R66">
            <v>5740.3899999999994</v>
          </cell>
          <cell r="T66">
            <v>2</v>
          </cell>
          <cell r="U66">
            <v>26</v>
          </cell>
          <cell r="V66">
            <v>3</v>
          </cell>
          <cell r="W66">
            <v>50</v>
          </cell>
          <cell r="X66">
            <v>4</v>
          </cell>
          <cell r="Y66">
            <v>31</v>
          </cell>
          <cell r="Z66">
            <v>2</v>
          </cell>
          <cell r="AA66">
            <v>27</v>
          </cell>
          <cell r="AB66">
            <v>8</v>
          </cell>
          <cell r="AC66">
            <v>42.800836183960477</v>
          </cell>
          <cell r="AD66">
            <v>6.0000000000000009</v>
          </cell>
          <cell r="AE66">
            <v>24.000000000000004</v>
          </cell>
          <cell r="AF66">
            <v>225.80083618396048</v>
          </cell>
          <cell r="AG66">
            <v>18.816736348663373</v>
          </cell>
        </row>
        <row r="67">
          <cell r="B67" t="str">
            <v>REXTRA</v>
          </cell>
          <cell r="C67" t="str">
            <v>EXTRA UNITS</v>
          </cell>
          <cell r="D67">
            <v>6.53</v>
          </cell>
          <cell r="E67">
            <v>6.84</v>
          </cell>
          <cell r="F67">
            <v>3604.56</v>
          </cell>
          <cell r="G67">
            <v>3996.36</v>
          </cell>
          <cell r="H67">
            <v>1742.84</v>
          </cell>
          <cell r="I67">
            <v>2579.3500000000004</v>
          </cell>
          <cell r="J67">
            <v>1854.52</v>
          </cell>
          <cell r="K67">
            <v>2128.7799999999997</v>
          </cell>
          <cell r="L67">
            <v>2958.09</v>
          </cell>
          <cell r="M67">
            <v>2675.65</v>
          </cell>
          <cell r="N67">
            <v>1776.1599999999999</v>
          </cell>
          <cell r="O67">
            <v>1914.6</v>
          </cell>
          <cell r="P67">
            <v>2065.9899999999998</v>
          </cell>
          <cell r="Q67">
            <v>1874.23</v>
          </cell>
          <cell r="R67">
            <v>29171.13</v>
          </cell>
          <cell r="T67">
            <v>552</v>
          </cell>
          <cell r="U67">
            <v>612</v>
          </cell>
          <cell r="V67">
            <v>266.89739663093411</v>
          </cell>
          <cell r="W67">
            <v>395.00000000000006</v>
          </cell>
          <cell r="X67">
            <v>284</v>
          </cell>
          <cell r="Y67">
            <v>325.99999999999994</v>
          </cell>
          <cell r="Z67">
            <v>453</v>
          </cell>
          <cell r="AA67">
            <v>409.74732006125572</v>
          </cell>
          <cell r="AB67">
            <v>271.99999999999994</v>
          </cell>
          <cell r="AC67">
            <v>279.91228070175436</v>
          </cell>
          <cell r="AD67">
            <v>302.04532163742687</v>
          </cell>
          <cell r="AE67">
            <v>274.01023391812868</v>
          </cell>
          <cell r="AF67">
            <v>4426.6125529494993</v>
          </cell>
          <cell r="AG67">
            <v>368.88437941245826</v>
          </cell>
        </row>
        <row r="68">
          <cell r="B68" t="str">
            <v>SUNKENR</v>
          </cell>
          <cell r="C68" t="str">
            <v>SUNKEN CAN CHARGE - RESI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</row>
        <row r="69">
          <cell r="B69" t="str">
            <v>TRIPRCANS</v>
          </cell>
          <cell r="C69" t="str">
            <v>RETURN TRIP CHARGE - CANS</v>
          </cell>
          <cell r="D69">
            <v>10.81</v>
          </cell>
          <cell r="E69">
            <v>11.38</v>
          </cell>
          <cell r="F69">
            <v>27.024999999999999</v>
          </cell>
          <cell r="G69">
            <v>64.86</v>
          </cell>
          <cell r="H69">
            <v>32.43</v>
          </cell>
          <cell r="I69">
            <v>43.24</v>
          </cell>
          <cell r="J69">
            <v>43.24</v>
          </cell>
          <cell r="K69">
            <v>108.1</v>
          </cell>
          <cell r="L69">
            <v>32.43</v>
          </cell>
          <cell r="M69">
            <v>32.43</v>
          </cell>
          <cell r="N69">
            <v>54.05</v>
          </cell>
          <cell r="O69">
            <v>68.849999999999994</v>
          </cell>
          <cell r="P69">
            <v>11.38</v>
          </cell>
          <cell r="Q69">
            <v>79.66</v>
          </cell>
          <cell r="R69">
            <v>597.69499999999994</v>
          </cell>
          <cell r="T69">
            <v>2.4999999999999996</v>
          </cell>
          <cell r="U69">
            <v>6</v>
          </cell>
          <cell r="V69">
            <v>3</v>
          </cell>
          <cell r="W69">
            <v>4</v>
          </cell>
          <cell r="X69">
            <v>4</v>
          </cell>
          <cell r="Y69">
            <v>9.9999999999999982</v>
          </cell>
          <cell r="Z69">
            <v>3</v>
          </cell>
          <cell r="AA69">
            <v>3</v>
          </cell>
          <cell r="AB69">
            <v>4.9999999999999991</v>
          </cell>
          <cell r="AC69">
            <v>6.0500878734622132</v>
          </cell>
          <cell r="AD69">
            <v>1</v>
          </cell>
          <cell r="AE69">
            <v>6.9999999999999991</v>
          </cell>
          <cell r="AF69">
            <v>54.550087873462211</v>
          </cell>
          <cell r="AG69">
            <v>4.5458406561218512</v>
          </cell>
        </row>
        <row r="70">
          <cell r="B70" t="str">
            <v>TRIPRCARTS</v>
          </cell>
          <cell r="C70" t="str">
            <v>RESI TRIP CHARGE - CARTS</v>
          </cell>
          <cell r="D70">
            <v>10.81</v>
          </cell>
          <cell r="E70">
            <v>11.38</v>
          </cell>
          <cell r="F70">
            <v>32.43</v>
          </cell>
          <cell r="G70">
            <v>0</v>
          </cell>
          <cell r="H70">
            <v>10.81</v>
          </cell>
          <cell r="I70">
            <v>10.81</v>
          </cell>
          <cell r="J70">
            <v>0</v>
          </cell>
          <cell r="K70">
            <v>21.62</v>
          </cell>
          <cell r="L70">
            <v>10.81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86.48</v>
          </cell>
          <cell r="T70">
            <v>3</v>
          </cell>
          <cell r="U70">
            <v>0</v>
          </cell>
          <cell r="V70">
            <v>1</v>
          </cell>
          <cell r="W70">
            <v>1</v>
          </cell>
          <cell r="X70">
            <v>0</v>
          </cell>
          <cell r="Y70">
            <v>2</v>
          </cell>
          <cell r="Z70">
            <v>1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8</v>
          </cell>
          <cell r="AG70">
            <v>0.66666666666666663</v>
          </cell>
        </row>
        <row r="71">
          <cell r="B71" t="str">
            <v>BULKY-RES</v>
          </cell>
          <cell r="C71" t="str">
            <v>BULKY ITEM</v>
          </cell>
          <cell r="D71">
            <v>26</v>
          </cell>
          <cell r="E71">
            <v>27.36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141.29</v>
          </cell>
          <cell r="N71">
            <v>91</v>
          </cell>
          <cell r="O71">
            <v>0</v>
          </cell>
          <cell r="P71">
            <v>156</v>
          </cell>
          <cell r="Q71">
            <v>150.47999999999999</v>
          </cell>
          <cell r="R71">
            <v>538.77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5.4342307692307692</v>
          </cell>
          <cell r="AB71">
            <v>3.5</v>
          </cell>
          <cell r="AC71">
            <v>0</v>
          </cell>
          <cell r="AD71">
            <v>5.7017543859649127</v>
          </cell>
          <cell r="AE71">
            <v>5.5</v>
          </cell>
          <cell r="AF71">
            <v>20.135985155195684</v>
          </cell>
          <cell r="AG71">
            <v>1.6779987629329736</v>
          </cell>
        </row>
        <row r="72">
          <cell r="B72" t="str">
            <v>DELCART</v>
          </cell>
          <cell r="C72" t="str">
            <v>CART REDELIVERY</v>
          </cell>
          <cell r="D72">
            <v>21.24</v>
          </cell>
          <cell r="E72">
            <v>22.35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21.24</v>
          </cell>
          <cell r="O72">
            <v>22.35</v>
          </cell>
          <cell r="P72">
            <v>22.35</v>
          </cell>
          <cell r="Q72">
            <v>0</v>
          </cell>
          <cell r="R72">
            <v>65.94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1</v>
          </cell>
          <cell r="AC72">
            <v>1</v>
          </cell>
          <cell r="AD72">
            <v>1</v>
          </cell>
          <cell r="AE72">
            <v>0</v>
          </cell>
          <cell r="AF72">
            <v>3</v>
          </cell>
          <cell r="AG72">
            <v>0.25</v>
          </cell>
        </row>
        <row r="105">
          <cell r="B105" t="str">
            <v>20CW1</v>
          </cell>
          <cell r="C105" t="str">
            <v>1-20 GAL CART WKLY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</row>
        <row r="106">
          <cell r="B106" t="str">
            <v>32C2W2</v>
          </cell>
          <cell r="C106" t="str">
            <v>2-32 GAL CANS 2X WEEKLY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</row>
        <row r="107">
          <cell r="B107" t="str">
            <v>32CE1</v>
          </cell>
          <cell r="C107" t="str">
            <v>32 GAL CAN COMM EOW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</row>
        <row r="108">
          <cell r="B108" t="str">
            <v>32CW1</v>
          </cell>
          <cell r="C108" t="str">
            <v>1-32 GAL CAN WEEKLY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</row>
        <row r="109">
          <cell r="B109" t="str">
            <v>32CW2</v>
          </cell>
          <cell r="C109" t="str">
            <v>2-32 GAL CANS WKLY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</row>
        <row r="110">
          <cell r="B110" t="str">
            <v>32CW3</v>
          </cell>
          <cell r="C110" t="str">
            <v>3-32 GAL CANS WKLY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</row>
        <row r="111">
          <cell r="B111" t="str">
            <v>32CW4</v>
          </cell>
          <cell r="C111" t="str">
            <v>4-32 GAL CANS WKLY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</row>
        <row r="112">
          <cell r="B112" t="str">
            <v>35CW1</v>
          </cell>
          <cell r="C112" t="str">
            <v>1-35 GAL CART WKLY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</row>
        <row r="113">
          <cell r="B113" t="str">
            <v>65CW1</v>
          </cell>
          <cell r="C113" t="str">
            <v>1-65 GAL CART WKLY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</row>
        <row r="114">
          <cell r="B114" t="str">
            <v>95CW1</v>
          </cell>
          <cell r="C114" t="str">
            <v>1-95 GAL CART WKLY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</row>
        <row r="115">
          <cell r="B115" t="str">
            <v>F1YD1W</v>
          </cell>
          <cell r="C115" t="str">
            <v>1YD CONT 1X WEEKLY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</row>
        <row r="116">
          <cell r="B116" t="str">
            <v>R1YD1W</v>
          </cell>
          <cell r="C116" t="str">
            <v>1YD CONT 1xWEEKLY</v>
          </cell>
          <cell r="D116">
            <v>115.42</v>
          </cell>
          <cell r="E116">
            <v>120.61</v>
          </cell>
          <cell r="F116">
            <v>4183.9749999999995</v>
          </cell>
          <cell r="G116">
            <v>4400.38</v>
          </cell>
          <cell r="H116">
            <v>4111.83</v>
          </cell>
          <cell r="I116">
            <v>4660.0649999999996</v>
          </cell>
          <cell r="J116">
            <v>4660.0749999999998</v>
          </cell>
          <cell r="K116">
            <v>4649.8</v>
          </cell>
          <cell r="L116">
            <v>4266.3999999999996</v>
          </cell>
          <cell r="M116">
            <v>4862.0649999999996</v>
          </cell>
          <cell r="N116">
            <v>4862.0649999999996</v>
          </cell>
          <cell r="O116">
            <v>4735.2449999999999</v>
          </cell>
          <cell r="P116">
            <v>4886.0150000000003</v>
          </cell>
          <cell r="Q116">
            <v>4242.96</v>
          </cell>
          <cell r="R116">
            <v>54520.875000000007</v>
          </cell>
          <cell r="T116">
            <v>36.249999999999993</v>
          </cell>
          <cell r="U116">
            <v>38.124935019927221</v>
          </cell>
          <cell r="V116">
            <v>35.624935019927221</v>
          </cell>
          <cell r="W116">
            <v>40.374848379830183</v>
          </cell>
          <cell r="X116">
            <v>40.374935019927221</v>
          </cell>
          <cell r="Y116">
            <v>40.285912320221797</v>
          </cell>
          <cell r="Z116">
            <v>36.964130999826715</v>
          </cell>
          <cell r="AA116">
            <v>42.124978339975733</v>
          </cell>
          <cell r="AB116">
            <v>42.124978339975733</v>
          </cell>
          <cell r="AC116">
            <v>39.260799270375593</v>
          </cell>
          <cell r="AD116">
            <v>40.510861454274107</v>
          </cell>
          <cell r="AE116">
            <v>35.179172539590418</v>
          </cell>
          <cell r="AF116">
            <v>467.20048670385188</v>
          </cell>
          <cell r="AG116">
            <v>38.933373891987657</v>
          </cell>
        </row>
        <row r="117">
          <cell r="B117" t="str">
            <v>F1YD2W</v>
          </cell>
          <cell r="C117" t="str">
            <v>1YD CONT 2X WEEKLY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</row>
        <row r="118">
          <cell r="B118" t="str">
            <v>R1YD2W</v>
          </cell>
          <cell r="C118" t="str">
            <v>1YD CONT 2xWEEKLY</v>
          </cell>
          <cell r="D118">
            <v>234.83</v>
          </cell>
          <cell r="E118">
            <v>245.44</v>
          </cell>
          <cell r="F118">
            <v>234.83</v>
          </cell>
          <cell r="G118">
            <v>234.83</v>
          </cell>
          <cell r="H118">
            <v>234.83</v>
          </cell>
          <cell r="I118">
            <v>234.83</v>
          </cell>
          <cell r="J118">
            <v>234.83</v>
          </cell>
          <cell r="K118">
            <v>234.83</v>
          </cell>
          <cell r="L118">
            <v>234.83</v>
          </cell>
          <cell r="M118">
            <v>234.83</v>
          </cell>
          <cell r="N118">
            <v>234.83</v>
          </cell>
          <cell r="O118">
            <v>245.44</v>
          </cell>
          <cell r="P118">
            <v>245.44</v>
          </cell>
          <cell r="Q118">
            <v>490.88</v>
          </cell>
          <cell r="R118">
            <v>3095.23</v>
          </cell>
          <cell r="T118">
            <v>1</v>
          </cell>
          <cell r="U118">
            <v>1</v>
          </cell>
          <cell r="V118">
            <v>1</v>
          </cell>
          <cell r="W118">
            <v>1</v>
          </cell>
          <cell r="X118">
            <v>1</v>
          </cell>
          <cell r="Y118">
            <v>1</v>
          </cell>
          <cell r="Z118">
            <v>1</v>
          </cell>
          <cell r="AA118">
            <v>1</v>
          </cell>
          <cell r="AB118">
            <v>1</v>
          </cell>
          <cell r="AC118">
            <v>1</v>
          </cell>
          <cell r="AD118">
            <v>1</v>
          </cell>
          <cell r="AE118">
            <v>2</v>
          </cell>
          <cell r="AF118">
            <v>13</v>
          </cell>
          <cell r="AG118">
            <v>1.0833333333333333</v>
          </cell>
        </row>
        <row r="119">
          <cell r="B119" t="str">
            <v>R1YD3W</v>
          </cell>
          <cell r="C119" t="str">
            <v>1YD CONT 3xWEEKLY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</row>
        <row r="120">
          <cell r="B120" t="str">
            <v>R1YDEOW</v>
          </cell>
          <cell r="C120" t="str">
            <v>1YD CONT EOW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</row>
        <row r="121">
          <cell r="B121" t="str">
            <v>R1YDTPU</v>
          </cell>
          <cell r="C121" t="str">
            <v>1YD TEMP CONT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</row>
        <row r="122">
          <cell r="B122" t="str">
            <v>F1.5YD1W</v>
          </cell>
          <cell r="C122" t="str">
            <v>1.5YD CONT 1X WEEKLY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</row>
        <row r="123">
          <cell r="B123" t="str">
            <v>R1.5YD1W</v>
          </cell>
          <cell r="C123" t="str">
            <v>1.5YD CONT 1xWEEKLY</v>
          </cell>
          <cell r="D123">
            <v>160.77000000000001</v>
          </cell>
          <cell r="E123">
            <v>167.92</v>
          </cell>
          <cell r="F123">
            <v>1205.7750000000001</v>
          </cell>
          <cell r="G123">
            <v>1125.3900000000001</v>
          </cell>
          <cell r="H123">
            <v>1125.3900000000001</v>
          </cell>
          <cell r="I123">
            <v>1286.1600000000001</v>
          </cell>
          <cell r="J123">
            <v>1286.1600000000001</v>
          </cell>
          <cell r="K123">
            <v>1286.1600000000001</v>
          </cell>
          <cell r="L123">
            <v>1286.1600000000001</v>
          </cell>
          <cell r="M123">
            <v>1286.1600000000001</v>
          </cell>
          <cell r="N123">
            <v>1286.1600000000001</v>
          </cell>
          <cell r="O123">
            <v>1343.36</v>
          </cell>
          <cell r="P123">
            <v>1343.36</v>
          </cell>
          <cell r="Q123">
            <v>1343.36</v>
          </cell>
          <cell r="R123">
            <v>15203.595000000001</v>
          </cell>
          <cell r="T123">
            <v>7.5</v>
          </cell>
          <cell r="U123">
            <v>7</v>
          </cell>
          <cell r="V123">
            <v>7</v>
          </cell>
          <cell r="W123">
            <v>8</v>
          </cell>
          <cell r="X123">
            <v>8</v>
          </cell>
          <cell r="Y123">
            <v>8</v>
          </cell>
          <cell r="Z123">
            <v>8</v>
          </cell>
          <cell r="AA123">
            <v>8</v>
          </cell>
          <cell r="AB123">
            <v>8</v>
          </cell>
          <cell r="AC123">
            <v>8</v>
          </cell>
          <cell r="AD123">
            <v>8</v>
          </cell>
          <cell r="AE123">
            <v>8</v>
          </cell>
          <cell r="AF123">
            <v>93.5</v>
          </cell>
          <cell r="AG123">
            <v>7.791666666666667</v>
          </cell>
        </row>
        <row r="124">
          <cell r="B124" t="str">
            <v>R1.5YD2W</v>
          </cell>
          <cell r="C124" t="str">
            <v>1.5YD CONT 2xWEEKLY</v>
          </cell>
          <cell r="D124">
            <v>327.47000000000003</v>
          </cell>
          <cell r="E124">
            <v>342.08</v>
          </cell>
          <cell r="F124">
            <v>327.47000000000003</v>
          </cell>
          <cell r="G124">
            <v>327.47000000000003</v>
          </cell>
          <cell r="H124">
            <v>327.47000000000003</v>
          </cell>
          <cell r="I124">
            <v>327.47000000000003</v>
          </cell>
          <cell r="J124">
            <v>327.47000000000003</v>
          </cell>
          <cell r="K124">
            <v>327.47000000000003</v>
          </cell>
          <cell r="L124">
            <v>327.47000000000003</v>
          </cell>
          <cell r="M124">
            <v>327.47000000000003</v>
          </cell>
          <cell r="N124">
            <v>327.47000000000003</v>
          </cell>
          <cell r="O124">
            <v>342.08</v>
          </cell>
          <cell r="P124">
            <v>342.08</v>
          </cell>
          <cell r="Q124">
            <v>342.08</v>
          </cell>
          <cell r="R124">
            <v>3973.4700000000003</v>
          </cell>
          <cell r="T124">
            <v>1</v>
          </cell>
          <cell r="U124">
            <v>1</v>
          </cell>
          <cell r="V124">
            <v>1</v>
          </cell>
          <cell r="W124">
            <v>1</v>
          </cell>
          <cell r="X124">
            <v>1</v>
          </cell>
          <cell r="Y124">
            <v>1</v>
          </cell>
          <cell r="Z124">
            <v>1</v>
          </cell>
          <cell r="AA124">
            <v>1</v>
          </cell>
          <cell r="AB124">
            <v>1</v>
          </cell>
          <cell r="AC124">
            <v>1</v>
          </cell>
          <cell r="AD124">
            <v>1</v>
          </cell>
          <cell r="AE124">
            <v>1</v>
          </cell>
          <cell r="AF124">
            <v>12</v>
          </cell>
          <cell r="AG124">
            <v>1</v>
          </cell>
        </row>
        <row r="125">
          <cell r="B125" t="str">
            <v>R1.5YD3W</v>
          </cell>
          <cell r="C125" t="str">
            <v>1.5YD CONT 3xWEEKLY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</row>
        <row r="126">
          <cell r="B126" t="str">
            <v>R1.5YDEOW</v>
          </cell>
          <cell r="C126" t="str">
            <v>1.5YD CONT EOW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</row>
        <row r="127">
          <cell r="B127" t="str">
            <v>R1.5YDTPU</v>
          </cell>
          <cell r="C127" t="str">
            <v>1.5YD TEMP CONTAINER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</row>
        <row r="128">
          <cell r="B128" t="str">
            <v>F2YD1W</v>
          </cell>
          <cell r="C128" t="str">
            <v>2YD CONT 1X WEEKLY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</row>
        <row r="129">
          <cell r="B129" t="str">
            <v>R2YD1W</v>
          </cell>
          <cell r="C129" t="str">
            <v>2YD CONT 1xWEEKLY</v>
          </cell>
          <cell r="D129">
            <v>208.18</v>
          </cell>
          <cell r="E129">
            <v>217.49</v>
          </cell>
          <cell r="F129">
            <v>8405.2649999999994</v>
          </cell>
          <cell r="G129">
            <v>8040.9500000000007</v>
          </cell>
          <cell r="H129">
            <v>8249.130000000001</v>
          </cell>
          <cell r="I129">
            <v>8483.33</v>
          </cell>
          <cell r="J129">
            <v>9055.82</v>
          </cell>
          <cell r="K129">
            <v>8431.2849999999999</v>
          </cell>
          <cell r="L129">
            <v>8639.4650000000001</v>
          </cell>
          <cell r="M129">
            <v>8014.9250000000002</v>
          </cell>
          <cell r="N129">
            <v>8014.9250000000002</v>
          </cell>
          <cell r="O129">
            <v>8997.1049999999996</v>
          </cell>
          <cell r="P129">
            <v>8863.5049999999992</v>
          </cell>
          <cell r="Q129">
            <v>9406.43</v>
          </cell>
          <cell r="R129">
            <v>102602.13500000001</v>
          </cell>
          <cell r="T129">
            <v>40.37498799116149</v>
          </cell>
          <cell r="U129">
            <v>38.624987991161497</v>
          </cell>
          <cell r="V129">
            <v>39.624987991161497</v>
          </cell>
          <cell r="W129">
            <v>40.749975982322987</v>
          </cell>
          <cell r="X129">
            <v>43.499951964645973</v>
          </cell>
          <cell r="Y129">
            <v>40.499975982322987</v>
          </cell>
          <cell r="Z129">
            <v>41.499975982322987</v>
          </cell>
          <cell r="AA129">
            <v>38.499975982322987</v>
          </cell>
          <cell r="AB129">
            <v>38.499975982322987</v>
          </cell>
          <cell r="AC129">
            <v>41.367901972504477</v>
          </cell>
          <cell r="AD129">
            <v>40.753620856131313</v>
          </cell>
          <cell r="AE129">
            <v>43.24994252609315</v>
          </cell>
          <cell r="AF129">
            <v>487.24626120447431</v>
          </cell>
          <cell r="AG129">
            <v>40.603855100372861</v>
          </cell>
        </row>
        <row r="130">
          <cell r="B130" t="str">
            <v>F2YD2W</v>
          </cell>
          <cell r="C130" t="str">
            <v>2YD CONT 2X WEEKLY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</row>
        <row r="131">
          <cell r="B131" t="str">
            <v>R2YD2W</v>
          </cell>
          <cell r="C131" t="str">
            <v>2YD CONT 2xWEEKLY</v>
          </cell>
          <cell r="D131">
            <v>416.52</v>
          </cell>
          <cell r="E131">
            <v>435.15</v>
          </cell>
          <cell r="F131">
            <v>4581.72</v>
          </cell>
          <cell r="G131">
            <v>4581.72</v>
          </cell>
          <cell r="H131">
            <v>5310.63</v>
          </cell>
          <cell r="I131">
            <v>4972.2049999999999</v>
          </cell>
          <cell r="J131">
            <v>4920.1350000000002</v>
          </cell>
          <cell r="K131">
            <v>5727.15</v>
          </cell>
          <cell r="L131">
            <v>5727.15</v>
          </cell>
          <cell r="M131">
            <v>5831.28</v>
          </cell>
          <cell r="N131">
            <v>5831.28</v>
          </cell>
          <cell r="O131">
            <v>6092.1</v>
          </cell>
          <cell r="P131">
            <v>6092.1</v>
          </cell>
          <cell r="Q131">
            <v>6092.1</v>
          </cell>
          <cell r="R131">
            <v>65759.570000000007</v>
          </cell>
          <cell r="T131">
            <v>11.000000000000002</v>
          </cell>
          <cell r="U131">
            <v>11.000000000000002</v>
          </cell>
          <cell r="V131">
            <v>12.75</v>
          </cell>
          <cell r="W131">
            <v>11.937493997887257</v>
          </cell>
          <cell r="X131">
            <v>11.81248199366177</v>
          </cell>
          <cell r="Y131">
            <v>13.75</v>
          </cell>
          <cell r="Z131">
            <v>13.75</v>
          </cell>
          <cell r="AA131">
            <v>14</v>
          </cell>
          <cell r="AB131">
            <v>14</v>
          </cell>
          <cell r="AC131">
            <v>14.000000000000002</v>
          </cell>
          <cell r="AD131">
            <v>14.000000000000002</v>
          </cell>
          <cell r="AE131">
            <v>14.000000000000002</v>
          </cell>
          <cell r="AF131">
            <v>155.99997599154904</v>
          </cell>
          <cell r="AG131">
            <v>12.999997999295752</v>
          </cell>
        </row>
        <row r="132">
          <cell r="B132" t="str">
            <v>F2YD3W</v>
          </cell>
          <cell r="C132" t="str">
            <v>2YD CONT 3X WEEKLY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</row>
        <row r="133">
          <cell r="B133" t="str">
            <v>R2YD3W</v>
          </cell>
          <cell r="C133" t="str">
            <v>2YD CONT 3xWEEKLY</v>
          </cell>
          <cell r="D133">
            <v>621.24</v>
          </cell>
          <cell r="E133">
            <v>649</v>
          </cell>
          <cell r="F133">
            <v>5591.16</v>
          </cell>
          <cell r="G133">
            <v>6367.71</v>
          </cell>
          <cell r="H133">
            <v>6367.71</v>
          </cell>
          <cell r="I133">
            <v>8076.1200000000008</v>
          </cell>
          <cell r="J133">
            <v>8076.1200000000008</v>
          </cell>
          <cell r="K133">
            <v>6988.95</v>
          </cell>
          <cell r="L133">
            <v>6988.95</v>
          </cell>
          <cell r="M133">
            <v>6833.64</v>
          </cell>
          <cell r="N133">
            <v>6833.64</v>
          </cell>
          <cell r="O133">
            <v>7139</v>
          </cell>
          <cell r="P133">
            <v>7139</v>
          </cell>
          <cell r="Q133">
            <v>7139</v>
          </cell>
          <cell r="R133">
            <v>83541</v>
          </cell>
          <cell r="T133">
            <v>9</v>
          </cell>
          <cell r="U133">
            <v>10.25</v>
          </cell>
          <cell r="V133">
            <v>10.25</v>
          </cell>
          <cell r="W133">
            <v>13.000000000000002</v>
          </cell>
          <cell r="X133">
            <v>13.000000000000002</v>
          </cell>
          <cell r="Y133">
            <v>11.25</v>
          </cell>
          <cell r="Z133">
            <v>11.25</v>
          </cell>
          <cell r="AA133">
            <v>11</v>
          </cell>
          <cell r="AB133">
            <v>11</v>
          </cell>
          <cell r="AC133">
            <v>11</v>
          </cell>
          <cell r="AD133">
            <v>11</v>
          </cell>
          <cell r="AE133">
            <v>11</v>
          </cell>
          <cell r="AF133">
            <v>133</v>
          </cell>
          <cell r="AG133">
            <v>11.083333333333334</v>
          </cell>
        </row>
        <row r="134">
          <cell r="B134" t="str">
            <v>R2YD4W</v>
          </cell>
          <cell r="C134" t="str">
            <v>2YD CONT 4xWEEKLY</v>
          </cell>
          <cell r="D134">
            <v>828.32</v>
          </cell>
          <cell r="E134">
            <v>865.34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1656.64</v>
          </cell>
          <cell r="L134">
            <v>1656.64</v>
          </cell>
          <cell r="M134">
            <v>1656.64</v>
          </cell>
          <cell r="N134">
            <v>1656.64</v>
          </cell>
          <cell r="O134">
            <v>1730.68</v>
          </cell>
          <cell r="P134">
            <v>1730.68</v>
          </cell>
          <cell r="Q134">
            <v>1730.68</v>
          </cell>
          <cell r="R134">
            <v>11818.6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2</v>
          </cell>
          <cell r="Z134">
            <v>2</v>
          </cell>
          <cell r="AA134">
            <v>2</v>
          </cell>
          <cell r="AB134">
            <v>2</v>
          </cell>
          <cell r="AC134">
            <v>2</v>
          </cell>
          <cell r="AD134">
            <v>2</v>
          </cell>
          <cell r="AE134">
            <v>2</v>
          </cell>
          <cell r="AF134">
            <v>14</v>
          </cell>
          <cell r="AG134">
            <v>1.1666666666666667</v>
          </cell>
        </row>
        <row r="135">
          <cell r="B135" t="str">
            <v>R2YD5W</v>
          </cell>
          <cell r="C135" t="str">
            <v>2YD CONT 5xWEEKLY</v>
          </cell>
          <cell r="D135">
            <v>1035.3900000000001</v>
          </cell>
          <cell r="E135">
            <v>1081.6600000000001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</row>
        <row r="136">
          <cell r="B136" t="str">
            <v>R2YDEOW</v>
          </cell>
          <cell r="C136" t="str">
            <v>2YD CONT EOW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</row>
        <row r="137">
          <cell r="B137" t="str">
            <v>R2YDTPU</v>
          </cell>
          <cell r="C137" t="str">
            <v>2YD TEMP CONTAINER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</row>
        <row r="138">
          <cell r="B138" t="str">
            <v>F4YD1W</v>
          </cell>
          <cell r="C138" t="str">
            <v>4YD CONT 1X WEEKLY</v>
          </cell>
          <cell r="D138">
            <v>401.43</v>
          </cell>
          <cell r="E138">
            <v>419.37</v>
          </cell>
          <cell r="F138">
            <v>7993.6900000000005</v>
          </cell>
          <cell r="G138">
            <v>8078.7800000000007</v>
          </cell>
          <cell r="H138">
            <v>8078.7800000000007</v>
          </cell>
          <cell r="I138">
            <v>8430.0299999999988</v>
          </cell>
          <cell r="J138">
            <v>8430.0299999999988</v>
          </cell>
          <cell r="K138">
            <v>8430.0300000000007</v>
          </cell>
          <cell r="L138">
            <v>8430.0300000000007</v>
          </cell>
          <cell r="M138">
            <v>8430.0300000000007</v>
          </cell>
          <cell r="N138">
            <v>8430.0300000000007</v>
          </cell>
          <cell r="O138">
            <v>8806.77</v>
          </cell>
          <cell r="P138">
            <v>8806.77</v>
          </cell>
          <cell r="Q138">
            <v>8806.77</v>
          </cell>
          <cell r="R138">
            <v>101151.74</v>
          </cell>
          <cell r="T138">
            <v>19.913035896669406</v>
          </cell>
          <cell r="U138">
            <v>20.125003113867923</v>
          </cell>
          <cell r="V138">
            <v>20.125003113867923</v>
          </cell>
          <cell r="W138">
            <v>20.999999999999996</v>
          </cell>
          <cell r="X138">
            <v>20.999999999999996</v>
          </cell>
          <cell r="Y138">
            <v>21</v>
          </cell>
          <cell r="Z138">
            <v>21</v>
          </cell>
          <cell r="AA138">
            <v>21</v>
          </cell>
          <cell r="AB138">
            <v>21</v>
          </cell>
          <cell r="AC138">
            <v>21</v>
          </cell>
          <cell r="AD138">
            <v>21</v>
          </cell>
          <cell r="AE138">
            <v>21</v>
          </cell>
          <cell r="AF138">
            <v>249.16304212440525</v>
          </cell>
          <cell r="AG138">
            <v>20.763586843700438</v>
          </cell>
        </row>
        <row r="139">
          <cell r="B139" t="str">
            <v>F4YD2W</v>
          </cell>
          <cell r="C139" t="str">
            <v>4YD CONT 2X WEEKLY</v>
          </cell>
          <cell r="D139">
            <v>802.86</v>
          </cell>
          <cell r="E139">
            <v>838.75</v>
          </cell>
          <cell r="F139">
            <v>5620.02</v>
          </cell>
          <cell r="G139">
            <v>5620.02</v>
          </cell>
          <cell r="H139">
            <v>5620.02</v>
          </cell>
          <cell r="I139">
            <v>5620.02</v>
          </cell>
          <cell r="J139">
            <v>5620.02</v>
          </cell>
          <cell r="K139">
            <v>5620.02</v>
          </cell>
          <cell r="L139">
            <v>5620.02</v>
          </cell>
          <cell r="M139">
            <v>5620.02</v>
          </cell>
          <cell r="N139">
            <v>5620.02</v>
          </cell>
          <cell r="O139">
            <v>5871.25</v>
          </cell>
          <cell r="P139">
            <v>5871.25</v>
          </cell>
          <cell r="Q139">
            <v>5871.25</v>
          </cell>
          <cell r="R139">
            <v>68193.930000000008</v>
          </cell>
          <cell r="T139">
            <v>7</v>
          </cell>
          <cell r="U139">
            <v>7</v>
          </cell>
          <cell r="V139">
            <v>7</v>
          </cell>
          <cell r="W139">
            <v>7</v>
          </cell>
          <cell r="X139">
            <v>7</v>
          </cell>
          <cell r="Y139">
            <v>7</v>
          </cell>
          <cell r="Z139">
            <v>7</v>
          </cell>
          <cell r="AA139">
            <v>7</v>
          </cell>
          <cell r="AB139">
            <v>7</v>
          </cell>
          <cell r="AC139">
            <v>7</v>
          </cell>
          <cell r="AD139">
            <v>7</v>
          </cell>
          <cell r="AE139">
            <v>7</v>
          </cell>
          <cell r="AF139">
            <v>84</v>
          </cell>
          <cell r="AG139">
            <v>7</v>
          </cell>
        </row>
        <row r="140">
          <cell r="B140" t="str">
            <v>F4YD3W</v>
          </cell>
          <cell r="C140" t="str">
            <v>4YD CONT 3X WEEKLY</v>
          </cell>
          <cell r="D140">
            <v>1204.3699999999999</v>
          </cell>
          <cell r="E140">
            <v>1258.21</v>
          </cell>
          <cell r="F140">
            <v>1204.3699999999999</v>
          </cell>
          <cell r="G140">
            <v>1204.3699999999999</v>
          </cell>
          <cell r="H140">
            <v>1204.3699999999999</v>
          </cell>
          <cell r="I140">
            <v>1204.3699999999999</v>
          </cell>
          <cell r="J140">
            <v>1204.3699999999999</v>
          </cell>
          <cell r="K140">
            <v>1204.3699999999999</v>
          </cell>
          <cell r="L140">
            <v>1204.3699999999999</v>
          </cell>
          <cell r="M140">
            <v>1204.3699999999999</v>
          </cell>
          <cell r="N140">
            <v>1204.3699999999999</v>
          </cell>
          <cell r="O140">
            <v>1258.21</v>
          </cell>
          <cell r="P140">
            <v>1258.21</v>
          </cell>
          <cell r="Q140">
            <v>1258.21</v>
          </cell>
          <cell r="R140">
            <v>14613.959999999995</v>
          </cell>
          <cell r="T140">
            <v>1</v>
          </cell>
          <cell r="U140">
            <v>1</v>
          </cell>
          <cell r="V140">
            <v>1</v>
          </cell>
          <cell r="W140">
            <v>1</v>
          </cell>
          <cell r="X140">
            <v>1</v>
          </cell>
          <cell r="Y140">
            <v>1</v>
          </cell>
          <cell r="Z140">
            <v>1</v>
          </cell>
          <cell r="AA140">
            <v>1</v>
          </cell>
          <cell r="AB140">
            <v>1</v>
          </cell>
          <cell r="AC140">
            <v>1</v>
          </cell>
          <cell r="AD140">
            <v>1</v>
          </cell>
          <cell r="AE140">
            <v>1</v>
          </cell>
          <cell r="AF140">
            <v>12</v>
          </cell>
          <cell r="AG140">
            <v>1</v>
          </cell>
        </row>
        <row r="141">
          <cell r="B141" t="str">
            <v>F4YD4W</v>
          </cell>
          <cell r="C141" t="str">
            <v>4YD CONT 4X WEEKLY SVC</v>
          </cell>
          <cell r="D141">
            <v>1605.83</v>
          </cell>
          <cell r="E141">
            <v>1677.62</v>
          </cell>
          <cell r="F141">
            <v>1605.83</v>
          </cell>
          <cell r="G141">
            <v>1605.83</v>
          </cell>
          <cell r="H141">
            <v>1605.83</v>
          </cell>
          <cell r="I141">
            <v>1605.83</v>
          </cell>
          <cell r="J141">
            <v>1605.83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8029.15</v>
          </cell>
          <cell r="T141">
            <v>1</v>
          </cell>
          <cell r="U141">
            <v>1</v>
          </cell>
          <cell r="V141">
            <v>1</v>
          </cell>
          <cell r="W141">
            <v>1</v>
          </cell>
          <cell r="X141">
            <v>1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5</v>
          </cell>
          <cell r="AG141">
            <v>0.41666666666666669</v>
          </cell>
        </row>
        <row r="142">
          <cell r="B142" t="str">
            <v>F6YD1W</v>
          </cell>
          <cell r="C142" t="str">
            <v>6YD CONT 1X WEEKLY</v>
          </cell>
          <cell r="D142">
            <v>568.99</v>
          </cell>
          <cell r="E142">
            <v>594.58000000000004</v>
          </cell>
          <cell r="F142">
            <v>11664.295</v>
          </cell>
          <cell r="G142">
            <v>10099.574999999999</v>
          </cell>
          <cell r="H142">
            <v>10099.574999999999</v>
          </cell>
          <cell r="I142">
            <v>10241.82</v>
          </cell>
          <cell r="J142">
            <v>10241.82</v>
          </cell>
          <cell r="K142">
            <v>10312.945</v>
          </cell>
          <cell r="L142">
            <v>10312.945</v>
          </cell>
          <cell r="M142">
            <v>9388.3349999999991</v>
          </cell>
          <cell r="N142">
            <v>9388.3349999999991</v>
          </cell>
          <cell r="O142">
            <v>8918.7000000000007</v>
          </cell>
          <cell r="P142">
            <v>8918.7000000000007</v>
          </cell>
          <cell r="Q142">
            <v>8918.7000000000007</v>
          </cell>
          <cell r="R142">
            <v>118505.74499999998</v>
          </cell>
          <cell r="T142">
            <v>20.5</v>
          </cell>
          <cell r="U142">
            <v>17.750004393750327</v>
          </cell>
          <cell r="V142">
            <v>17.750004393750327</v>
          </cell>
          <cell r="W142">
            <v>18</v>
          </cell>
          <cell r="X142">
            <v>18</v>
          </cell>
          <cell r="Y142">
            <v>18.125002196875165</v>
          </cell>
          <cell r="Z142">
            <v>18.125002196875165</v>
          </cell>
          <cell r="AA142">
            <v>16.499999999999996</v>
          </cell>
          <cell r="AB142">
            <v>16.499999999999996</v>
          </cell>
          <cell r="AC142">
            <v>15</v>
          </cell>
          <cell r="AD142">
            <v>15</v>
          </cell>
          <cell r="AE142">
            <v>15</v>
          </cell>
          <cell r="AF142">
            <v>206.25001318125098</v>
          </cell>
          <cell r="AG142">
            <v>17.187501098437583</v>
          </cell>
        </row>
        <row r="143">
          <cell r="B143" t="str">
            <v>F6YD2W</v>
          </cell>
          <cell r="C143" t="str">
            <v>6YD CONT 2X WEEKLY</v>
          </cell>
          <cell r="D143">
            <v>1138.01</v>
          </cell>
          <cell r="E143">
            <v>1189.19</v>
          </cell>
          <cell r="F143">
            <v>15932.14</v>
          </cell>
          <cell r="G143">
            <v>19061.664999999997</v>
          </cell>
          <cell r="H143">
            <v>19061.664999999997</v>
          </cell>
          <cell r="I143">
            <v>18208.16</v>
          </cell>
          <cell r="J143">
            <v>18208.16</v>
          </cell>
          <cell r="K143">
            <v>18208.16</v>
          </cell>
          <cell r="L143">
            <v>18208.16</v>
          </cell>
          <cell r="M143">
            <v>19915.174999999999</v>
          </cell>
          <cell r="N143">
            <v>19915.174999999999</v>
          </cell>
          <cell r="O143">
            <v>21405.42</v>
          </cell>
          <cell r="P143">
            <v>21405.42</v>
          </cell>
          <cell r="Q143">
            <v>21405.42</v>
          </cell>
          <cell r="R143">
            <v>230934.71999999997</v>
          </cell>
          <cell r="T143">
            <v>14</v>
          </cell>
          <cell r="U143">
            <v>16.749997803182747</v>
          </cell>
          <cell r="V143">
            <v>16.749997803182747</v>
          </cell>
          <cell r="W143">
            <v>16</v>
          </cell>
          <cell r="X143">
            <v>16</v>
          </cell>
          <cell r="Y143">
            <v>16</v>
          </cell>
          <cell r="Z143">
            <v>16</v>
          </cell>
          <cell r="AA143">
            <v>17.5</v>
          </cell>
          <cell r="AB143">
            <v>17.5</v>
          </cell>
          <cell r="AC143">
            <v>17.999999999999996</v>
          </cell>
          <cell r="AD143">
            <v>17.999999999999996</v>
          </cell>
          <cell r="AE143">
            <v>17.999999999999996</v>
          </cell>
          <cell r="AF143">
            <v>200.4999956063655</v>
          </cell>
          <cell r="AG143">
            <v>16.708332967197126</v>
          </cell>
        </row>
        <row r="144">
          <cell r="B144" t="str">
            <v>F6YD3W</v>
          </cell>
          <cell r="C144" t="str">
            <v>6YD CONT 3X WEEKLY</v>
          </cell>
          <cell r="D144">
            <v>1707.03</v>
          </cell>
          <cell r="E144">
            <v>1783.8</v>
          </cell>
          <cell r="F144">
            <v>15363.27</v>
          </cell>
          <cell r="G144">
            <v>13656.24</v>
          </cell>
          <cell r="H144">
            <v>13656.24</v>
          </cell>
          <cell r="I144">
            <v>13656.24</v>
          </cell>
          <cell r="J144">
            <v>13656.24</v>
          </cell>
          <cell r="K144">
            <v>13656.24</v>
          </cell>
          <cell r="L144">
            <v>13656.24</v>
          </cell>
          <cell r="M144">
            <v>13656.24</v>
          </cell>
          <cell r="N144">
            <v>13656.24</v>
          </cell>
          <cell r="O144">
            <v>16054.2</v>
          </cell>
          <cell r="P144">
            <v>16054.2</v>
          </cell>
          <cell r="Q144">
            <v>16054.2</v>
          </cell>
          <cell r="R144">
            <v>172775.79000000004</v>
          </cell>
          <cell r="T144">
            <v>9</v>
          </cell>
          <cell r="U144">
            <v>8</v>
          </cell>
          <cell r="V144">
            <v>8</v>
          </cell>
          <cell r="W144">
            <v>8</v>
          </cell>
          <cell r="X144">
            <v>8</v>
          </cell>
          <cell r="Y144">
            <v>8</v>
          </cell>
          <cell r="Z144">
            <v>8</v>
          </cell>
          <cell r="AA144">
            <v>8</v>
          </cell>
          <cell r="AB144">
            <v>8</v>
          </cell>
          <cell r="AC144">
            <v>9</v>
          </cell>
          <cell r="AD144">
            <v>9</v>
          </cell>
          <cell r="AE144">
            <v>9</v>
          </cell>
          <cell r="AF144">
            <v>100</v>
          </cell>
          <cell r="AG144">
            <v>8.3333333333333339</v>
          </cell>
        </row>
        <row r="145">
          <cell r="B145" t="str">
            <v>F6YD4W</v>
          </cell>
          <cell r="C145" t="str">
            <v>6YD CONT 4X WEEKLY</v>
          </cell>
          <cell r="D145">
            <v>2276.04</v>
          </cell>
          <cell r="E145">
            <v>2378.4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</row>
        <row r="146">
          <cell r="B146" t="str">
            <v>F6YD5W</v>
          </cell>
          <cell r="C146" t="str">
            <v>6YD CONT 5X WEEKLY</v>
          </cell>
          <cell r="D146">
            <v>1422.4849999999999</v>
          </cell>
          <cell r="E146">
            <v>2972.92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</row>
        <row r="147">
          <cell r="B147" t="str">
            <v>F8YD2W</v>
          </cell>
          <cell r="C147" t="str">
            <v>8 YD CONT 2X WKLY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</row>
        <row r="148">
          <cell r="B148" t="str">
            <v>FCP2YD1W2.25-1</v>
          </cell>
          <cell r="C148" t="str">
            <v>2 YD 2.25-1 COMP 1X WK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</row>
        <row r="149">
          <cell r="B149" t="str">
            <v>FCP2YD1W4-1</v>
          </cell>
          <cell r="C149" t="str">
            <v>2 YD 4-1 COMP 1X WK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</row>
        <row r="150">
          <cell r="B150" t="str">
            <v>FCP2YD2W</v>
          </cell>
          <cell r="C150" t="str">
            <v>2 YD COMPACTOR 2X WKLY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</row>
        <row r="151">
          <cell r="B151" t="str">
            <v>FCP4YD1W2.25-1</v>
          </cell>
          <cell r="C151" t="str">
            <v>4 YD 2.25-1 COMP 1X WK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</row>
        <row r="152">
          <cell r="B152" t="str">
            <v>FCP4YD1W4-1</v>
          </cell>
          <cell r="C152" t="str">
            <v>4YD 4-1 COMP 1X WK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</row>
        <row r="153">
          <cell r="B153" t="str">
            <v>FCP4YD1W5-1</v>
          </cell>
          <cell r="C153" t="str">
            <v>4 YD 5-1 COMP 1X WK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</row>
        <row r="154">
          <cell r="B154" t="str">
            <v>FCP4YDEOW5-1</v>
          </cell>
          <cell r="C154" t="str">
            <v>4 YD 5-1 COMP EOW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</row>
        <row r="155">
          <cell r="B155" t="str">
            <v>FCP4YDOC5-1</v>
          </cell>
          <cell r="C155" t="str">
            <v>4 YD 5-1 COMP ON CALL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</row>
        <row r="156">
          <cell r="B156" t="str">
            <v>FCP6YD2W</v>
          </cell>
          <cell r="C156" t="str">
            <v>6YD COMPACTOR 2X WKLY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</row>
        <row r="157">
          <cell r="B157" t="str">
            <v>FCP6YD2W3-1</v>
          </cell>
          <cell r="C157" t="str">
            <v>6 YD 3-1 COMP 2X WK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</row>
        <row r="158">
          <cell r="B158" t="str">
            <v>FCP6YD2W4-1</v>
          </cell>
          <cell r="C158" t="str">
            <v>6 YD 4-1 COMP 2X WK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</row>
        <row r="159">
          <cell r="B159" t="str">
            <v>IMPCNC</v>
          </cell>
          <cell r="C159" t="str">
            <v>1 IMPROPER CAN - CMML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</row>
        <row r="160">
          <cell r="B160" t="str">
            <v>PACKC</v>
          </cell>
          <cell r="C160" t="str">
            <v>CARRY-OUT COMMERCIAL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</row>
        <row r="161">
          <cell r="B161" t="str">
            <v>F1YDEX</v>
          </cell>
          <cell r="C161" t="str">
            <v>1YD CONT EXTRA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</row>
        <row r="162">
          <cell r="B162" t="str">
            <v>R1YDEX</v>
          </cell>
          <cell r="C162" t="str">
            <v>1YD CONTAINER EXTRA</v>
          </cell>
          <cell r="D162">
            <v>29.65</v>
          </cell>
          <cell r="E162">
            <v>15.505000000000001</v>
          </cell>
          <cell r="F162">
            <v>29.65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29.65</v>
          </cell>
          <cell r="T162">
            <v>1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1</v>
          </cell>
          <cell r="AG162">
            <v>8.3333333333333329E-2</v>
          </cell>
        </row>
        <row r="163">
          <cell r="B163" t="str">
            <v>R1.5YDEX</v>
          </cell>
          <cell r="C163" t="str">
            <v>1.5YD CONTAINER EXTRA</v>
          </cell>
          <cell r="D163">
            <v>39.26</v>
          </cell>
          <cell r="E163">
            <v>20.504999999999999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</row>
        <row r="164">
          <cell r="B164" t="str">
            <v>R2YDEX</v>
          </cell>
          <cell r="C164" t="str">
            <v>2YD CONTAINER EXTRA</v>
          </cell>
          <cell r="D164">
            <v>52.41</v>
          </cell>
          <cell r="E164">
            <v>27.395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52.41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52.41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1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1</v>
          </cell>
          <cell r="AG164">
            <v>8.3333333333333329E-2</v>
          </cell>
        </row>
        <row r="165">
          <cell r="B165" t="str">
            <v>F2YDEX</v>
          </cell>
          <cell r="C165" t="str">
            <v>2YD CONT EXTRA</v>
          </cell>
          <cell r="D165">
            <v>52.41</v>
          </cell>
          <cell r="E165">
            <v>27.395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</row>
        <row r="166">
          <cell r="B166" t="str">
            <v>F4YDEX</v>
          </cell>
          <cell r="C166" t="str">
            <v>4YD CONT EXTRA PICKUP</v>
          </cell>
          <cell r="D166">
            <v>98.52</v>
          </cell>
          <cell r="E166">
            <v>51.48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</row>
        <row r="167">
          <cell r="B167" t="str">
            <v>F6YDEX</v>
          </cell>
          <cell r="C167" t="str">
            <v>6YD CONT EXTRA PICKUP</v>
          </cell>
          <cell r="D167">
            <v>140.54</v>
          </cell>
          <cell r="E167">
            <v>73.465000000000003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140.54</v>
          </cell>
          <cell r="K167">
            <v>140.54</v>
          </cell>
          <cell r="L167">
            <v>0</v>
          </cell>
          <cell r="M167">
            <v>140.54</v>
          </cell>
          <cell r="N167">
            <v>0</v>
          </cell>
          <cell r="O167">
            <v>146.93</v>
          </cell>
          <cell r="P167">
            <v>146.93</v>
          </cell>
          <cell r="Q167">
            <v>0</v>
          </cell>
          <cell r="R167">
            <v>715.48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1</v>
          </cell>
          <cell r="Y167">
            <v>1</v>
          </cell>
          <cell r="Z167">
            <v>0</v>
          </cell>
          <cell r="AA167">
            <v>1</v>
          </cell>
          <cell r="AB167">
            <v>0</v>
          </cell>
          <cell r="AC167">
            <v>2</v>
          </cell>
          <cell r="AD167">
            <v>2</v>
          </cell>
          <cell r="AE167">
            <v>0</v>
          </cell>
          <cell r="AF167">
            <v>7</v>
          </cell>
          <cell r="AG167">
            <v>0.58333333333333337</v>
          </cell>
        </row>
        <row r="168">
          <cell r="B168" t="str">
            <v>ADJCOM</v>
          </cell>
          <cell r="C168" t="str">
            <v>SERVICE ADJ-COMMERCIAL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</row>
        <row r="169">
          <cell r="B169" t="str">
            <v>CCONNECT</v>
          </cell>
          <cell r="C169" t="str">
            <v>CMML CONNECT/RECONNECT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</row>
        <row r="170">
          <cell r="B170" t="str">
            <v>CDEL</v>
          </cell>
          <cell r="C170" t="str">
            <v>CONTAINER DELIVERY CHARGE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21.24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21.24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</row>
        <row r="171">
          <cell r="B171" t="str">
            <v>CEX</v>
          </cell>
          <cell r="C171" t="str">
            <v>EXTRA CANS</v>
          </cell>
          <cell r="D171">
            <v>6.53</v>
          </cell>
          <cell r="E171">
            <v>6.84</v>
          </cell>
          <cell r="F171">
            <v>52.24</v>
          </cell>
          <cell r="G171">
            <v>97.95</v>
          </cell>
          <cell r="H171">
            <v>45.71</v>
          </cell>
          <cell r="I171">
            <v>39.18</v>
          </cell>
          <cell r="J171">
            <v>52.24</v>
          </cell>
          <cell r="K171">
            <v>104.48</v>
          </cell>
          <cell r="L171">
            <v>182.84</v>
          </cell>
          <cell r="M171">
            <v>143.66</v>
          </cell>
          <cell r="N171">
            <v>346.09</v>
          </cell>
          <cell r="O171">
            <v>164.16</v>
          </cell>
          <cell r="P171">
            <v>68.400000000000006</v>
          </cell>
          <cell r="Q171">
            <v>88.92</v>
          </cell>
          <cell r="R171">
            <v>1385.8700000000001</v>
          </cell>
          <cell r="T171">
            <v>8</v>
          </cell>
          <cell r="U171">
            <v>15</v>
          </cell>
          <cell r="V171">
            <v>7</v>
          </cell>
          <cell r="W171">
            <v>6</v>
          </cell>
          <cell r="X171">
            <v>8</v>
          </cell>
          <cell r="Y171">
            <v>16</v>
          </cell>
          <cell r="Z171">
            <v>28</v>
          </cell>
          <cell r="AA171">
            <v>22</v>
          </cell>
          <cell r="AB171">
            <v>52.999999999999993</v>
          </cell>
          <cell r="AC171">
            <v>24</v>
          </cell>
          <cell r="AD171">
            <v>10.000000000000002</v>
          </cell>
          <cell r="AE171">
            <v>13</v>
          </cell>
          <cell r="AF171">
            <v>210</v>
          </cell>
          <cell r="AG171">
            <v>17.5</v>
          </cell>
        </row>
        <row r="172">
          <cell r="B172" t="str">
            <v>CEXYD</v>
          </cell>
          <cell r="C172" t="str">
            <v>CMML EXTRA YARDAGE</v>
          </cell>
          <cell r="D172">
            <v>46.38</v>
          </cell>
          <cell r="E172">
            <v>48.61</v>
          </cell>
          <cell r="F172">
            <v>834.84</v>
          </cell>
          <cell r="G172">
            <v>1600.11</v>
          </cell>
          <cell r="H172">
            <v>1020.36</v>
          </cell>
          <cell r="I172">
            <v>901.1</v>
          </cell>
          <cell r="J172">
            <v>649.32000000000005</v>
          </cell>
          <cell r="K172">
            <v>695.7</v>
          </cell>
          <cell r="L172">
            <v>695.7</v>
          </cell>
          <cell r="M172">
            <v>602.94000000000005</v>
          </cell>
          <cell r="N172">
            <v>742.08</v>
          </cell>
          <cell r="O172">
            <v>1749.96</v>
          </cell>
          <cell r="P172">
            <v>4083.24</v>
          </cell>
          <cell r="Q172">
            <v>6686.07</v>
          </cell>
          <cell r="R172">
            <v>20261.419999999998</v>
          </cell>
          <cell r="T172">
            <v>18</v>
          </cell>
          <cell r="U172">
            <v>34.499999999999993</v>
          </cell>
          <cell r="V172">
            <v>22</v>
          </cell>
          <cell r="W172">
            <v>19.428633031479084</v>
          </cell>
          <cell r="X172">
            <v>14</v>
          </cell>
          <cell r="Y172">
            <v>15</v>
          </cell>
          <cell r="Z172">
            <v>15</v>
          </cell>
          <cell r="AA172">
            <v>13</v>
          </cell>
          <cell r="AB172">
            <v>16</v>
          </cell>
          <cell r="AC172">
            <v>36</v>
          </cell>
          <cell r="AD172">
            <v>84</v>
          </cell>
          <cell r="AE172">
            <v>137.54515531783582</v>
          </cell>
          <cell r="AF172">
            <v>424.47378834931487</v>
          </cell>
          <cell r="AG172">
            <v>35.372815695776239</v>
          </cell>
        </row>
        <row r="173">
          <cell r="B173" t="str">
            <v>CLOCK</v>
          </cell>
          <cell r="C173" t="str">
            <v>LOCK CHARGE-CONTAINER</v>
          </cell>
          <cell r="D173">
            <v>9.7799999999999994</v>
          </cell>
          <cell r="E173">
            <v>10.3</v>
          </cell>
          <cell r="F173">
            <v>104.44499999999999</v>
          </cell>
          <cell r="G173">
            <v>126.45</v>
          </cell>
          <cell r="H173">
            <v>126.45</v>
          </cell>
          <cell r="I173">
            <v>126.44999999999999</v>
          </cell>
          <cell r="J173">
            <v>136.22999999999999</v>
          </cell>
          <cell r="K173">
            <v>136.22999999999999</v>
          </cell>
          <cell r="L173">
            <v>146.01</v>
          </cell>
          <cell r="M173">
            <v>141.12</v>
          </cell>
          <cell r="N173">
            <v>141.12</v>
          </cell>
          <cell r="O173">
            <v>138.51999999999998</v>
          </cell>
          <cell r="P173">
            <v>138.51999999999998</v>
          </cell>
          <cell r="Q173">
            <v>145.995</v>
          </cell>
          <cell r="R173">
            <v>1607.54</v>
          </cell>
          <cell r="T173">
            <v>10.679447852760736</v>
          </cell>
          <cell r="U173">
            <v>12.929447852760738</v>
          </cell>
          <cell r="V173">
            <v>12.929447852760738</v>
          </cell>
          <cell r="W173">
            <v>12.929447852760736</v>
          </cell>
          <cell r="X173">
            <v>13.929447852760736</v>
          </cell>
          <cell r="Y173">
            <v>13.929447852760736</v>
          </cell>
          <cell r="Z173">
            <v>14.929447852760736</v>
          </cell>
          <cell r="AA173">
            <v>14.429447852760738</v>
          </cell>
          <cell r="AB173">
            <v>14.429447852760738</v>
          </cell>
          <cell r="AC173">
            <v>13.448543689320386</v>
          </cell>
          <cell r="AD173">
            <v>13.448543689320386</v>
          </cell>
          <cell r="AE173">
            <v>14.174271844660193</v>
          </cell>
          <cell r="AF173">
            <v>162.18638989814761</v>
          </cell>
          <cell r="AG173">
            <v>13.515532491512301</v>
          </cell>
        </row>
        <row r="174">
          <cell r="B174" t="str">
            <v>CROLL</v>
          </cell>
          <cell r="C174" t="str">
            <v>ROLLOUT CHARGE - CMML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</row>
        <row r="175">
          <cell r="B175" t="str">
            <v>CTDEL</v>
          </cell>
          <cell r="C175" t="str">
            <v>TEMP CONTAINER DELIVERY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</row>
        <row r="176">
          <cell r="B176" t="str">
            <v>CTRIP</v>
          </cell>
          <cell r="C176" t="str">
            <v>RETURN TRIP CHARGE - CONT</v>
          </cell>
          <cell r="D176">
            <v>20.25</v>
          </cell>
          <cell r="E176">
            <v>21.31</v>
          </cell>
          <cell r="F176">
            <v>20.25</v>
          </cell>
          <cell r="G176">
            <v>0</v>
          </cell>
          <cell r="H176">
            <v>9.44</v>
          </cell>
          <cell r="I176">
            <v>20.25</v>
          </cell>
          <cell r="J176">
            <v>60.75</v>
          </cell>
          <cell r="K176">
            <v>40.5</v>
          </cell>
          <cell r="L176">
            <v>20.25</v>
          </cell>
          <cell r="M176">
            <v>20.25</v>
          </cell>
          <cell r="N176">
            <v>0</v>
          </cell>
          <cell r="O176">
            <v>0</v>
          </cell>
          <cell r="P176">
            <v>21.31</v>
          </cell>
          <cell r="Q176">
            <v>42.62</v>
          </cell>
          <cell r="R176">
            <v>255.62</v>
          </cell>
          <cell r="T176">
            <v>1</v>
          </cell>
          <cell r="U176">
            <v>0</v>
          </cell>
          <cell r="V176">
            <v>0.46617283950617283</v>
          </cell>
          <cell r="W176">
            <v>1</v>
          </cell>
          <cell r="X176">
            <v>3</v>
          </cell>
          <cell r="Y176">
            <v>2</v>
          </cell>
          <cell r="Z176">
            <v>1</v>
          </cell>
          <cell r="AA176">
            <v>1</v>
          </cell>
          <cell r="AB176">
            <v>0</v>
          </cell>
          <cell r="AC176">
            <v>0</v>
          </cell>
          <cell r="AD176">
            <v>1</v>
          </cell>
          <cell r="AE176">
            <v>2</v>
          </cell>
          <cell r="AF176">
            <v>12.466172839506173</v>
          </cell>
          <cell r="AG176">
            <v>1.0388477366255144</v>
          </cell>
        </row>
        <row r="177">
          <cell r="B177" t="str">
            <v>CUNLOCK</v>
          </cell>
          <cell r="C177" t="str">
            <v>COMM UNLOCK GATE OR CONT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</row>
        <row r="178">
          <cell r="B178" t="str">
            <v>DRIVEDWAY-COMM</v>
          </cell>
          <cell r="C178" t="str">
            <v>DRIVE IN DRIVEWAY - COMM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</row>
        <row r="179">
          <cell r="B179" t="str">
            <v>DRIVEPVT-COMM</v>
          </cell>
          <cell r="C179" t="str">
            <v>DRIVE IN PRIVATE RD - COMM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</row>
        <row r="180">
          <cell r="B180" t="str">
            <v>DRVNC</v>
          </cell>
          <cell r="C180" t="str">
            <v>DRIVE IN - CMML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</row>
        <row r="181">
          <cell r="B181" t="str">
            <v>TIMEC</v>
          </cell>
          <cell r="C181" t="str">
            <v>CMML TIME CHARGE</v>
          </cell>
          <cell r="D181">
            <v>123.69</v>
          </cell>
          <cell r="E181">
            <v>130.16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30.92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30.92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0.24997978818012775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0.24997978818012775</v>
          </cell>
          <cell r="AG181">
            <v>2.0831649015010646E-2</v>
          </cell>
        </row>
        <row r="182">
          <cell r="B182" t="str">
            <v>RESTART FEE-COM</v>
          </cell>
          <cell r="C182" t="str">
            <v>RESTART FEE</v>
          </cell>
          <cell r="D182">
            <v>25</v>
          </cell>
          <cell r="E182">
            <v>26.31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50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50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2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2</v>
          </cell>
          <cell r="AG182">
            <v>0.16666666666666666</v>
          </cell>
        </row>
      </sheetData>
      <sheetData sheetId="6">
        <row r="10">
          <cell r="B10" t="str">
            <v>10RW1N</v>
          </cell>
          <cell r="C10" t="str">
            <v>1-10 GAL CART WKLY NON REC</v>
          </cell>
          <cell r="D10">
            <v>16.47</v>
          </cell>
          <cell r="E10">
            <v>18.18</v>
          </cell>
          <cell r="F10">
            <v>18.13</v>
          </cell>
          <cell r="G10">
            <v>84.1</v>
          </cell>
          <cell r="H10">
            <v>84.1</v>
          </cell>
          <cell r="I10">
            <v>90.9</v>
          </cell>
          <cell r="J10">
            <v>54.540000000000006</v>
          </cell>
          <cell r="K10">
            <v>72.72</v>
          </cell>
          <cell r="L10">
            <v>72.72</v>
          </cell>
          <cell r="M10">
            <v>63.63</v>
          </cell>
          <cell r="N10">
            <v>63.63</v>
          </cell>
          <cell r="O10">
            <v>54.34</v>
          </cell>
          <cell r="P10">
            <v>54.540000000000006</v>
          </cell>
          <cell r="Q10">
            <v>45.325000000000003</v>
          </cell>
          <cell r="R10">
            <v>45.325000000000003</v>
          </cell>
          <cell r="S10">
            <v>785.87000000000012</v>
          </cell>
          <cell r="U10">
            <v>5.106253794778385</v>
          </cell>
          <cell r="V10">
            <v>5.106253794778385</v>
          </cell>
          <cell r="W10">
            <v>5</v>
          </cell>
          <cell r="X10">
            <v>3.0000000000000004</v>
          </cell>
          <cell r="Y10">
            <v>4</v>
          </cell>
          <cell r="Z10">
            <v>4</v>
          </cell>
          <cell r="AA10">
            <v>3.5</v>
          </cell>
          <cell r="AB10">
            <v>3.5</v>
          </cell>
          <cell r="AC10">
            <v>2.9889988998899892</v>
          </cell>
          <cell r="AD10">
            <v>3.0082735797021516</v>
          </cell>
          <cell r="AE10">
            <v>2.5000000000000004</v>
          </cell>
          <cell r="AF10">
            <v>2.5000000000000004</v>
          </cell>
          <cell r="AG10">
            <v>44.209780069148913</v>
          </cell>
          <cell r="AH10">
            <v>3.6841483390957426</v>
          </cell>
        </row>
        <row r="11">
          <cell r="B11" t="str">
            <v>10RW1R</v>
          </cell>
          <cell r="C11" t="str">
            <v>1-10 GAL CART WKLY W/ REC</v>
          </cell>
          <cell r="D11">
            <v>16.47</v>
          </cell>
          <cell r="E11">
            <v>18.18</v>
          </cell>
          <cell r="F11">
            <v>18.13</v>
          </cell>
          <cell r="G11">
            <v>1261.5</v>
          </cell>
          <cell r="H11">
            <v>1244.6799999999998</v>
          </cell>
          <cell r="I11">
            <v>1308.96</v>
          </cell>
          <cell r="J11">
            <v>1272.6100000000001</v>
          </cell>
          <cell r="K11">
            <v>1154.43</v>
          </cell>
          <cell r="L11">
            <v>1263.51</v>
          </cell>
          <cell r="M11">
            <v>1227.1500000000001</v>
          </cell>
          <cell r="N11">
            <v>1227.1500000000003</v>
          </cell>
          <cell r="O11">
            <v>1201.895</v>
          </cell>
          <cell r="P11">
            <v>1244.3050000000001</v>
          </cell>
          <cell r="Q11">
            <v>1133.125</v>
          </cell>
          <cell r="R11">
            <v>1133.125</v>
          </cell>
          <cell r="S11">
            <v>14672.44</v>
          </cell>
          <cell r="U11">
            <v>76.593806921675778</v>
          </cell>
          <cell r="V11">
            <v>75.57255616272009</v>
          </cell>
          <cell r="W11">
            <v>72</v>
          </cell>
          <cell r="X11">
            <v>70.000550055005505</v>
          </cell>
          <cell r="Y11">
            <v>63.500000000000007</v>
          </cell>
          <cell r="Z11">
            <v>69.5</v>
          </cell>
          <cell r="AA11">
            <v>67.5</v>
          </cell>
          <cell r="AB11">
            <v>67.500000000000014</v>
          </cell>
          <cell r="AC11">
            <v>66.110836083608362</v>
          </cell>
          <cell r="AD11">
            <v>68.632377275234418</v>
          </cell>
          <cell r="AE11">
            <v>62.5</v>
          </cell>
          <cell r="AF11">
            <v>62.5</v>
          </cell>
          <cell r="AG11">
            <v>821.91012649824404</v>
          </cell>
          <cell r="AH11">
            <v>68.492510541520332</v>
          </cell>
        </row>
        <row r="12">
          <cell r="B12" t="str">
            <v>20RM1</v>
          </cell>
          <cell r="C12" t="str">
            <v>1-20 GAL CART MONTHLY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</row>
        <row r="13">
          <cell r="B13" t="str">
            <v>20RW1</v>
          </cell>
          <cell r="C13" t="str">
            <v>1-20 GAL CAN WEEKLY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</row>
        <row r="14">
          <cell r="B14" t="str">
            <v>20RW1N</v>
          </cell>
          <cell r="C14" t="str">
            <v>1-20 GL CART WKLY NON REC</v>
          </cell>
          <cell r="D14">
            <v>21.76</v>
          </cell>
          <cell r="E14">
            <v>24.61</v>
          </cell>
          <cell r="F14">
            <v>24.52</v>
          </cell>
          <cell r="G14">
            <v>44.44</v>
          </cell>
          <cell r="H14">
            <v>44.44</v>
          </cell>
          <cell r="I14">
            <v>49.22</v>
          </cell>
          <cell r="J14">
            <v>49.22</v>
          </cell>
          <cell r="K14">
            <v>49.22</v>
          </cell>
          <cell r="L14">
            <v>49.22</v>
          </cell>
          <cell r="M14">
            <v>49.22</v>
          </cell>
          <cell r="N14">
            <v>49.22</v>
          </cell>
          <cell r="O14">
            <v>48.95</v>
          </cell>
          <cell r="P14">
            <v>49.31</v>
          </cell>
          <cell r="Q14">
            <v>49.04</v>
          </cell>
          <cell r="R14">
            <v>49.04</v>
          </cell>
          <cell r="S14">
            <v>580.54</v>
          </cell>
          <cell r="U14">
            <v>2.0422794117647056</v>
          </cell>
          <cell r="V14">
            <v>2.0422794117647056</v>
          </cell>
          <cell r="W14">
            <v>2</v>
          </cell>
          <cell r="X14">
            <v>2</v>
          </cell>
          <cell r="Y14">
            <v>2</v>
          </cell>
          <cell r="Z14">
            <v>2</v>
          </cell>
          <cell r="AA14">
            <v>2</v>
          </cell>
          <cell r="AB14">
            <v>2</v>
          </cell>
          <cell r="AC14">
            <v>1.989028850060951</v>
          </cell>
          <cell r="AD14">
            <v>2.0110114192495923</v>
          </cell>
          <cell r="AE14">
            <v>2</v>
          </cell>
          <cell r="AF14">
            <v>2</v>
          </cell>
          <cell r="AG14">
            <v>24.084599092839955</v>
          </cell>
          <cell r="AH14">
            <v>2.0070499244033297</v>
          </cell>
        </row>
        <row r="15">
          <cell r="B15" t="str">
            <v>20RW1NR</v>
          </cell>
          <cell r="C15" t="str">
            <v>1-20 GAL WKLY NON REC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</row>
        <row r="16">
          <cell r="B16" t="str">
            <v>20RW1R</v>
          </cell>
          <cell r="C16" t="str">
            <v>1-20 GL CART WKLY W/ RECY</v>
          </cell>
          <cell r="D16">
            <v>21.76</v>
          </cell>
          <cell r="E16">
            <v>24.61</v>
          </cell>
          <cell r="F16">
            <v>24.52</v>
          </cell>
          <cell r="G16">
            <v>3444.1</v>
          </cell>
          <cell r="H16">
            <v>3444.1</v>
          </cell>
          <cell r="I16">
            <v>3839.16</v>
          </cell>
          <cell r="J16">
            <v>3753.03</v>
          </cell>
          <cell r="K16">
            <v>3753.0250000000001</v>
          </cell>
          <cell r="L16">
            <v>3894.5349999999999</v>
          </cell>
          <cell r="M16">
            <v>3808.3999999999996</v>
          </cell>
          <cell r="N16">
            <v>3724.5499999999997</v>
          </cell>
          <cell r="O16">
            <v>3601.1250000000005</v>
          </cell>
          <cell r="P16">
            <v>3756.1450000000004</v>
          </cell>
          <cell r="Q16">
            <v>3248.9</v>
          </cell>
          <cell r="R16">
            <v>3236.64</v>
          </cell>
          <cell r="S16">
            <v>43503.71</v>
          </cell>
          <cell r="U16">
            <v>158.2766544117647</v>
          </cell>
          <cell r="V16">
            <v>158.2766544117647</v>
          </cell>
          <cell r="W16">
            <v>156</v>
          </cell>
          <cell r="X16">
            <v>152.50020316944332</v>
          </cell>
          <cell r="Y16">
            <v>152.5</v>
          </cell>
          <cell r="Z16">
            <v>158.25010158472165</v>
          </cell>
          <cell r="AA16">
            <v>154.75010158472165</v>
          </cell>
          <cell r="AB16">
            <v>151.34295002031695</v>
          </cell>
          <cell r="AC16">
            <v>146.32771231206829</v>
          </cell>
          <cell r="AD16">
            <v>153.18699021207181</v>
          </cell>
          <cell r="AE16">
            <v>132.5</v>
          </cell>
          <cell r="AF16">
            <v>132</v>
          </cell>
          <cell r="AG16">
            <v>1805.9113677068731</v>
          </cell>
          <cell r="AH16">
            <v>150.49261397557277</v>
          </cell>
        </row>
        <row r="17">
          <cell r="B17" t="str">
            <v>24RW1N</v>
          </cell>
          <cell r="C17" t="str">
            <v>1-24 GL CART WKLY NON REC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</row>
        <row r="18">
          <cell r="B18" t="str">
            <v>24RW1R</v>
          </cell>
          <cell r="C18" t="str">
            <v>1-24 GL CART WKLY W/ RECY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</row>
        <row r="19">
          <cell r="B19" t="str">
            <v>32RE1</v>
          </cell>
          <cell r="C19" t="str">
            <v>1-32 GAL CAN EOW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</row>
        <row r="20">
          <cell r="B20" t="str">
            <v>32RM1</v>
          </cell>
          <cell r="C20" t="str">
            <v>1-32 GAL CAN MONTHLY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</row>
        <row r="21">
          <cell r="B21" t="str">
            <v>32ROCPU</v>
          </cell>
          <cell r="C21" t="str">
            <v>1-32 GAL CAN-ON CALL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</row>
        <row r="22">
          <cell r="B22" t="str">
            <v>32RW1</v>
          </cell>
          <cell r="C22" t="str">
            <v>1-32 GAL CAN WEEKLY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</row>
        <row r="23">
          <cell r="B23" t="str">
            <v>32RW1N</v>
          </cell>
          <cell r="C23" t="str">
            <v>1-32 GL CART WKLY NON REC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</row>
        <row r="24">
          <cell r="B24" t="str">
            <v>32RW1NR</v>
          </cell>
          <cell r="C24" t="str">
            <v>1-32 GAL WKLY NON REC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</row>
        <row r="25">
          <cell r="B25" t="str">
            <v>32RW1R</v>
          </cell>
          <cell r="C25" t="str">
            <v>1-32 GL CART WKLY W/ RECY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</row>
        <row r="26">
          <cell r="B26" t="str">
            <v>32RW2</v>
          </cell>
          <cell r="C26" t="str">
            <v>2-32 GAL CANS WEEKLY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</row>
        <row r="27">
          <cell r="B27" t="str">
            <v>32RW2R</v>
          </cell>
          <cell r="C27" t="str">
            <v>2-32 GL CART WKLY W/ RECY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</row>
        <row r="28">
          <cell r="B28" t="str">
            <v>32RW2NR</v>
          </cell>
          <cell r="C28" t="str">
            <v>2-32 GAL WKLY NON REC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</row>
        <row r="29">
          <cell r="B29" t="str">
            <v>32RW3</v>
          </cell>
          <cell r="C29" t="str">
            <v>3-32 GAL CANS WEEKLY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</row>
        <row r="30">
          <cell r="B30" t="str">
            <v>32RW3NR</v>
          </cell>
          <cell r="C30" t="str">
            <v>3-32 GAL WKLY NON REC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</row>
        <row r="31">
          <cell r="B31" t="str">
            <v>32RW4</v>
          </cell>
          <cell r="C31" t="str">
            <v>4-32 GAL CANS WEEKLY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</row>
        <row r="32">
          <cell r="B32" t="str">
            <v>32RW4NR</v>
          </cell>
          <cell r="C32" t="str">
            <v>4-32 GAL WKLY NON REC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</row>
        <row r="33">
          <cell r="B33" t="str">
            <v>32RW5</v>
          </cell>
          <cell r="C33" t="str">
            <v>5-32 GAL CANS WEEKLY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</row>
        <row r="34">
          <cell r="B34" t="str">
            <v>32RW5NR</v>
          </cell>
          <cell r="C34" t="str">
            <v>5-32 GAL WKLY NON REC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</row>
        <row r="35">
          <cell r="B35" t="str">
            <v>32RW6</v>
          </cell>
          <cell r="C35" t="str">
            <v>6-32 GAL CANS WEEKLY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</row>
        <row r="36">
          <cell r="B36" t="str">
            <v>35RM1</v>
          </cell>
          <cell r="C36" t="str">
            <v>1-35 GAL CART MONTHLY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</row>
        <row r="37">
          <cell r="B37" t="str">
            <v>35RW1N</v>
          </cell>
          <cell r="C37" t="str">
            <v>1-35 GAL CART WKLY NONREC</v>
          </cell>
          <cell r="D37">
            <v>25.53</v>
          </cell>
          <cell r="E37">
            <v>29.35</v>
          </cell>
          <cell r="F37">
            <v>29.21</v>
          </cell>
          <cell r="G37">
            <v>365.26</v>
          </cell>
          <cell r="H37">
            <v>365.26</v>
          </cell>
          <cell r="I37">
            <v>410.9</v>
          </cell>
          <cell r="J37">
            <v>352.2</v>
          </cell>
          <cell r="K37">
            <v>381.55</v>
          </cell>
          <cell r="L37">
            <v>381.55</v>
          </cell>
          <cell r="M37">
            <v>293.5</v>
          </cell>
          <cell r="N37">
            <v>293.5</v>
          </cell>
          <cell r="O37">
            <v>291.39999999999998</v>
          </cell>
          <cell r="P37">
            <v>294.2</v>
          </cell>
          <cell r="Q37">
            <v>262.89</v>
          </cell>
          <cell r="R37">
            <v>262.89</v>
          </cell>
          <cell r="S37">
            <v>3955.1</v>
          </cell>
          <cell r="U37">
            <v>14.307089698394046</v>
          </cell>
          <cell r="V37">
            <v>14.307089698394046</v>
          </cell>
          <cell r="W37">
            <v>13.999999999999998</v>
          </cell>
          <cell r="X37">
            <v>11.999999999999998</v>
          </cell>
          <cell r="Y37">
            <v>13</v>
          </cell>
          <cell r="Z37">
            <v>13</v>
          </cell>
          <cell r="AA37">
            <v>10</v>
          </cell>
          <cell r="AB37">
            <v>10</v>
          </cell>
          <cell r="AC37">
            <v>9.9284497444633715</v>
          </cell>
          <cell r="AD37">
            <v>10.071893187264635</v>
          </cell>
          <cell r="AE37">
            <v>9</v>
          </cell>
          <cell r="AF37">
            <v>9</v>
          </cell>
          <cell r="AG37">
            <v>138.6145223285161</v>
          </cell>
          <cell r="AH37">
            <v>11.551210194043009</v>
          </cell>
        </row>
        <row r="38">
          <cell r="B38" t="str">
            <v>35RW1R</v>
          </cell>
          <cell r="C38" t="str">
            <v>1-35 GAL CART WKLY W/REC</v>
          </cell>
          <cell r="D38">
            <v>25.53</v>
          </cell>
          <cell r="E38">
            <v>29.35</v>
          </cell>
          <cell r="F38">
            <v>29.21</v>
          </cell>
          <cell r="G38">
            <v>28151.11</v>
          </cell>
          <cell r="H38">
            <v>27916.3</v>
          </cell>
          <cell r="I38">
            <v>31150.525000000001</v>
          </cell>
          <cell r="J38">
            <v>30700.595000000001</v>
          </cell>
          <cell r="K38">
            <v>29016.125</v>
          </cell>
          <cell r="L38">
            <v>29846.545000000002</v>
          </cell>
          <cell r="M38">
            <v>28383.850000000002</v>
          </cell>
          <cell r="N38">
            <v>28638.13</v>
          </cell>
          <cell r="O38">
            <v>27719.21</v>
          </cell>
          <cell r="P38">
            <v>28817.584999999999</v>
          </cell>
          <cell r="Q38">
            <v>27846.7</v>
          </cell>
          <cell r="R38">
            <v>28172.825000000001</v>
          </cell>
          <cell r="S38">
            <v>346359.50000000006</v>
          </cell>
          <cell r="U38">
            <v>1102.6678417547982</v>
          </cell>
          <cell r="V38">
            <v>1093.4704269486876</v>
          </cell>
          <cell r="W38">
            <v>1061.34667802385</v>
          </cell>
          <cell r="X38">
            <v>1046.0168654173765</v>
          </cell>
          <cell r="Y38">
            <v>988.62436115843263</v>
          </cell>
          <cell r="Z38">
            <v>1016.9180579216354</v>
          </cell>
          <cell r="AA38">
            <v>967.08177172061335</v>
          </cell>
          <cell r="AB38">
            <v>975.74548551959117</v>
          </cell>
          <cell r="AC38">
            <v>944.43645655877333</v>
          </cell>
          <cell r="AD38">
            <v>986.56573091407051</v>
          </cell>
          <cell r="AE38">
            <v>953.32762752482029</v>
          </cell>
          <cell r="AF38">
            <v>964.49246833276277</v>
          </cell>
          <cell r="AG38">
            <v>12100.693771795412</v>
          </cell>
          <cell r="AH38">
            <v>1008.3911476496177</v>
          </cell>
        </row>
        <row r="39">
          <cell r="B39" t="str">
            <v>64RW1N</v>
          </cell>
          <cell r="C39" t="str">
            <v>1-64 GAL CART WKLY NONREC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</row>
        <row r="40">
          <cell r="B40" t="str">
            <v>64RW1R</v>
          </cell>
          <cell r="C40" t="str">
            <v>1-64 GAL CART WKLY W/REC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</row>
        <row r="41">
          <cell r="B41" t="str">
            <v>65RM1</v>
          </cell>
          <cell r="C41" t="str">
            <v>1-65 GAL CART MONTHLY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</row>
        <row r="42">
          <cell r="B42" t="str">
            <v>65RW1N</v>
          </cell>
          <cell r="C42" t="str">
            <v>1-65 GAL CART WKLY NONREC</v>
          </cell>
          <cell r="D42">
            <v>37.770000000000003</v>
          </cell>
          <cell r="E42">
            <v>50</v>
          </cell>
          <cell r="F42">
            <v>49.73</v>
          </cell>
          <cell r="G42">
            <v>77.28</v>
          </cell>
          <cell r="H42">
            <v>77.28</v>
          </cell>
          <cell r="I42">
            <v>100</v>
          </cell>
          <cell r="J42">
            <v>112.5</v>
          </cell>
          <cell r="K42">
            <v>81.25</v>
          </cell>
          <cell r="L42">
            <v>81.25</v>
          </cell>
          <cell r="M42">
            <v>75</v>
          </cell>
          <cell r="N42">
            <v>125</v>
          </cell>
          <cell r="O42">
            <v>148.91999999999999</v>
          </cell>
          <cell r="P42">
            <v>112.16999999999999</v>
          </cell>
          <cell r="Q42">
            <v>149.19</v>
          </cell>
          <cell r="R42">
            <v>149.19</v>
          </cell>
          <cell r="S42">
            <v>1289.03</v>
          </cell>
          <cell r="U42">
            <v>2.0460683081810958</v>
          </cell>
          <cell r="V42">
            <v>2.0460683081810958</v>
          </cell>
          <cell r="W42">
            <v>2</v>
          </cell>
          <cell r="X42">
            <v>2.25</v>
          </cell>
          <cell r="Y42">
            <v>1.625</v>
          </cell>
          <cell r="Z42">
            <v>1.625</v>
          </cell>
          <cell r="AA42">
            <v>1.5</v>
          </cell>
          <cell r="AB42">
            <v>2.5</v>
          </cell>
          <cell r="AC42">
            <v>2.9783999999999997</v>
          </cell>
          <cell r="AD42">
            <v>2.2555801327166698</v>
          </cell>
          <cell r="AE42">
            <v>3</v>
          </cell>
          <cell r="AF42">
            <v>3</v>
          </cell>
          <cell r="AG42">
            <v>26.82611674907886</v>
          </cell>
          <cell r="AH42">
            <v>2.2355097290899049</v>
          </cell>
        </row>
        <row r="43">
          <cell r="B43" t="str">
            <v>65RW1R</v>
          </cell>
          <cell r="C43" t="str">
            <v>1-65 GAL CART WKLY W/REC</v>
          </cell>
          <cell r="D43">
            <v>37.770000000000003</v>
          </cell>
          <cell r="E43">
            <v>50</v>
          </cell>
          <cell r="F43">
            <v>49.73</v>
          </cell>
          <cell r="G43">
            <v>18585.84</v>
          </cell>
          <cell r="H43">
            <v>19107.48</v>
          </cell>
          <cell r="I43">
            <v>24592.05</v>
          </cell>
          <cell r="J43">
            <v>24910.32</v>
          </cell>
          <cell r="K43">
            <v>23300.09</v>
          </cell>
          <cell r="L43">
            <v>24731.34</v>
          </cell>
          <cell r="M43">
            <v>23731.34</v>
          </cell>
          <cell r="N43">
            <v>24958.18</v>
          </cell>
          <cell r="O43">
            <v>23575.98</v>
          </cell>
          <cell r="P43">
            <v>24678.74</v>
          </cell>
          <cell r="Q43">
            <v>24100.400000000001</v>
          </cell>
          <cell r="R43">
            <v>24821.485000000001</v>
          </cell>
          <cell r="S43">
            <v>281093.245</v>
          </cell>
          <cell r="U43">
            <v>492.07942811755356</v>
          </cell>
          <cell r="V43">
            <v>505.89038919777596</v>
          </cell>
          <cell r="W43">
            <v>491.84100000000001</v>
          </cell>
          <cell r="X43">
            <v>498.20639999999997</v>
          </cell>
          <cell r="Y43">
            <v>466.0018</v>
          </cell>
          <cell r="Z43">
            <v>494.6268</v>
          </cell>
          <cell r="AA43">
            <v>474.6268</v>
          </cell>
          <cell r="AB43">
            <v>499.16360000000003</v>
          </cell>
          <cell r="AC43">
            <v>471.51959999999997</v>
          </cell>
          <cell r="AD43">
            <v>496.25457470339842</v>
          </cell>
          <cell r="AE43">
            <v>484.62497486426707</v>
          </cell>
          <cell r="AF43">
            <v>499.12497486426707</v>
          </cell>
          <cell r="AG43">
            <v>5873.9603417472608</v>
          </cell>
          <cell r="AH43">
            <v>489.49669514560509</v>
          </cell>
        </row>
        <row r="44">
          <cell r="B44" t="str">
            <v>95RM1</v>
          </cell>
          <cell r="C44" t="str">
            <v>1-95 GAL CART MONTHLY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</row>
        <row r="45">
          <cell r="B45" t="str">
            <v>95RW1N</v>
          </cell>
          <cell r="C45" t="str">
            <v>1-95 GAL CART WKLY NONREC</v>
          </cell>
          <cell r="D45">
            <v>49.39</v>
          </cell>
          <cell r="E45">
            <v>58</v>
          </cell>
          <cell r="F45">
            <v>57.59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</row>
        <row r="46">
          <cell r="B46" t="str">
            <v>95RW1R</v>
          </cell>
          <cell r="C46" t="str">
            <v>1-95 GAL CART WKLY W/REC</v>
          </cell>
          <cell r="D46">
            <v>49.39</v>
          </cell>
          <cell r="E46">
            <v>58</v>
          </cell>
          <cell r="F46">
            <v>57.59</v>
          </cell>
          <cell r="G46">
            <v>4094.55</v>
          </cell>
          <cell r="H46">
            <v>3499.5499999999997</v>
          </cell>
          <cell r="I46">
            <v>4858.7950000000001</v>
          </cell>
          <cell r="J46">
            <v>4829.7950000000001</v>
          </cell>
          <cell r="K46">
            <v>5473.75</v>
          </cell>
          <cell r="L46">
            <v>5589.75</v>
          </cell>
          <cell r="M46">
            <v>6075.5</v>
          </cell>
          <cell r="N46">
            <v>6554</v>
          </cell>
          <cell r="O46">
            <v>6405.09</v>
          </cell>
          <cell r="P46">
            <v>6596.12</v>
          </cell>
          <cell r="Q46">
            <v>6614.83</v>
          </cell>
          <cell r="R46">
            <v>6947.8899999999994</v>
          </cell>
          <cell r="S46">
            <v>67539.62</v>
          </cell>
          <cell r="U46">
            <v>82.902409394614295</v>
          </cell>
          <cell r="V46">
            <v>70.855436323142328</v>
          </cell>
          <cell r="W46">
            <v>83.772327586206899</v>
          </cell>
          <cell r="X46">
            <v>83.272327586206899</v>
          </cell>
          <cell r="Y46">
            <v>94.375</v>
          </cell>
          <cell r="Z46">
            <v>96.375</v>
          </cell>
          <cell r="AA46">
            <v>104.75</v>
          </cell>
          <cell r="AB46">
            <v>113</v>
          </cell>
          <cell r="AC46">
            <v>110.43258620689656</v>
          </cell>
          <cell r="AD46">
            <v>114.53585691960409</v>
          </cell>
          <cell r="AE46">
            <v>114.8607397117555</v>
          </cell>
          <cell r="AF46">
            <v>120.64403542281644</v>
          </cell>
          <cell r="AG46">
            <v>1189.7757191512428</v>
          </cell>
          <cell r="AH46">
            <v>99.147976595936896</v>
          </cell>
        </row>
        <row r="47">
          <cell r="B47" t="str">
            <v>96RW1N</v>
          </cell>
          <cell r="C47" t="str">
            <v>1-96 GAL CART WKLY NONREC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</row>
        <row r="48">
          <cell r="B48" t="str">
            <v>96RW1R</v>
          </cell>
          <cell r="C48" t="str">
            <v>1-96 GAL CART WKLY W/REC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</row>
        <row r="49">
          <cell r="B49" t="str">
            <v>ADJRES</v>
          </cell>
          <cell r="C49" t="str">
            <v>SERVICE ADJ-RESIDENTIAL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</row>
        <row r="50">
          <cell r="B50" t="str">
            <v>CARRY-RES</v>
          </cell>
          <cell r="C50" t="str">
            <v>CARRY OUT -RES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</row>
        <row r="51">
          <cell r="B51" t="str">
            <v>DELTOT</v>
          </cell>
          <cell r="C51" t="str">
            <v>GARB CART REDELIVERY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</row>
        <row r="52">
          <cell r="B52" t="str">
            <v>DRIVEPRVT-RES</v>
          </cell>
          <cell r="C52" t="str">
            <v>DRIVE IN PRIVATE RD - RES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</row>
        <row r="53">
          <cell r="B53" t="str">
            <v>DRVNRE1</v>
          </cell>
          <cell r="C53" t="str">
            <v>DRIVE IN UP TO 125'-EOW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</row>
        <row r="54">
          <cell r="B54" t="str">
            <v>DRVNRW1</v>
          </cell>
          <cell r="C54" t="str">
            <v>DRIVE IN UP TO 125'-WKLY</v>
          </cell>
          <cell r="D54">
            <v>5.48</v>
          </cell>
          <cell r="E54">
            <v>5.62</v>
          </cell>
          <cell r="F54">
            <v>5.62</v>
          </cell>
          <cell r="G54">
            <v>16.440000000000001</v>
          </cell>
          <cell r="H54">
            <v>16.440000000000001</v>
          </cell>
          <cell r="I54">
            <v>16.86</v>
          </cell>
          <cell r="J54">
            <v>16.86</v>
          </cell>
          <cell r="K54">
            <v>16.86</v>
          </cell>
          <cell r="L54">
            <v>16.86</v>
          </cell>
          <cell r="M54">
            <v>16.86</v>
          </cell>
          <cell r="N54">
            <v>16.86</v>
          </cell>
          <cell r="O54">
            <v>-22.479999999999997</v>
          </cell>
          <cell r="P54">
            <v>11.24</v>
          </cell>
          <cell r="Q54">
            <v>11.24</v>
          </cell>
          <cell r="R54">
            <v>11.24</v>
          </cell>
          <cell r="S54">
            <v>145.28</v>
          </cell>
          <cell r="U54">
            <v>3</v>
          </cell>
          <cell r="V54">
            <v>3</v>
          </cell>
          <cell r="W54">
            <v>3</v>
          </cell>
          <cell r="X54">
            <v>3</v>
          </cell>
          <cell r="Y54">
            <v>3</v>
          </cell>
          <cell r="Z54">
            <v>3</v>
          </cell>
          <cell r="AA54">
            <v>3</v>
          </cell>
          <cell r="AB54">
            <v>3</v>
          </cell>
          <cell r="AC54">
            <v>-3.9999999999999996</v>
          </cell>
          <cell r="AD54">
            <v>2</v>
          </cell>
          <cell r="AE54">
            <v>2</v>
          </cell>
          <cell r="AF54">
            <v>2</v>
          </cell>
          <cell r="AG54">
            <v>26</v>
          </cell>
          <cell r="AH54">
            <v>2.1666666666666665</v>
          </cell>
        </row>
        <row r="55">
          <cell r="B55" t="str">
            <v>DRVNRW2</v>
          </cell>
          <cell r="C55" t="str">
            <v>DRIVE IN OVER 125'-WKLY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</row>
        <row r="56">
          <cell r="B56" t="str">
            <v>GWCR</v>
          </cell>
          <cell r="C56" t="str">
            <v>GOOD WILL CREDIT - RESI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-4</v>
          </cell>
          <cell r="O56">
            <v>-15</v>
          </cell>
          <cell r="P56">
            <v>0</v>
          </cell>
          <cell r="Q56">
            <v>0</v>
          </cell>
          <cell r="R56">
            <v>0</v>
          </cell>
          <cell r="S56">
            <v>-19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</row>
        <row r="57">
          <cell r="B57" t="str">
            <v>IMPCNR1</v>
          </cell>
          <cell r="C57" t="str">
            <v>1 IMPROPER CAN - RESI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</row>
        <row r="58">
          <cell r="B58" t="str">
            <v>IMPCNR2</v>
          </cell>
          <cell r="C58" t="str">
            <v>2 IMPROPER CANS - RESI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</row>
        <row r="59">
          <cell r="B59" t="str">
            <v>OBSR</v>
          </cell>
          <cell r="C59" t="str">
            <v>OBSTRUCTION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</row>
        <row r="60">
          <cell r="B60" t="str">
            <v>OS</v>
          </cell>
          <cell r="C60" t="str">
            <v>OVERSIZE UNIT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</row>
        <row r="61">
          <cell r="B61" t="str">
            <v>OSOW</v>
          </cell>
          <cell r="C61" t="str">
            <v>OVERSIZE/OVERWEIGHT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</row>
        <row r="62">
          <cell r="B62" t="str">
            <v>OW</v>
          </cell>
          <cell r="C62" t="str">
            <v>OVERWEIGHT UNIT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</row>
        <row r="63">
          <cell r="B63" t="str">
            <v>PACKLC</v>
          </cell>
          <cell r="C63" t="str">
            <v>CARRY-OUT LONG DISTANCE</v>
          </cell>
          <cell r="D63">
            <v>5.48</v>
          </cell>
          <cell r="E63">
            <v>2.81</v>
          </cell>
          <cell r="F63">
            <v>2.81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</row>
        <row r="64">
          <cell r="B64" t="str">
            <v>PACKR</v>
          </cell>
          <cell r="C64" t="str">
            <v>CARRY-OUT RESIDENTIAL</v>
          </cell>
          <cell r="D64">
            <v>5.48</v>
          </cell>
          <cell r="E64">
            <v>5.62</v>
          </cell>
          <cell r="F64">
            <v>5.62</v>
          </cell>
          <cell r="G64">
            <v>10.96</v>
          </cell>
          <cell r="H64">
            <v>10.96</v>
          </cell>
          <cell r="I64">
            <v>11.24</v>
          </cell>
          <cell r="J64">
            <v>11.24</v>
          </cell>
          <cell r="K64">
            <v>8.43</v>
          </cell>
          <cell r="L64">
            <v>8.43</v>
          </cell>
          <cell r="M64">
            <v>11.24</v>
          </cell>
          <cell r="N64">
            <v>11.24</v>
          </cell>
          <cell r="O64">
            <v>5.62</v>
          </cell>
          <cell r="P64">
            <v>5.62</v>
          </cell>
          <cell r="Q64">
            <v>5.62</v>
          </cell>
          <cell r="R64">
            <v>5.62</v>
          </cell>
          <cell r="S64">
            <v>106.22000000000001</v>
          </cell>
          <cell r="U64">
            <v>2</v>
          </cell>
          <cell r="V64">
            <v>2</v>
          </cell>
          <cell r="W64">
            <v>2</v>
          </cell>
          <cell r="X64">
            <v>2</v>
          </cell>
          <cell r="Y64">
            <v>1.5</v>
          </cell>
          <cell r="Z64">
            <v>1.5</v>
          </cell>
          <cell r="AA64">
            <v>2</v>
          </cell>
          <cell r="AB64">
            <v>2</v>
          </cell>
          <cell r="AC64">
            <v>1</v>
          </cell>
          <cell r="AD64">
            <v>1</v>
          </cell>
          <cell r="AE64">
            <v>1</v>
          </cell>
          <cell r="AF64">
            <v>1</v>
          </cell>
          <cell r="AG64">
            <v>19</v>
          </cell>
          <cell r="AH64">
            <v>1.5833333333333333</v>
          </cell>
        </row>
        <row r="65">
          <cell r="B65" t="str">
            <v>PACKSNR</v>
          </cell>
          <cell r="C65" t="str">
            <v>CARRY-OUT SENIOR SERVICE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</row>
        <row r="66">
          <cell r="B66" t="str">
            <v>RESTART FEE</v>
          </cell>
          <cell r="C66" t="str">
            <v>RESTART FEE</v>
          </cell>
          <cell r="D66">
            <v>0</v>
          </cell>
          <cell r="E66">
            <v>25</v>
          </cell>
          <cell r="F66">
            <v>25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1350</v>
          </cell>
          <cell r="M66">
            <v>75</v>
          </cell>
          <cell r="N66">
            <v>775</v>
          </cell>
          <cell r="O66">
            <v>100</v>
          </cell>
          <cell r="P66">
            <v>800</v>
          </cell>
          <cell r="Q66">
            <v>200</v>
          </cell>
          <cell r="R66">
            <v>575</v>
          </cell>
          <cell r="S66">
            <v>3875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54</v>
          </cell>
          <cell r="AA66">
            <v>3</v>
          </cell>
          <cell r="AB66">
            <v>31</v>
          </cell>
          <cell r="AC66">
            <v>4</v>
          </cell>
          <cell r="AD66">
            <v>32</v>
          </cell>
          <cell r="AE66">
            <v>8</v>
          </cell>
          <cell r="AF66">
            <v>23</v>
          </cell>
          <cell r="AG66">
            <v>155</v>
          </cell>
          <cell r="AH66">
            <v>12.916666666666666</v>
          </cell>
        </row>
        <row r="67">
          <cell r="B67" t="str">
            <v>REXTRA</v>
          </cell>
          <cell r="C67" t="str">
            <v>EXTRA UNITS</v>
          </cell>
          <cell r="D67">
            <v>4.3099999999999996</v>
          </cell>
          <cell r="E67">
            <v>5.86</v>
          </cell>
          <cell r="F67">
            <v>5.83</v>
          </cell>
          <cell r="G67">
            <v>343.98</v>
          </cell>
          <cell r="H67">
            <v>467.46000000000004</v>
          </cell>
          <cell r="I67">
            <v>584.12</v>
          </cell>
          <cell r="J67">
            <v>609.44000000000005</v>
          </cell>
          <cell r="K67">
            <v>503.96</v>
          </cell>
          <cell r="L67">
            <v>659.59</v>
          </cell>
          <cell r="M67">
            <v>410.2</v>
          </cell>
          <cell r="N67">
            <v>627.02</v>
          </cell>
          <cell r="O67">
            <v>609.44000000000005</v>
          </cell>
          <cell r="P67">
            <v>536.24</v>
          </cell>
          <cell r="Q67">
            <v>670.45</v>
          </cell>
          <cell r="R67">
            <v>419.76</v>
          </cell>
          <cell r="S67">
            <v>6441.6600000000008</v>
          </cell>
          <cell r="U67">
            <v>79.809744779582374</v>
          </cell>
          <cell r="V67">
            <v>108.45939675174016</v>
          </cell>
          <cell r="W67">
            <v>99.679180887372013</v>
          </cell>
          <cell r="X67">
            <v>104</v>
          </cell>
          <cell r="Y67">
            <v>85.999999999999986</v>
          </cell>
          <cell r="Z67">
            <v>112.5580204778157</v>
          </cell>
          <cell r="AA67">
            <v>70</v>
          </cell>
          <cell r="AB67">
            <v>106.99999999999999</v>
          </cell>
          <cell r="AC67">
            <v>104</v>
          </cell>
          <cell r="AD67">
            <v>91.979416809605496</v>
          </cell>
          <cell r="AE67">
            <v>115</v>
          </cell>
          <cell r="AF67">
            <v>72</v>
          </cell>
          <cell r="AG67">
            <v>1150.4857597061157</v>
          </cell>
          <cell r="AH67">
            <v>95.873813308842969</v>
          </cell>
        </row>
        <row r="68">
          <cell r="B68" t="str">
            <v>SUNKENR</v>
          </cell>
          <cell r="C68" t="str">
            <v>SUNKEN CAN CHARGE - RESI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</row>
        <row r="69">
          <cell r="B69" t="str">
            <v>TRIPRCANS</v>
          </cell>
          <cell r="C69" t="str">
            <v>RETURN TRIP CHARGE - CANS</v>
          </cell>
          <cell r="D69">
            <v>17.72</v>
          </cell>
          <cell r="E69">
            <v>25</v>
          </cell>
          <cell r="F69">
            <v>25</v>
          </cell>
          <cell r="G69">
            <v>0</v>
          </cell>
          <cell r="H69">
            <v>18.059999999999999</v>
          </cell>
          <cell r="I69">
            <v>0</v>
          </cell>
          <cell r="J69">
            <v>0</v>
          </cell>
          <cell r="K69">
            <v>25</v>
          </cell>
          <cell r="L69">
            <v>25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75</v>
          </cell>
          <cell r="R69">
            <v>25</v>
          </cell>
          <cell r="S69">
            <v>168.06</v>
          </cell>
          <cell r="U69">
            <v>0</v>
          </cell>
          <cell r="V69">
            <v>1.0191873589164786</v>
          </cell>
          <cell r="W69">
            <v>0</v>
          </cell>
          <cell r="X69">
            <v>0</v>
          </cell>
          <cell r="Y69">
            <v>1</v>
          </cell>
          <cell r="Z69">
            <v>1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3</v>
          </cell>
          <cell r="AF69">
            <v>1</v>
          </cell>
          <cell r="AG69">
            <v>7.0191873589164784</v>
          </cell>
          <cell r="AH69">
            <v>0.58493227990970653</v>
          </cell>
        </row>
        <row r="70">
          <cell r="B70" t="str">
            <v>TRIPRCARTS</v>
          </cell>
          <cell r="C70" t="str">
            <v>RESI TRIP CHARGE - CARTS</v>
          </cell>
          <cell r="D70">
            <v>17.72</v>
          </cell>
          <cell r="E70">
            <v>25</v>
          </cell>
          <cell r="F70">
            <v>25</v>
          </cell>
          <cell r="G70">
            <v>0</v>
          </cell>
          <cell r="H70">
            <v>0</v>
          </cell>
          <cell r="I70">
            <v>18.059999999999999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18.059999999999999</v>
          </cell>
          <cell r="U70">
            <v>0</v>
          </cell>
          <cell r="V70">
            <v>0</v>
          </cell>
          <cell r="W70">
            <v>0.72239999999999993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0.72239999999999993</v>
          </cell>
          <cell r="AH70">
            <v>6.0199999999999997E-2</v>
          </cell>
        </row>
        <row r="71">
          <cell r="B71" t="str">
            <v>BULKY-RES</v>
          </cell>
          <cell r="C71" t="str">
            <v>BULKY ITEM</v>
          </cell>
          <cell r="D71">
            <v>27.72</v>
          </cell>
          <cell r="E71">
            <v>28.33</v>
          </cell>
          <cell r="F71">
            <v>28.33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70.83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70.83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2.5001764913519238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2.5001764913519238</v>
          </cell>
          <cell r="AH71">
            <v>0.20834804094599366</v>
          </cell>
        </row>
        <row r="72">
          <cell r="B72" t="str">
            <v>CITY15DISC10GAL</v>
          </cell>
          <cell r="C72" t="str">
            <v>10 GAL BUCKLEY UTILITY DISC 15%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46.23</v>
          </cell>
          <cell r="R72">
            <v>46.23</v>
          </cell>
          <cell r="S72">
            <v>92.46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</row>
        <row r="73">
          <cell r="B73" t="str">
            <v>CITY15DISC20GAL</v>
          </cell>
          <cell r="C73" t="str">
            <v>20GL BUCKLEY UTILITY DISC 15%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125.04</v>
          </cell>
          <cell r="R73">
            <v>125.04</v>
          </cell>
          <cell r="S73">
            <v>250.08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</row>
        <row r="74">
          <cell r="B74" t="str">
            <v>CITY15DISC35GAL</v>
          </cell>
          <cell r="C74" t="str">
            <v>35GL BUCKLEY UTILITY DISC 15%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223.47</v>
          </cell>
          <cell r="R74">
            <v>223.47</v>
          </cell>
          <cell r="S74">
            <v>446.94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</row>
        <row r="75">
          <cell r="B75" t="str">
            <v>CITY30DISC10GAL</v>
          </cell>
          <cell r="C75" t="str">
            <v>10 GAL BUCKLEY UTILITY DISC 30%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12.69</v>
          </cell>
          <cell r="R75">
            <v>25.38</v>
          </cell>
          <cell r="S75">
            <v>38.07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</row>
        <row r="76">
          <cell r="B76" t="str">
            <v>CITY30DISC20GAL</v>
          </cell>
          <cell r="C76" t="str">
            <v>20GL BUCKLEY UTILITY DISC 30%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188.815</v>
          </cell>
          <cell r="R76">
            <v>188.815</v>
          </cell>
          <cell r="S76">
            <v>377.63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</row>
        <row r="77">
          <cell r="B77" t="str">
            <v>CITY30DISC35GAL</v>
          </cell>
          <cell r="C77" t="str">
            <v>35GL BUCKLEY UTILITY DISC 30%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20.445</v>
          </cell>
          <cell r="R77">
            <v>20.445</v>
          </cell>
          <cell r="S77">
            <v>40.89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</row>
        <row r="78">
          <cell r="B78" t="str">
            <v>DELCART</v>
          </cell>
          <cell r="C78" t="str">
            <v>CART REDELIVERY</v>
          </cell>
          <cell r="D78">
            <v>17.72</v>
          </cell>
          <cell r="E78">
            <v>25</v>
          </cell>
          <cell r="F78">
            <v>25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50</v>
          </cell>
          <cell r="O78">
            <v>25</v>
          </cell>
          <cell r="P78">
            <v>0</v>
          </cell>
          <cell r="Q78">
            <v>0</v>
          </cell>
          <cell r="R78">
            <v>0</v>
          </cell>
          <cell r="S78">
            <v>75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2</v>
          </cell>
          <cell r="AC78">
            <v>1</v>
          </cell>
          <cell r="AD78">
            <v>0</v>
          </cell>
          <cell r="AE78">
            <v>0</v>
          </cell>
          <cell r="AF78">
            <v>0</v>
          </cell>
          <cell r="AG78">
            <v>3</v>
          </cell>
          <cell r="AH78">
            <v>0.25</v>
          </cell>
        </row>
        <row r="112">
          <cell r="B112" t="str">
            <v>20CW1</v>
          </cell>
          <cell r="C112" t="str">
            <v>1-20 GAL CART WKLY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</row>
        <row r="113">
          <cell r="B113" t="str">
            <v>32C2W2</v>
          </cell>
          <cell r="C113" t="str">
            <v>2-32 GAL CANS 2X WEEKLY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</row>
        <row r="114">
          <cell r="B114" t="str">
            <v>32CE1</v>
          </cell>
          <cell r="C114" t="str">
            <v>32 GAL CAN COMM EOW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</row>
        <row r="115">
          <cell r="B115" t="str">
            <v>32CW1</v>
          </cell>
          <cell r="C115" t="str">
            <v>1-32 GAL CAN WEEKLY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</row>
        <row r="116">
          <cell r="B116" t="str">
            <v>32CW2</v>
          </cell>
          <cell r="C116" t="str">
            <v>2-32 GAL CANS WKLY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</row>
        <row r="117">
          <cell r="B117" t="str">
            <v>32CW3</v>
          </cell>
          <cell r="C117" t="str">
            <v>3-32 GAL CANS WKLY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</row>
        <row r="118">
          <cell r="B118" t="str">
            <v>32CW4</v>
          </cell>
          <cell r="C118" t="str">
            <v>4-32 GAL CANS WKLY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</row>
        <row r="119">
          <cell r="B119" t="str">
            <v>35CW1</v>
          </cell>
          <cell r="C119" t="str">
            <v>1-35 GAL CART WKLY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</row>
        <row r="120">
          <cell r="B120" t="str">
            <v>65CW1</v>
          </cell>
          <cell r="C120" t="str">
            <v>1-65 GAL CART WKLY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</row>
        <row r="121">
          <cell r="B121" t="str">
            <v>95CW1</v>
          </cell>
          <cell r="C121" t="str">
            <v>1-95 GAL CART WKLY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</row>
        <row r="122">
          <cell r="B122" t="str">
            <v>F1.5YD1W</v>
          </cell>
          <cell r="C122" t="str">
            <v>1.5YD CONT 1X WEEKLY</v>
          </cell>
          <cell r="D122">
            <v>0</v>
          </cell>
          <cell r="E122">
            <v>166.66</v>
          </cell>
          <cell r="F122">
            <v>166.66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</row>
        <row r="123">
          <cell r="B123" t="str">
            <v>F1YD1W</v>
          </cell>
          <cell r="C123" t="str">
            <v>1YD CONT 1X WEEKLY</v>
          </cell>
          <cell r="D123">
            <v>0</v>
          </cell>
          <cell r="E123">
            <v>124.16</v>
          </cell>
          <cell r="F123">
            <v>123.41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</row>
        <row r="124">
          <cell r="B124" t="str">
            <v>F1YD2W</v>
          </cell>
          <cell r="C124" t="str">
            <v>1YD CONT 2X WEEKLY</v>
          </cell>
          <cell r="D124">
            <v>0</v>
          </cell>
          <cell r="E124">
            <v>242.74</v>
          </cell>
          <cell r="F124">
            <v>241.24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</row>
        <row r="125">
          <cell r="B125" t="str">
            <v>F2YD1W</v>
          </cell>
          <cell r="C125" t="str">
            <v>2YD CONT 1X WEEKLY</v>
          </cell>
          <cell r="D125">
            <v>192.28</v>
          </cell>
          <cell r="E125">
            <v>217.24</v>
          </cell>
          <cell r="F125">
            <v>215.83</v>
          </cell>
          <cell r="G125">
            <v>0</v>
          </cell>
          <cell r="H125">
            <v>288.42</v>
          </cell>
          <cell r="I125">
            <v>434.48</v>
          </cell>
          <cell r="J125">
            <v>434.48</v>
          </cell>
          <cell r="K125">
            <v>434.48</v>
          </cell>
          <cell r="L125">
            <v>434.48</v>
          </cell>
          <cell r="M125">
            <v>434.48</v>
          </cell>
          <cell r="N125">
            <v>434.48</v>
          </cell>
          <cell r="O125">
            <v>434.48</v>
          </cell>
          <cell r="P125">
            <v>431.66</v>
          </cell>
          <cell r="Q125">
            <v>431.66</v>
          </cell>
          <cell r="R125">
            <v>431.66</v>
          </cell>
          <cell r="S125">
            <v>4624.76</v>
          </cell>
          <cell r="U125">
            <v>0</v>
          </cell>
          <cell r="V125">
            <v>1.5</v>
          </cell>
          <cell r="W125">
            <v>2</v>
          </cell>
          <cell r="X125">
            <v>2</v>
          </cell>
          <cell r="Y125">
            <v>2</v>
          </cell>
          <cell r="Z125">
            <v>2</v>
          </cell>
          <cell r="AA125">
            <v>2</v>
          </cell>
          <cell r="AB125">
            <v>2</v>
          </cell>
          <cell r="AC125">
            <v>2</v>
          </cell>
          <cell r="AD125">
            <v>2</v>
          </cell>
          <cell r="AE125">
            <v>2</v>
          </cell>
          <cell r="AF125">
            <v>2</v>
          </cell>
          <cell r="AG125">
            <v>21.5</v>
          </cell>
          <cell r="AH125">
            <v>1.7916666666666667</v>
          </cell>
        </row>
        <row r="126">
          <cell r="B126" t="str">
            <v>F2YD2W</v>
          </cell>
          <cell r="C126" t="str">
            <v>2YD CONT 2X WEEKLY</v>
          </cell>
          <cell r="D126">
            <v>0</v>
          </cell>
          <cell r="E126">
            <v>439.36</v>
          </cell>
          <cell r="F126">
            <v>436.55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</row>
        <row r="127">
          <cell r="B127" t="str">
            <v>F2YD3W</v>
          </cell>
          <cell r="C127" t="str">
            <v>2YD CONT 3X WEEKLY</v>
          </cell>
          <cell r="D127">
            <v>0</v>
          </cell>
          <cell r="E127">
            <v>659.09</v>
          </cell>
          <cell r="F127">
            <v>654.87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</row>
        <row r="128">
          <cell r="B128" t="str">
            <v>F4YD1W</v>
          </cell>
          <cell r="C128" t="str">
            <v>4YD CONT 1X WEEKLY</v>
          </cell>
          <cell r="D128">
            <v>365.27</v>
          </cell>
          <cell r="E128">
            <v>422</v>
          </cell>
          <cell r="F128">
            <v>419.28</v>
          </cell>
          <cell r="G128">
            <v>4110.8100000000004</v>
          </cell>
          <cell r="H128">
            <v>4110.8100000000004</v>
          </cell>
          <cell r="I128">
            <v>4642</v>
          </cell>
          <cell r="J128">
            <v>4642</v>
          </cell>
          <cell r="K128">
            <v>4642</v>
          </cell>
          <cell r="L128">
            <v>4642</v>
          </cell>
          <cell r="M128">
            <v>4220</v>
          </cell>
          <cell r="N128">
            <v>4431</v>
          </cell>
          <cell r="O128">
            <v>4642</v>
          </cell>
          <cell r="P128">
            <v>4612.08</v>
          </cell>
          <cell r="Q128">
            <v>5031.3599999999997</v>
          </cell>
          <cell r="R128">
            <v>5031.3599999999997</v>
          </cell>
          <cell r="S128">
            <v>54757.420000000006</v>
          </cell>
          <cell r="U128">
            <v>11.254168149587978</v>
          </cell>
          <cell r="V128">
            <v>11.254168149587978</v>
          </cell>
          <cell r="W128">
            <v>11</v>
          </cell>
          <cell r="X128">
            <v>11</v>
          </cell>
          <cell r="Y128">
            <v>11</v>
          </cell>
          <cell r="Z128">
            <v>11</v>
          </cell>
          <cell r="AA128">
            <v>10</v>
          </cell>
          <cell r="AB128">
            <v>10.5</v>
          </cell>
          <cell r="AC128">
            <v>11</v>
          </cell>
          <cell r="AD128">
            <v>11</v>
          </cell>
          <cell r="AE128">
            <v>12</v>
          </cell>
          <cell r="AF128">
            <v>12</v>
          </cell>
          <cell r="AG128">
            <v>133.00833629917594</v>
          </cell>
          <cell r="AH128">
            <v>11.084028024931328</v>
          </cell>
        </row>
        <row r="129">
          <cell r="B129" t="str">
            <v>F4YD2W</v>
          </cell>
          <cell r="C129" t="str">
            <v>4YD CONT 2X WEEKLY</v>
          </cell>
          <cell r="D129">
            <v>766.29</v>
          </cell>
          <cell r="E129">
            <v>830.41</v>
          </cell>
          <cell r="F129">
            <v>824.96</v>
          </cell>
          <cell r="G129">
            <v>3919.25</v>
          </cell>
          <cell r="H129">
            <v>3919.25</v>
          </cell>
          <cell r="I129">
            <v>4152.05</v>
          </cell>
          <cell r="J129">
            <v>4152.05</v>
          </cell>
          <cell r="K129">
            <v>4152.05</v>
          </cell>
          <cell r="L129">
            <v>4152.05</v>
          </cell>
          <cell r="M129">
            <v>4152.05</v>
          </cell>
          <cell r="N129">
            <v>3321.64</v>
          </cell>
          <cell r="O129">
            <v>3321.64</v>
          </cell>
          <cell r="P129">
            <v>3299.84</v>
          </cell>
          <cell r="Q129">
            <v>3299.84</v>
          </cell>
          <cell r="R129">
            <v>3299.84</v>
          </cell>
          <cell r="S129">
            <v>45141.549999999988</v>
          </cell>
          <cell r="U129">
            <v>5.1145780318156318</v>
          </cell>
          <cell r="V129">
            <v>5.1145780318156318</v>
          </cell>
          <cell r="W129">
            <v>5</v>
          </cell>
          <cell r="X129">
            <v>5</v>
          </cell>
          <cell r="Y129">
            <v>5</v>
          </cell>
          <cell r="Z129">
            <v>5</v>
          </cell>
          <cell r="AA129">
            <v>5</v>
          </cell>
          <cell r="AB129">
            <v>4</v>
          </cell>
          <cell r="AC129">
            <v>4</v>
          </cell>
          <cell r="AD129">
            <v>4</v>
          </cell>
          <cell r="AE129">
            <v>4</v>
          </cell>
          <cell r="AF129">
            <v>4</v>
          </cell>
          <cell r="AG129">
            <v>55.229156063631265</v>
          </cell>
          <cell r="AH129">
            <v>4.6024296719692721</v>
          </cell>
        </row>
        <row r="130">
          <cell r="B130" t="str">
            <v>F4YD3W</v>
          </cell>
          <cell r="C130" t="str">
            <v>4YD CONT 3X WEEKLY</v>
          </cell>
          <cell r="D130">
            <v>1141.94</v>
          </cell>
          <cell r="E130">
            <v>1245.58</v>
          </cell>
          <cell r="F130">
            <v>1237.4100000000001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</row>
        <row r="131">
          <cell r="B131" t="str">
            <v>F4YD4W</v>
          </cell>
          <cell r="C131" t="str">
            <v>4YD CONT 4X WEEKLY SVC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</row>
        <row r="132">
          <cell r="B132" t="str">
            <v>F6YD1W</v>
          </cell>
          <cell r="C132" t="str">
            <v>6YD CONT 1X WEEKLY</v>
          </cell>
          <cell r="D132">
            <v>546.79</v>
          </cell>
          <cell r="E132">
            <v>609.9</v>
          </cell>
          <cell r="F132">
            <v>606.17999999999995</v>
          </cell>
          <cell r="G132">
            <v>6151.53</v>
          </cell>
          <cell r="H132">
            <v>6151.53</v>
          </cell>
          <cell r="I132">
            <v>6708.9</v>
          </cell>
          <cell r="J132">
            <v>6708.9</v>
          </cell>
          <cell r="K132">
            <v>7013.85</v>
          </cell>
          <cell r="L132">
            <v>7318.8</v>
          </cell>
          <cell r="M132">
            <v>7318.8</v>
          </cell>
          <cell r="N132">
            <v>7318.8</v>
          </cell>
          <cell r="O132">
            <v>7318.8</v>
          </cell>
          <cell r="P132">
            <v>6667.98</v>
          </cell>
          <cell r="Q132">
            <v>6667.98</v>
          </cell>
          <cell r="R132">
            <v>6667.98</v>
          </cell>
          <cell r="S132">
            <v>82013.850000000006</v>
          </cell>
          <cell r="U132">
            <v>11.250260611935113</v>
          </cell>
          <cell r="V132">
            <v>11.250260611935113</v>
          </cell>
          <cell r="W132">
            <v>11</v>
          </cell>
          <cell r="X132">
            <v>11</v>
          </cell>
          <cell r="Y132">
            <v>11.500000000000002</v>
          </cell>
          <cell r="Z132">
            <v>12</v>
          </cell>
          <cell r="AA132">
            <v>12</v>
          </cell>
          <cell r="AB132">
            <v>12</v>
          </cell>
          <cell r="AC132">
            <v>12</v>
          </cell>
          <cell r="AD132">
            <v>11</v>
          </cell>
          <cell r="AE132">
            <v>11</v>
          </cell>
          <cell r="AF132">
            <v>11</v>
          </cell>
          <cell r="AG132">
            <v>137.00052122387024</v>
          </cell>
          <cell r="AH132">
            <v>11.416710101989187</v>
          </cell>
        </row>
        <row r="133">
          <cell r="B133" t="str">
            <v>F6YD2W</v>
          </cell>
          <cell r="C133" t="str">
            <v>6YD CONT 2X WEEKLY</v>
          </cell>
          <cell r="D133">
            <v>1078.5899999999999</v>
          </cell>
          <cell r="E133">
            <v>1174.0899999999999</v>
          </cell>
          <cell r="F133">
            <v>1166.6500000000001</v>
          </cell>
          <cell r="G133">
            <v>2206.34</v>
          </cell>
          <cell r="H133">
            <v>1241.06</v>
          </cell>
          <cell r="I133">
            <v>1587.77</v>
          </cell>
          <cell r="J133">
            <v>2374.7800000000002</v>
          </cell>
          <cell r="K133">
            <v>2348.1799999999998</v>
          </cell>
          <cell r="L133">
            <v>2348.1799999999998</v>
          </cell>
          <cell r="M133">
            <v>2348.1799999999998</v>
          </cell>
          <cell r="N133">
            <v>3522.27</v>
          </cell>
          <cell r="O133">
            <v>3522.27</v>
          </cell>
          <cell r="P133">
            <v>3499.95</v>
          </cell>
          <cell r="Q133">
            <v>3499.95</v>
          </cell>
          <cell r="R133">
            <v>3499.95</v>
          </cell>
          <cell r="S133">
            <v>31998.880000000005</v>
          </cell>
          <cell r="U133">
            <v>2.0455780231598664</v>
          </cell>
          <cell r="V133">
            <v>1.1506318434252125</v>
          </cell>
          <cell r="W133">
            <v>1.3523409619364786</v>
          </cell>
          <cell r="X133">
            <v>2.0226558441005378</v>
          </cell>
          <cell r="Y133">
            <v>2</v>
          </cell>
          <cell r="Z133">
            <v>2</v>
          </cell>
          <cell r="AA133">
            <v>2</v>
          </cell>
          <cell r="AB133">
            <v>3</v>
          </cell>
          <cell r="AC133">
            <v>3</v>
          </cell>
          <cell r="AD133">
            <v>2.9999999999999996</v>
          </cell>
          <cell r="AE133">
            <v>2.9999999999999996</v>
          </cell>
          <cell r="AF133">
            <v>2.9999999999999996</v>
          </cell>
          <cell r="AG133">
            <v>27.571206672622097</v>
          </cell>
          <cell r="AH133">
            <v>2.2976005560518415</v>
          </cell>
        </row>
        <row r="134">
          <cell r="B134" t="str">
            <v>F6YD3W</v>
          </cell>
          <cell r="C134" t="str">
            <v>6YD CONT 3X WEEKLY</v>
          </cell>
          <cell r="D134">
            <v>1607.08</v>
          </cell>
          <cell r="E134">
            <v>1761.19</v>
          </cell>
          <cell r="F134">
            <v>1750.03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</row>
        <row r="135">
          <cell r="B135" t="str">
            <v>F6YD4W</v>
          </cell>
          <cell r="C135" t="str">
            <v>6YD CONT 4X WEEKLY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</row>
        <row r="136">
          <cell r="B136" t="str">
            <v>F6YD5W</v>
          </cell>
          <cell r="C136" t="str">
            <v>6YD CONT 5X WEEKLY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</row>
        <row r="137">
          <cell r="B137" t="str">
            <v>F8YD2W</v>
          </cell>
          <cell r="C137" t="str">
            <v>8 YD CONT 2X WKLY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</row>
        <row r="138">
          <cell r="B138" t="str">
            <v>FCP2YD1W2.25-1</v>
          </cell>
          <cell r="C138" t="str">
            <v>2 YD 2.25-1 COMP 1X WK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</row>
        <row r="139">
          <cell r="B139" t="str">
            <v>FCP2YD1W4-1</v>
          </cell>
          <cell r="C139" t="str">
            <v>2 YD 4-1 COMP 1X WK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</row>
        <row r="140">
          <cell r="B140" t="str">
            <v>FCP2YD2W</v>
          </cell>
          <cell r="C140" t="str">
            <v>2 YD COMPACTOR 2X WKLY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</row>
        <row r="141">
          <cell r="B141" t="str">
            <v>FCP4YD1W2.25-1</v>
          </cell>
          <cell r="C141" t="str">
            <v>4 YD 2.25-1 COMP 1X WK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</row>
        <row r="142">
          <cell r="B142" t="str">
            <v>FCP4YD1W4-1</v>
          </cell>
          <cell r="C142" t="str">
            <v>4YD 4-1 COMP 1X WK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</row>
        <row r="143">
          <cell r="B143" t="str">
            <v>FCP4YD1W5-1</v>
          </cell>
          <cell r="C143" t="str">
            <v>4 YD 5-1 COMP 1X WK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</row>
        <row r="144">
          <cell r="B144" t="str">
            <v>FCP4YDEOW5-1</v>
          </cell>
          <cell r="C144" t="str">
            <v>4 YD 5-1 COMP EOW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</row>
        <row r="145">
          <cell r="B145" t="str">
            <v>FCP4YDOC5-1</v>
          </cell>
          <cell r="C145" t="str">
            <v>4 YD 5-1 COMP ON CALL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</row>
        <row r="146">
          <cell r="B146" t="str">
            <v>FCP6YD2W</v>
          </cell>
          <cell r="C146" t="str">
            <v>6YD COMPACTOR 2X WKLY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</row>
        <row r="147">
          <cell r="B147" t="str">
            <v>FCP6YD2W3-1</v>
          </cell>
          <cell r="C147" t="str">
            <v>6 YD 3-1 COMP 2X WK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</row>
        <row r="148">
          <cell r="B148" t="str">
            <v>FCP6YD2W4-1</v>
          </cell>
          <cell r="C148" t="str">
            <v>6 YD 4-1 COMP 2X WK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</row>
        <row r="149">
          <cell r="B149" t="str">
            <v>R1.5YD1W</v>
          </cell>
          <cell r="C149" t="str">
            <v>1.5YD CONT 1xWEEKLY</v>
          </cell>
          <cell r="D149">
            <v>141.26</v>
          </cell>
          <cell r="E149">
            <v>166.66</v>
          </cell>
          <cell r="F149">
            <v>165.53</v>
          </cell>
          <cell r="G149">
            <v>2746.64</v>
          </cell>
          <cell r="H149">
            <v>2746.64</v>
          </cell>
          <cell r="I149">
            <v>3166.54</v>
          </cell>
          <cell r="J149">
            <v>3166.54</v>
          </cell>
          <cell r="K149">
            <v>3041.54</v>
          </cell>
          <cell r="L149">
            <v>2749.88</v>
          </cell>
          <cell r="M149">
            <v>2833.22</v>
          </cell>
          <cell r="N149">
            <v>2833.22</v>
          </cell>
          <cell r="O149">
            <v>2833.22</v>
          </cell>
          <cell r="P149">
            <v>2772.63</v>
          </cell>
          <cell r="Q149">
            <v>2855.39</v>
          </cell>
          <cell r="R149">
            <v>2979.54</v>
          </cell>
          <cell r="S149">
            <v>34725.000000000007</v>
          </cell>
          <cell r="U149">
            <v>19.443862381424324</v>
          </cell>
          <cell r="V149">
            <v>19.443862381424324</v>
          </cell>
          <cell r="W149">
            <v>19</v>
          </cell>
          <cell r="X149">
            <v>19</v>
          </cell>
          <cell r="Y149">
            <v>18.249969998799951</v>
          </cell>
          <cell r="Z149">
            <v>16.499939997599906</v>
          </cell>
          <cell r="AA149">
            <v>17</v>
          </cell>
          <cell r="AB149">
            <v>17</v>
          </cell>
          <cell r="AC149">
            <v>17</v>
          </cell>
          <cell r="AD149">
            <v>16.750015103002479</v>
          </cell>
          <cell r="AE149">
            <v>17.249984896997521</v>
          </cell>
          <cell r="AF149">
            <v>18</v>
          </cell>
          <cell r="AG149">
            <v>214.6376347592485</v>
          </cell>
          <cell r="AH149">
            <v>17.886469563270708</v>
          </cell>
        </row>
        <row r="150">
          <cell r="B150" t="str">
            <v>R1.5YD2W</v>
          </cell>
          <cell r="C150" t="str">
            <v>1.5YD CONT 2xWEEKLY</v>
          </cell>
          <cell r="D150">
            <v>280.05</v>
          </cell>
          <cell r="E150">
            <v>337.67</v>
          </cell>
          <cell r="F150">
            <v>335.42</v>
          </cell>
          <cell r="G150">
            <v>286.60000000000002</v>
          </cell>
          <cell r="H150">
            <v>286.60000000000002</v>
          </cell>
          <cell r="I150">
            <v>168.83500000000001</v>
          </cell>
          <cell r="J150">
            <v>168.83500000000001</v>
          </cell>
          <cell r="K150">
            <v>168.83500000000001</v>
          </cell>
          <cell r="L150">
            <v>506.505</v>
          </cell>
          <cell r="M150">
            <v>337.67</v>
          </cell>
          <cell r="N150">
            <v>337.67</v>
          </cell>
          <cell r="O150">
            <v>337.67</v>
          </cell>
          <cell r="P150">
            <v>335.42</v>
          </cell>
          <cell r="Q150">
            <v>335.42</v>
          </cell>
          <cell r="R150">
            <v>335.42</v>
          </cell>
          <cell r="S150">
            <v>3605.4800000000005</v>
          </cell>
          <cell r="U150">
            <v>1.0233886805927512</v>
          </cell>
          <cell r="V150">
            <v>1.0233886805927512</v>
          </cell>
          <cell r="W150">
            <v>0.5</v>
          </cell>
          <cell r="X150">
            <v>0.5</v>
          </cell>
          <cell r="Y150">
            <v>0.5</v>
          </cell>
          <cell r="Z150">
            <v>1.5</v>
          </cell>
          <cell r="AA150">
            <v>1</v>
          </cell>
          <cell r="AB150">
            <v>1</v>
          </cell>
          <cell r="AC150">
            <v>1</v>
          </cell>
          <cell r="AD150">
            <v>1</v>
          </cell>
          <cell r="AE150">
            <v>1</v>
          </cell>
          <cell r="AF150">
            <v>1</v>
          </cell>
          <cell r="AG150">
            <v>11.046777361185502</v>
          </cell>
          <cell r="AH150">
            <v>0.92056478009879183</v>
          </cell>
        </row>
        <row r="151">
          <cell r="B151" t="str">
            <v>R1.5YD3W</v>
          </cell>
          <cell r="C151" t="str">
            <v>1.5YD CONT 3xWEEKLY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</row>
        <row r="152">
          <cell r="B152" t="str">
            <v>R1.5YDEOW</v>
          </cell>
          <cell r="C152" t="str">
            <v>1.5YD CONT EOW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</row>
        <row r="153">
          <cell r="B153" t="str">
            <v>R1.5YDTPU</v>
          </cell>
          <cell r="C153" t="str">
            <v>1.5YD TEMP CONTAINER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</row>
        <row r="154">
          <cell r="B154" t="str">
            <v>R1YD1W</v>
          </cell>
          <cell r="C154" t="str">
            <v>1YD CONT 1xWEEKLY</v>
          </cell>
          <cell r="D154">
            <v>101.21</v>
          </cell>
          <cell r="E154">
            <v>124.16</v>
          </cell>
          <cell r="F154">
            <v>123.41</v>
          </cell>
          <cell r="G154">
            <v>2484.96</v>
          </cell>
          <cell r="H154">
            <v>2381.42</v>
          </cell>
          <cell r="I154">
            <v>2824.64</v>
          </cell>
          <cell r="J154">
            <v>2731.52</v>
          </cell>
          <cell r="K154">
            <v>2731.52</v>
          </cell>
          <cell r="L154">
            <v>2886.72</v>
          </cell>
          <cell r="M154">
            <v>2855.68</v>
          </cell>
          <cell r="N154">
            <v>2855.68</v>
          </cell>
          <cell r="O154">
            <v>2855.68</v>
          </cell>
          <cell r="P154">
            <v>2838.43</v>
          </cell>
          <cell r="Q154">
            <v>2838.43</v>
          </cell>
          <cell r="R154">
            <v>2838.43</v>
          </cell>
          <cell r="S154">
            <v>33123.11</v>
          </cell>
          <cell r="U154">
            <v>24.55251457365873</v>
          </cell>
          <cell r="V154">
            <v>23.529493133089616</v>
          </cell>
          <cell r="W154">
            <v>22.75</v>
          </cell>
          <cell r="X154">
            <v>22</v>
          </cell>
          <cell r="Y154">
            <v>22</v>
          </cell>
          <cell r="Z154">
            <v>23.25</v>
          </cell>
          <cell r="AA154">
            <v>23</v>
          </cell>
          <cell r="AB154">
            <v>23</v>
          </cell>
          <cell r="AC154">
            <v>23</v>
          </cell>
          <cell r="AD154">
            <v>23</v>
          </cell>
          <cell r="AE154">
            <v>23</v>
          </cell>
          <cell r="AF154">
            <v>23</v>
          </cell>
          <cell r="AG154">
            <v>276.08200770674836</v>
          </cell>
          <cell r="AH154">
            <v>23.006833975562362</v>
          </cell>
        </row>
        <row r="155">
          <cell r="B155" t="str">
            <v>R1YD2W</v>
          </cell>
          <cell r="C155" t="str">
            <v>1YD CONT 2xWEEKLY</v>
          </cell>
          <cell r="D155">
            <v>215.59</v>
          </cell>
          <cell r="E155">
            <v>242.74</v>
          </cell>
          <cell r="F155">
            <v>241.24</v>
          </cell>
          <cell r="G155">
            <v>220.51</v>
          </cell>
          <cell r="H155">
            <v>220.51</v>
          </cell>
          <cell r="I155">
            <v>121.37</v>
          </cell>
          <cell r="J155">
            <v>121.37</v>
          </cell>
          <cell r="K155">
            <v>121.37</v>
          </cell>
          <cell r="L155">
            <v>364.11</v>
          </cell>
          <cell r="M155">
            <v>242.74</v>
          </cell>
          <cell r="N155">
            <v>242.74</v>
          </cell>
          <cell r="O155">
            <v>242.74</v>
          </cell>
          <cell r="P155">
            <v>241.24</v>
          </cell>
          <cell r="Q155">
            <v>241.24</v>
          </cell>
          <cell r="R155">
            <v>241.24</v>
          </cell>
          <cell r="S155">
            <v>2621.1799999999994</v>
          </cell>
          <cell r="U155">
            <v>1.0228210955981261</v>
          </cell>
          <cell r="V155">
            <v>1.0228210955981261</v>
          </cell>
          <cell r="W155">
            <v>0.5</v>
          </cell>
          <cell r="X155">
            <v>0.5</v>
          </cell>
          <cell r="Y155">
            <v>0.5</v>
          </cell>
          <cell r="Z155">
            <v>1.5</v>
          </cell>
          <cell r="AA155">
            <v>1</v>
          </cell>
          <cell r="AB155">
            <v>1</v>
          </cell>
          <cell r="AC155">
            <v>1</v>
          </cell>
          <cell r="AD155">
            <v>1</v>
          </cell>
          <cell r="AE155">
            <v>1</v>
          </cell>
          <cell r="AF155">
            <v>1</v>
          </cell>
          <cell r="AG155">
            <v>11.045642191196253</v>
          </cell>
          <cell r="AH155">
            <v>0.92047018259968771</v>
          </cell>
        </row>
        <row r="156">
          <cell r="B156" t="str">
            <v>R1YD3W</v>
          </cell>
          <cell r="C156" t="str">
            <v>1YD CONT 3xWEEKLY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</row>
        <row r="157">
          <cell r="B157" t="str">
            <v>R1YDEOW</v>
          </cell>
          <cell r="C157" t="str">
            <v>1YD CONT EOW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</row>
        <row r="158">
          <cell r="B158" t="str">
            <v>R1YDTPU</v>
          </cell>
          <cell r="C158" t="str">
            <v>1YD TEMP CONT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</row>
        <row r="159">
          <cell r="B159" t="str">
            <v>R2YD1W</v>
          </cell>
          <cell r="C159" t="str">
            <v>2YD CONT 1xWEEKLY</v>
          </cell>
          <cell r="D159">
            <v>187.94</v>
          </cell>
          <cell r="E159">
            <v>217.24</v>
          </cell>
          <cell r="F159">
            <v>215.83</v>
          </cell>
          <cell r="G159">
            <v>3461.04</v>
          </cell>
          <cell r="H159">
            <v>3461.04</v>
          </cell>
          <cell r="I159">
            <v>4127.5600000000004</v>
          </cell>
          <cell r="J159">
            <v>3801.7</v>
          </cell>
          <cell r="K159">
            <v>4073.25</v>
          </cell>
          <cell r="L159">
            <v>3964.63</v>
          </cell>
          <cell r="M159">
            <v>3910.32</v>
          </cell>
          <cell r="N159">
            <v>4181.87</v>
          </cell>
          <cell r="O159">
            <v>4344.8</v>
          </cell>
          <cell r="P159">
            <v>4748.26</v>
          </cell>
          <cell r="Q159">
            <v>4802.21</v>
          </cell>
          <cell r="R159">
            <v>5287.83</v>
          </cell>
          <cell r="S159">
            <v>50164.51</v>
          </cell>
          <cell r="U159">
            <v>18.41566457380015</v>
          </cell>
          <cell r="V159">
            <v>18.41566457380015</v>
          </cell>
          <cell r="W159">
            <v>19</v>
          </cell>
          <cell r="X159">
            <v>17.5</v>
          </cell>
          <cell r="Y159">
            <v>18.75</v>
          </cell>
          <cell r="Z159">
            <v>18.25</v>
          </cell>
          <cell r="AA159">
            <v>18</v>
          </cell>
          <cell r="AB159">
            <v>19.25</v>
          </cell>
          <cell r="AC159">
            <v>20</v>
          </cell>
          <cell r="AD159">
            <v>22</v>
          </cell>
          <cell r="AE159">
            <v>22.249965250428577</v>
          </cell>
          <cell r="AF159">
            <v>24.499976833619051</v>
          </cell>
          <cell r="AG159">
            <v>236.33127123164792</v>
          </cell>
          <cell r="AH159">
            <v>19.694272602637326</v>
          </cell>
        </row>
        <row r="160">
          <cell r="B160" t="str">
            <v>R2YD2W</v>
          </cell>
          <cell r="C160" t="str">
            <v>2YD CONT 2xWEEKLY</v>
          </cell>
          <cell r="D160">
            <v>358.12</v>
          </cell>
          <cell r="E160">
            <v>439.36</v>
          </cell>
          <cell r="F160">
            <v>436.55</v>
          </cell>
          <cell r="G160">
            <v>2931.76</v>
          </cell>
          <cell r="H160">
            <v>2931.76</v>
          </cell>
          <cell r="I160">
            <v>3743.91</v>
          </cell>
          <cell r="J160">
            <v>3514.88</v>
          </cell>
          <cell r="K160">
            <v>3075.52</v>
          </cell>
          <cell r="L160">
            <v>3075.52</v>
          </cell>
          <cell r="M160">
            <v>3075.52</v>
          </cell>
          <cell r="N160">
            <v>3075.52</v>
          </cell>
          <cell r="O160">
            <v>3075.52</v>
          </cell>
          <cell r="P160">
            <v>3055.85</v>
          </cell>
          <cell r="Q160">
            <v>3055.85</v>
          </cell>
          <cell r="R160">
            <v>3055.85</v>
          </cell>
          <cell r="S160">
            <v>37667.46</v>
          </cell>
          <cell r="U160">
            <v>8.186529654864291</v>
          </cell>
          <cell r="V160">
            <v>8.186529654864291</v>
          </cell>
          <cell r="W160">
            <v>8.5212809541150758</v>
          </cell>
          <cell r="X160">
            <v>8</v>
          </cell>
          <cell r="Y160">
            <v>7</v>
          </cell>
          <cell r="Z160">
            <v>7</v>
          </cell>
          <cell r="AA160">
            <v>7</v>
          </cell>
          <cell r="AB160">
            <v>7</v>
          </cell>
          <cell r="AC160">
            <v>7</v>
          </cell>
          <cell r="AD160">
            <v>7</v>
          </cell>
          <cell r="AE160">
            <v>7</v>
          </cell>
          <cell r="AF160">
            <v>7</v>
          </cell>
          <cell r="AG160">
            <v>88.894340263843659</v>
          </cell>
          <cell r="AH160">
            <v>7.4078616886536386</v>
          </cell>
        </row>
        <row r="161">
          <cell r="B161" t="str">
            <v>R2YD3W</v>
          </cell>
          <cell r="C161" t="str">
            <v>2YD CONT 3xWEEKLY</v>
          </cell>
          <cell r="D161">
            <v>524.74</v>
          </cell>
          <cell r="E161">
            <v>659.09</v>
          </cell>
          <cell r="F161">
            <v>654.87</v>
          </cell>
          <cell r="G161">
            <v>0</v>
          </cell>
          <cell r="H161">
            <v>0</v>
          </cell>
          <cell r="I161">
            <v>604.17000000000007</v>
          </cell>
          <cell r="J161">
            <v>659.09</v>
          </cell>
          <cell r="K161">
            <v>659.09</v>
          </cell>
          <cell r="L161">
            <v>659.09</v>
          </cell>
          <cell r="M161">
            <v>563.16000000000008</v>
          </cell>
          <cell r="N161">
            <v>659.09</v>
          </cell>
          <cell r="O161">
            <v>659.09</v>
          </cell>
          <cell r="P161">
            <v>654.87</v>
          </cell>
          <cell r="Q161">
            <v>654.87</v>
          </cell>
          <cell r="R161">
            <v>654.87</v>
          </cell>
          <cell r="S161">
            <v>6427.39</v>
          </cell>
          <cell r="U161">
            <v>0</v>
          </cell>
          <cell r="V161">
            <v>0</v>
          </cell>
          <cell r="W161">
            <v>0.91667298851446699</v>
          </cell>
          <cell r="X161">
            <v>1</v>
          </cell>
          <cell r="Y161">
            <v>1</v>
          </cell>
          <cell r="Z161">
            <v>1</v>
          </cell>
          <cell r="AA161">
            <v>0.85445083372528796</v>
          </cell>
          <cell r="AB161">
            <v>1</v>
          </cell>
          <cell r="AC161">
            <v>1</v>
          </cell>
          <cell r="AD161">
            <v>1</v>
          </cell>
          <cell r="AE161">
            <v>1</v>
          </cell>
          <cell r="AF161">
            <v>1</v>
          </cell>
          <cell r="AG161">
            <v>9.7711238222397547</v>
          </cell>
          <cell r="AH161">
            <v>0.8142603185199796</v>
          </cell>
        </row>
        <row r="162">
          <cell r="B162" t="str">
            <v>R2YD4W</v>
          </cell>
          <cell r="C162" t="str">
            <v>2YD CONT 4xWEEKLY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</row>
        <row r="163">
          <cell r="B163" t="str">
            <v>R2YD5W</v>
          </cell>
          <cell r="C163" t="str">
            <v>2YD CONT 5xWEEKLY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</row>
        <row r="164">
          <cell r="B164" t="str">
            <v>R2YDEOW</v>
          </cell>
          <cell r="C164" t="str">
            <v>2YD CONT EOW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</row>
        <row r="165">
          <cell r="B165" t="str">
            <v>R2YDTPU</v>
          </cell>
          <cell r="C165" t="str">
            <v>2YD TEMP CONTAINER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</row>
        <row r="166">
          <cell r="B166" t="str">
            <v>F1YDEX</v>
          </cell>
          <cell r="C166" t="str">
            <v>1YD CONT EXTRA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</row>
        <row r="167">
          <cell r="B167" t="str">
            <v>R2YDEX</v>
          </cell>
          <cell r="C167" t="str">
            <v>2YD CONTAINER EXTRA</v>
          </cell>
          <cell r="D167">
            <v>45.13</v>
          </cell>
          <cell r="E167">
            <v>56.14</v>
          </cell>
          <cell r="F167">
            <v>55.82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112.28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112.28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2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2</v>
          </cell>
          <cell r="AH167">
            <v>0.16666666666666666</v>
          </cell>
        </row>
        <row r="168">
          <cell r="B168" t="str">
            <v>R1YDEX</v>
          </cell>
          <cell r="C168" t="str">
            <v>1YD CONTAINER EXTRA</v>
          </cell>
          <cell r="D168">
            <v>28.19</v>
          </cell>
          <cell r="E168">
            <v>32.409999999999997</v>
          </cell>
          <cell r="F168">
            <v>32.24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</row>
        <row r="169">
          <cell r="B169" t="str">
            <v>R1.5YDEX</v>
          </cell>
          <cell r="C169" t="str">
            <v>1.5YD CONTAINER EXTRA</v>
          </cell>
          <cell r="D169">
            <v>37.04</v>
          </cell>
          <cell r="E169">
            <v>43.66</v>
          </cell>
          <cell r="F169">
            <v>43.4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</row>
        <row r="170">
          <cell r="B170" t="str">
            <v>F2YDEX</v>
          </cell>
          <cell r="C170" t="str">
            <v>2YD CONT EXTRA</v>
          </cell>
          <cell r="D170">
            <v>45.13</v>
          </cell>
          <cell r="E170">
            <v>56.14</v>
          </cell>
          <cell r="F170">
            <v>55.82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</row>
        <row r="171">
          <cell r="B171" t="str">
            <v>F6YDEX</v>
          </cell>
          <cell r="C171" t="str">
            <v>6YD CONT EXTRA PICKUP</v>
          </cell>
          <cell r="D171">
            <v>127.42</v>
          </cell>
          <cell r="E171">
            <v>144.66999999999999</v>
          </cell>
          <cell r="F171">
            <v>143.81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</row>
        <row r="172">
          <cell r="B172" t="str">
            <v>F4YDEX</v>
          </cell>
          <cell r="C172" t="str">
            <v>4YD CONT EXTRA PICKUP</v>
          </cell>
          <cell r="D172">
            <v>88.94</v>
          </cell>
          <cell r="E172">
            <v>101.86</v>
          </cell>
          <cell r="F172">
            <v>101.23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101.86</v>
          </cell>
          <cell r="N172">
            <v>0</v>
          </cell>
          <cell r="O172">
            <v>0</v>
          </cell>
          <cell r="P172">
            <v>202.46</v>
          </cell>
          <cell r="Q172">
            <v>-101.23</v>
          </cell>
          <cell r="R172">
            <v>0</v>
          </cell>
          <cell r="S172">
            <v>203.08999999999997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1</v>
          </cell>
          <cell r="AB172">
            <v>0</v>
          </cell>
          <cell r="AC172">
            <v>0</v>
          </cell>
          <cell r="AD172">
            <v>2</v>
          </cell>
          <cell r="AE172">
            <v>-1</v>
          </cell>
          <cell r="AF172">
            <v>0</v>
          </cell>
          <cell r="AG172">
            <v>2</v>
          </cell>
          <cell r="AH172">
            <v>0.16666666666666666</v>
          </cell>
        </row>
        <row r="173">
          <cell r="B173" t="str">
            <v>ADJCOM</v>
          </cell>
          <cell r="C173" t="str">
            <v>SERVICE ADJ-COMMERCIAL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</row>
        <row r="174">
          <cell r="B174" t="str">
            <v>CCONNECT</v>
          </cell>
          <cell r="C174" t="str">
            <v>CMML CONNECT/RECONNECT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</row>
        <row r="175">
          <cell r="B175" t="str">
            <v>CDEL</v>
          </cell>
          <cell r="C175" t="str">
            <v>CONTAINER DELIVERY CHARGE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</row>
        <row r="176">
          <cell r="B176" t="str">
            <v>CEX</v>
          </cell>
          <cell r="C176" t="str">
            <v>EXTRA CANS</v>
          </cell>
          <cell r="D176">
            <v>4.3099999999999996</v>
          </cell>
          <cell r="E176">
            <v>5.86</v>
          </cell>
          <cell r="F176">
            <v>5.83</v>
          </cell>
          <cell r="G176">
            <v>17.64</v>
          </cell>
          <cell r="H176">
            <v>22.05</v>
          </cell>
          <cell r="I176">
            <v>0</v>
          </cell>
          <cell r="J176">
            <v>11.72</v>
          </cell>
          <cell r="K176">
            <v>29.3</v>
          </cell>
          <cell r="L176">
            <v>35.159999999999997</v>
          </cell>
          <cell r="M176">
            <v>17.579999999999998</v>
          </cell>
          <cell r="N176">
            <v>111.34</v>
          </cell>
          <cell r="O176">
            <v>35.159999999999997</v>
          </cell>
          <cell r="P176">
            <v>23.32</v>
          </cell>
          <cell r="Q176">
            <v>29.15</v>
          </cell>
          <cell r="R176">
            <v>75.789999999999992</v>
          </cell>
          <cell r="S176">
            <v>408.20999999999992</v>
          </cell>
          <cell r="U176">
            <v>4.0928074245939676</v>
          </cell>
          <cell r="V176">
            <v>5.1160092807424604</v>
          </cell>
          <cell r="W176">
            <v>0</v>
          </cell>
          <cell r="X176">
            <v>2</v>
          </cell>
          <cell r="Y176">
            <v>5</v>
          </cell>
          <cell r="Z176">
            <v>5.9999999999999991</v>
          </cell>
          <cell r="AA176">
            <v>2.9999999999999996</v>
          </cell>
          <cell r="AB176">
            <v>19</v>
          </cell>
          <cell r="AC176">
            <v>5.9999999999999991</v>
          </cell>
          <cell r="AD176">
            <v>4</v>
          </cell>
          <cell r="AE176">
            <v>5</v>
          </cell>
          <cell r="AF176">
            <v>12.999999999999998</v>
          </cell>
          <cell r="AG176">
            <v>72.208816705336432</v>
          </cell>
          <cell r="AH176">
            <v>6.0174013921113696</v>
          </cell>
        </row>
        <row r="177">
          <cell r="B177" t="str">
            <v>CEXYD</v>
          </cell>
          <cell r="C177" t="str">
            <v>CMML EXTRA YARDAGE</v>
          </cell>
          <cell r="D177">
            <v>27.72</v>
          </cell>
          <cell r="E177">
            <v>28.33</v>
          </cell>
          <cell r="F177">
            <v>28.16</v>
          </cell>
          <cell r="G177">
            <v>169.98</v>
          </cell>
          <cell r="H177">
            <v>169.98</v>
          </cell>
          <cell r="I177">
            <v>254.97</v>
          </cell>
          <cell r="J177">
            <v>141.65</v>
          </cell>
          <cell r="K177">
            <v>113.32</v>
          </cell>
          <cell r="L177">
            <v>141.65</v>
          </cell>
          <cell r="M177">
            <v>113.32</v>
          </cell>
          <cell r="N177">
            <v>113.32</v>
          </cell>
          <cell r="O177">
            <v>56.66</v>
          </cell>
          <cell r="P177">
            <v>140.80000000000001</v>
          </cell>
          <cell r="Q177">
            <v>1408</v>
          </cell>
          <cell r="R177">
            <v>2618.88</v>
          </cell>
          <cell r="S177">
            <v>5442.53</v>
          </cell>
          <cell r="U177">
            <v>6.1320346320346317</v>
          </cell>
          <cell r="V177">
            <v>6.1320346320346317</v>
          </cell>
          <cell r="W177">
            <v>9</v>
          </cell>
          <cell r="X177">
            <v>5.0000000000000009</v>
          </cell>
          <cell r="Y177">
            <v>4</v>
          </cell>
          <cell r="Z177">
            <v>5.0000000000000009</v>
          </cell>
          <cell r="AA177">
            <v>4</v>
          </cell>
          <cell r="AB177">
            <v>4</v>
          </cell>
          <cell r="AC177">
            <v>2</v>
          </cell>
          <cell r="AD177">
            <v>5</v>
          </cell>
          <cell r="AE177">
            <v>50</v>
          </cell>
          <cell r="AF177">
            <v>93</v>
          </cell>
          <cell r="AG177">
            <v>193.26406926406926</v>
          </cell>
          <cell r="AH177">
            <v>16.105339105339105</v>
          </cell>
        </row>
        <row r="178">
          <cell r="B178" t="str">
            <v>CLOCK</v>
          </cell>
          <cell r="C178" t="str">
            <v>LOCK CHARGE-CONTAINER</v>
          </cell>
          <cell r="D178">
            <v>0</v>
          </cell>
          <cell r="E178">
            <v>7.5</v>
          </cell>
          <cell r="F178">
            <v>7.5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52.5</v>
          </cell>
          <cell r="L178">
            <v>46.87</v>
          </cell>
          <cell r="M178">
            <v>52.5</v>
          </cell>
          <cell r="N178">
            <v>52.5</v>
          </cell>
          <cell r="O178">
            <v>52.5</v>
          </cell>
          <cell r="P178">
            <v>52.5</v>
          </cell>
          <cell r="Q178">
            <v>60</v>
          </cell>
          <cell r="R178">
            <v>60</v>
          </cell>
          <cell r="S178">
            <v>429.37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7</v>
          </cell>
          <cell r="Z178">
            <v>6.2493333333333334</v>
          </cell>
          <cell r="AA178">
            <v>7</v>
          </cell>
          <cell r="AB178">
            <v>7</v>
          </cell>
          <cell r="AC178">
            <v>7</v>
          </cell>
          <cell r="AD178">
            <v>7</v>
          </cell>
          <cell r="AE178">
            <v>8</v>
          </cell>
          <cell r="AF178">
            <v>8</v>
          </cell>
          <cell r="AG178">
            <v>57.249333333333333</v>
          </cell>
          <cell r="AH178">
            <v>4.770777777777778</v>
          </cell>
        </row>
        <row r="179">
          <cell r="B179" t="str">
            <v>CROLL</v>
          </cell>
          <cell r="C179" t="str">
            <v>ROLLOUT CHARGE - CMML</v>
          </cell>
          <cell r="D179">
            <v>0</v>
          </cell>
          <cell r="E179">
            <v>25</v>
          </cell>
          <cell r="F179">
            <v>25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</row>
        <row r="180">
          <cell r="B180" t="str">
            <v>CTDEL</v>
          </cell>
          <cell r="C180" t="str">
            <v>TEMP CONTAINER DELIVERY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</row>
        <row r="181">
          <cell r="B181" t="str">
            <v>CTRIP</v>
          </cell>
          <cell r="C181" t="str">
            <v>RETURN TRIP CHARGE - CONT</v>
          </cell>
          <cell r="D181">
            <v>17.72</v>
          </cell>
          <cell r="E181">
            <v>25</v>
          </cell>
          <cell r="F181">
            <v>25</v>
          </cell>
          <cell r="G181">
            <v>0</v>
          </cell>
          <cell r="H181">
            <v>0</v>
          </cell>
          <cell r="I181">
            <v>0</v>
          </cell>
          <cell r="J181">
            <v>25</v>
          </cell>
          <cell r="K181">
            <v>0</v>
          </cell>
          <cell r="L181">
            <v>0</v>
          </cell>
          <cell r="M181">
            <v>25</v>
          </cell>
          <cell r="N181">
            <v>0</v>
          </cell>
          <cell r="O181">
            <v>0</v>
          </cell>
          <cell r="P181">
            <v>25</v>
          </cell>
          <cell r="Q181">
            <v>75</v>
          </cell>
          <cell r="R181">
            <v>0</v>
          </cell>
          <cell r="S181">
            <v>150</v>
          </cell>
          <cell r="U181">
            <v>0</v>
          </cell>
          <cell r="V181">
            <v>0</v>
          </cell>
          <cell r="W181">
            <v>0</v>
          </cell>
          <cell r="X181">
            <v>1</v>
          </cell>
          <cell r="Y181">
            <v>0</v>
          </cell>
          <cell r="Z181">
            <v>0</v>
          </cell>
          <cell r="AA181">
            <v>1</v>
          </cell>
          <cell r="AB181">
            <v>0</v>
          </cell>
          <cell r="AC181">
            <v>0</v>
          </cell>
          <cell r="AD181">
            <v>1</v>
          </cell>
          <cell r="AE181">
            <v>3</v>
          </cell>
          <cell r="AF181">
            <v>0</v>
          </cell>
          <cell r="AG181">
            <v>6</v>
          </cell>
          <cell r="AH181">
            <v>0.5</v>
          </cell>
        </row>
        <row r="182">
          <cell r="B182" t="str">
            <v>IMPCNC</v>
          </cell>
          <cell r="C182" t="str">
            <v>1 IMPROPER CAN - CMML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</row>
        <row r="183">
          <cell r="B183" t="str">
            <v>PACKC</v>
          </cell>
          <cell r="C183" t="str">
            <v>CARRY-OUT COMMERCIAL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</row>
        <row r="184">
          <cell r="B184" t="str">
            <v>CUNLOCK</v>
          </cell>
          <cell r="C184" t="str">
            <v>COMM UNLOCK GATE OR CONT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</row>
        <row r="185">
          <cell r="B185" t="str">
            <v>DRIVEDWAY-COMM</v>
          </cell>
          <cell r="C185" t="str">
            <v>DRIVE IN DRIVEWAY - COMM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</row>
        <row r="186">
          <cell r="B186" t="str">
            <v>DRIVEPVT-COMM</v>
          </cell>
          <cell r="C186" t="str">
            <v>DRIVE IN PRIVATE RD - COMM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</row>
        <row r="187">
          <cell r="B187" t="str">
            <v>DRVNC</v>
          </cell>
          <cell r="C187" t="str">
            <v>DRIVE IN - CMML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</row>
        <row r="188">
          <cell r="B188" t="str">
            <v>TIMEC</v>
          </cell>
          <cell r="C188" t="str">
            <v>CMML TIME CHARGE</v>
          </cell>
          <cell r="D188">
            <v>0</v>
          </cell>
          <cell r="E188">
            <v>103.58</v>
          </cell>
          <cell r="F188">
            <v>103.58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25.9</v>
          </cell>
          <cell r="R188">
            <v>0</v>
          </cell>
          <cell r="S188">
            <v>25.9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0.25004827186715584</v>
          </cell>
          <cell r="AF188">
            <v>0</v>
          </cell>
          <cell r="AG188">
            <v>0.25004827186715584</v>
          </cell>
          <cell r="AH188">
            <v>2.0837355988929652E-2</v>
          </cell>
        </row>
        <row r="189">
          <cell r="B189" t="str">
            <v>RESTART FEE-COM</v>
          </cell>
          <cell r="C189" t="str">
            <v>RESTART FEE</v>
          </cell>
          <cell r="D189">
            <v>0</v>
          </cell>
          <cell r="E189">
            <v>25</v>
          </cell>
          <cell r="F189">
            <v>25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25</v>
          </cell>
          <cell r="O189">
            <v>25</v>
          </cell>
          <cell r="P189">
            <v>25</v>
          </cell>
          <cell r="Q189">
            <v>0</v>
          </cell>
          <cell r="R189">
            <v>0</v>
          </cell>
          <cell r="S189">
            <v>75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1</v>
          </cell>
          <cell r="AC189">
            <v>1</v>
          </cell>
          <cell r="AD189">
            <v>1</v>
          </cell>
          <cell r="AE189">
            <v>0</v>
          </cell>
          <cell r="AF189">
            <v>0</v>
          </cell>
          <cell r="AG189">
            <v>3</v>
          </cell>
          <cell r="AH189">
            <v>0.25</v>
          </cell>
        </row>
      </sheetData>
      <sheetData sheetId="7">
        <row r="10">
          <cell r="B10" t="str">
            <v>10RW1N</v>
          </cell>
          <cell r="C10" t="str">
            <v>1-10 GAL CART WKLY NON REC</v>
          </cell>
          <cell r="D10">
            <v>7.19</v>
          </cell>
          <cell r="E10">
            <v>7.54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</row>
        <row r="11">
          <cell r="B11" t="str">
            <v>10RW1R</v>
          </cell>
          <cell r="C11" t="str">
            <v>1-10 GAL CART WKLY W/ REC</v>
          </cell>
          <cell r="D11">
            <v>7.19</v>
          </cell>
          <cell r="E11">
            <v>7.54</v>
          </cell>
          <cell r="F11">
            <v>172.56</v>
          </cell>
          <cell r="G11">
            <v>179.75</v>
          </cell>
          <cell r="H11">
            <v>186.94</v>
          </cell>
          <cell r="I11">
            <v>186.94</v>
          </cell>
          <cell r="J11">
            <v>186.94</v>
          </cell>
          <cell r="K11">
            <v>186.94</v>
          </cell>
          <cell r="L11">
            <v>186.94</v>
          </cell>
          <cell r="M11">
            <v>186.94</v>
          </cell>
          <cell r="N11">
            <v>186.94</v>
          </cell>
          <cell r="O11">
            <v>196.04</v>
          </cell>
          <cell r="P11">
            <v>196.04</v>
          </cell>
          <cell r="Q11">
            <v>211.12</v>
          </cell>
          <cell r="R11">
            <v>2264.09</v>
          </cell>
          <cell r="T11">
            <v>24</v>
          </cell>
          <cell r="U11">
            <v>25</v>
          </cell>
          <cell r="V11">
            <v>26</v>
          </cell>
          <cell r="W11">
            <v>26</v>
          </cell>
          <cell r="X11">
            <v>26</v>
          </cell>
          <cell r="Y11">
            <v>26</v>
          </cell>
          <cell r="Z11">
            <v>26</v>
          </cell>
          <cell r="AA11">
            <v>26</v>
          </cell>
          <cell r="AB11">
            <v>26</v>
          </cell>
          <cell r="AC11">
            <v>26</v>
          </cell>
          <cell r="AD11">
            <v>26</v>
          </cell>
          <cell r="AE11">
            <v>28</v>
          </cell>
          <cell r="AF11">
            <v>311</v>
          </cell>
          <cell r="AG11">
            <v>25.916666666666668</v>
          </cell>
        </row>
        <row r="12">
          <cell r="B12" t="str">
            <v>20RM1</v>
          </cell>
          <cell r="C12" t="str">
            <v>1-20 GAL CART MONTHLY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</row>
        <row r="13">
          <cell r="B13" t="str">
            <v>20RW1</v>
          </cell>
          <cell r="C13" t="str">
            <v>1-20 GAL CAN WEEKLY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</row>
        <row r="14">
          <cell r="B14" t="str">
            <v>20RW1N</v>
          </cell>
          <cell r="C14" t="str">
            <v>1-20 GL CART WKLY NON REC</v>
          </cell>
          <cell r="D14">
            <v>9.94</v>
          </cell>
          <cell r="E14">
            <v>10.41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</row>
        <row r="15">
          <cell r="B15" t="str">
            <v>20RW1NR</v>
          </cell>
          <cell r="C15" t="str">
            <v>1-20 GAL WKLY NON REC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</row>
        <row r="16">
          <cell r="B16" t="str">
            <v>20RW1R</v>
          </cell>
          <cell r="C16" t="str">
            <v>1-20 GL CART WKLY W/ RECY</v>
          </cell>
          <cell r="D16">
            <v>9.94</v>
          </cell>
          <cell r="E16">
            <v>10.41</v>
          </cell>
          <cell r="F16">
            <v>477.12</v>
          </cell>
          <cell r="G16">
            <v>477.12</v>
          </cell>
          <cell r="H16">
            <v>477.12</v>
          </cell>
          <cell r="I16">
            <v>477.12</v>
          </cell>
          <cell r="J16">
            <v>477.12</v>
          </cell>
          <cell r="K16">
            <v>457.24</v>
          </cell>
          <cell r="L16">
            <v>457.24</v>
          </cell>
          <cell r="M16">
            <v>457.24</v>
          </cell>
          <cell r="N16">
            <v>457.24</v>
          </cell>
          <cell r="O16">
            <v>478.86</v>
          </cell>
          <cell r="P16">
            <v>478.86</v>
          </cell>
          <cell r="Q16">
            <v>478.86</v>
          </cell>
          <cell r="R16">
            <v>5651.1399999999985</v>
          </cell>
          <cell r="T16">
            <v>48</v>
          </cell>
          <cell r="U16">
            <v>48</v>
          </cell>
          <cell r="V16">
            <v>48</v>
          </cell>
          <cell r="W16">
            <v>48</v>
          </cell>
          <cell r="X16">
            <v>48</v>
          </cell>
          <cell r="Y16">
            <v>46</v>
          </cell>
          <cell r="Z16">
            <v>46</v>
          </cell>
          <cell r="AA16">
            <v>46</v>
          </cell>
          <cell r="AB16">
            <v>46</v>
          </cell>
          <cell r="AC16">
            <v>46</v>
          </cell>
          <cell r="AD16">
            <v>46</v>
          </cell>
          <cell r="AE16">
            <v>46</v>
          </cell>
          <cell r="AF16">
            <v>562</v>
          </cell>
          <cell r="AG16">
            <v>46.833333333333336</v>
          </cell>
        </row>
        <row r="17">
          <cell r="B17" t="str">
            <v>24RW1N</v>
          </cell>
          <cell r="C17" t="str">
            <v>1-24 GL CART WKLY NON REC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</row>
        <row r="18">
          <cell r="B18" t="str">
            <v>24RW1R</v>
          </cell>
          <cell r="C18" t="str">
            <v>1-24 GL CART WKLY W/ RECY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</row>
        <row r="19">
          <cell r="B19" t="str">
            <v>32RE1</v>
          </cell>
          <cell r="C19" t="str">
            <v>1-32 GAL CAN EOW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</row>
        <row r="20">
          <cell r="B20" t="str">
            <v>32RM1</v>
          </cell>
          <cell r="C20" t="str">
            <v>1-32 GAL CAN MONTHLY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</row>
        <row r="21">
          <cell r="B21" t="str">
            <v>32ROCPU</v>
          </cell>
          <cell r="C21" t="str">
            <v>1-32 GAL CAN-ON CALL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</row>
        <row r="22">
          <cell r="B22" t="str">
            <v>32RW1</v>
          </cell>
          <cell r="C22" t="str">
            <v>1-32 GAL CAN WEEKLY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</row>
        <row r="23">
          <cell r="B23" t="str">
            <v>32RW1N</v>
          </cell>
          <cell r="C23" t="str">
            <v>1-32 GL CART WKLY NON REC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</row>
        <row r="24">
          <cell r="B24" t="str">
            <v>32RW1NR</v>
          </cell>
          <cell r="C24" t="str">
            <v>1-32 GAL WKLY NON REC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</row>
        <row r="25">
          <cell r="B25" t="str">
            <v>32RW1R</v>
          </cell>
          <cell r="C25" t="str">
            <v>1-32 GL CART WKLY W/ RECY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</row>
        <row r="26">
          <cell r="B26" t="str">
            <v>32RW2</v>
          </cell>
          <cell r="C26" t="str">
            <v>2-32 GAL CANS WEEKLY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</row>
        <row r="27">
          <cell r="B27" t="str">
            <v>32RW2R</v>
          </cell>
          <cell r="C27" t="str">
            <v>2-32 GL CART WKLY W/ RECY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</row>
        <row r="28">
          <cell r="B28" t="str">
            <v>32RW2NR</v>
          </cell>
          <cell r="C28" t="str">
            <v>2-32 GAL WKLY NON REC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</row>
        <row r="29">
          <cell r="B29" t="str">
            <v>32RW3</v>
          </cell>
          <cell r="C29" t="str">
            <v>3-32 GAL CANS WEEKLY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</row>
        <row r="30">
          <cell r="B30" t="str">
            <v>32RW3NR</v>
          </cell>
          <cell r="C30" t="str">
            <v>3-32 GAL WKLY NON REC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</row>
        <row r="31">
          <cell r="B31" t="str">
            <v>32RW4</v>
          </cell>
          <cell r="C31" t="str">
            <v>4-32 GAL CANS WEEKLY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</row>
        <row r="32">
          <cell r="B32" t="str">
            <v>32RW4NR</v>
          </cell>
          <cell r="C32" t="str">
            <v>4-32 GAL WKLY NON REC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</row>
        <row r="33">
          <cell r="B33" t="str">
            <v>32RW5</v>
          </cell>
          <cell r="C33" t="str">
            <v>5-32 GAL CANS WEEKLY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</row>
        <row r="34">
          <cell r="B34" t="str">
            <v>32RW5NR</v>
          </cell>
          <cell r="C34" t="str">
            <v>5-32 GAL WKLY NON REC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</row>
        <row r="35">
          <cell r="B35" t="str">
            <v>32RW6</v>
          </cell>
          <cell r="C35" t="str">
            <v>6-32 GAL CANS WEEKLY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</row>
        <row r="36">
          <cell r="B36" t="str">
            <v>35RM1</v>
          </cell>
          <cell r="C36" t="str">
            <v>1-35 GAL CART MONTHLY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</row>
        <row r="37">
          <cell r="B37" t="str">
            <v>35RW1N</v>
          </cell>
          <cell r="C37" t="str">
            <v>1-35 GAL CART WKLY NONREC</v>
          </cell>
          <cell r="D37">
            <v>13.175000000000001</v>
          </cell>
          <cell r="E37">
            <v>13.795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</row>
        <row r="38">
          <cell r="B38" t="str">
            <v>35RW1R</v>
          </cell>
          <cell r="C38" t="str">
            <v>1-35 GAL CART WKLY W/REC</v>
          </cell>
          <cell r="D38">
            <v>13.175000000000001</v>
          </cell>
          <cell r="E38">
            <v>13.795</v>
          </cell>
          <cell r="F38">
            <v>3451.85</v>
          </cell>
          <cell r="G38">
            <v>3504.55</v>
          </cell>
          <cell r="H38">
            <v>3504.55</v>
          </cell>
          <cell r="I38">
            <v>3451.85</v>
          </cell>
          <cell r="J38">
            <v>3451.85</v>
          </cell>
          <cell r="K38">
            <v>3451.85</v>
          </cell>
          <cell r="L38">
            <v>3425.5</v>
          </cell>
          <cell r="M38">
            <v>3399.15</v>
          </cell>
          <cell r="N38">
            <v>3372.8</v>
          </cell>
          <cell r="O38">
            <v>3531.52</v>
          </cell>
          <cell r="P38">
            <v>3559.11</v>
          </cell>
          <cell r="Q38">
            <v>3531.52</v>
          </cell>
          <cell r="R38">
            <v>41636.1</v>
          </cell>
          <cell r="T38">
            <v>262</v>
          </cell>
          <cell r="U38">
            <v>266</v>
          </cell>
          <cell r="V38">
            <v>266</v>
          </cell>
          <cell r="W38">
            <v>262</v>
          </cell>
          <cell r="X38">
            <v>262</v>
          </cell>
          <cell r="Y38">
            <v>262</v>
          </cell>
          <cell r="Z38">
            <v>260</v>
          </cell>
          <cell r="AA38">
            <v>258</v>
          </cell>
          <cell r="AB38">
            <v>256</v>
          </cell>
          <cell r="AC38">
            <v>256</v>
          </cell>
          <cell r="AD38">
            <v>258</v>
          </cell>
          <cell r="AE38">
            <v>256</v>
          </cell>
          <cell r="AF38">
            <v>3124</v>
          </cell>
          <cell r="AG38">
            <v>260.33333333333331</v>
          </cell>
        </row>
        <row r="39">
          <cell r="B39" t="str">
            <v>64RW1N</v>
          </cell>
          <cell r="C39" t="str">
            <v>1-64 GAL CART WKLY NONREC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</row>
        <row r="40">
          <cell r="B40" t="str">
            <v>64RW1R</v>
          </cell>
          <cell r="C40" t="str">
            <v>1-64 GAL CART WKLY W/REC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</row>
        <row r="41">
          <cell r="B41" t="str">
            <v>65RM1</v>
          </cell>
          <cell r="C41" t="str">
            <v>1-65 GAL CART MONTHLY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</row>
        <row r="42">
          <cell r="B42" t="str">
            <v>65RW1N</v>
          </cell>
          <cell r="C42" t="str">
            <v>1-65 GAL CART WKLY NONREC</v>
          </cell>
          <cell r="D42">
            <v>19.715</v>
          </cell>
          <cell r="E42">
            <v>20.61</v>
          </cell>
          <cell r="F42">
            <v>39.43</v>
          </cell>
          <cell r="G42">
            <v>39.43</v>
          </cell>
          <cell r="H42">
            <v>39.43</v>
          </cell>
          <cell r="I42">
            <v>39.43</v>
          </cell>
          <cell r="J42">
            <v>39.43</v>
          </cell>
          <cell r="K42">
            <v>39.43</v>
          </cell>
          <cell r="L42">
            <v>39.43</v>
          </cell>
          <cell r="M42">
            <v>39.43</v>
          </cell>
          <cell r="N42">
            <v>39.43</v>
          </cell>
          <cell r="O42">
            <v>41.22</v>
          </cell>
          <cell r="P42">
            <v>41.22</v>
          </cell>
          <cell r="Q42">
            <v>41.22</v>
          </cell>
          <cell r="R42">
            <v>478.53000000000009</v>
          </cell>
          <cell r="T42">
            <v>2</v>
          </cell>
          <cell r="U42">
            <v>2</v>
          </cell>
          <cell r="V42">
            <v>2</v>
          </cell>
          <cell r="W42">
            <v>2</v>
          </cell>
          <cell r="X42">
            <v>2</v>
          </cell>
          <cell r="Y42">
            <v>2</v>
          </cell>
          <cell r="Z42">
            <v>2</v>
          </cell>
          <cell r="AA42">
            <v>2</v>
          </cell>
          <cell r="AB42">
            <v>2</v>
          </cell>
          <cell r="AC42">
            <v>2</v>
          </cell>
          <cell r="AD42">
            <v>2</v>
          </cell>
          <cell r="AE42">
            <v>2</v>
          </cell>
          <cell r="AF42">
            <v>24</v>
          </cell>
          <cell r="AG42">
            <v>2</v>
          </cell>
        </row>
        <row r="43">
          <cell r="B43" t="str">
            <v>65RW1R</v>
          </cell>
          <cell r="C43" t="str">
            <v>1-65 GAL CART WKLY W/REC</v>
          </cell>
          <cell r="D43">
            <v>19.715</v>
          </cell>
          <cell r="E43">
            <v>20.61</v>
          </cell>
          <cell r="F43">
            <v>2760.1</v>
          </cell>
          <cell r="G43">
            <v>2720.67</v>
          </cell>
          <cell r="H43">
            <v>2760.1</v>
          </cell>
          <cell r="I43">
            <v>2779.81</v>
          </cell>
          <cell r="J43">
            <v>2838.96</v>
          </cell>
          <cell r="K43">
            <v>2878.39</v>
          </cell>
          <cell r="L43">
            <v>2878.39</v>
          </cell>
          <cell r="M43">
            <v>2838.96</v>
          </cell>
          <cell r="N43">
            <v>2878.39</v>
          </cell>
          <cell r="O43">
            <v>3050.28</v>
          </cell>
          <cell r="P43">
            <v>2926.62</v>
          </cell>
          <cell r="Q43">
            <v>2967.84</v>
          </cell>
          <cell r="R43">
            <v>34278.509999999995</v>
          </cell>
          <cell r="T43">
            <v>140</v>
          </cell>
          <cell r="U43">
            <v>138</v>
          </cell>
          <cell r="V43">
            <v>140</v>
          </cell>
          <cell r="W43">
            <v>140.99974638600051</v>
          </cell>
          <cell r="X43">
            <v>144</v>
          </cell>
          <cell r="Y43">
            <v>146</v>
          </cell>
          <cell r="Z43">
            <v>146</v>
          </cell>
          <cell r="AA43">
            <v>144</v>
          </cell>
          <cell r="AB43">
            <v>146</v>
          </cell>
          <cell r="AC43">
            <v>148</v>
          </cell>
          <cell r="AD43">
            <v>142</v>
          </cell>
          <cell r="AE43">
            <v>144</v>
          </cell>
          <cell r="AF43">
            <v>1718.9997463860004</v>
          </cell>
          <cell r="AG43">
            <v>143.24997886550003</v>
          </cell>
        </row>
        <row r="44">
          <cell r="B44" t="str">
            <v>95RM1</v>
          </cell>
          <cell r="C44" t="str">
            <v>1-95 GAL CART MONTHLY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</row>
        <row r="45">
          <cell r="B45" t="str">
            <v>95RW1N</v>
          </cell>
          <cell r="C45" t="str">
            <v>1-95 GAL CART WKLY NONREC</v>
          </cell>
          <cell r="D45">
            <v>29.07</v>
          </cell>
          <cell r="E45">
            <v>30.385000000000002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</row>
        <row r="46">
          <cell r="B46" t="str">
            <v>95RW1R</v>
          </cell>
          <cell r="C46" t="str">
            <v>1-95 GAL CART WKLY W/REC</v>
          </cell>
          <cell r="D46">
            <v>29.07</v>
          </cell>
          <cell r="E46">
            <v>30.385000000000002</v>
          </cell>
          <cell r="F46">
            <v>348.84</v>
          </cell>
          <cell r="G46">
            <v>348.84</v>
          </cell>
          <cell r="H46">
            <v>348.84</v>
          </cell>
          <cell r="I46">
            <v>406.98</v>
          </cell>
          <cell r="J46">
            <v>406.98</v>
          </cell>
          <cell r="K46">
            <v>465.12</v>
          </cell>
          <cell r="L46">
            <v>465.12</v>
          </cell>
          <cell r="M46">
            <v>523.26</v>
          </cell>
          <cell r="N46">
            <v>581.4</v>
          </cell>
          <cell r="O46">
            <v>607.70000000000005</v>
          </cell>
          <cell r="P46">
            <v>607.70000000000005</v>
          </cell>
          <cell r="Q46">
            <v>607.70000000000005</v>
          </cell>
          <cell r="R46">
            <v>5718.48</v>
          </cell>
          <cell r="T46">
            <v>11.999999999999998</v>
          </cell>
          <cell r="U46">
            <v>11.999999999999998</v>
          </cell>
          <cell r="V46">
            <v>11.999999999999998</v>
          </cell>
          <cell r="W46">
            <v>14</v>
          </cell>
          <cell r="X46">
            <v>14</v>
          </cell>
          <cell r="Y46">
            <v>16</v>
          </cell>
          <cell r="Z46">
            <v>16</v>
          </cell>
          <cell r="AA46">
            <v>18</v>
          </cell>
          <cell r="AB46">
            <v>20</v>
          </cell>
          <cell r="AC46">
            <v>20</v>
          </cell>
          <cell r="AD46">
            <v>20</v>
          </cell>
          <cell r="AE46">
            <v>20</v>
          </cell>
          <cell r="AF46">
            <v>194</v>
          </cell>
          <cell r="AG46">
            <v>16.166666666666668</v>
          </cell>
        </row>
        <row r="47">
          <cell r="B47" t="str">
            <v>96RW1N</v>
          </cell>
          <cell r="C47" t="str">
            <v>1-96 GAL CART WKLY NONREC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</row>
        <row r="48">
          <cell r="B48" t="str">
            <v>96RW1R</v>
          </cell>
          <cell r="C48" t="str">
            <v>1-96 GAL CART WKLY W/REC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</row>
        <row r="49">
          <cell r="B49" t="str">
            <v>ADJRES</v>
          </cell>
          <cell r="C49" t="str">
            <v>SERVICE ADJ-RESIDENTIAL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</row>
        <row r="50">
          <cell r="B50" t="str">
            <v>CARRY-RES</v>
          </cell>
          <cell r="C50" t="str">
            <v>CARRY OUT -RES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</row>
        <row r="51">
          <cell r="B51" t="str">
            <v>DELTOT</v>
          </cell>
          <cell r="C51" t="str">
            <v>GARB CART REDELIVERY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</row>
        <row r="52">
          <cell r="B52" t="str">
            <v>DRIVEPRVT-RES</v>
          </cell>
          <cell r="C52" t="str">
            <v>DRIVE IN PRIVATE RD - RES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</row>
        <row r="53">
          <cell r="B53" t="str">
            <v>DRVNRE1</v>
          </cell>
          <cell r="C53" t="str">
            <v>DRIVE IN UP TO 125'-EOW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</row>
        <row r="54">
          <cell r="B54" t="str">
            <v>DRVNRW1</v>
          </cell>
          <cell r="C54" t="str">
            <v>DRIVE IN UP TO 125'-WKLY</v>
          </cell>
          <cell r="D54">
            <v>2.79</v>
          </cell>
          <cell r="E54">
            <v>2.9350000000000001</v>
          </cell>
          <cell r="F54">
            <v>11.16</v>
          </cell>
          <cell r="G54">
            <v>11.16</v>
          </cell>
          <cell r="H54">
            <v>11.16</v>
          </cell>
          <cell r="I54">
            <v>11.16</v>
          </cell>
          <cell r="J54">
            <v>11.16</v>
          </cell>
          <cell r="K54">
            <v>11.16</v>
          </cell>
          <cell r="L54">
            <v>11.16</v>
          </cell>
          <cell r="M54">
            <v>11.16</v>
          </cell>
          <cell r="N54">
            <v>11.16</v>
          </cell>
          <cell r="O54">
            <v>11.74</v>
          </cell>
          <cell r="P54">
            <v>11.74</v>
          </cell>
          <cell r="Q54">
            <v>11.74</v>
          </cell>
          <cell r="R54">
            <v>135.65999999999997</v>
          </cell>
          <cell r="T54">
            <v>4</v>
          </cell>
          <cell r="U54">
            <v>4</v>
          </cell>
          <cell r="V54">
            <v>4</v>
          </cell>
          <cell r="W54">
            <v>4</v>
          </cell>
          <cell r="X54">
            <v>4</v>
          </cell>
          <cell r="Y54">
            <v>4</v>
          </cell>
          <cell r="Z54">
            <v>4</v>
          </cell>
          <cell r="AA54">
            <v>4</v>
          </cell>
          <cell r="AB54">
            <v>4</v>
          </cell>
          <cell r="AC54">
            <v>4</v>
          </cell>
          <cell r="AD54">
            <v>4</v>
          </cell>
          <cell r="AE54">
            <v>4</v>
          </cell>
          <cell r="AF54">
            <v>48</v>
          </cell>
          <cell r="AG54">
            <v>4</v>
          </cell>
        </row>
        <row r="55">
          <cell r="B55" t="str">
            <v>DRVNRW2</v>
          </cell>
          <cell r="C55" t="str">
            <v>DRIVE IN OVER 125'-WKLY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</row>
        <row r="56">
          <cell r="B56" t="str">
            <v>GWCR</v>
          </cell>
          <cell r="C56" t="str">
            <v>GOOD WILL CREDIT - RESI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</row>
        <row r="57">
          <cell r="B57" t="str">
            <v>IMPCNR1</v>
          </cell>
          <cell r="C57" t="str">
            <v>1 IMPROPER CAN - RESI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</row>
        <row r="58">
          <cell r="B58" t="str">
            <v>IMPCNR2</v>
          </cell>
          <cell r="C58" t="str">
            <v>2 IMPROPER CANS - RESI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</row>
        <row r="59">
          <cell r="B59" t="str">
            <v>OBSR</v>
          </cell>
          <cell r="C59" t="str">
            <v>OBSTRUCTION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</row>
        <row r="60">
          <cell r="B60" t="str">
            <v>OS</v>
          </cell>
          <cell r="C60" t="str">
            <v>OVERSIZE UNIT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</row>
        <row r="61">
          <cell r="B61" t="str">
            <v>OSOW</v>
          </cell>
          <cell r="C61" t="str">
            <v>OVERSIZE/OVERWEIGHT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</row>
        <row r="62">
          <cell r="B62" t="str">
            <v>OW</v>
          </cell>
          <cell r="C62" t="str">
            <v>OVERWEIGHT UNIT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</row>
        <row r="63">
          <cell r="B63" t="str">
            <v>PACKLC</v>
          </cell>
          <cell r="C63" t="str">
            <v>CARRY-OUT LONG DISTANCE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</row>
        <row r="64">
          <cell r="B64" t="str">
            <v>PACKR</v>
          </cell>
          <cell r="C64" t="str">
            <v>CARRY-OUT RESIDENTIAL</v>
          </cell>
          <cell r="D64">
            <v>2.79</v>
          </cell>
          <cell r="E64">
            <v>2.9350000000000001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</row>
        <row r="65">
          <cell r="B65" t="str">
            <v>PACKSNR</v>
          </cell>
          <cell r="C65" t="str">
            <v>CARRY-OUT SENIOR SERVICE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</row>
        <row r="66">
          <cell r="B66" t="str">
            <v>RESTART FEE</v>
          </cell>
          <cell r="C66" t="str">
            <v>RESTART FEE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</row>
        <row r="67">
          <cell r="B67" t="str">
            <v>REXTRA</v>
          </cell>
          <cell r="C67" t="str">
            <v>EXTRA UNITS</v>
          </cell>
          <cell r="D67">
            <v>5.28</v>
          </cell>
          <cell r="E67">
            <v>5.53</v>
          </cell>
          <cell r="F67">
            <v>0</v>
          </cell>
          <cell r="G67">
            <v>15.84</v>
          </cell>
          <cell r="H67">
            <v>0</v>
          </cell>
          <cell r="I67">
            <v>0</v>
          </cell>
          <cell r="J67">
            <v>0</v>
          </cell>
          <cell r="K67">
            <v>5.28</v>
          </cell>
          <cell r="L67">
            <v>5.28</v>
          </cell>
          <cell r="M67">
            <v>15.84</v>
          </cell>
          <cell r="N67">
            <v>0</v>
          </cell>
          <cell r="O67">
            <v>11.06</v>
          </cell>
          <cell r="P67">
            <v>16.59</v>
          </cell>
          <cell r="Q67">
            <v>44.24</v>
          </cell>
          <cell r="R67">
            <v>114.13</v>
          </cell>
          <cell r="T67">
            <v>0</v>
          </cell>
          <cell r="U67">
            <v>3</v>
          </cell>
          <cell r="V67">
            <v>0</v>
          </cell>
          <cell r="W67">
            <v>0</v>
          </cell>
          <cell r="X67">
            <v>0</v>
          </cell>
          <cell r="Y67">
            <v>1</v>
          </cell>
          <cell r="Z67">
            <v>1</v>
          </cell>
          <cell r="AA67">
            <v>3</v>
          </cell>
          <cell r="AB67">
            <v>0</v>
          </cell>
          <cell r="AC67">
            <v>2</v>
          </cell>
          <cell r="AD67">
            <v>3</v>
          </cell>
          <cell r="AE67">
            <v>8</v>
          </cell>
          <cell r="AF67">
            <v>21</v>
          </cell>
          <cell r="AG67">
            <v>1.75</v>
          </cell>
        </row>
        <row r="68">
          <cell r="B68" t="str">
            <v>SUNKENR</v>
          </cell>
          <cell r="C68" t="str">
            <v>SUNKEN CAN CHARGE - RESI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</row>
        <row r="69">
          <cell r="B69" t="str">
            <v>TRIPRCANS</v>
          </cell>
          <cell r="C69" t="str">
            <v>RETURN TRIP CHARGE - CANS</v>
          </cell>
          <cell r="D69">
            <v>9.07</v>
          </cell>
          <cell r="E69">
            <v>9.5399999999999991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</row>
        <row r="70">
          <cell r="B70" t="str">
            <v>TRIPRCARTS</v>
          </cell>
          <cell r="C70" t="str">
            <v>RESI TRIP CHARGE - CARTS</v>
          </cell>
          <cell r="D70">
            <v>9.07</v>
          </cell>
          <cell r="E70">
            <v>9.5399999999999991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</row>
        <row r="72">
          <cell r="C72" t="str">
            <v>TOTAL RESIDENTIAL GARBAGE</v>
          </cell>
          <cell r="F72">
            <v>7261.0599999999995</v>
          </cell>
          <cell r="G72">
            <v>7297.3600000000006</v>
          </cell>
          <cell r="H72">
            <v>7328.1400000000012</v>
          </cell>
          <cell r="I72">
            <v>7353.2899999999991</v>
          </cell>
          <cell r="J72">
            <v>7412.4400000000005</v>
          </cell>
          <cell r="K72">
            <v>7495.41</v>
          </cell>
          <cell r="L72">
            <v>7469.0599999999995</v>
          </cell>
          <cell r="M72">
            <v>7471.98</v>
          </cell>
          <cell r="N72">
            <v>7527.36</v>
          </cell>
          <cell r="O72">
            <v>7928.42</v>
          </cell>
          <cell r="P72">
            <v>7837.88</v>
          </cell>
          <cell r="Q72">
            <v>7894.24</v>
          </cell>
          <cell r="R72">
            <v>90276.64</v>
          </cell>
          <cell r="T72">
            <v>488</v>
          </cell>
          <cell r="U72">
            <v>491</v>
          </cell>
          <cell r="V72">
            <v>494</v>
          </cell>
          <cell r="W72">
            <v>492.99974638600054</v>
          </cell>
          <cell r="X72">
            <v>496</v>
          </cell>
          <cell r="Y72">
            <v>498</v>
          </cell>
          <cell r="Z72">
            <v>496</v>
          </cell>
          <cell r="AA72">
            <v>494</v>
          </cell>
          <cell r="AB72">
            <v>496</v>
          </cell>
          <cell r="AC72">
            <v>498</v>
          </cell>
          <cell r="AD72">
            <v>494</v>
          </cell>
          <cell r="AE72">
            <v>496</v>
          </cell>
          <cell r="AF72">
            <v>5933.999746386</v>
          </cell>
          <cell r="AG72">
            <v>494.49997886550005</v>
          </cell>
        </row>
        <row r="104">
          <cell r="B104" t="str">
            <v>20CW1</v>
          </cell>
          <cell r="C104" t="str">
            <v>1-20 GAL CART WKLY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</row>
        <row r="105">
          <cell r="B105" t="str">
            <v>32C2W2</v>
          </cell>
          <cell r="C105" t="str">
            <v>2-32 GAL CANS 2X WEEKLY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</row>
        <row r="106">
          <cell r="B106" t="str">
            <v>32CE1</v>
          </cell>
          <cell r="C106" t="str">
            <v>32 GAL CAN COMM EOW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</row>
        <row r="107">
          <cell r="B107" t="str">
            <v>32CW1</v>
          </cell>
          <cell r="C107" t="str">
            <v>1-32 GAL CAN WEEKLY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</row>
        <row r="108">
          <cell r="B108" t="str">
            <v>32CW2</v>
          </cell>
          <cell r="C108" t="str">
            <v>2-32 GAL CANS WKLY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</row>
        <row r="109">
          <cell r="B109" t="str">
            <v>32CW3</v>
          </cell>
          <cell r="C109" t="str">
            <v>3-32 GAL CANS WKLY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</row>
        <row r="110">
          <cell r="B110" t="str">
            <v>32CW4</v>
          </cell>
          <cell r="C110" t="str">
            <v>4-32 GAL CANS WKLY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</row>
        <row r="111">
          <cell r="B111" t="str">
            <v>35CW1</v>
          </cell>
          <cell r="C111" t="str">
            <v>1-35 GAL CART WKLY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</row>
        <row r="112">
          <cell r="B112" t="str">
            <v>65CW1</v>
          </cell>
          <cell r="C112" t="str">
            <v>1-65 GAL CART WKLY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</row>
        <row r="113">
          <cell r="B113" t="str">
            <v>95CW1</v>
          </cell>
          <cell r="C113" t="str">
            <v>1-95 GAL CART WKLY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</row>
        <row r="114">
          <cell r="B114" t="str">
            <v>F1.5YD1W</v>
          </cell>
          <cell r="C114" t="str">
            <v>1.5YD CONT 1X WEEKLY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</row>
        <row r="115">
          <cell r="B115" t="str">
            <v>F1YD1W</v>
          </cell>
          <cell r="C115" t="str">
            <v>1YD CONT 1X WEEKLY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</row>
        <row r="116">
          <cell r="B116" t="str">
            <v>F1YD2W</v>
          </cell>
          <cell r="C116" t="str">
            <v>1YD CONT 2X WEEKLY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</row>
        <row r="117">
          <cell r="B117" t="str">
            <v>F2YD1W</v>
          </cell>
          <cell r="C117" t="str">
            <v>2YD CONT 1X WEEKLY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</row>
        <row r="118">
          <cell r="B118" t="str">
            <v>F2YD2W</v>
          </cell>
          <cell r="C118" t="str">
            <v>2YD CONT 2X WEEKLY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</row>
        <row r="119">
          <cell r="B119" t="str">
            <v>F2YD3W</v>
          </cell>
          <cell r="C119" t="str">
            <v>2YD CONT 3X WEEKLY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</row>
        <row r="120">
          <cell r="B120" t="str">
            <v>F4YD1W</v>
          </cell>
          <cell r="C120" t="str">
            <v>4YD CONT 1X WEEKLY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</row>
        <row r="121">
          <cell r="B121" t="str">
            <v>F4YD2W</v>
          </cell>
          <cell r="C121" t="str">
            <v>4YD CONT 2X WEEKLY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</row>
        <row r="122">
          <cell r="B122" t="str">
            <v>F4YD3W</v>
          </cell>
          <cell r="C122" t="str">
            <v>4YD CONT 3X WEEKLY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</row>
        <row r="123">
          <cell r="B123" t="str">
            <v>F4YD4W</v>
          </cell>
          <cell r="C123" t="str">
            <v>4YD CONT 4X WEEKLY SVC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</row>
        <row r="124">
          <cell r="B124" t="str">
            <v>F6YD1W</v>
          </cell>
          <cell r="C124" t="str">
            <v>6YD CONT 1X WEEKLY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</row>
        <row r="125">
          <cell r="B125" t="str">
            <v>F6YD2W</v>
          </cell>
          <cell r="C125" t="str">
            <v>6YD CONT 2X WEEKLY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</row>
        <row r="126">
          <cell r="B126" t="str">
            <v>F6YD3W</v>
          </cell>
          <cell r="C126" t="str">
            <v>6YD CONT 3X WEEKLY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</row>
        <row r="127">
          <cell r="B127" t="str">
            <v>F6YD4W</v>
          </cell>
          <cell r="C127" t="str">
            <v>6YD CONT 4X WEEKLY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</row>
        <row r="128">
          <cell r="B128" t="str">
            <v>F6YD5W</v>
          </cell>
          <cell r="C128" t="str">
            <v>6YD CONT 5X WEEKLY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</row>
        <row r="129">
          <cell r="B129" t="str">
            <v>F8YD2W</v>
          </cell>
          <cell r="C129" t="str">
            <v>8 YD CONT 2X WKLY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</row>
        <row r="130">
          <cell r="B130" t="str">
            <v>FCP2YD1W2.25-1</v>
          </cell>
          <cell r="C130" t="str">
            <v>2 YD 2.25-1 COMP 1X WK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</row>
        <row r="131">
          <cell r="B131" t="str">
            <v>FCP2YD1W4-1</v>
          </cell>
          <cell r="C131" t="str">
            <v>2 YD 4-1 COMP 1X WK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</row>
        <row r="132">
          <cell r="B132" t="str">
            <v>FCP2YD2W</v>
          </cell>
          <cell r="C132" t="str">
            <v>2 YD COMPACTOR 2X WKLY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</row>
        <row r="133">
          <cell r="B133" t="str">
            <v>FCP4YD1W2.25-1</v>
          </cell>
          <cell r="C133" t="str">
            <v>4 YD 2.25-1 COMP 1X WK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</row>
        <row r="134">
          <cell r="B134" t="str">
            <v>FCP4YD1W4-1</v>
          </cell>
          <cell r="C134" t="str">
            <v>4YD 4-1 COMP 1X WK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</row>
        <row r="135">
          <cell r="B135" t="str">
            <v>FCP4YD1W5-1</v>
          </cell>
          <cell r="C135" t="str">
            <v>4 YD 5-1 COMP 1X WK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</row>
        <row r="136">
          <cell r="B136" t="str">
            <v>FCP4YDEOW5-1</v>
          </cell>
          <cell r="C136" t="str">
            <v>4 YD 5-1 COMP EOW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</row>
        <row r="137">
          <cell r="B137" t="str">
            <v>FCP4YDOC5-1</v>
          </cell>
          <cell r="C137" t="str">
            <v>4 YD 5-1 COMP ON CALL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</row>
        <row r="138">
          <cell r="B138" t="str">
            <v>FCP6YD2W</v>
          </cell>
          <cell r="C138" t="str">
            <v>6YD COMPACTOR 2X WKLY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</row>
        <row r="139">
          <cell r="B139" t="str">
            <v>FCP6YD2W3-1</v>
          </cell>
          <cell r="C139" t="str">
            <v>6 YD 3-1 COMP 2X WK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</row>
        <row r="140">
          <cell r="B140" t="str">
            <v>FCP6YD2W4-1</v>
          </cell>
          <cell r="C140" t="str">
            <v>6 YD 4-1 COMP 2X WK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</row>
        <row r="141">
          <cell r="B141" t="str">
            <v>R1.5YD1W</v>
          </cell>
          <cell r="C141" t="str">
            <v>1.5YD CONT 1xWEEKLY</v>
          </cell>
          <cell r="D141">
            <v>147.56</v>
          </cell>
          <cell r="E141">
            <v>154.15</v>
          </cell>
          <cell r="F141">
            <v>295.12</v>
          </cell>
          <cell r="G141">
            <v>295.12</v>
          </cell>
          <cell r="H141">
            <v>295.12</v>
          </cell>
          <cell r="I141">
            <v>295.12</v>
          </cell>
          <cell r="J141">
            <v>147.56</v>
          </cell>
          <cell r="K141">
            <v>147.56</v>
          </cell>
          <cell r="L141">
            <v>147.56</v>
          </cell>
          <cell r="M141">
            <v>147.56</v>
          </cell>
          <cell r="N141">
            <v>147.56</v>
          </cell>
          <cell r="O141">
            <v>154.15</v>
          </cell>
          <cell r="P141">
            <v>308.3</v>
          </cell>
          <cell r="Q141">
            <v>154.15</v>
          </cell>
          <cell r="R141">
            <v>2534.88</v>
          </cell>
          <cell r="T141">
            <v>2</v>
          </cell>
          <cell r="U141">
            <v>2</v>
          </cell>
          <cell r="V141">
            <v>2</v>
          </cell>
          <cell r="W141">
            <v>2</v>
          </cell>
          <cell r="X141">
            <v>1</v>
          </cell>
          <cell r="Y141">
            <v>1</v>
          </cell>
          <cell r="Z141">
            <v>1</v>
          </cell>
          <cell r="AA141">
            <v>1</v>
          </cell>
          <cell r="AB141">
            <v>1</v>
          </cell>
          <cell r="AC141">
            <v>1</v>
          </cell>
          <cell r="AD141">
            <v>2</v>
          </cell>
          <cell r="AE141">
            <v>1</v>
          </cell>
          <cell r="AF141">
            <v>17</v>
          </cell>
          <cell r="AG141">
            <v>1.4166666666666667</v>
          </cell>
        </row>
        <row r="142">
          <cell r="B142" t="str">
            <v>R1.5YD2W</v>
          </cell>
          <cell r="C142" t="str">
            <v>1.5YD CONT 2xWEEKLY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</row>
        <row r="143">
          <cell r="B143" t="str">
            <v>R1.5YD3W</v>
          </cell>
          <cell r="C143" t="str">
            <v>1.5YD CONT 3xWEEKLY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</row>
        <row r="144">
          <cell r="B144" t="str">
            <v>R1.5YDEOW</v>
          </cell>
          <cell r="C144" t="str">
            <v>1.5YD CONT EOW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</row>
        <row r="145">
          <cell r="B145" t="str">
            <v>R1.5YDTPU</v>
          </cell>
          <cell r="C145" t="str">
            <v>1.5YD TEMP CONTAINER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</row>
        <row r="146">
          <cell r="B146" t="str">
            <v>R1YD1W</v>
          </cell>
          <cell r="C146" t="str">
            <v>1YD CONT 1xWEEKLY</v>
          </cell>
          <cell r="D146">
            <v>105.97</v>
          </cell>
          <cell r="E146">
            <v>110.76</v>
          </cell>
          <cell r="F146">
            <v>211.94</v>
          </cell>
          <cell r="G146">
            <v>211.94</v>
          </cell>
          <cell r="H146">
            <v>211.94</v>
          </cell>
          <cell r="I146">
            <v>211.94</v>
          </cell>
          <cell r="J146">
            <v>211.94</v>
          </cell>
          <cell r="K146">
            <v>211.94</v>
          </cell>
          <cell r="L146">
            <v>211.94</v>
          </cell>
          <cell r="M146">
            <v>211.94</v>
          </cell>
          <cell r="N146">
            <v>158.94999999999999</v>
          </cell>
          <cell r="O146">
            <v>110.76</v>
          </cell>
          <cell r="P146">
            <v>221.52</v>
          </cell>
          <cell r="Q146">
            <v>221.52</v>
          </cell>
          <cell r="R146">
            <v>2408.2700000000004</v>
          </cell>
          <cell r="T146">
            <v>2</v>
          </cell>
          <cell r="U146">
            <v>2</v>
          </cell>
          <cell r="V146">
            <v>2</v>
          </cell>
          <cell r="W146">
            <v>2</v>
          </cell>
          <cell r="X146">
            <v>2</v>
          </cell>
          <cell r="Y146">
            <v>2</v>
          </cell>
          <cell r="Z146">
            <v>2</v>
          </cell>
          <cell r="AA146">
            <v>2</v>
          </cell>
          <cell r="AB146">
            <v>1.4999528168349532</v>
          </cell>
          <cell r="AC146">
            <v>1</v>
          </cell>
          <cell r="AD146">
            <v>2</v>
          </cell>
          <cell r="AE146">
            <v>2</v>
          </cell>
          <cell r="AF146">
            <v>22.499952816834952</v>
          </cell>
          <cell r="AG146">
            <v>1.8749960680695794</v>
          </cell>
        </row>
        <row r="147">
          <cell r="B147" t="str">
            <v>R1YD2W</v>
          </cell>
          <cell r="C147" t="str">
            <v>1YD CONT 2xWEEKLY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</row>
        <row r="148">
          <cell r="B148" t="str">
            <v>R1YD3W</v>
          </cell>
          <cell r="C148" t="str">
            <v>1YD CONT 3xWEEKLY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</row>
        <row r="149">
          <cell r="B149" t="str">
            <v>R1YDEOW</v>
          </cell>
          <cell r="C149" t="str">
            <v>1YD CONT EOW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</row>
        <row r="150">
          <cell r="B150" t="str">
            <v>R1YDTPU</v>
          </cell>
          <cell r="C150" t="str">
            <v>1YD TEMP CONT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</row>
        <row r="151">
          <cell r="B151" t="str">
            <v>R2YD1W</v>
          </cell>
          <cell r="C151" t="str">
            <v>2YD CONT 1xWEEKLY</v>
          </cell>
          <cell r="D151">
            <v>189.05</v>
          </cell>
          <cell r="E151">
            <v>197.52</v>
          </cell>
          <cell r="F151">
            <v>567.15</v>
          </cell>
          <cell r="G151">
            <v>567.15</v>
          </cell>
          <cell r="H151">
            <v>567.15</v>
          </cell>
          <cell r="I151">
            <v>661.67</v>
          </cell>
          <cell r="J151">
            <v>567.15</v>
          </cell>
          <cell r="K151">
            <v>567.15</v>
          </cell>
          <cell r="L151">
            <v>567.15</v>
          </cell>
          <cell r="M151">
            <v>567.15</v>
          </cell>
          <cell r="N151">
            <v>567.15</v>
          </cell>
          <cell r="O151">
            <v>592.55999999999995</v>
          </cell>
          <cell r="P151">
            <v>790.08</v>
          </cell>
          <cell r="Q151">
            <v>790.08</v>
          </cell>
          <cell r="R151">
            <v>7371.59</v>
          </cell>
          <cell r="T151">
            <v>2.9999999999999996</v>
          </cell>
          <cell r="U151">
            <v>2.9999999999999996</v>
          </cell>
          <cell r="V151">
            <v>2.9999999999999996</v>
          </cell>
          <cell r="W151">
            <v>3.4999735519703776</v>
          </cell>
          <cell r="X151">
            <v>2.9999999999999996</v>
          </cell>
          <cell r="Y151">
            <v>2.9999999999999996</v>
          </cell>
          <cell r="Z151">
            <v>2.9999999999999996</v>
          </cell>
          <cell r="AA151">
            <v>2.9999999999999996</v>
          </cell>
          <cell r="AB151">
            <v>2.9999999999999996</v>
          </cell>
          <cell r="AC151">
            <v>2.9999999999999996</v>
          </cell>
          <cell r="AD151">
            <v>4</v>
          </cell>
          <cell r="AE151">
            <v>4</v>
          </cell>
          <cell r="AF151">
            <v>38.499973551970371</v>
          </cell>
          <cell r="AG151">
            <v>3.2083311293308641</v>
          </cell>
        </row>
        <row r="152">
          <cell r="B152" t="str">
            <v>R2YD2W</v>
          </cell>
          <cell r="C152" t="str">
            <v>2YD CONT 2xWEEKLY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</row>
        <row r="153">
          <cell r="B153" t="str">
            <v>R2YD3W</v>
          </cell>
          <cell r="C153" t="str">
            <v>2YD CONT 3xWEEKLY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</row>
        <row r="154">
          <cell r="B154" t="str">
            <v>R2YD4W</v>
          </cell>
          <cell r="C154" t="str">
            <v>2YD CONT 4xWEEKLY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</row>
        <row r="155">
          <cell r="B155" t="str">
            <v>R2YD5W</v>
          </cell>
          <cell r="C155" t="str">
            <v>2YD CONT 5xWEEKLY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</row>
        <row r="156">
          <cell r="B156" t="str">
            <v>R2YDEOW</v>
          </cell>
          <cell r="C156" t="str">
            <v>2YD CONT EOW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</row>
        <row r="157">
          <cell r="B157" t="str">
            <v>R2YDTPU</v>
          </cell>
          <cell r="C157" t="str">
            <v>2YD TEMP CONTAINER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</row>
        <row r="158">
          <cell r="B158" t="str">
            <v>ADJCOM</v>
          </cell>
          <cell r="C158" t="str">
            <v>SERVICE ADJ-COMMERCIAL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</row>
        <row r="159">
          <cell r="B159" t="str">
            <v>F1YDEX</v>
          </cell>
          <cell r="C159" t="str">
            <v>1YD CONT EXTRA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</row>
        <row r="160">
          <cell r="B160" t="str">
            <v>R1YDEX</v>
          </cell>
          <cell r="C160" t="str">
            <v>1YD CONTAINER EXTRA</v>
          </cell>
          <cell r="D160">
            <v>25.26</v>
          </cell>
          <cell r="E160">
            <v>26.48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</row>
        <row r="161">
          <cell r="B161" t="str">
            <v>R1.5YDEX</v>
          </cell>
          <cell r="C161" t="str">
            <v>1.5YD CONTAINER EXTRA</v>
          </cell>
          <cell r="D161">
            <v>35.18</v>
          </cell>
          <cell r="E161">
            <v>36.880000000000003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</row>
        <row r="162">
          <cell r="B162" t="str">
            <v>R2YDEX</v>
          </cell>
          <cell r="C162" t="str">
            <v>2YD CONTAINER EXTRA</v>
          </cell>
          <cell r="D162">
            <v>45.09</v>
          </cell>
          <cell r="E162">
            <v>47.26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</row>
        <row r="163">
          <cell r="B163" t="str">
            <v>F2YDEX</v>
          </cell>
          <cell r="C163" t="str">
            <v>2YD CONT EXTRA</v>
          </cell>
          <cell r="D163">
            <v>42.99</v>
          </cell>
          <cell r="E163">
            <v>45.06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</row>
        <row r="164">
          <cell r="B164" t="str">
            <v>F4YDEX</v>
          </cell>
          <cell r="C164" t="str">
            <v>4YD CONT EXTRA PICKUP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</row>
        <row r="165">
          <cell r="B165" t="str">
            <v>F6YDEX</v>
          </cell>
          <cell r="C165" t="str">
            <v>6YD CONT EXTRA PICKUP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</row>
        <row r="166">
          <cell r="B166" t="str">
            <v>CCONNECT</v>
          </cell>
          <cell r="C166" t="str">
            <v>CMML CONNECT/RECONNECT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</row>
        <row r="167">
          <cell r="B167" t="str">
            <v>CDEL</v>
          </cell>
          <cell r="C167" t="str">
            <v>CONTAINER DELIVERY CHARGE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</row>
        <row r="168">
          <cell r="B168" t="str">
            <v>CEX</v>
          </cell>
          <cell r="C168" t="str">
            <v>EXTRA CANS</v>
          </cell>
          <cell r="D168">
            <v>5.28</v>
          </cell>
          <cell r="E168">
            <v>5.53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</row>
        <row r="169">
          <cell r="B169" t="str">
            <v>IMPCNC</v>
          </cell>
          <cell r="C169" t="str">
            <v>1 IMPROPER CAN - CMML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</row>
        <row r="170">
          <cell r="B170" t="str">
            <v>PACKC</v>
          </cell>
          <cell r="C170" t="str">
            <v>CARRY-OUT COMMERCIAL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</row>
        <row r="171">
          <cell r="B171" t="str">
            <v>CEXYD</v>
          </cell>
          <cell r="C171" t="str">
            <v>CMML EXTRA YARDAGE</v>
          </cell>
          <cell r="D171">
            <v>29.72</v>
          </cell>
          <cell r="E171">
            <v>31.1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31.1</v>
          </cell>
          <cell r="R171">
            <v>31.1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1</v>
          </cell>
          <cell r="AF171">
            <v>1</v>
          </cell>
          <cell r="AG171">
            <v>8.3333333333333329E-2</v>
          </cell>
        </row>
        <row r="172">
          <cell r="B172" t="str">
            <v>CLOCK</v>
          </cell>
          <cell r="C172" t="str">
            <v>LOCK CHARGE-CONTAINER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</row>
        <row r="173">
          <cell r="B173" t="str">
            <v>CROLL</v>
          </cell>
          <cell r="C173" t="str">
            <v>ROLLOUT CHARGE - CMML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</row>
        <row r="174">
          <cell r="B174" t="str">
            <v>CTDEL</v>
          </cell>
          <cell r="C174" t="str">
            <v>TEMP CONTAINER DELIVERY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</row>
        <row r="175">
          <cell r="B175" t="str">
            <v>CTRIP</v>
          </cell>
          <cell r="C175" t="str">
            <v>RETURN TRIP CHARGE - CONT</v>
          </cell>
          <cell r="D175">
            <v>9.07</v>
          </cell>
          <cell r="E175">
            <v>9.5399999999999991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</row>
        <row r="176">
          <cell r="B176" t="str">
            <v>CUNLOCK</v>
          </cell>
          <cell r="C176" t="str">
            <v>COMM UNLOCK GATE OR CONT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</row>
        <row r="177">
          <cell r="B177" t="str">
            <v>DRIVEDWAY-COMM</v>
          </cell>
          <cell r="C177" t="str">
            <v>DRIVE IN DRIVEWAY - COMM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</row>
        <row r="178">
          <cell r="B178" t="str">
            <v>DRIVEPVT-COMM</v>
          </cell>
          <cell r="C178" t="str">
            <v>DRIVE IN PRIVATE RD - COMM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</row>
        <row r="179">
          <cell r="B179" t="str">
            <v>DRVNC</v>
          </cell>
          <cell r="C179" t="str">
            <v>DRIVE IN - CMML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</row>
        <row r="180">
          <cell r="B180" t="str">
            <v>TIMEC</v>
          </cell>
          <cell r="C180" t="str">
            <v>CMML TIME CHARGE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</row>
      </sheetData>
      <sheetData sheetId="8">
        <row r="10">
          <cell r="B10" t="str">
            <v>10RW1N</v>
          </cell>
          <cell r="C10" t="str">
            <v>1-10 GAL CART WKLY NON REC</v>
          </cell>
          <cell r="D10">
            <v>11.11</v>
          </cell>
          <cell r="E10">
            <v>11.64</v>
          </cell>
          <cell r="F10">
            <v>11.11</v>
          </cell>
          <cell r="G10">
            <v>11.11</v>
          </cell>
          <cell r="H10">
            <v>11.11</v>
          </cell>
          <cell r="I10">
            <v>11.11</v>
          </cell>
          <cell r="J10">
            <v>11.11</v>
          </cell>
          <cell r="K10">
            <v>11.11</v>
          </cell>
          <cell r="L10">
            <v>11.11</v>
          </cell>
          <cell r="M10">
            <v>11.11</v>
          </cell>
          <cell r="N10">
            <v>11.11</v>
          </cell>
          <cell r="O10">
            <v>11.639999999999999</v>
          </cell>
          <cell r="P10">
            <v>11.639999999999999</v>
          </cell>
          <cell r="Q10">
            <v>11.64</v>
          </cell>
          <cell r="R10">
            <v>134.91</v>
          </cell>
          <cell r="T10">
            <v>1</v>
          </cell>
          <cell r="U10">
            <v>1</v>
          </cell>
          <cell r="V10">
            <v>1</v>
          </cell>
          <cell r="W10">
            <v>1</v>
          </cell>
          <cell r="X10">
            <v>1</v>
          </cell>
          <cell r="Y10">
            <v>1</v>
          </cell>
          <cell r="Z10">
            <v>1</v>
          </cell>
          <cell r="AA10">
            <v>1</v>
          </cell>
          <cell r="AB10">
            <v>1</v>
          </cell>
          <cell r="AC10">
            <v>0.99999999999999989</v>
          </cell>
          <cell r="AD10">
            <v>0.99999999999999989</v>
          </cell>
          <cell r="AE10">
            <v>1</v>
          </cell>
          <cell r="AF10">
            <v>12</v>
          </cell>
          <cell r="AG10">
            <v>1</v>
          </cell>
        </row>
        <row r="11">
          <cell r="B11" t="str">
            <v>10RW1R</v>
          </cell>
          <cell r="C11" t="str">
            <v>1-10 GAL CART WKLY W/ REC</v>
          </cell>
          <cell r="D11">
            <v>11.11</v>
          </cell>
          <cell r="E11">
            <v>11.64</v>
          </cell>
          <cell r="F11">
            <v>1049.895</v>
          </cell>
          <cell r="G11">
            <v>1038.7849999999999</v>
          </cell>
          <cell r="H11">
            <v>1038.7849999999999</v>
          </cell>
          <cell r="I11">
            <v>1049.8949999999998</v>
          </cell>
          <cell r="J11">
            <v>1038.7849999999999</v>
          </cell>
          <cell r="K11">
            <v>1022.12</v>
          </cell>
          <cell r="L11">
            <v>1022.12</v>
          </cell>
          <cell r="M11">
            <v>1027.675</v>
          </cell>
          <cell r="N11">
            <v>1027.675</v>
          </cell>
          <cell r="O11">
            <v>1033.0450000000001</v>
          </cell>
          <cell r="P11">
            <v>1033.0450000000001</v>
          </cell>
          <cell r="Q11">
            <v>966.12</v>
          </cell>
          <cell r="R11">
            <v>12347.945</v>
          </cell>
          <cell r="T11">
            <v>94.5</v>
          </cell>
          <cell r="U11">
            <v>93.499999999999986</v>
          </cell>
          <cell r="V11">
            <v>93.499999999999986</v>
          </cell>
          <cell r="W11">
            <v>94.499999999999986</v>
          </cell>
          <cell r="X11">
            <v>93.499999999999986</v>
          </cell>
          <cell r="Y11">
            <v>92</v>
          </cell>
          <cell r="Z11">
            <v>92</v>
          </cell>
          <cell r="AA11">
            <v>92.5</v>
          </cell>
          <cell r="AB11">
            <v>92.5</v>
          </cell>
          <cell r="AC11">
            <v>88.74957044673539</v>
          </cell>
          <cell r="AD11">
            <v>88.74957044673539</v>
          </cell>
          <cell r="AE11">
            <v>83</v>
          </cell>
          <cell r="AF11">
            <v>1098.9991408934707</v>
          </cell>
          <cell r="AG11">
            <v>91.583261741122556</v>
          </cell>
        </row>
        <row r="12">
          <cell r="B12" t="str">
            <v>10RW1</v>
          </cell>
          <cell r="C12" t="str">
            <v>1-10 GAL CAN WEEKLY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-22.22</v>
          </cell>
          <cell r="P12">
            <v>0</v>
          </cell>
          <cell r="Q12">
            <v>-134.38</v>
          </cell>
          <cell r="R12">
            <v>-156.6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</row>
        <row r="13">
          <cell r="B13" t="str">
            <v>20RM1</v>
          </cell>
          <cell r="C13" t="str">
            <v>1-20 GAL CART MONTHLY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</row>
        <row r="14">
          <cell r="B14" t="str">
            <v>20RW1</v>
          </cell>
          <cell r="C14" t="str">
            <v>1-20 GAL CAN WEEKLY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</row>
        <row r="15">
          <cell r="B15" t="str">
            <v>20RW1N</v>
          </cell>
          <cell r="C15" t="str">
            <v>1-20 GL CART WKLY NON REC</v>
          </cell>
          <cell r="D15">
            <v>21.62</v>
          </cell>
          <cell r="E15">
            <v>22.66</v>
          </cell>
          <cell r="F15">
            <v>21.62</v>
          </cell>
          <cell r="G15">
            <v>21.62</v>
          </cell>
          <cell r="H15">
            <v>21.62</v>
          </cell>
          <cell r="I15">
            <v>21.62</v>
          </cell>
          <cell r="J15">
            <v>21.62</v>
          </cell>
          <cell r="K15">
            <v>21.62</v>
          </cell>
          <cell r="L15">
            <v>21.62</v>
          </cell>
          <cell r="M15">
            <v>21.62</v>
          </cell>
          <cell r="N15">
            <v>21.62</v>
          </cell>
          <cell r="O15">
            <v>22.66</v>
          </cell>
          <cell r="P15">
            <v>22.66</v>
          </cell>
          <cell r="Q15">
            <v>22.66</v>
          </cell>
          <cell r="R15">
            <v>262.56</v>
          </cell>
          <cell r="T15">
            <v>1</v>
          </cell>
          <cell r="U15">
            <v>1</v>
          </cell>
          <cell r="V15">
            <v>1</v>
          </cell>
          <cell r="W15">
            <v>1</v>
          </cell>
          <cell r="X15">
            <v>1</v>
          </cell>
          <cell r="Y15">
            <v>1</v>
          </cell>
          <cell r="Z15">
            <v>1</v>
          </cell>
          <cell r="AA15">
            <v>1</v>
          </cell>
          <cell r="AB15">
            <v>1</v>
          </cell>
          <cell r="AC15">
            <v>1</v>
          </cell>
          <cell r="AD15">
            <v>1</v>
          </cell>
          <cell r="AE15">
            <v>1</v>
          </cell>
          <cell r="AF15">
            <v>12</v>
          </cell>
          <cell r="AG15">
            <v>1</v>
          </cell>
        </row>
        <row r="16">
          <cell r="B16" t="str">
            <v>20RW1NR</v>
          </cell>
          <cell r="C16" t="str">
            <v>1-20 GAL WKLY NON REC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</row>
        <row r="17">
          <cell r="B17" t="str">
            <v>20RW1R</v>
          </cell>
          <cell r="C17" t="str">
            <v>1-20 GL CART WKLY W/ RECY</v>
          </cell>
          <cell r="D17">
            <v>21.62</v>
          </cell>
          <cell r="E17">
            <v>22.66</v>
          </cell>
          <cell r="F17">
            <v>4280.76</v>
          </cell>
          <cell r="G17">
            <v>4215.9000000000005</v>
          </cell>
          <cell r="H17">
            <v>4172.6600000000008</v>
          </cell>
          <cell r="I17">
            <v>3978.0800000000004</v>
          </cell>
          <cell r="J17">
            <v>3999.7000000000003</v>
          </cell>
          <cell r="K17">
            <v>4086.18</v>
          </cell>
          <cell r="L17">
            <v>4082.33</v>
          </cell>
          <cell r="M17">
            <v>4086.18</v>
          </cell>
          <cell r="N17">
            <v>4064.56</v>
          </cell>
          <cell r="O17">
            <v>4225.05</v>
          </cell>
          <cell r="P17">
            <v>4194.25</v>
          </cell>
          <cell r="Q17">
            <v>4260.079999999999</v>
          </cell>
          <cell r="R17">
            <v>49645.73</v>
          </cell>
          <cell r="T17">
            <v>198</v>
          </cell>
          <cell r="U17">
            <v>195.00000000000003</v>
          </cell>
          <cell r="V17">
            <v>193.00000000000003</v>
          </cell>
          <cell r="W17">
            <v>184</v>
          </cell>
          <cell r="X17">
            <v>185</v>
          </cell>
          <cell r="Y17">
            <v>188.99999999999997</v>
          </cell>
          <cell r="Z17">
            <v>188.8219241443108</v>
          </cell>
          <cell r="AA17">
            <v>188.99999999999997</v>
          </cell>
          <cell r="AB17">
            <v>188</v>
          </cell>
          <cell r="AC17">
            <v>186.4541041482789</v>
          </cell>
          <cell r="AD17">
            <v>185.09488084730802</v>
          </cell>
          <cell r="AE17">
            <v>187.99999999999994</v>
          </cell>
          <cell r="AF17">
            <v>2269.3709091398978</v>
          </cell>
          <cell r="AG17">
            <v>189.11424242832481</v>
          </cell>
        </row>
        <row r="18">
          <cell r="B18" t="str">
            <v>24RW1N</v>
          </cell>
          <cell r="C18" t="str">
            <v>1-24 GL CART WKLY NON REC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</row>
        <row r="19">
          <cell r="B19" t="str">
            <v>24RW1R</v>
          </cell>
          <cell r="C19" t="str">
            <v>1-24 GL CART WKLY W/ RECY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</row>
        <row r="20">
          <cell r="B20" t="str">
            <v>32RE1</v>
          </cell>
          <cell r="C20" t="str">
            <v>1-32 GAL CAN EOW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</row>
        <row r="21">
          <cell r="B21" t="str">
            <v>32RM1</v>
          </cell>
          <cell r="C21" t="str">
            <v>1-32 GAL CAN MONTHLY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</row>
        <row r="22">
          <cell r="B22" t="str">
            <v>32ROCPU</v>
          </cell>
          <cell r="C22" t="str">
            <v>1-32 GAL CAN-ON CALL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</row>
        <row r="23">
          <cell r="B23" t="str">
            <v>32RW1</v>
          </cell>
          <cell r="C23" t="str">
            <v>1-32 GAL CAN WEEKLY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</row>
        <row r="24">
          <cell r="B24" t="str">
            <v>32RW1N</v>
          </cell>
          <cell r="C24" t="str">
            <v>1-32 GL CART WKLY NON REC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</row>
        <row r="25">
          <cell r="B25" t="str">
            <v>32RW1NR</v>
          </cell>
          <cell r="C25" t="str">
            <v>1-32 GAL WKLY NON REC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</row>
        <row r="26">
          <cell r="B26" t="str">
            <v>32RW1R</v>
          </cell>
          <cell r="C26" t="str">
            <v>1-32 GL CART WKLY W/ RECY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</row>
        <row r="27">
          <cell r="B27" t="str">
            <v>32RW2</v>
          </cell>
          <cell r="C27" t="str">
            <v>2-32 GAL CANS WEEKLY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</row>
        <row r="28">
          <cell r="B28" t="str">
            <v>32RW2R</v>
          </cell>
          <cell r="C28" t="str">
            <v>2-32 GL CART WKLY W/ RECY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</row>
        <row r="29">
          <cell r="B29" t="str">
            <v>32RW2NR</v>
          </cell>
          <cell r="C29" t="str">
            <v>2-32 GAL WKLY NON REC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</row>
        <row r="30">
          <cell r="B30" t="str">
            <v>32RW3</v>
          </cell>
          <cell r="C30" t="str">
            <v>3-32 GAL CANS WEEKLY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</row>
        <row r="31">
          <cell r="B31" t="str">
            <v>32RW3NR</v>
          </cell>
          <cell r="C31" t="str">
            <v>3-32 GAL WKLY NON REC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</row>
        <row r="32">
          <cell r="B32" t="str">
            <v>32RW4</v>
          </cell>
          <cell r="C32" t="str">
            <v>4-32 GAL CANS WEEKLY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</row>
        <row r="33">
          <cell r="B33" t="str">
            <v>32RW4NR</v>
          </cell>
          <cell r="C33" t="str">
            <v>4-32 GAL WKLY NON REC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</row>
        <row r="34">
          <cell r="B34" t="str">
            <v>32RW5</v>
          </cell>
          <cell r="C34" t="str">
            <v>5-32 GAL CANS WEEKLY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</row>
        <row r="35">
          <cell r="B35" t="str">
            <v>32RW5NR</v>
          </cell>
          <cell r="C35" t="str">
            <v>5-32 GAL WKLY NON REC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</row>
        <row r="36">
          <cell r="B36" t="str">
            <v>32RW6</v>
          </cell>
          <cell r="C36" t="str">
            <v>6-32 GAL CANS WEEKLY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</row>
        <row r="37">
          <cell r="B37" t="str">
            <v>35RM1</v>
          </cell>
          <cell r="C37" t="str">
            <v>1-35 GAL CART MONTHLY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</row>
        <row r="38">
          <cell r="B38" t="str">
            <v>35RW1N</v>
          </cell>
          <cell r="C38" t="str">
            <v>1-35 GAL CART WKLY NONREC</v>
          </cell>
          <cell r="D38">
            <v>28.58</v>
          </cell>
          <cell r="E38">
            <v>29.94</v>
          </cell>
          <cell r="F38">
            <v>271.51</v>
          </cell>
          <cell r="G38">
            <v>257.22000000000003</v>
          </cell>
          <cell r="H38">
            <v>257.22000000000003</v>
          </cell>
          <cell r="I38">
            <v>257.22000000000003</v>
          </cell>
          <cell r="J38">
            <v>257.22000000000003</v>
          </cell>
          <cell r="K38">
            <v>285.79999999999995</v>
          </cell>
          <cell r="L38">
            <v>285.79999999999995</v>
          </cell>
          <cell r="M38">
            <v>285.8</v>
          </cell>
          <cell r="N38">
            <v>285.8</v>
          </cell>
          <cell r="O38">
            <v>299.40000000000003</v>
          </cell>
          <cell r="P38">
            <v>299.40000000000003</v>
          </cell>
          <cell r="Q38">
            <v>299.39999999999998</v>
          </cell>
          <cell r="R38">
            <v>3341.7900000000004</v>
          </cell>
          <cell r="T38">
            <v>9.5</v>
          </cell>
          <cell r="U38">
            <v>9.0000000000000018</v>
          </cell>
          <cell r="V38">
            <v>9.0000000000000018</v>
          </cell>
          <cell r="W38">
            <v>9.0000000000000018</v>
          </cell>
          <cell r="X38">
            <v>9.0000000000000018</v>
          </cell>
          <cell r="Y38">
            <v>9.9999999999999982</v>
          </cell>
          <cell r="Z38">
            <v>9.9999999999999982</v>
          </cell>
          <cell r="AA38">
            <v>10.000000000000002</v>
          </cell>
          <cell r="AB38">
            <v>10.000000000000002</v>
          </cell>
          <cell r="AC38">
            <v>10</v>
          </cell>
          <cell r="AD38">
            <v>10</v>
          </cell>
          <cell r="AE38">
            <v>9.9999999999999982</v>
          </cell>
          <cell r="AF38">
            <v>115.5</v>
          </cell>
          <cell r="AG38">
            <v>9.625</v>
          </cell>
        </row>
        <row r="39">
          <cell r="B39" t="str">
            <v>35RW1R</v>
          </cell>
          <cell r="C39" t="str">
            <v>1-35 GAL CART WKLY W/REC</v>
          </cell>
          <cell r="D39">
            <v>28.58</v>
          </cell>
          <cell r="E39">
            <v>29.94</v>
          </cell>
          <cell r="F39">
            <v>29358.804999999997</v>
          </cell>
          <cell r="G39">
            <v>29303.989999999998</v>
          </cell>
          <cell r="H39">
            <v>29394.53</v>
          </cell>
          <cell r="I39">
            <v>29273.064999999995</v>
          </cell>
          <cell r="J39">
            <v>29358.804999999997</v>
          </cell>
          <cell r="K39">
            <v>28887.235000000001</v>
          </cell>
          <cell r="L39">
            <v>28887.235000000001</v>
          </cell>
          <cell r="M39">
            <v>28204.39</v>
          </cell>
          <cell r="N39">
            <v>28512.16</v>
          </cell>
          <cell r="O39">
            <v>30064.19</v>
          </cell>
          <cell r="P39">
            <v>30065.549999999996</v>
          </cell>
          <cell r="Q39">
            <v>29921.97</v>
          </cell>
          <cell r="R39">
            <v>351231.92499999993</v>
          </cell>
          <cell r="T39">
            <v>1027.25</v>
          </cell>
          <cell r="U39">
            <v>1025.3320503848845</v>
          </cell>
          <cell r="V39">
            <v>1028.5</v>
          </cell>
          <cell r="W39">
            <v>1024.25</v>
          </cell>
          <cell r="X39">
            <v>1027.25</v>
          </cell>
          <cell r="Y39">
            <v>1010.7500000000001</v>
          </cell>
          <cell r="Z39">
            <v>1010.7500000000001</v>
          </cell>
          <cell r="AA39">
            <v>986.85759272218343</v>
          </cell>
          <cell r="AB39">
            <v>997.62631210636812</v>
          </cell>
          <cell r="AC39">
            <v>1004.1479625918503</v>
          </cell>
          <cell r="AD39">
            <v>1004.1933867735469</v>
          </cell>
          <cell r="AE39">
            <v>999.39779559118233</v>
          </cell>
          <cell r="AF39">
            <v>12146.305100170015</v>
          </cell>
          <cell r="AG39">
            <v>1012.1920916808346</v>
          </cell>
        </row>
        <row r="40">
          <cell r="B40" t="str">
            <v>64RW1N</v>
          </cell>
          <cell r="C40" t="str">
            <v>1-64 GAL CART WKLY NONREC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</row>
        <row r="41">
          <cell r="B41" t="str">
            <v>64RW1R</v>
          </cell>
          <cell r="C41" t="str">
            <v>1-64 GAL CART WKLY W/REC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</row>
        <row r="42">
          <cell r="B42" t="str">
            <v>65RM1</v>
          </cell>
          <cell r="C42" t="str">
            <v>1-65 GAL CART MONTHLY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</row>
        <row r="43">
          <cell r="B43" t="str">
            <v>65RW1N</v>
          </cell>
          <cell r="C43" t="str">
            <v>1-65 GAL CART WKLY NONREC</v>
          </cell>
          <cell r="D43">
            <v>43.78</v>
          </cell>
          <cell r="E43">
            <v>45.8</v>
          </cell>
          <cell r="F43">
            <v>306.45999999999998</v>
          </cell>
          <cell r="G43">
            <v>306.45999999999998</v>
          </cell>
          <cell r="H43">
            <v>306.45999999999998</v>
          </cell>
          <cell r="I43">
            <v>306.45999999999998</v>
          </cell>
          <cell r="J43">
            <v>306.45999999999998</v>
          </cell>
          <cell r="K43">
            <v>218.89999999999998</v>
          </cell>
          <cell r="L43">
            <v>218.89999999999998</v>
          </cell>
          <cell r="M43">
            <v>218.9</v>
          </cell>
          <cell r="N43">
            <v>218.9</v>
          </cell>
          <cell r="O43">
            <v>229</v>
          </cell>
          <cell r="P43">
            <v>229</v>
          </cell>
          <cell r="Q43">
            <v>274.8</v>
          </cell>
          <cell r="R43">
            <v>3140.7000000000003</v>
          </cell>
          <cell r="T43">
            <v>6.9999999999999991</v>
          </cell>
          <cell r="U43">
            <v>6.9999999999999991</v>
          </cell>
          <cell r="V43">
            <v>6.9999999999999991</v>
          </cell>
          <cell r="W43">
            <v>6.9999999999999991</v>
          </cell>
          <cell r="X43">
            <v>6.9999999999999991</v>
          </cell>
          <cell r="Y43">
            <v>4.9999999999999991</v>
          </cell>
          <cell r="Z43">
            <v>4.9999999999999991</v>
          </cell>
          <cell r="AA43">
            <v>5</v>
          </cell>
          <cell r="AB43">
            <v>5</v>
          </cell>
          <cell r="AC43">
            <v>5</v>
          </cell>
          <cell r="AD43">
            <v>5</v>
          </cell>
          <cell r="AE43">
            <v>6.0000000000000009</v>
          </cell>
          <cell r="AF43">
            <v>71</v>
          </cell>
          <cell r="AG43">
            <v>5.916666666666667</v>
          </cell>
        </row>
        <row r="44">
          <cell r="B44" t="str">
            <v>65RW1R</v>
          </cell>
          <cell r="C44" t="str">
            <v>1-65 GAL CART WKLY W/REC</v>
          </cell>
          <cell r="D44">
            <v>43.78</v>
          </cell>
          <cell r="E44">
            <v>45.8</v>
          </cell>
          <cell r="F44">
            <v>24494.91</v>
          </cell>
          <cell r="G44">
            <v>24258.16</v>
          </cell>
          <cell r="H44">
            <v>24465.82</v>
          </cell>
          <cell r="I44">
            <v>24463.399999999998</v>
          </cell>
          <cell r="J44">
            <v>24619.34</v>
          </cell>
          <cell r="K44">
            <v>24791.930000000004</v>
          </cell>
          <cell r="L44">
            <v>24773.260000000002</v>
          </cell>
          <cell r="M44">
            <v>25211.805</v>
          </cell>
          <cell r="N44">
            <v>25036.684999999998</v>
          </cell>
          <cell r="O44">
            <v>26216.46</v>
          </cell>
          <cell r="P44">
            <v>26216.46</v>
          </cell>
          <cell r="Q44">
            <v>26243.4</v>
          </cell>
          <cell r="R44">
            <v>300791.63</v>
          </cell>
          <cell r="T44">
            <v>559.5</v>
          </cell>
          <cell r="U44">
            <v>554.09227957971677</v>
          </cell>
          <cell r="V44">
            <v>558.83554134307906</v>
          </cell>
          <cell r="W44">
            <v>558.78026496116945</v>
          </cell>
          <cell r="X44">
            <v>562.34216537231612</v>
          </cell>
          <cell r="Y44">
            <v>566.28437642759263</v>
          </cell>
          <cell r="Z44">
            <v>565.85792599360445</v>
          </cell>
          <cell r="AA44">
            <v>575.87494289629967</v>
          </cell>
          <cell r="AB44">
            <v>571.87494289629956</v>
          </cell>
          <cell r="AC44">
            <v>572.41179039301312</v>
          </cell>
          <cell r="AD44">
            <v>572.41179039301312</v>
          </cell>
          <cell r="AE44">
            <v>573.00000000000011</v>
          </cell>
          <cell r="AF44">
            <v>6791.2660202561028</v>
          </cell>
          <cell r="AG44">
            <v>565.9388350213419</v>
          </cell>
        </row>
        <row r="45">
          <cell r="B45" t="str">
            <v>95RM1</v>
          </cell>
          <cell r="C45" t="str">
            <v>1-95 GAL CART MONTHLY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</row>
        <row r="46">
          <cell r="B46" t="str">
            <v>95RW1N</v>
          </cell>
          <cell r="C46" t="str">
            <v>1-95 GAL CART WKLY NONREC</v>
          </cell>
          <cell r="D46">
            <v>61.35</v>
          </cell>
          <cell r="E46">
            <v>64.150000000000006</v>
          </cell>
          <cell r="F46">
            <v>122.7</v>
          </cell>
          <cell r="G46">
            <v>122.7</v>
          </cell>
          <cell r="H46">
            <v>122.7</v>
          </cell>
          <cell r="I46">
            <v>122.7</v>
          </cell>
          <cell r="J46">
            <v>122.7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64.150000000000006</v>
          </cell>
          <cell r="R46">
            <v>677.65</v>
          </cell>
          <cell r="T46">
            <v>2</v>
          </cell>
          <cell r="U46">
            <v>2</v>
          </cell>
          <cell r="V46">
            <v>2</v>
          </cell>
          <cell r="W46">
            <v>2</v>
          </cell>
          <cell r="X46">
            <v>2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1</v>
          </cell>
          <cell r="AF46">
            <v>11</v>
          </cell>
          <cell r="AG46">
            <v>0.91666666666666663</v>
          </cell>
        </row>
        <row r="47">
          <cell r="B47" t="str">
            <v>95RW1R</v>
          </cell>
          <cell r="C47" t="str">
            <v>1-95 GAL CART WKLY W/REC</v>
          </cell>
          <cell r="D47">
            <v>61.35</v>
          </cell>
          <cell r="E47">
            <v>64.150000000000006</v>
          </cell>
          <cell r="F47">
            <v>8404.9499999999989</v>
          </cell>
          <cell r="G47">
            <v>8404.9499999999989</v>
          </cell>
          <cell r="H47">
            <v>8527.65</v>
          </cell>
          <cell r="I47">
            <v>8834.4</v>
          </cell>
          <cell r="J47">
            <v>8834.4</v>
          </cell>
          <cell r="K47">
            <v>9141.15</v>
          </cell>
          <cell r="L47">
            <v>9325.1999999999989</v>
          </cell>
          <cell r="M47">
            <v>8811.7250000000004</v>
          </cell>
          <cell r="N47">
            <v>9340.5450000000001</v>
          </cell>
          <cell r="O47">
            <v>9648.9750000000004</v>
          </cell>
          <cell r="P47">
            <v>9713.125</v>
          </cell>
          <cell r="Q47">
            <v>10368.24</v>
          </cell>
          <cell r="R47">
            <v>109355.31000000001</v>
          </cell>
          <cell r="T47">
            <v>136.99999999999997</v>
          </cell>
          <cell r="U47">
            <v>136.99999999999997</v>
          </cell>
          <cell r="V47">
            <v>139</v>
          </cell>
          <cell r="W47">
            <v>144</v>
          </cell>
          <cell r="X47">
            <v>144</v>
          </cell>
          <cell r="Y47">
            <v>149</v>
          </cell>
          <cell r="Z47">
            <v>151.99999999999997</v>
          </cell>
          <cell r="AA47">
            <v>143.63039934800327</v>
          </cell>
          <cell r="AB47">
            <v>152.25012224938874</v>
          </cell>
          <cell r="AC47">
            <v>150.41270459859703</v>
          </cell>
          <cell r="AD47">
            <v>151.41270459859703</v>
          </cell>
          <cell r="AE47">
            <v>161.62494154325796</v>
          </cell>
          <cell r="AF47">
            <v>1761.3308723378441</v>
          </cell>
          <cell r="AG47">
            <v>146.77757269482035</v>
          </cell>
        </row>
        <row r="48">
          <cell r="B48" t="str">
            <v>96RW1N</v>
          </cell>
          <cell r="C48" t="str">
            <v>1-96 GAL CART WKLY NONREC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</row>
        <row r="49">
          <cell r="B49" t="str">
            <v>96RW1R</v>
          </cell>
          <cell r="C49" t="str">
            <v>1-96 GAL CART WKLY W/REC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</row>
        <row r="50">
          <cell r="B50" t="str">
            <v>ADJRES</v>
          </cell>
          <cell r="C50" t="str">
            <v>SERVICE ADJ-RESIDENTIAL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</row>
        <row r="51">
          <cell r="B51" t="str">
            <v>CARRY-RES</v>
          </cell>
          <cell r="C51" t="str">
            <v>CARRY OUT -RES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</row>
        <row r="52">
          <cell r="B52" t="str">
            <v>DELTOT</v>
          </cell>
          <cell r="C52" t="str">
            <v>GARB CART REDELIVERY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</row>
        <row r="53">
          <cell r="B53" t="str">
            <v>DRIVEPRVT-RES</v>
          </cell>
          <cell r="C53" t="str">
            <v>DRIVE IN PRIVATE RD - RES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</row>
        <row r="54">
          <cell r="B54" t="str">
            <v>DRVNRE1</v>
          </cell>
          <cell r="C54" t="str">
            <v>DRIVE IN UP TO 125'-EOW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</row>
        <row r="55">
          <cell r="B55" t="str">
            <v>DRVNRW1</v>
          </cell>
          <cell r="C55" t="str">
            <v>DRIVE IN UP TO 125'-WKLY</v>
          </cell>
          <cell r="D55">
            <v>6.89</v>
          </cell>
          <cell r="E55">
            <v>7.25</v>
          </cell>
          <cell r="F55">
            <v>13.78</v>
          </cell>
          <cell r="G55">
            <v>13.78</v>
          </cell>
          <cell r="H55">
            <v>13.78</v>
          </cell>
          <cell r="I55">
            <v>13.78</v>
          </cell>
          <cell r="J55">
            <v>13.78</v>
          </cell>
          <cell r="K55">
            <v>13.78</v>
          </cell>
          <cell r="L55">
            <v>13.78</v>
          </cell>
          <cell r="M55">
            <v>13.78</v>
          </cell>
          <cell r="N55">
            <v>13.78</v>
          </cell>
          <cell r="O55">
            <v>14.5</v>
          </cell>
          <cell r="P55">
            <v>14.5</v>
          </cell>
          <cell r="Q55">
            <v>14.5</v>
          </cell>
          <cell r="R55">
            <v>167.51999999999998</v>
          </cell>
          <cell r="T55">
            <v>2</v>
          </cell>
          <cell r="U55">
            <v>2</v>
          </cell>
          <cell r="V55">
            <v>2</v>
          </cell>
          <cell r="W55">
            <v>2</v>
          </cell>
          <cell r="X55">
            <v>2</v>
          </cell>
          <cell r="Y55">
            <v>2</v>
          </cell>
          <cell r="Z55">
            <v>2</v>
          </cell>
          <cell r="AA55">
            <v>2</v>
          </cell>
          <cell r="AB55">
            <v>2</v>
          </cell>
          <cell r="AC55">
            <v>2</v>
          </cell>
          <cell r="AD55">
            <v>2</v>
          </cell>
          <cell r="AE55">
            <v>2</v>
          </cell>
          <cell r="AF55">
            <v>24</v>
          </cell>
          <cell r="AG55">
            <v>2</v>
          </cell>
        </row>
        <row r="56">
          <cell r="B56" t="str">
            <v>DRVNRW2</v>
          </cell>
          <cell r="C56" t="str">
            <v>DRIVE IN OVER 125'-WKLY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</row>
        <row r="57">
          <cell r="B57" t="str">
            <v>GWCR</v>
          </cell>
          <cell r="C57" t="str">
            <v>GOOD WILL CREDIT - RESI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-15</v>
          </cell>
          <cell r="Q57">
            <v>0</v>
          </cell>
          <cell r="R57">
            <v>-15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</row>
        <row r="58">
          <cell r="B58" t="str">
            <v>IMPCNR1</v>
          </cell>
          <cell r="C58" t="str">
            <v>1 IMPROPER CAN - RESI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</row>
        <row r="59">
          <cell r="B59" t="str">
            <v>IMPCNR2</v>
          </cell>
          <cell r="C59" t="str">
            <v>2 IMPROPER CANS - RESI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</row>
        <row r="60">
          <cell r="B60" t="str">
            <v>OBSR</v>
          </cell>
          <cell r="C60" t="str">
            <v>OBSTRUCTION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</row>
        <row r="61">
          <cell r="B61" t="str">
            <v>OS</v>
          </cell>
          <cell r="C61" t="str">
            <v>OVERSIZE UNIT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</row>
        <row r="62">
          <cell r="B62" t="str">
            <v>OSOW</v>
          </cell>
          <cell r="C62" t="str">
            <v>OVERSIZE/OVERWEIGHT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</row>
        <row r="63">
          <cell r="B63" t="str">
            <v>OW</v>
          </cell>
          <cell r="C63" t="str">
            <v>OVERWEIGHT UNIT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</row>
        <row r="64">
          <cell r="B64" t="str">
            <v>PACKLC</v>
          </cell>
          <cell r="C64" t="str">
            <v>CARRY-OUT LONG DISTANCE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</row>
        <row r="65">
          <cell r="B65" t="str">
            <v>PACKR</v>
          </cell>
          <cell r="C65" t="str">
            <v>CARRY-OUT RESIDENTIAL</v>
          </cell>
          <cell r="D65">
            <v>6.89</v>
          </cell>
          <cell r="E65">
            <v>7.25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</row>
        <row r="66">
          <cell r="B66" t="str">
            <v>PACKSNR</v>
          </cell>
          <cell r="C66" t="str">
            <v>CARRY-OUT SENIOR SERVICE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</row>
        <row r="67">
          <cell r="B67" t="str">
            <v>RESTART FEE</v>
          </cell>
          <cell r="C67" t="str">
            <v>RESTART FEE</v>
          </cell>
          <cell r="D67">
            <v>27.71</v>
          </cell>
          <cell r="E67">
            <v>29.16</v>
          </cell>
          <cell r="F67">
            <v>27.71</v>
          </cell>
          <cell r="G67">
            <v>193.97</v>
          </cell>
          <cell r="H67">
            <v>83.13</v>
          </cell>
          <cell r="I67">
            <v>304.81</v>
          </cell>
          <cell r="J67">
            <v>27.71</v>
          </cell>
          <cell r="K67">
            <v>138.55000000000001</v>
          </cell>
          <cell r="L67">
            <v>27.71</v>
          </cell>
          <cell r="M67">
            <v>166.26</v>
          </cell>
          <cell r="N67">
            <v>55.42</v>
          </cell>
          <cell r="O67">
            <v>379.08</v>
          </cell>
          <cell r="P67">
            <v>58.32</v>
          </cell>
          <cell r="Q67">
            <v>408.24</v>
          </cell>
          <cell r="R67">
            <v>1870.91</v>
          </cell>
          <cell r="T67">
            <v>1</v>
          </cell>
          <cell r="U67">
            <v>7</v>
          </cell>
          <cell r="V67">
            <v>2.9999999999999996</v>
          </cell>
          <cell r="W67">
            <v>11</v>
          </cell>
          <cell r="X67">
            <v>1</v>
          </cell>
          <cell r="Y67">
            <v>5</v>
          </cell>
          <cell r="Z67">
            <v>1</v>
          </cell>
          <cell r="AA67">
            <v>5.9999999999999991</v>
          </cell>
          <cell r="AB67">
            <v>2</v>
          </cell>
          <cell r="AC67">
            <v>13</v>
          </cell>
          <cell r="AD67">
            <v>2</v>
          </cell>
          <cell r="AE67">
            <v>14</v>
          </cell>
          <cell r="AF67">
            <v>66</v>
          </cell>
          <cell r="AG67">
            <v>5.5</v>
          </cell>
        </row>
        <row r="68">
          <cell r="B68" t="str">
            <v>REXTRA</v>
          </cell>
          <cell r="C68" t="str">
            <v>EXTRA UNITS</v>
          </cell>
          <cell r="D68">
            <v>7.49</v>
          </cell>
          <cell r="E68">
            <v>7.85</v>
          </cell>
          <cell r="F68">
            <v>904.85</v>
          </cell>
          <cell r="G68">
            <v>112.35000000000001</v>
          </cell>
          <cell r="H68">
            <v>164.78</v>
          </cell>
          <cell r="I68">
            <v>-7.4899999999999949</v>
          </cell>
          <cell r="J68">
            <v>127.33</v>
          </cell>
          <cell r="K68">
            <v>232.19</v>
          </cell>
          <cell r="L68">
            <v>194.74</v>
          </cell>
          <cell r="M68">
            <v>344.53999999999996</v>
          </cell>
          <cell r="N68">
            <v>554.26</v>
          </cell>
          <cell r="O68">
            <v>277.27</v>
          </cell>
          <cell r="P68">
            <v>423.90000000000003</v>
          </cell>
          <cell r="Q68">
            <v>314</v>
          </cell>
          <cell r="R68">
            <v>3642.7200000000003</v>
          </cell>
          <cell r="T68">
            <v>120.80774365821095</v>
          </cell>
          <cell r="U68">
            <v>15</v>
          </cell>
          <cell r="V68">
            <v>22</v>
          </cell>
          <cell r="W68">
            <v>-0.99999999999999933</v>
          </cell>
          <cell r="X68">
            <v>17</v>
          </cell>
          <cell r="Y68">
            <v>31</v>
          </cell>
          <cell r="Z68">
            <v>26</v>
          </cell>
          <cell r="AA68">
            <v>45.999999999999993</v>
          </cell>
          <cell r="AB68">
            <v>74</v>
          </cell>
          <cell r="AC68">
            <v>35.321019108280254</v>
          </cell>
          <cell r="AD68">
            <v>54.000000000000007</v>
          </cell>
          <cell r="AE68">
            <v>40</v>
          </cell>
          <cell r="AF68">
            <v>480.12876276649121</v>
          </cell>
          <cell r="AG68">
            <v>40.010730230540936</v>
          </cell>
        </row>
        <row r="69">
          <cell r="B69" t="str">
            <v>SUNKENR</v>
          </cell>
          <cell r="C69" t="str">
            <v>SUNKEN CAN CHARGE - RESI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</row>
        <row r="70">
          <cell r="B70" t="str">
            <v>TRIPRCANS</v>
          </cell>
          <cell r="C70" t="str">
            <v>RETURN TRIP CHARGE - CANS</v>
          </cell>
          <cell r="D70">
            <v>8.33</v>
          </cell>
          <cell r="E70">
            <v>8.77</v>
          </cell>
          <cell r="F70">
            <v>8.33</v>
          </cell>
          <cell r="G70">
            <v>16.66</v>
          </cell>
          <cell r="H70">
            <v>33.32</v>
          </cell>
          <cell r="I70">
            <v>8.33</v>
          </cell>
          <cell r="J70">
            <v>49.98</v>
          </cell>
          <cell r="K70">
            <v>16.66</v>
          </cell>
          <cell r="L70">
            <v>8.33</v>
          </cell>
          <cell r="M70">
            <v>8.33</v>
          </cell>
          <cell r="N70">
            <v>0</v>
          </cell>
          <cell r="O70">
            <v>26.31</v>
          </cell>
          <cell r="P70">
            <v>8.77</v>
          </cell>
          <cell r="Q70">
            <v>8.77</v>
          </cell>
          <cell r="R70">
            <v>193.79000000000005</v>
          </cell>
          <cell r="T70">
            <v>1</v>
          </cell>
          <cell r="U70">
            <v>2</v>
          </cell>
          <cell r="V70">
            <v>4</v>
          </cell>
          <cell r="W70">
            <v>1</v>
          </cell>
          <cell r="X70">
            <v>6</v>
          </cell>
          <cell r="Y70">
            <v>2</v>
          </cell>
          <cell r="Z70">
            <v>1</v>
          </cell>
          <cell r="AA70">
            <v>1</v>
          </cell>
          <cell r="AB70">
            <v>0</v>
          </cell>
          <cell r="AC70">
            <v>3</v>
          </cell>
          <cell r="AD70">
            <v>1</v>
          </cell>
          <cell r="AE70">
            <v>1</v>
          </cell>
          <cell r="AF70">
            <v>23</v>
          </cell>
          <cell r="AG70">
            <v>1.9166666666666667</v>
          </cell>
        </row>
        <row r="71">
          <cell r="B71" t="str">
            <v>TRIPRCARTS</v>
          </cell>
          <cell r="C71" t="str">
            <v>RESI TRIP CHARGE - CARTS</v>
          </cell>
          <cell r="D71">
            <v>8.33</v>
          </cell>
          <cell r="E71">
            <v>8.77</v>
          </cell>
          <cell r="F71">
            <v>24.99</v>
          </cell>
          <cell r="G71">
            <v>0</v>
          </cell>
          <cell r="H71">
            <v>8.33</v>
          </cell>
          <cell r="I71">
            <v>0</v>
          </cell>
          <cell r="J71">
            <v>24.99</v>
          </cell>
          <cell r="K71">
            <v>8.33</v>
          </cell>
          <cell r="L71">
            <v>0</v>
          </cell>
          <cell r="M71">
            <v>8.33</v>
          </cell>
          <cell r="N71">
            <v>0</v>
          </cell>
          <cell r="O71">
            <v>17.54</v>
          </cell>
          <cell r="P71">
            <v>0</v>
          </cell>
          <cell r="Q71">
            <v>0</v>
          </cell>
          <cell r="R71">
            <v>92.509999999999991</v>
          </cell>
          <cell r="T71">
            <v>3</v>
          </cell>
          <cell r="U71">
            <v>0</v>
          </cell>
          <cell r="V71">
            <v>1</v>
          </cell>
          <cell r="W71">
            <v>0</v>
          </cell>
          <cell r="X71">
            <v>3</v>
          </cell>
          <cell r="Y71">
            <v>1</v>
          </cell>
          <cell r="Z71">
            <v>0</v>
          </cell>
          <cell r="AA71">
            <v>1</v>
          </cell>
          <cell r="AB71">
            <v>0</v>
          </cell>
          <cell r="AC71">
            <v>2</v>
          </cell>
          <cell r="AD71">
            <v>0</v>
          </cell>
          <cell r="AE71">
            <v>0</v>
          </cell>
          <cell r="AF71">
            <v>11</v>
          </cell>
          <cell r="AG71">
            <v>0.91666666666666663</v>
          </cell>
        </row>
        <row r="72">
          <cell r="B72" t="str">
            <v>BULKY-RES</v>
          </cell>
          <cell r="C72" t="str">
            <v>BULKY ITEM</v>
          </cell>
          <cell r="D72">
            <v>37.729999999999997</v>
          </cell>
          <cell r="E72">
            <v>39.700000000000003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188.66</v>
          </cell>
          <cell r="P72">
            <v>0</v>
          </cell>
          <cell r="Q72">
            <v>82.4</v>
          </cell>
          <cell r="R72">
            <v>271.06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4.7521410579345087</v>
          </cell>
          <cell r="AD72">
            <v>0</v>
          </cell>
          <cell r="AE72">
            <v>2.0755667506297231</v>
          </cell>
          <cell r="AF72">
            <v>6.8277078085642318</v>
          </cell>
          <cell r="AG72">
            <v>0.56897565071368594</v>
          </cell>
        </row>
        <row r="73">
          <cell r="B73" t="str">
            <v>DELCART</v>
          </cell>
          <cell r="C73" t="str">
            <v>CART REDELIVERY</v>
          </cell>
          <cell r="D73">
            <v>27.72</v>
          </cell>
          <cell r="E73">
            <v>29.17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58.34</v>
          </cell>
          <cell r="R73">
            <v>58.34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2</v>
          </cell>
          <cell r="AF73">
            <v>2</v>
          </cell>
          <cell r="AG73">
            <v>0.16666666666666666</v>
          </cell>
        </row>
        <row r="106">
          <cell r="B106" t="str">
            <v>20CW1</v>
          </cell>
          <cell r="C106" t="str">
            <v>1-20 GAL CART WKLY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</row>
        <row r="107">
          <cell r="B107" t="str">
            <v>32C2W2</v>
          </cell>
          <cell r="C107" t="str">
            <v>2-32 GAL CANS 2X WEEKLY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</row>
        <row r="108">
          <cell r="B108" t="str">
            <v>32CE1</v>
          </cell>
          <cell r="C108" t="str">
            <v>32 GAL CAN COMM EOW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</row>
        <row r="109">
          <cell r="B109" t="str">
            <v>32CW1</v>
          </cell>
          <cell r="C109" t="str">
            <v>1-32 GAL CAN WEEKLY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</row>
        <row r="110">
          <cell r="B110" t="str">
            <v>32CW2</v>
          </cell>
          <cell r="C110" t="str">
            <v>2-32 GAL CANS WKLY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</row>
        <row r="111">
          <cell r="B111" t="str">
            <v>32CW3</v>
          </cell>
          <cell r="C111" t="str">
            <v>3-32 GAL CANS WKLY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</row>
        <row r="112">
          <cell r="B112" t="str">
            <v>32CW4</v>
          </cell>
          <cell r="C112" t="str">
            <v>4-32 GAL CANS WKLY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</row>
        <row r="113">
          <cell r="B113" t="str">
            <v>35CW1</v>
          </cell>
          <cell r="C113" t="str">
            <v>1-35 GAL CART WKLY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</row>
        <row r="114">
          <cell r="B114" t="str">
            <v>65CW1</v>
          </cell>
          <cell r="C114" t="str">
            <v>1-65 GAL CART WKLY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</row>
        <row r="115">
          <cell r="B115" t="str">
            <v>95CW1</v>
          </cell>
          <cell r="C115" t="str">
            <v>1-95 GAL CART WKLY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</row>
        <row r="116">
          <cell r="B116" t="str">
            <v>F1YD1W</v>
          </cell>
          <cell r="C116" t="str">
            <v>1YD CONT 1X WEEKLY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</row>
        <row r="117">
          <cell r="B117" t="str">
            <v>R1YD1W</v>
          </cell>
          <cell r="C117" t="str">
            <v>1YD CONT 1xWEEKLY</v>
          </cell>
          <cell r="D117">
            <v>113.03</v>
          </cell>
          <cell r="E117">
            <v>118.19</v>
          </cell>
          <cell r="F117">
            <v>2514.9150000000004</v>
          </cell>
          <cell r="G117">
            <v>2498.7200000000003</v>
          </cell>
          <cell r="H117">
            <v>2700.66</v>
          </cell>
          <cell r="I117">
            <v>2712.72</v>
          </cell>
          <cell r="J117">
            <v>2656.2</v>
          </cell>
          <cell r="K117">
            <v>2712.72</v>
          </cell>
          <cell r="L117">
            <v>2712.72</v>
          </cell>
          <cell r="M117">
            <v>2755.0999999999995</v>
          </cell>
          <cell r="N117">
            <v>2783.3599999999997</v>
          </cell>
          <cell r="O117">
            <v>2777.4649999999997</v>
          </cell>
          <cell r="P117">
            <v>2777.4649999999997</v>
          </cell>
          <cell r="Q117">
            <v>2718.37</v>
          </cell>
          <cell r="R117">
            <v>32320.414999999997</v>
          </cell>
          <cell r="T117">
            <v>22.249977881978239</v>
          </cell>
          <cell r="U117">
            <v>22.10669733699018</v>
          </cell>
          <cell r="V117">
            <v>23.89330266300982</v>
          </cell>
          <cell r="W117">
            <v>23.999999999999996</v>
          </cell>
          <cell r="X117">
            <v>23.499955763956471</v>
          </cell>
          <cell r="Y117">
            <v>23.999999999999996</v>
          </cell>
          <cell r="Z117">
            <v>23.999999999999996</v>
          </cell>
          <cell r="AA117">
            <v>24.374944704945584</v>
          </cell>
          <cell r="AB117">
            <v>24.624966822967352</v>
          </cell>
          <cell r="AC117">
            <v>23.499999999999996</v>
          </cell>
          <cell r="AD117">
            <v>23.499999999999996</v>
          </cell>
          <cell r="AE117">
            <v>23</v>
          </cell>
          <cell r="AF117">
            <v>282.74984517384763</v>
          </cell>
          <cell r="AG117">
            <v>23.562487097820636</v>
          </cell>
        </row>
        <row r="118">
          <cell r="B118" t="str">
            <v>F1YD2W</v>
          </cell>
          <cell r="C118" t="str">
            <v>1YD CONT 2X WEEKLY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</row>
        <row r="119">
          <cell r="B119" t="str">
            <v>R1YD2W</v>
          </cell>
          <cell r="C119" t="str">
            <v>1YD CONT 2xWEEKLY</v>
          </cell>
          <cell r="D119">
            <v>217.82</v>
          </cell>
          <cell r="E119">
            <v>227.71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</row>
        <row r="120">
          <cell r="B120" t="str">
            <v>R1YD3W</v>
          </cell>
          <cell r="C120" t="str">
            <v>1YD CONT 3xWEEKLY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</row>
        <row r="121">
          <cell r="B121" t="str">
            <v>R1YDEOW</v>
          </cell>
          <cell r="C121" t="str">
            <v>1YD CONT EOW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</row>
        <row r="122">
          <cell r="B122" t="str">
            <v>R1YDTPU</v>
          </cell>
          <cell r="C122" t="str">
            <v>1YD TEMP CONT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</row>
        <row r="123">
          <cell r="B123" t="str">
            <v>F1.5YD1W</v>
          </cell>
          <cell r="C123" t="str">
            <v>1.5YD CONT 1X WEEKLY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</row>
        <row r="124">
          <cell r="B124" t="str">
            <v>R1.5YD1W</v>
          </cell>
          <cell r="C124" t="str">
            <v>1.5YD CONT 1xWEEKLY</v>
          </cell>
          <cell r="D124">
            <v>161.12</v>
          </cell>
          <cell r="E124">
            <v>168.41</v>
          </cell>
          <cell r="F124">
            <v>805.6</v>
          </cell>
          <cell r="G124">
            <v>805.6</v>
          </cell>
          <cell r="H124">
            <v>805.6</v>
          </cell>
          <cell r="I124">
            <v>906.3</v>
          </cell>
          <cell r="J124">
            <v>946.57999999999993</v>
          </cell>
          <cell r="K124">
            <v>805.6</v>
          </cell>
          <cell r="L124">
            <v>805.6</v>
          </cell>
          <cell r="M124">
            <v>805.6</v>
          </cell>
          <cell r="N124">
            <v>805.6</v>
          </cell>
          <cell r="O124">
            <v>842.05</v>
          </cell>
          <cell r="P124">
            <v>842.05</v>
          </cell>
          <cell r="Q124">
            <v>842.05</v>
          </cell>
          <cell r="R124">
            <v>10018.23</v>
          </cell>
          <cell r="T124">
            <v>5</v>
          </cell>
          <cell r="U124">
            <v>5</v>
          </cell>
          <cell r="V124">
            <v>5</v>
          </cell>
          <cell r="W124">
            <v>5.625</v>
          </cell>
          <cell r="X124">
            <v>5.8749999999999991</v>
          </cell>
          <cell r="Y124">
            <v>5</v>
          </cell>
          <cell r="Z124">
            <v>5</v>
          </cell>
          <cell r="AA124">
            <v>5</v>
          </cell>
          <cell r="AB124">
            <v>5</v>
          </cell>
          <cell r="AC124">
            <v>5</v>
          </cell>
          <cell r="AD124">
            <v>5</v>
          </cell>
          <cell r="AE124">
            <v>5</v>
          </cell>
          <cell r="AF124">
            <v>61.5</v>
          </cell>
          <cell r="AG124">
            <v>5.125</v>
          </cell>
        </row>
        <row r="125">
          <cell r="B125" t="str">
            <v>R1.5YD2W</v>
          </cell>
          <cell r="C125" t="str">
            <v>1.5YD CONT 2xWEEKLY</v>
          </cell>
          <cell r="D125">
            <v>320.76</v>
          </cell>
          <cell r="E125">
            <v>335.28</v>
          </cell>
          <cell r="F125">
            <v>320.76</v>
          </cell>
          <cell r="G125">
            <v>320.76</v>
          </cell>
          <cell r="H125">
            <v>320.76</v>
          </cell>
          <cell r="I125">
            <v>320.76</v>
          </cell>
          <cell r="J125">
            <v>320.76</v>
          </cell>
          <cell r="K125">
            <v>320.76</v>
          </cell>
          <cell r="L125">
            <v>320.76</v>
          </cell>
          <cell r="M125">
            <v>962.28</v>
          </cell>
          <cell r="N125">
            <v>320.76</v>
          </cell>
          <cell r="O125">
            <v>670.56</v>
          </cell>
          <cell r="P125">
            <v>670.56</v>
          </cell>
          <cell r="Q125">
            <v>670.56</v>
          </cell>
          <cell r="R125">
            <v>5540.0399999999991</v>
          </cell>
          <cell r="T125">
            <v>1</v>
          </cell>
          <cell r="U125">
            <v>1</v>
          </cell>
          <cell r="V125">
            <v>1</v>
          </cell>
          <cell r="W125">
            <v>1</v>
          </cell>
          <cell r="X125">
            <v>1</v>
          </cell>
          <cell r="Y125">
            <v>1</v>
          </cell>
          <cell r="Z125">
            <v>1</v>
          </cell>
          <cell r="AA125">
            <v>3</v>
          </cell>
          <cell r="AB125">
            <v>1</v>
          </cell>
          <cell r="AC125">
            <v>2</v>
          </cell>
          <cell r="AD125">
            <v>2</v>
          </cell>
          <cell r="AE125">
            <v>2</v>
          </cell>
          <cell r="AF125">
            <v>17</v>
          </cell>
          <cell r="AG125">
            <v>1.4166666666666667</v>
          </cell>
        </row>
        <row r="126">
          <cell r="B126" t="str">
            <v>R1.5YD3W</v>
          </cell>
          <cell r="C126" t="str">
            <v>1.5YD CONT 3xWEEKLY</v>
          </cell>
          <cell r="D126">
            <v>479.45</v>
          </cell>
          <cell r="E126">
            <v>501.14</v>
          </cell>
          <cell r="F126">
            <v>479.45</v>
          </cell>
          <cell r="G126">
            <v>479.45</v>
          </cell>
          <cell r="H126">
            <v>479.45</v>
          </cell>
          <cell r="I126">
            <v>479.45</v>
          </cell>
          <cell r="J126">
            <v>479.45</v>
          </cell>
          <cell r="K126">
            <v>479.45</v>
          </cell>
          <cell r="L126">
            <v>479.45</v>
          </cell>
          <cell r="M126">
            <v>479.45</v>
          </cell>
          <cell r="N126">
            <v>479.45</v>
          </cell>
          <cell r="O126">
            <v>501.14</v>
          </cell>
          <cell r="P126">
            <v>501.14</v>
          </cell>
          <cell r="Q126">
            <v>501.14</v>
          </cell>
          <cell r="R126">
            <v>5818.47</v>
          </cell>
          <cell r="T126">
            <v>1</v>
          </cell>
          <cell r="U126">
            <v>1</v>
          </cell>
          <cell r="V126">
            <v>1</v>
          </cell>
          <cell r="W126">
            <v>1</v>
          </cell>
          <cell r="X126">
            <v>1</v>
          </cell>
          <cell r="Y126">
            <v>1</v>
          </cell>
          <cell r="Z126">
            <v>1</v>
          </cell>
          <cell r="AA126">
            <v>1</v>
          </cell>
          <cell r="AB126">
            <v>1</v>
          </cell>
          <cell r="AC126">
            <v>1</v>
          </cell>
          <cell r="AD126">
            <v>1</v>
          </cell>
          <cell r="AE126">
            <v>1</v>
          </cell>
          <cell r="AF126">
            <v>12</v>
          </cell>
          <cell r="AG126">
            <v>1</v>
          </cell>
        </row>
        <row r="127">
          <cell r="B127" t="str">
            <v>R1.5YDEOW</v>
          </cell>
          <cell r="C127" t="str">
            <v>1.5YD CONT EOW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</row>
        <row r="128">
          <cell r="B128" t="str">
            <v>R1.5YDTPU</v>
          </cell>
          <cell r="C128" t="str">
            <v>1.5YD TEMP CONTAINER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</row>
        <row r="129">
          <cell r="B129" t="str">
            <v>F2YD1W</v>
          </cell>
          <cell r="C129" t="str">
            <v>2YD CONT 1X WEEKLY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</row>
        <row r="130">
          <cell r="B130" t="str">
            <v>R2YD1W</v>
          </cell>
          <cell r="C130" t="str">
            <v>2YD CONT 1xWEEKLY</v>
          </cell>
          <cell r="D130">
            <v>205.16</v>
          </cell>
          <cell r="E130">
            <v>214.49</v>
          </cell>
          <cell r="F130">
            <v>5744.48</v>
          </cell>
          <cell r="G130">
            <v>5021.59</v>
          </cell>
          <cell r="H130">
            <v>5180.29</v>
          </cell>
          <cell r="I130">
            <v>5077.71</v>
          </cell>
          <cell r="J130">
            <v>5129</v>
          </cell>
          <cell r="K130">
            <v>5590.61</v>
          </cell>
          <cell r="L130">
            <v>5590.61</v>
          </cell>
          <cell r="M130">
            <v>5436.74</v>
          </cell>
          <cell r="N130">
            <v>5436.74</v>
          </cell>
          <cell r="O130">
            <v>5362.25</v>
          </cell>
          <cell r="P130">
            <v>5362.25</v>
          </cell>
          <cell r="Q130">
            <v>5952.0950000000003</v>
          </cell>
          <cell r="R130">
            <v>64884.364999999998</v>
          </cell>
          <cell r="T130">
            <v>28</v>
          </cell>
          <cell r="U130">
            <v>24.47645739910314</v>
          </cell>
          <cell r="V130">
            <v>25.25</v>
          </cell>
          <cell r="W130">
            <v>24.75</v>
          </cell>
          <cell r="X130">
            <v>25</v>
          </cell>
          <cell r="Y130">
            <v>27.25</v>
          </cell>
          <cell r="Z130">
            <v>27.25</v>
          </cell>
          <cell r="AA130">
            <v>26.5</v>
          </cell>
          <cell r="AB130">
            <v>26.5</v>
          </cell>
          <cell r="AC130">
            <v>25</v>
          </cell>
          <cell r="AD130">
            <v>25</v>
          </cell>
          <cell r="AE130">
            <v>27.749988344444962</v>
          </cell>
          <cell r="AF130">
            <v>312.72644574354808</v>
          </cell>
          <cell r="AG130">
            <v>26.060537145295672</v>
          </cell>
        </row>
        <row r="131">
          <cell r="B131" t="str">
            <v>R2YD2W</v>
          </cell>
          <cell r="C131" t="str">
            <v>2YD CONT 2xWEEKLY</v>
          </cell>
          <cell r="D131">
            <v>410.54</v>
          </cell>
          <cell r="E131">
            <v>429.18</v>
          </cell>
          <cell r="F131">
            <v>2463.2399999999998</v>
          </cell>
          <cell r="G131">
            <v>2873.78</v>
          </cell>
          <cell r="H131">
            <v>2873.78</v>
          </cell>
          <cell r="I131">
            <v>2873.78</v>
          </cell>
          <cell r="J131">
            <v>2873.78</v>
          </cell>
          <cell r="K131">
            <v>3181.6850000000004</v>
          </cell>
          <cell r="L131">
            <v>3181.6850000000004</v>
          </cell>
          <cell r="M131">
            <v>3284.32</v>
          </cell>
          <cell r="N131">
            <v>3284.32</v>
          </cell>
          <cell r="O131">
            <v>2850.31</v>
          </cell>
          <cell r="P131">
            <v>2850.31</v>
          </cell>
          <cell r="Q131">
            <v>3004.26</v>
          </cell>
          <cell r="R131">
            <v>35595.250000000007</v>
          </cell>
          <cell r="T131">
            <v>5.9999999999999991</v>
          </cell>
          <cell r="U131">
            <v>7</v>
          </cell>
          <cell r="V131">
            <v>7</v>
          </cell>
          <cell r="W131">
            <v>7</v>
          </cell>
          <cell r="X131">
            <v>7</v>
          </cell>
          <cell r="Y131">
            <v>7.7500000000000009</v>
          </cell>
          <cell r="Z131">
            <v>7.7500000000000009</v>
          </cell>
          <cell r="AA131">
            <v>8</v>
          </cell>
          <cell r="AB131">
            <v>8</v>
          </cell>
          <cell r="AC131">
            <v>6.6412926977025952</v>
          </cell>
          <cell r="AD131">
            <v>6.6412926977025952</v>
          </cell>
          <cell r="AE131">
            <v>7</v>
          </cell>
          <cell r="AF131">
            <v>85.782585395405192</v>
          </cell>
          <cell r="AG131">
            <v>7.1485487829504324</v>
          </cell>
        </row>
        <row r="132">
          <cell r="B132" t="str">
            <v>F2YD2W</v>
          </cell>
          <cell r="C132" t="str">
            <v>2YD CONT 2X WEEKLY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</row>
        <row r="133">
          <cell r="B133" t="str">
            <v>F2YD3W</v>
          </cell>
          <cell r="C133" t="str">
            <v>2YD CONT 3X WEEKLY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</row>
        <row r="134">
          <cell r="B134" t="str">
            <v>R2YD3W</v>
          </cell>
          <cell r="C134" t="str">
            <v>2YD CONT 3xWEEKLY</v>
          </cell>
          <cell r="D134">
            <v>608.99</v>
          </cell>
          <cell r="E134">
            <v>636.61</v>
          </cell>
          <cell r="F134">
            <v>1217.98</v>
          </cell>
          <cell r="G134">
            <v>1217.98</v>
          </cell>
          <cell r="H134">
            <v>1217.98</v>
          </cell>
          <cell r="I134">
            <v>1217.98</v>
          </cell>
          <cell r="J134">
            <v>1217.98</v>
          </cell>
          <cell r="K134">
            <v>1217.98</v>
          </cell>
          <cell r="L134">
            <v>1217.98</v>
          </cell>
          <cell r="M134">
            <v>1217.98</v>
          </cell>
          <cell r="N134">
            <v>1217.98</v>
          </cell>
          <cell r="O134">
            <v>1273.22</v>
          </cell>
          <cell r="P134">
            <v>1273.22</v>
          </cell>
          <cell r="Q134">
            <v>1273.22</v>
          </cell>
          <cell r="R134">
            <v>14781.479999999996</v>
          </cell>
          <cell r="T134">
            <v>2</v>
          </cell>
          <cell r="U134">
            <v>2</v>
          </cell>
          <cell r="V134">
            <v>2</v>
          </cell>
          <cell r="W134">
            <v>2</v>
          </cell>
          <cell r="X134">
            <v>2</v>
          </cell>
          <cell r="Y134">
            <v>2</v>
          </cell>
          <cell r="Z134">
            <v>2</v>
          </cell>
          <cell r="AA134">
            <v>2</v>
          </cell>
          <cell r="AB134">
            <v>2</v>
          </cell>
          <cell r="AC134">
            <v>2</v>
          </cell>
          <cell r="AD134">
            <v>2</v>
          </cell>
          <cell r="AE134">
            <v>2</v>
          </cell>
          <cell r="AF134">
            <v>24</v>
          </cell>
          <cell r="AG134">
            <v>2</v>
          </cell>
        </row>
        <row r="135">
          <cell r="B135" t="str">
            <v>R2YD4W</v>
          </cell>
          <cell r="C135" t="str">
            <v>2YD CONT 4xWEEKLY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</row>
        <row r="136">
          <cell r="B136" t="str">
            <v>R2YD5W</v>
          </cell>
          <cell r="C136" t="str">
            <v>2YD CONT 5xWEEKLY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</row>
        <row r="137">
          <cell r="B137" t="str">
            <v>R2YDEOW</v>
          </cell>
          <cell r="C137" t="str">
            <v>2YD CONT EOW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</row>
        <row r="138">
          <cell r="B138" t="str">
            <v>R2YDTPU</v>
          </cell>
          <cell r="C138" t="str">
            <v>2YD TEMP CONTAINER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</row>
        <row r="139">
          <cell r="B139" t="str">
            <v>F4YD1W</v>
          </cell>
          <cell r="C139" t="str">
            <v>4YD CONT 1X WEEKLY</v>
          </cell>
          <cell r="D139">
            <v>406.14</v>
          </cell>
          <cell r="E139">
            <v>424.64</v>
          </cell>
          <cell r="F139">
            <v>6498.24</v>
          </cell>
          <cell r="G139">
            <v>6802.8449999999993</v>
          </cell>
          <cell r="H139">
            <v>6802.8449999999993</v>
          </cell>
          <cell r="I139">
            <v>7310.52</v>
          </cell>
          <cell r="J139">
            <v>7310.52</v>
          </cell>
          <cell r="K139">
            <v>7208.9850000000006</v>
          </cell>
          <cell r="L139">
            <v>7208.9850000000006</v>
          </cell>
          <cell r="M139">
            <v>7615.125</v>
          </cell>
          <cell r="N139">
            <v>7615.125</v>
          </cell>
          <cell r="O139">
            <v>6851.9450000000006</v>
          </cell>
          <cell r="P139">
            <v>6851.9450000000006</v>
          </cell>
          <cell r="Q139">
            <v>6794.24</v>
          </cell>
          <cell r="R139">
            <v>84871.320000000022</v>
          </cell>
          <cell r="T139">
            <v>16</v>
          </cell>
          <cell r="U139">
            <v>16.75</v>
          </cell>
          <cell r="V139">
            <v>16.75</v>
          </cell>
          <cell r="W139">
            <v>18</v>
          </cell>
          <cell r="X139">
            <v>18</v>
          </cell>
          <cell r="Y139">
            <v>17.750000000000004</v>
          </cell>
          <cell r="Z139">
            <v>17.750000000000004</v>
          </cell>
          <cell r="AA139">
            <v>18.75</v>
          </cell>
          <cell r="AB139">
            <v>18.75</v>
          </cell>
          <cell r="AC139">
            <v>16.13589157874906</v>
          </cell>
          <cell r="AD139">
            <v>16.13589157874906</v>
          </cell>
          <cell r="AE139">
            <v>16</v>
          </cell>
          <cell r="AF139">
            <v>206.77178315749813</v>
          </cell>
          <cell r="AG139">
            <v>17.230981929791511</v>
          </cell>
        </row>
        <row r="140">
          <cell r="B140" t="str">
            <v>F4YD2W</v>
          </cell>
          <cell r="C140" t="str">
            <v>4YD CONT 2X WEEKLY</v>
          </cell>
          <cell r="D140">
            <v>812.04</v>
          </cell>
          <cell r="E140">
            <v>849.06</v>
          </cell>
          <cell r="F140">
            <v>2436.12</v>
          </cell>
          <cell r="G140">
            <v>2436.12</v>
          </cell>
          <cell r="H140">
            <v>2436.12</v>
          </cell>
          <cell r="I140">
            <v>1674.835</v>
          </cell>
          <cell r="J140">
            <v>1674.835</v>
          </cell>
          <cell r="K140">
            <v>2233.1099999999997</v>
          </cell>
          <cell r="L140">
            <v>2233.1099999999997</v>
          </cell>
          <cell r="M140">
            <v>2436.12</v>
          </cell>
          <cell r="N140">
            <v>2436.12</v>
          </cell>
          <cell r="O140">
            <v>2547.1799999999998</v>
          </cell>
          <cell r="P140">
            <v>2547.1799999999998</v>
          </cell>
          <cell r="Q140">
            <v>3396.24</v>
          </cell>
          <cell r="R140">
            <v>28487.089999999997</v>
          </cell>
          <cell r="T140">
            <v>3</v>
          </cell>
          <cell r="U140">
            <v>3</v>
          </cell>
          <cell r="V140">
            <v>3</v>
          </cell>
          <cell r="W140">
            <v>2.0625030786660759</v>
          </cell>
          <cell r="X140">
            <v>2.0625030786660759</v>
          </cell>
          <cell r="Y140">
            <v>2.7499999999999996</v>
          </cell>
          <cell r="Z140">
            <v>2.7499999999999996</v>
          </cell>
          <cell r="AA140">
            <v>3</v>
          </cell>
          <cell r="AB140">
            <v>3</v>
          </cell>
          <cell r="AC140">
            <v>3</v>
          </cell>
          <cell r="AD140">
            <v>3</v>
          </cell>
          <cell r="AE140">
            <v>4</v>
          </cell>
          <cell r="AF140">
            <v>34.625006157332152</v>
          </cell>
          <cell r="AG140">
            <v>2.8854171797776793</v>
          </cell>
        </row>
        <row r="141">
          <cell r="B141" t="str">
            <v>F4YD3W</v>
          </cell>
          <cell r="C141" t="str">
            <v>4YD CONT 3X WEEKLY</v>
          </cell>
          <cell r="D141">
            <v>1218.3900000000001</v>
          </cell>
          <cell r="E141">
            <v>1273.92</v>
          </cell>
          <cell r="F141">
            <v>1218.3900000000001</v>
          </cell>
          <cell r="G141">
            <v>1218.3900000000001</v>
          </cell>
          <cell r="H141">
            <v>1218.3900000000001</v>
          </cell>
          <cell r="I141">
            <v>1218.3900000000001</v>
          </cell>
          <cell r="J141">
            <v>1218.3900000000001</v>
          </cell>
          <cell r="K141">
            <v>1218.3900000000001</v>
          </cell>
          <cell r="L141">
            <v>1218.3900000000001</v>
          </cell>
          <cell r="M141">
            <v>1218.3900000000001</v>
          </cell>
          <cell r="N141">
            <v>1218.3900000000001</v>
          </cell>
          <cell r="O141">
            <v>1273.92</v>
          </cell>
          <cell r="P141">
            <v>1273.92</v>
          </cell>
          <cell r="Q141">
            <v>1273.92</v>
          </cell>
          <cell r="R141">
            <v>14787.27</v>
          </cell>
          <cell r="T141">
            <v>1</v>
          </cell>
          <cell r="U141">
            <v>1</v>
          </cell>
          <cell r="V141">
            <v>1</v>
          </cell>
          <cell r="W141">
            <v>1</v>
          </cell>
          <cell r="X141">
            <v>1</v>
          </cell>
          <cell r="Y141">
            <v>1</v>
          </cell>
          <cell r="Z141">
            <v>1</v>
          </cell>
          <cell r="AA141">
            <v>1</v>
          </cell>
          <cell r="AB141">
            <v>1</v>
          </cell>
          <cell r="AC141">
            <v>1</v>
          </cell>
          <cell r="AD141">
            <v>1</v>
          </cell>
          <cell r="AE141">
            <v>1</v>
          </cell>
          <cell r="AF141">
            <v>12</v>
          </cell>
          <cell r="AG141">
            <v>1</v>
          </cell>
        </row>
        <row r="142">
          <cell r="B142" t="str">
            <v>F4YD4W</v>
          </cell>
          <cell r="C142" t="str">
            <v>4YD CONT 4X WEEKLY SVC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</row>
        <row r="143">
          <cell r="B143" t="str">
            <v>F6YD1W</v>
          </cell>
          <cell r="C143" t="str">
            <v>6YD CONT 1X WEEKLY</v>
          </cell>
          <cell r="D143">
            <v>544.37</v>
          </cell>
          <cell r="E143">
            <v>569.11</v>
          </cell>
          <cell r="F143">
            <v>7621.18</v>
          </cell>
          <cell r="G143">
            <v>7621.18</v>
          </cell>
          <cell r="H143">
            <v>7621.18</v>
          </cell>
          <cell r="I143">
            <v>7621.18</v>
          </cell>
          <cell r="J143">
            <v>7621.18</v>
          </cell>
          <cell r="K143">
            <v>9730.61</v>
          </cell>
          <cell r="L143">
            <v>9730.61</v>
          </cell>
          <cell r="M143">
            <v>9526.4750000000004</v>
          </cell>
          <cell r="N143">
            <v>7348.9950000000008</v>
          </cell>
          <cell r="O143">
            <v>10234.695</v>
          </cell>
          <cell r="P143">
            <v>9690.3249999999989</v>
          </cell>
          <cell r="Q143">
            <v>10243.98</v>
          </cell>
          <cell r="R143">
            <v>104611.59</v>
          </cell>
          <cell r="T143">
            <v>14</v>
          </cell>
          <cell r="U143">
            <v>14</v>
          </cell>
          <cell r="V143">
            <v>14</v>
          </cell>
          <cell r="W143">
            <v>14</v>
          </cell>
          <cell r="X143">
            <v>14</v>
          </cell>
          <cell r="Y143">
            <v>17.874993111302974</v>
          </cell>
          <cell r="Z143">
            <v>17.874993111302974</v>
          </cell>
          <cell r="AA143">
            <v>17.5</v>
          </cell>
          <cell r="AB143">
            <v>13.500000000000002</v>
          </cell>
          <cell r="AC143">
            <v>17.983685052098892</v>
          </cell>
          <cell r="AD143">
            <v>17.027156437244116</v>
          </cell>
          <cell r="AE143">
            <v>18</v>
          </cell>
          <cell r="AF143">
            <v>189.76082771194893</v>
          </cell>
          <cell r="AG143">
            <v>15.813402309329078</v>
          </cell>
        </row>
        <row r="144">
          <cell r="B144" t="str">
            <v>F6YD2W</v>
          </cell>
          <cell r="C144" t="str">
            <v>6YD CONT 2X WEEKLY</v>
          </cell>
          <cell r="D144">
            <v>1088.52</v>
          </cell>
          <cell r="E144">
            <v>1137.99</v>
          </cell>
          <cell r="F144">
            <v>4354.08</v>
          </cell>
          <cell r="G144">
            <v>4354.08</v>
          </cell>
          <cell r="H144">
            <v>4354.08</v>
          </cell>
          <cell r="I144">
            <v>3673.7550000000001</v>
          </cell>
          <cell r="J144">
            <v>3673.7550000000001</v>
          </cell>
          <cell r="K144">
            <v>4354.08</v>
          </cell>
          <cell r="L144">
            <v>4354.08</v>
          </cell>
          <cell r="M144">
            <v>4354.08</v>
          </cell>
          <cell r="N144">
            <v>4354.08</v>
          </cell>
          <cell r="O144">
            <v>4551.96</v>
          </cell>
          <cell r="P144">
            <v>4551.96</v>
          </cell>
          <cell r="Q144">
            <v>4551.96</v>
          </cell>
          <cell r="R144">
            <v>51481.950000000004</v>
          </cell>
          <cell r="T144">
            <v>4</v>
          </cell>
          <cell r="U144">
            <v>4</v>
          </cell>
          <cell r="V144">
            <v>4</v>
          </cell>
          <cell r="W144">
            <v>3.375</v>
          </cell>
          <cell r="X144">
            <v>3.375</v>
          </cell>
          <cell r="Y144">
            <v>4</v>
          </cell>
          <cell r="Z144">
            <v>4</v>
          </cell>
          <cell r="AA144">
            <v>4</v>
          </cell>
          <cell r="AB144">
            <v>4</v>
          </cell>
          <cell r="AC144">
            <v>4</v>
          </cell>
          <cell r="AD144">
            <v>4</v>
          </cell>
          <cell r="AE144">
            <v>4</v>
          </cell>
          <cell r="AF144">
            <v>46.75</v>
          </cell>
          <cell r="AG144">
            <v>3.8958333333333335</v>
          </cell>
        </row>
        <row r="145">
          <cell r="B145" t="str">
            <v>F6YD3W</v>
          </cell>
          <cell r="C145" t="str">
            <v>6YD CONT 3X WEEKLY</v>
          </cell>
          <cell r="D145">
            <v>1619.41</v>
          </cell>
          <cell r="E145">
            <v>1692.92</v>
          </cell>
          <cell r="F145">
            <v>1619.41</v>
          </cell>
          <cell r="G145">
            <v>1619.41</v>
          </cell>
          <cell r="H145">
            <v>1619.41</v>
          </cell>
          <cell r="I145">
            <v>2631.54</v>
          </cell>
          <cell r="J145">
            <v>2631.54</v>
          </cell>
          <cell r="K145">
            <v>3238.82</v>
          </cell>
          <cell r="L145">
            <v>3238.82</v>
          </cell>
          <cell r="M145">
            <v>3238.82</v>
          </cell>
          <cell r="N145">
            <v>3238.82</v>
          </cell>
          <cell r="O145">
            <v>3385.84</v>
          </cell>
          <cell r="P145">
            <v>3385.84</v>
          </cell>
          <cell r="Q145">
            <v>3385.84</v>
          </cell>
          <cell r="R145">
            <v>33234.11</v>
          </cell>
          <cell r="T145">
            <v>1</v>
          </cell>
          <cell r="U145">
            <v>1</v>
          </cell>
          <cell r="V145">
            <v>1</v>
          </cell>
          <cell r="W145">
            <v>1.6249992281139427</v>
          </cell>
          <cell r="X145">
            <v>1.6249992281139427</v>
          </cell>
          <cell r="Y145">
            <v>2</v>
          </cell>
          <cell r="Z145">
            <v>2</v>
          </cell>
          <cell r="AA145">
            <v>2</v>
          </cell>
          <cell r="AB145">
            <v>2</v>
          </cell>
          <cell r="AC145">
            <v>2</v>
          </cell>
          <cell r="AD145">
            <v>2</v>
          </cell>
          <cell r="AE145">
            <v>2</v>
          </cell>
          <cell r="AF145">
            <v>20.249998456227885</v>
          </cell>
          <cell r="AG145">
            <v>1.6874998713523237</v>
          </cell>
        </row>
        <row r="146">
          <cell r="B146" t="str">
            <v>F6YD4W</v>
          </cell>
          <cell r="C146" t="str">
            <v>6YD CONT 4X WEEKLY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</row>
        <row r="147">
          <cell r="B147" t="str">
            <v>F6YD5W</v>
          </cell>
          <cell r="C147" t="str">
            <v>6YD CONT 5X WEEKLY</v>
          </cell>
          <cell r="D147">
            <v>1349.5150000000001</v>
          </cell>
          <cell r="E147">
            <v>2821.54</v>
          </cell>
          <cell r="F147">
            <v>2699.03</v>
          </cell>
          <cell r="G147">
            <v>2699.03</v>
          </cell>
          <cell r="H147">
            <v>2699.03</v>
          </cell>
          <cell r="I147">
            <v>2699.03</v>
          </cell>
          <cell r="J147">
            <v>2699.03</v>
          </cell>
          <cell r="K147">
            <v>2699.03</v>
          </cell>
          <cell r="L147">
            <v>2699.03</v>
          </cell>
          <cell r="M147">
            <v>2699.03</v>
          </cell>
          <cell r="N147">
            <v>2699.03</v>
          </cell>
          <cell r="O147">
            <v>2821.54</v>
          </cell>
          <cell r="P147">
            <v>2821.54</v>
          </cell>
          <cell r="Q147">
            <v>2821.54</v>
          </cell>
          <cell r="R147">
            <v>32755.890000000003</v>
          </cell>
          <cell r="T147">
            <v>2</v>
          </cell>
          <cell r="U147">
            <v>2</v>
          </cell>
          <cell r="V147">
            <v>2</v>
          </cell>
          <cell r="W147">
            <v>2</v>
          </cell>
          <cell r="X147">
            <v>2</v>
          </cell>
          <cell r="Y147">
            <v>2</v>
          </cell>
          <cell r="Z147">
            <v>2</v>
          </cell>
          <cell r="AA147">
            <v>2</v>
          </cell>
          <cell r="AB147">
            <v>2</v>
          </cell>
          <cell r="AC147">
            <v>1</v>
          </cell>
          <cell r="AD147">
            <v>1</v>
          </cell>
          <cell r="AE147">
            <v>1</v>
          </cell>
          <cell r="AF147">
            <v>21</v>
          </cell>
          <cell r="AG147">
            <v>1.75</v>
          </cell>
        </row>
        <row r="148">
          <cell r="B148" t="str">
            <v>F8YD2W</v>
          </cell>
          <cell r="C148" t="str">
            <v>8 YD CONT 2X WKLY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</row>
        <row r="149">
          <cell r="B149" t="str">
            <v>FCP2YD1W2.25-1</v>
          </cell>
          <cell r="C149" t="str">
            <v>2 YD 2.25-1 COMP 1X WK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</row>
        <row r="150">
          <cell r="B150" t="str">
            <v>FCP2YD1W4-1</v>
          </cell>
          <cell r="C150" t="str">
            <v>2 YD 4-1 COMP 1X WK</v>
          </cell>
          <cell r="D150">
            <v>448.11500000000001</v>
          </cell>
          <cell r="E150">
            <v>936.06</v>
          </cell>
          <cell r="F150">
            <v>1792.46</v>
          </cell>
          <cell r="G150">
            <v>1792.46</v>
          </cell>
          <cell r="H150">
            <v>1792.46</v>
          </cell>
          <cell r="I150">
            <v>1792.46</v>
          </cell>
          <cell r="J150">
            <v>1792.46</v>
          </cell>
          <cell r="K150">
            <v>1792.46</v>
          </cell>
          <cell r="L150">
            <v>1792.46</v>
          </cell>
          <cell r="M150">
            <v>1792.46</v>
          </cell>
          <cell r="N150">
            <v>1792.46</v>
          </cell>
          <cell r="O150">
            <v>1872.1200000000001</v>
          </cell>
          <cell r="P150">
            <v>1872.1200000000001</v>
          </cell>
          <cell r="Q150">
            <v>1872.12</v>
          </cell>
          <cell r="R150">
            <v>21748.499999999993</v>
          </cell>
          <cell r="T150">
            <v>4</v>
          </cell>
          <cell r="U150">
            <v>4</v>
          </cell>
          <cell r="V150">
            <v>4</v>
          </cell>
          <cell r="W150">
            <v>4</v>
          </cell>
          <cell r="X150">
            <v>4</v>
          </cell>
          <cell r="Y150">
            <v>4</v>
          </cell>
          <cell r="Z150">
            <v>4</v>
          </cell>
          <cell r="AA150">
            <v>4</v>
          </cell>
          <cell r="AB150">
            <v>4</v>
          </cell>
          <cell r="AC150">
            <v>2.0000000000000004</v>
          </cell>
          <cell r="AD150">
            <v>2.0000000000000004</v>
          </cell>
          <cell r="AE150">
            <v>2</v>
          </cell>
          <cell r="AF150">
            <v>42</v>
          </cell>
          <cell r="AG150">
            <v>3.5</v>
          </cell>
        </row>
        <row r="151">
          <cell r="B151" t="str">
            <v>FCP2YD2W</v>
          </cell>
          <cell r="C151" t="str">
            <v>2 YD COMPACTOR 2X WKLY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</row>
        <row r="152">
          <cell r="B152" t="str">
            <v>FCP4YD1W2.25-1</v>
          </cell>
          <cell r="C152" t="str">
            <v>4 YD 2.25-1 COMP 1X WK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</row>
        <row r="153">
          <cell r="B153" t="str">
            <v>FCP4YD1W4-1</v>
          </cell>
          <cell r="C153" t="str">
            <v>4YD 4-1 COMP 1X WK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</row>
        <row r="154">
          <cell r="B154" t="str">
            <v>FCP4YD1W5-1</v>
          </cell>
          <cell r="C154" t="str">
            <v>4 YD 5-1 COMP 1X WK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</row>
        <row r="155">
          <cell r="B155" t="str">
            <v>FCP4YDEOW5-1</v>
          </cell>
          <cell r="C155" t="str">
            <v>4 YD 5-1 COMP EOW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</row>
        <row r="156">
          <cell r="B156" t="str">
            <v>FCP4YDOC5-1</v>
          </cell>
          <cell r="C156" t="str">
            <v>4 YD 5-1 COMP ON CALL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</row>
        <row r="157">
          <cell r="B157" t="str">
            <v>FCP6YD2W</v>
          </cell>
          <cell r="C157" t="str">
            <v>6YD COMPACTOR 2X WKLY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</row>
        <row r="158">
          <cell r="B158" t="str">
            <v>FCP6YD2W3-1</v>
          </cell>
          <cell r="C158" t="str">
            <v>6 YD 3-1 COMP 2X WK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</row>
        <row r="159">
          <cell r="B159" t="str">
            <v>FCP6YD2W4-1</v>
          </cell>
          <cell r="C159" t="str">
            <v>6 YD 4-1 COMP 2X WK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</row>
        <row r="160">
          <cell r="B160" t="str">
            <v>IMPCNC</v>
          </cell>
          <cell r="C160" t="str">
            <v>1 IMPROPER CAN - CMML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</row>
        <row r="161">
          <cell r="B161" t="str">
            <v>PACKC</v>
          </cell>
          <cell r="C161" t="str">
            <v>CARRY-OUT COMMERCIAL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</row>
        <row r="162">
          <cell r="B162" t="str">
            <v>F1YDEX</v>
          </cell>
          <cell r="C162" t="str">
            <v>1YD CONT EXTRA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</row>
        <row r="163">
          <cell r="B163" t="str">
            <v>R1YDEX</v>
          </cell>
          <cell r="C163" t="str">
            <v>1YD CONTAINER EXTRA</v>
          </cell>
          <cell r="D163">
            <v>27.09</v>
          </cell>
          <cell r="E163">
            <v>14.17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</row>
        <row r="164">
          <cell r="B164" t="str">
            <v>R1.5YDEX</v>
          </cell>
          <cell r="C164" t="str">
            <v>1.5YD CONTAINER EXTRA</v>
          </cell>
          <cell r="D164">
            <v>35.32</v>
          </cell>
          <cell r="E164">
            <v>18.454999999999998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</row>
        <row r="165">
          <cell r="B165" t="str">
            <v>R2YDEX</v>
          </cell>
          <cell r="C165" t="str">
            <v>2YD CONTAINER EXTRA</v>
          </cell>
          <cell r="D165">
            <v>42.33</v>
          </cell>
          <cell r="E165">
            <v>22.105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</row>
        <row r="166">
          <cell r="B166" t="str">
            <v>F2YDEX</v>
          </cell>
          <cell r="C166" t="str">
            <v>2YD CONT EXTRA</v>
          </cell>
          <cell r="D166">
            <v>42.33</v>
          </cell>
          <cell r="E166">
            <v>22.105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</row>
        <row r="167">
          <cell r="B167" t="str">
            <v>F4YDEX</v>
          </cell>
          <cell r="C167" t="str">
            <v>4YD CONT EXTRA PICKUP</v>
          </cell>
          <cell r="D167">
            <v>67.53</v>
          </cell>
          <cell r="E167">
            <v>35.215000000000003</v>
          </cell>
          <cell r="F167">
            <v>0</v>
          </cell>
          <cell r="G167">
            <v>0</v>
          </cell>
          <cell r="H167">
            <v>405.18</v>
          </cell>
          <cell r="I167">
            <v>67.53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70.430000000000007</v>
          </cell>
          <cell r="P167">
            <v>70.430000000000007</v>
          </cell>
          <cell r="Q167">
            <v>70.430000000000007</v>
          </cell>
          <cell r="R167">
            <v>684.00000000000023</v>
          </cell>
          <cell r="T167">
            <v>0</v>
          </cell>
          <cell r="U167">
            <v>0</v>
          </cell>
          <cell r="V167">
            <v>6</v>
          </cell>
          <cell r="W167">
            <v>1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2</v>
          </cell>
          <cell r="AD167">
            <v>2</v>
          </cell>
          <cell r="AE167">
            <v>2</v>
          </cell>
          <cell r="AF167">
            <v>13</v>
          </cell>
          <cell r="AG167">
            <v>1.0833333333333333</v>
          </cell>
        </row>
        <row r="168">
          <cell r="B168" t="str">
            <v>F6YDEX</v>
          </cell>
          <cell r="C168" t="str">
            <v>6YD CONT EXTRA PICKUP</v>
          </cell>
          <cell r="D168">
            <v>110.72</v>
          </cell>
          <cell r="E168">
            <v>57.83</v>
          </cell>
          <cell r="F168">
            <v>110.72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110.72</v>
          </cell>
          <cell r="T168">
            <v>1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1</v>
          </cell>
          <cell r="AG168">
            <v>8.3333333333333329E-2</v>
          </cell>
        </row>
        <row r="169">
          <cell r="B169" t="str">
            <v>ADJCOM</v>
          </cell>
          <cell r="C169" t="str">
            <v>SERVICE ADJ-COMMERCIAL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</row>
        <row r="170">
          <cell r="B170" t="str">
            <v>CCONNECT</v>
          </cell>
          <cell r="C170" t="str">
            <v>CMML CONNECT/RECONNECT</v>
          </cell>
          <cell r="D170">
            <v>44.77</v>
          </cell>
          <cell r="E170">
            <v>47.11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</row>
        <row r="171">
          <cell r="B171" t="str">
            <v>CDEL</v>
          </cell>
          <cell r="C171" t="str">
            <v>CONTAINER DELIVERY CHARGE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</row>
        <row r="172">
          <cell r="B172" t="str">
            <v>CEX</v>
          </cell>
          <cell r="C172" t="str">
            <v>EXTRA CANS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</row>
        <row r="173">
          <cell r="B173" t="str">
            <v>CEXYD</v>
          </cell>
          <cell r="C173" t="str">
            <v>CMML EXTRA YARDAGE</v>
          </cell>
          <cell r="D173">
            <v>27.09</v>
          </cell>
          <cell r="E173">
            <v>28.34</v>
          </cell>
          <cell r="F173">
            <v>243.82</v>
          </cell>
          <cell r="G173">
            <v>514.71</v>
          </cell>
          <cell r="H173">
            <v>975.24</v>
          </cell>
          <cell r="I173">
            <v>379.26</v>
          </cell>
          <cell r="J173">
            <v>406.35</v>
          </cell>
          <cell r="K173">
            <v>515.29999999999995</v>
          </cell>
          <cell r="L173">
            <v>433.44</v>
          </cell>
          <cell r="M173">
            <v>1056.51</v>
          </cell>
          <cell r="N173">
            <v>568.89</v>
          </cell>
          <cell r="O173">
            <v>198.38</v>
          </cell>
          <cell r="P173">
            <v>425.1</v>
          </cell>
          <cell r="Q173">
            <v>878.54</v>
          </cell>
          <cell r="R173">
            <v>6595.54</v>
          </cell>
          <cell r="T173">
            <v>9.0003691399040235</v>
          </cell>
          <cell r="U173">
            <v>19</v>
          </cell>
          <cell r="V173">
            <v>36</v>
          </cell>
          <cell r="W173">
            <v>14</v>
          </cell>
          <cell r="X173">
            <v>15.000000000000002</v>
          </cell>
          <cell r="Y173">
            <v>19.021779254337392</v>
          </cell>
          <cell r="Z173">
            <v>16</v>
          </cell>
          <cell r="AA173">
            <v>39</v>
          </cell>
          <cell r="AB173">
            <v>21</v>
          </cell>
          <cell r="AC173">
            <v>7</v>
          </cell>
          <cell r="AD173">
            <v>15</v>
          </cell>
          <cell r="AE173">
            <v>31</v>
          </cell>
          <cell r="AF173">
            <v>241.02214839424141</v>
          </cell>
          <cell r="AG173">
            <v>20.08517903285345</v>
          </cell>
        </row>
        <row r="174">
          <cell r="B174" t="str">
            <v>CLOCK</v>
          </cell>
          <cell r="C174" t="str">
            <v>LOCK CHARGE-CONTAINER</v>
          </cell>
          <cell r="D174">
            <v>9.7799999999999994</v>
          </cell>
          <cell r="E174">
            <v>10.3</v>
          </cell>
          <cell r="F174">
            <v>14.67</v>
          </cell>
          <cell r="G174">
            <v>19.559999999999999</v>
          </cell>
          <cell r="H174">
            <v>19.559999999999999</v>
          </cell>
          <cell r="I174">
            <v>19.559999999999999</v>
          </cell>
          <cell r="J174">
            <v>19.559999999999999</v>
          </cell>
          <cell r="K174">
            <v>26.895</v>
          </cell>
          <cell r="L174">
            <v>26.895</v>
          </cell>
          <cell r="M174">
            <v>24.45</v>
          </cell>
          <cell r="N174">
            <v>24.45</v>
          </cell>
          <cell r="O174">
            <v>25.75</v>
          </cell>
          <cell r="P174">
            <v>25.75</v>
          </cell>
          <cell r="Q174">
            <v>30.9</v>
          </cell>
          <cell r="R174">
            <v>277.99999999999994</v>
          </cell>
          <cell r="T174">
            <v>1.5</v>
          </cell>
          <cell r="U174">
            <v>2</v>
          </cell>
          <cell r="V174">
            <v>2</v>
          </cell>
          <cell r="W174">
            <v>2</v>
          </cell>
          <cell r="X174">
            <v>2</v>
          </cell>
          <cell r="Y174">
            <v>2.75</v>
          </cell>
          <cell r="Z174">
            <v>2.75</v>
          </cell>
          <cell r="AA174">
            <v>2.5</v>
          </cell>
          <cell r="AB174">
            <v>2.5</v>
          </cell>
          <cell r="AC174">
            <v>2.5</v>
          </cell>
          <cell r="AD174">
            <v>2.5</v>
          </cell>
          <cell r="AE174">
            <v>2.9999999999999996</v>
          </cell>
          <cell r="AF174">
            <v>28</v>
          </cell>
          <cell r="AG174">
            <v>2.3333333333333335</v>
          </cell>
        </row>
        <row r="175">
          <cell r="B175" t="str">
            <v>CROLL</v>
          </cell>
          <cell r="C175" t="str">
            <v>ROLLOUT CHARGE - CMML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</row>
        <row r="176">
          <cell r="B176" t="str">
            <v>CTDEL</v>
          </cell>
          <cell r="C176" t="str">
            <v>TEMP CONTAINER DELIVERY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</row>
        <row r="177">
          <cell r="B177" t="str">
            <v>CTRIP</v>
          </cell>
          <cell r="C177" t="str">
            <v>RETURN TRIP CHARGE - CONT</v>
          </cell>
          <cell r="D177">
            <v>8.33</v>
          </cell>
          <cell r="E177">
            <v>8.77</v>
          </cell>
          <cell r="F177">
            <v>16.66</v>
          </cell>
          <cell r="G177">
            <v>16.66</v>
          </cell>
          <cell r="H177">
            <v>0</v>
          </cell>
          <cell r="I177">
            <v>16.66</v>
          </cell>
          <cell r="J177">
            <v>16.66</v>
          </cell>
          <cell r="K177">
            <v>8.33</v>
          </cell>
          <cell r="L177">
            <v>0</v>
          </cell>
          <cell r="M177">
            <v>16.66</v>
          </cell>
          <cell r="N177">
            <v>8.33</v>
          </cell>
          <cell r="O177">
            <v>0</v>
          </cell>
          <cell r="P177">
            <v>8.77</v>
          </cell>
          <cell r="Q177">
            <v>26.31</v>
          </cell>
          <cell r="R177">
            <v>135.04</v>
          </cell>
          <cell r="T177">
            <v>2</v>
          </cell>
          <cell r="U177">
            <v>2</v>
          </cell>
          <cell r="V177">
            <v>0</v>
          </cell>
          <cell r="W177">
            <v>2</v>
          </cell>
          <cell r="X177">
            <v>2</v>
          </cell>
          <cell r="Y177">
            <v>1</v>
          </cell>
          <cell r="Z177">
            <v>0</v>
          </cell>
          <cell r="AA177">
            <v>2</v>
          </cell>
          <cell r="AB177">
            <v>1</v>
          </cell>
          <cell r="AC177">
            <v>0</v>
          </cell>
          <cell r="AD177">
            <v>1</v>
          </cell>
          <cell r="AE177">
            <v>3</v>
          </cell>
          <cell r="AF177">
            <v>16</v>
          </cell>
          <cell r="AG177">
            <v>1.3333333333333333</v>
          </cell>
        </row>
        <row r="178">
          <cell r="B178" t="str">
            <v>CUNLOCK</v>
          </cell>
          <cell r="C178" t="str">
            <v>COMM UNLOCK GATE OR CONT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</row>
        <row r="179">
          <cell r="B179" t="str">
            <v>DRIVEDWAY-COMM</v>
          </cell>
          <cell r="C179" t="str">
            <v>DRIVE IN DRIVEWAY - COMM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</row>
        <row r="180">
          <cell r="B180" t="str">
            <v>DRIVEPVT-COMM</v>
          </cell>
          <cell r="C180" t="str">
            <v>DRIVE IN PRIVATE RD - COMM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</row>
        <row r="181">
          <cell r="B181" t="str">
            <v>DRVNC</v>
          </cell>
          <cell r="C181" t="str">
            <v>DRIVE IN - CMML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</row>
        <row r="182">
          <cell r="B182" t="str">
            <v>TIMEC</v>
          </cell>
          <cell r="C182" t="str">
            <v>CMML TIME CHARGE</v>
          </cell>
          <cell r="D182">
            <v>94.93</v>
          </cell>
          <cell r="E182">
            <v>99.89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24.97</v>
          </cell>
          <cell r="R182">
            <v>24.97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0.24997497246971667</v>
          </cell>
          <cell r="AF182">
            <v>0.24997497246971667</v>
          </cell>
          <cell r="AG182">
            <v>2.0831247705809724E-2</v>
          </cell>
        </row>
        <row r="183">
          <cell r="B183" t="str">
            <v>BULKY-COM</v>
          </cell>
          <cell r="C183" t="str">
            <v>BULKY ITEM</v>
          </cell>
          <cell r="D183">
            <v>26</v>
          </cell>
          <cell r="E183">
            <v>27.36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192.06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192.06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7.3869230769230771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7.3869230769230771</v>
          </cell>
          <cell r="AG183">
            <v>0.61557692307692313</v>
          </cell>
        </row>
      </sheetData>
      <sheetData sheetId="9">
        <row r="10">
          <cell r="B10" t="str">
            <v>10RW1N</v>
          </cell>
          <cell r="C10" t="str">
            <v>1-10 GAL CART WKLY NON REC</v>
          </cell>
          <cell r="D10">
            <v>15.08</v>
          </cell>
          <cell r="E10">
            <v>15.38</v>
          </cell>
          <cell r="F10">
            <v>15.08</v>
          </cell>
          <cell r="G10">
            <v>15.08</v>
          </cell>
          <cell r="H10">
            <v>15.08</v>
          </cell>
          <cell r="I10">
            <v>15.08</v>
          </cell>
          <cell r="J10">
            <v>15.08</v>
          </cell>
          <cell r="K10">
            <v>15.08</v>
          </cell>
          <cell r="L10">
            <v>15.08</v>
          </cell>
          <cell r="M10">
            <v>15.08</v>
          </cell>
          <cell r="N10">
            <v>15.08</v>
          </cell>
          <cell r="O10">
            <v>15.38</v>
          </cell>
          <cell r="P10">
            <v>15.38</v>
          </cell>
          <cell r="Q10">
            <v>15.38</v>
          </cell>
          <cell r="R10">
            <v>181.85999999999999</v>
          </cell>
          <cell r="T10">
            <v>1</v>
          </cell>
          <cell r="U10">
            <v>1</v>
          </cell>
          <cell r="V10">
            <v>1</v>
          </cell>
          <cell r="W10">
            <v>1</v>
          </cell>
          <cell r="X10">
            <v>1</v>
          </cell>
          <cell r="Y10">
            <v>1</v>
          </cell>
          <cell r="Z10">
            <v>1</v>
          </cell>
          <cell r="AA10">
            <v>1</v>
          </cell>
          <cell r="AB10">
            <v>1</v>
          </cell>
          <cell r="AC10">
            <v>1</v>
          </cell>
          <cell r="AD10">
            <v>1</v>
          </cell>
          <cell r="AE10">
            <v>1</v>
          </cell>
          <cell r="AF10">
            <v>12</v>
          </cell>
          <cell r="AG10">
            <v>1</v>
          </cell>
        </row>
        <row r="11">
          <cell r="B11" t="str">
            <v>10RW1R</v>
          </cell>
          <cell r="C11" t="str">
            <v>1-10 GAL CART WKLY W/ REC</v>
          </cell>
          <cell r="D11">
            <v>15.08</v>
          </cell>
          <cell r="E11">
            <v>15.38</v>
          </cell>
          <cell r="F11">
            <v>784.16</v>
          </cell>
          <cell r="G11">
            <v>799.24</v>
          </cell>
          <cell r="H11">
            <v>678.6</v>
          </cell>
          <cell r="I11">
            <v>772.85</v>
          </cell>
          <cell r="J11">
            <v>776.62</v>
          </cell>
          <cell r="K11">
            <v>746.46</v>
          </cell>
          <cell r="L11">
            <v>746.46</v>
          </cell>
          <cell r="M11">
            <v>731.38</v>
          </cell>
          <cell r="N11">
            <v>731.38</v>
          </cell>
          <cell r="O11">
            <v>707.48</v>
          </cell>
          <cell r="P11">
            <v>707.48</v>
          </cell>
          <cell r="Q11">
            <v>669.03</v>
          </cell>
          <cell r="R11">
            <v>8851.1400000000012</v>
          </cell>
          <cell r="T11">
            <v>52</v>
          </cell>
          <cell r="U11">
            <v>53</v>
          </cell>
          <cell r="V11">
            <v>45</v>
          </cell>
          <cell r="W11">
            <v>51.25</v>
          </cell>
          <cell r="X11">
            <v>51.5</v>
          </cell>
          <cell r="Y11">
            <v>49.5</v>
          </cell>
          <cell r="Z11">
            <v>49.5</v>
          </cell>
          <cell r="AA11">
            <v>48.5</v>
          </cell>
          <cell r="AB11">
            <v>48.5</v>
          </cell>
          <cell r="AC11">
            <v>46</v>
          </cell>
          <cell r="AD11">
            <v>46</v>
          </cell>
          <cell r="AE11">
            <v>43.499999999999993</v>
          </cell>
          <cell r="AF11">
            <v>584.25</v>
          </cell>
          <cell r="AG11">
            <v>48.6875</v>
          </cell>
        </row>
        <row r="12">
          <cell r="B12" t="str">
            <v>20RM1</v>
          </cell>
          <cell r="C12" t="str">
            <v>1-20 GAL CART MONTHLY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</row>
        <row r="13">
          <cell r="B13" t="str">
            <v>20RW1</v>
          </cell>
          <cell r="C13" t="str">
            <v>1-20 GAL CAN WEEKLY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</row>
        <row r="14">
          <cell r="B14" t="str">
            <v>20RW1N</v>
          </cell>
          <cell r="C14" t="str">
            <v>1-20 GL CART WKLY NON REC</v>
          </cell>
          <cell r="D14">
            <v>20.51</v>
          </cell>
          <cell r="E14">
            <v>20.91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20.51</v>
          </cell>
          <cell r="N14">
            <v>20.51</v>
          </cell>
          <cell r="O14">
            <v>20.91</v>
          </cell>
          <cell r="P14">
            <v>20.91</v>
          </cell>
          <cell r="Q14">
            <v>20.91</v>
          </cell>
          <cell r="R14">
            <v>103.75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1</v>
          </cell>
          <cell r="AB14">
            <v>1</v>
          </cell>
          <cell r="AC14">
            <v>1</v>
          </cell>
          <cell r="AD14">
            <v>1</v>
          </cell>
          <cell r="AE14">
            <v>1</v>
          </cell>
          <cell r="AF14">
            <v>5</v>
          </cell>
          <cell r="AG14">
            <v>0.41666666666666669</v>
          </cell>
        </row>
        <row r="15">
          <cell r="B15" t="str">
            <v>20RW1NR</v>
          </cell>
          <cell r="C15" t="str">
            <v>1-20 GAL WKLY NON REC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</row>
        <row r="16">
          <cell r="B16" t="str">
            <v>20RW1R</v>
          </cell>
          <cell r="C16" t="str">
            <v>1-20 GL CART WKLY W/ RECY</v>
          </cell>
          <cell r="D16">
            <v>20.51</v>
          </cell>
          <cell r="E16">
            <v>20.91</v>
          </cell>
          <cell r="F16">
            <v>2953.44</v>
          </cell>
          <cell r="G16">
            <v>3020.0949999999998</v>
          </cell>
          <cell r="H16">
            <v>3020.0949999999998</v>
          </cell>
          <cell r="I16">
            <v>3055.99</v>
          </cell>
          <cell r="J16">
            <v>3055.99</v>
          </cell>
          <cell r="K16">
            <v>3048.25</v>
          </cell>
          <cell r="L16">
            <v>3055.99</v>
          </cell>
          <cell r="M16">
            <v>2986.7750000000001</v>
          </cell>
          <cell r="N16">
            <v>3002.1550000000002</v>
          </cell>
          <cell r="O16">
            <v>3116.19</v>
          </cell>
          <cell r="P16">
            <v>3135.5</v>
          </cell>
          <cell r="Q16">
            <v>3146.9549999999999</v>
          </cell>
          <cell r="R16">
            <v>36597.425000000003</v>
          </cell>
          <cell r="T16">
            <v>144</v>
          </cell>
          <cell r="U16">
            <v>147.24987810823987</v>
          </cell>
          <cell r="V16">
            <v>147.24987810823987</v>
          </cell>
          <cell r="W16">
            <v>148.99999999999997</v>
          </cell>
          <cell r="X16">
            <v>148.99999999999997</v>
          </cell>
          <cell r="Y16">
            <v>148.62262311067769</v>
          </cell>
          <cell r="Z16">
            <v>148.99999999999997</v>
          </cell>
          <cell r="AA16">
            <v>145.62530472940028</v>
          </cell>
          <cell r="AB16">
            <v>146.37518283764018</v>
          </cell>
          <cell r="AC16">
            <v>149.02869440459111</v>
          </cell>
          <cell r="AD16">
            <v>149.95217599234815</v>
          </cell>
          <cell r="AE16">
            <v>150.5</v>
          </cell>
          <cell r="AF16">
            <v>1775.6037372911373</v>
          </cell>
          <cell r="AG16">
            <v>147.96697810759477</v>
          </cell>
        </row>
        <row r="17">
          <cell r="B17" t="str">
            <v>24RW1N</v>
          </cell>
          <cell r="C17" t="str">
            <v>1-24 GL CART WKLY NON REC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</row>
        <row r="18">
          <cell r="B18" t="str">
            <v>24RW1R</v>
          </cell>
          <cell r="C18" t="str">
            <v>1-24 GL CART WKLY W/ RECY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</row>
        <row r="19">
          <cell r="B19" t="str">
            <v>32RE1</v>
          </cell>
          <cell r="C19" t="str">
            <v>1-32 GAL CAN EOW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</row>
        <row r="20">
          <cell r="B20" t="str">
            <v>32RM1</v>
          </cell>
          <cell r="C20" t="str">
            <v>1-32 GAL CAN MONTHLY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</row>
        <row r="21">
          <cell r="B21" t="str">
            <v>32ROCPU</v>
          </cell>
          <cell r="C21" t="str">
            <v>1-32 GAL CAN-ON CALL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</row>
        <row r="22">
          <cell r="B22" t="str">
            <v>32RW1</v>
          </cell>
          <cell r="C22" t="str">
            <v>1-32 GAL CAN WEEKLY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</row>
        <row r="23">
          <cell r="B23" t="str">
            <v>32RW1N</v>
          </cell>
          <cell r="C23" t="str">
            <v>1-32 GL CART WKLY NON REC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</row>
        <row r="24">
          <cell r="B24" t="str">
            <v>32RW1NR</v>
          </cell>
          <cell r="C24" t="str">
            <v>1-32 GAL WKLY NON REC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</row>
        <row r="25">
          <cell r="B25" t="str">
            <v>32RW1R</v>
          </cell>
          <cell r="C25" t="str">
            <v>1-32 GL CART WKLY W/ RECY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</row>
        <row r="26">
          <cell r="B26" t="str">
            <v>32RW2</v>
          </cell>
          <cell r="C26" t="str">
            <v>2-32 GAL CANS WEEKLY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</row>
        <row r="27">
          <cell r="B27" t="str">
            <v>32RW2R</v>
          </cell>
          <cell r="C27" t="str">
            <v>2-32 GL CART WKLY W/ RECY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</row>
        <row r="28">
          <cell r="B28" t="str">
            <v>32RW2NR</v>
          </cell>
          <cell r="C28" t="str">
            <v>2-32 GAL WKLY NON REC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</row>
        <row r="29">
          <cell r="B29" t="str">
            <v>32RW3</v>
          </cell>
          <cell r="C29" t="str">
            <v>3-32 GAL CANS WEEKLY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</row>
        <row r="30">
          <cell r="B30" t="str">
            <v>32RW3NR</v>
          </cell>
          <cell r="C30" t="str">
            <v>3-32 GAL WKLY NON REC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</row>
        <row r="31">
          <cell r="B31" t="str">
            <v>32RW4</v>
          </cell>
          <cell r="C31" t="str">
            <v>4-32 GAL CANS WEEKLY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</row>
        <row r="32">
          <cell r="B32" t="str">
            <v>32RW4NR</v>
          </cell>
          <cell r="C32" t="str">
            <v>4-32 GAL WKLY NON REC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</row>
        <row r="33">
          <cell r="B33" t="str">
            <v>32RW5</v>
          </cell>
          <cell r="C33" t="str">
            <v>5-32 GAL CANS WEEKLY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</row>
        <row r="34">
          <cell r="B34" t="str">
            <v>32RW5NR</v>
          </cell>
          <cell r="C34" t="str">
            <v>5-32 GAL WKLY NON REC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</row>
        <row r="35">
          <cell r="B35" t="str">
            <v>32RW6</v>
          </cell>
          <cell r="C35" t="str">
            <v>6-32 GAL CANS WEEKLY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</row>
        <row r="36">
          <cell r="B36" t="str">
            <v>35RM1</v>
          </cell>
          <cell r="C36" t="str">
            <v>1-35 GAL CART MONTHLY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</row>
        <row r="37">
          <cell r="B37" t="str">
            <v>35RW1N</v>
          </cell>
          <cell r="C37" t="str">
            <v>1-35 GAL CART WKLY NONREC</v>
          </cell>
          <cell r="D37">
            <v>25.26</v>
          </cell>
          <cell r="E37">
            <v>25.72</v>
          </cell>
          <cell r="F37">
            <v>176.82</v>
          </cell>
          <cell r="G37">
            <v>176.82</v>
          </cell>
          <cell r="H37">
            <v>176.82</v>
          </cell>
          <cell r="I37">
            <v>176.82</v>
          </cell>
          <cell r="J37">
            <v>176.82</v>
          </cell>
          <cell r="K37">
            <v>176.82</v>
          </cell>
          <cell r="L37">
            <v>176.82</v>
          </cell>
          <cell r="M37">
            <v>176.82</v>
          </cell>
          <cell r="N37">
            <v>176.82</v>
          </cell>
          <cell r="O37">
            <v>192.89999999999998</v>
          </cell>
          <cell r="P37">
            <v>192.89999999999998</v>
          </cell>
          <cell r="Q37">
            <v>205.76</v>
          </cell>
          <cell r="R37">
            <v>2182.9399999999996</v>
          </cell>
          <cell r="T37">
            <v>6.9999999999999991</v>
          </cell>
          <cell r="U37">
            <v>6.9999999999999991</v>
          </cell>
          <cell r="V37">
            <v>6.9999999999999991</v>
          </cell>
          <cell r="W37">
            <v>6.9999999999999991</v>
          </cell>
          <cell r="X37">
            <v>6.9999999999999991</v>
          </cell>
          <cell r="Y37">
            <v>6.9999999999999991</v>
          </cell>
          <cell r="Z37">
            <v>6.9999999999999991</v>
          </cell>
          <cell r="AA37">
            <v>6.9999999999999991</v>
          </cell>
          <cell r="AB37">
            <v>6.9999999999999991</v>
          </cell>
          <cell r="AC37">
            <v>7.4999999999999991</v>
          </cell>
          <cell r="AD37">
            <v>7.4999999999999991</v>
          </cell>
          <cell r="AE37">
            <v>8</v>
          </cell>
          <cell r="AF37">
            <v>85.999999999999986</v>
          </cell>
          <cell r="AG37">
            <v>7.1666666666666652</v>
          </cell>
        </row>
        <row r="38">
          <cell r="B38" t="str">
            <v>35RW1R</v>
          </cell>
          <cell r="C38" t="str">
            <v>1-35 GAL CART WKLY W/REC</v>
          </cell>
          <cell r="D38">
            <v>25.26</v>
          </cell>
          <cell r="E38">
            <v>25.72</v>
          </cell>
          <cell r="F38">
            <v>31474.78</v>
          </cell>
          <cell r="G38">
            <v>31738.885000000002</v>
          </cell>
          <cell r="H38">
            <v>31698.145</v>
          </cell>
          <cell r="I38">
            <v>31426.55</v>
          </cell>
          <cell r="J38">
            <v>31371.18</v>
          </cell>
          <cell r="K38">
            <v>30916.47</v>
          </cell>
          <cell r="L38">
            <v>30997.180000000004</v>
          </cell>
          <cell r="M38">
            <v>30431.74</v>
          </cell>
          <cell r="N38">
            <v>30507.520000000004</v>
          </cell>
          <cell r="O38">
            <v>30827.27</v>
          </cell>
          <cell r="P38">
            <v>30675.34</v>
          </cell>
          <cell r="Q38">
            <v>30965.93</v>
          </cell>
          <cell r="R38">
            <v>373030.99000000005</v>
          </cell>
          <cell r="T38">
            <v>1246.0324623911322</v>
          </cell>
          <cell r="U38">
            <v>1256.48792557403</v>
          </cell>
          <cell r="V38">
            <v>1254.8750989707046</v>
          </cell>
          <cell r="W38">
            <v>1244.1231195566111</v>
          </cell>
          <cell r="X38">
            <v>1241.9311163895486</v>
          </cell>
          <cell r="Y38">
            <v>1223.9299287410927</v>
          </cell>
          <cell r="Z38">
            <v>1227.1250989707048</v>
          </cell>
          <cell r="AA38">
            <v>1204.7403008709423</v>
          </cell>
          <cell r="AB38">
            <v>1207.7403008709423</v>
          </cell>
          <cell r="AC38">
            <v>1198.5719284603422</v>
          </cell>
          <cell r="AD38">
            <v>1192.6648522550545</v>
          </cell>
          <cell r="AE38">
            <v>1203.9630637636083</v>
          </cell>
          <cell r="AF38">
            <v>14702.185196814713</v>
          </cell>
          <cell r="AG38">
            <v>1225.1820997345594</v>
          </cell>
        </row>
        <row r="39">
          <cell r="B39" t="str">
            <v>64RW1N</v>
          </cell>
          <cell r="C39" t="str">
            <v>1-64 GAL CART WKLY NONREC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</row>
        <row r="40">
          <cell r="B40" t="str">
            <v>64RW1R</v>
          </cell>
          <cell r="C40" t="str">
            <v>1-64 GAL CART WKLY W/REC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</row>
        <row r="41">
          <cell r="B41" t="str">
            <v>65RM1</v>
          </cell>
          <cell r="C41" t="str">
            <v>1-65 GAL CART MONTHLY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</row>
        <row r="42">
          <cell r="B42" t="str">
            <v>65RW1N</v>
          </cell>
          <cell r="C42" t="str">
            <v>1-65 GAL CART WKLY NONREC</v>
          </cell>
          <cell r="D42">
            <v>40</v>
          </cell>
          <cell r="E42">
            <v>40.68</v>
          </cell>
          <cell r="F42">
            <v>80</v>
          </cell>
          <cell r="G42">
            <v>40</v>
          </cell>
          <cell r="H42">
            <v>40</v>
          </cell>
          <cell r="I42">
            <v>40</v>
          </cell>
          <cell r="J42">
            <v>40</v>
          </cell>
          <cell r="K42">
            <v>80</v>
          </cell>
          <cell r="L42">
            <v>80</v>
          </cell>
          <cell r="M42">
            <v>40</v>
          </cell>
          <cell r="N42">
            <v>40</v>
          </cell>
          <cell r="O42">
            <v>40.68</v>
          </cell>
          <cell r="P42">
            <v>40.68</v>
          </cell>
          <cell r="Q42">
            <v>40.68</v>
          </cell>
          <cell r="R42">
            <v>602.03999999999985</v>
          </cell>
          <cell r="T42">
            <v>2</v>
          </cell>
          <cell r="U42">
            <v>1</v>
          </cell>
          <cell r="V42">
            <v>1</v>
          </cell>
          <cell r="W42">
            <v>1</v>
          </cell>
          <cell r="X42">
            <v>1</v>
          </cell>
          <cell r="Y42">
            <v>2</v>
          </cell>
          <cell r="Z42">
            <v>2</v>
          </cell>
          <cell r="AA42">
            <v>1</v>
          </cell>
          <cell r="AB42">
            <v>1</v>
          </cell>
          <cell r="AC42">
            <v>1</v>
          </cell>
          <cell r="AD42">
            <v>1</v>
          </cell>
          <cell r="AE42">
            <v>1</v>
          </cell>
          <cell r="AF42">
            <v>15</v>
          </cell>
          <cell r="AG42">
            <v>1.25</v>
          </cell>
        </row>
        <row r="43">
          <cell r="B43" t="str">
            <v>65RW1R</v>
          </cell>
          <cell r="C43" t="str">
            <v>1-65 GAL CART WKLY W/REC</v>
          </cell>
          <cell r="D43">
            <v>40</v>
          </cell>
          <cell r="E43">
            <v>40.68</v>
          </cell>
          <cell r="F43">
            <v>40361.584999999999</v>
          </cell>
          <cell r="G43">
            <v>40820</v>
          </cell>
          <cell r="H43">
            <v>40820</v>
          </cell>
          <cell r="I43">
            <v>39960.784999999996</v>
          </cell>
          <cell r="J43">
            <v>40442.224999999999</v>
          </cell>
          <cell r="K43">
            <v>40700</v>
          </cell>
          <cell r="L43">
            <v>40565.26</v>
          </cell>
          <cell r="M43">
            <v>40895.195</v>
          </cell>
          <cell r="N43">
            <v>41123.665000000001</v>
          </cell>
          <cell r="O43">
            <v>42271.715000000004</v>
          </cell>
          <cell r="P43">
            <v>42227.445</v>
          </cell>
          <cell r="Q43">
            <v>43223.86</v>
          </cell>
          <cell r="R43">
            <v>493411.73499999999</v>
          </cell>
          <cell r="T43">
            <v>1009.039625</v>
          </cell>
          <cell r="U43">
            <v>1020.5</v>
          </cell>
          <cell r="V43">
            <v>1020.5</v>
          </cell>
          <cell r="W43">
            <v>999.01962499999991</v>
          </cell>
          <cell r="X43">
            <v>1011.055625</v>
          </cell>
          <cell r="Y43">
            <v>1017.5</v>
          </cell>
          <cell r="Z43">
            <v>1014.1315000000001</v>
          </cell>
          <cell r="AA43">
            <v>1022.379875</v>
          </cell>
          <cell r="AB43">
            <v>1028.091625</v>
          </cell>
          <cell r="AC43">
            <v>1039.1277040314651</v>
          </cell>
          <cell r="AD43">
            <v>1038.039454277286</v>
          </cell>
          <cell r="AE43">
            <v>1062.5334316617502</v>
          </cell>
          <cell r="AF43">
            <v>12281.9184649705</v>
          </cell>
          <cell r="AG43">
            <v>1023.4932054142083</v>
          </cell>
        </row>
        <row r="44">
          <cell r="B44" t="str">
            <v>95RM1</v>
          </cell>
          <cell r="C44" t="str">
            <v>1-95 GAL CART MONTHLY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</row>
        <row r="45">
          <cell r="B45" t="str">
            <v>95RW1N</v>
          </cell>
          <cell r="C45" t="str">
            <v>1-95 GAL CART WKLY NONREC</v>
          </cell>
          <cell r="D45">
            <v>54.68</v>
          </cell>
          <cell r="E45">
            <v>55.57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109.36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109.36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2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2</v>
          </cell>
          <cell r="AG45">
            <v>0.16666666666666666</v>
          </cell>
        </row>
        <row r="46">
          <cell r="B46" t="str">
            <v>95RW1R</v>
          </cell>
          <cell r="C46" t="str">
            <v>1-95 GAL CART WKLY W/REC</v>
          </cell>
          <cell r="D46">
            <v>54.68</v>
          </cell>
          <cell r="E46">
            <v>55.57</v>
          </cell>
          <cell r="F46">
            <v>17846.185000000001</v>
          </cell>
          <cell r="G46">
            <v>18153.759999999998</v>
          </cell>
          <cell r="H46">
            <v>18263.12</v>
          </cell>
          <cell r="I46">
            <v>18967.609999999997</v>
          </cell>
          <cell r="J46">
            <v>19151.669999999998</v>
          </cell>
          <cell r="K46">
            <v>19493.419999999998</v>
          </cell>
          <cell r="L46">
            <v>19712.14</v>
          </cell>
          <cell r="M46">
            <v>20204.259999999998</v>
          </cell>
          <cell r="N46">
            <v>20313.62</v>
          </cell>
          <cell r="O46">
            <v>20286.61</v>
          </cell>
          <cell r="P46">
            <v>20561.79</v>
          </cell>
          <cell r="Q46">
            <v>21144.384999999998</v>
          </cell>
          <cell r="R46">
            <v>234098.57000000004</v>
          </cell>
          <cell r="T46">
            <v>326.375</v>
          </cell>
          <cell r="U46">
            <v>332</v>
          </cell>
          <cell r="V46">
            <v>334</v>
          </cell>
          <cell r="W46">
            <v>346.88386978785655</v>
          </cell>
          <cell r="X46">
            <v>350.24999999999994</v>
          </cell>
          <cell r="Y46">
            <v>356.49999999999994</v>
          </cell>
          <cell r="Z46">
            <v>360.5</v>
          </cell>
          <cell r="AA46">
            <v>369.5</v>
          </cell>
          <cell r="AB46">
            <v>371.5</v>
          </cell>
          <cell r="AC46">
            <v>365.06406334353068</v>
          </cell>
          <cell r="AD46">
            <v>370.01601583588268</v>
          </cell>
          <cell r="AE46">
            <v>380.49999999999994</v>
          </cell>
          <cell r="AF46">
            <v>4263.0889489672691</v>
          </cell>
          <cell r="AG46">
            <v>355.25741241393911</v>
          </cell>
        </row>
        <row r="47">
          <cell r="B47" t="str">
            <v>96RW1N</v>
          </cell>
          <cell r="C47" t="str">
            <v>1-96 GAL CART WKLY NONREC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</row>
        <row r="48">
          <cell r="B48" t="str">
            <v>96RW1R</v>
          </cell>
          <cell r="C48" t="str">
            <v>1-96 GAL CART WKLY W/REC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</row>
        <row r="49">
          <cell r="B49" t="str">
            <v>ADJRES</v>
          </cell>
          <cell r="C49" t="str">
            <v>SERVICE ADJ-RESIDENTIAL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1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1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</row>
        <row r="50">
          <cell r="B50" t="str">
            <v>CARRY-RES</v>
          </cell>
          <cell r="C50" t="str">
            <v>CARRY OUT -RES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</row>
        <row r="51">
          <cell r="B51" t="str">
            <v>DELTOT</v>
          </cell>
          <cell r="C51" t="str">
            <v>GARB CART REDELIVERY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</row>
        <row r="52">
          <cell r="B52" t="str">
            <v>DRIVEPRVT-RES</v>
          </cell>
          <cell r="C52" t="str">
            <v>DRIVE IN PRIVATE RD - RES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</row>
        <row r="53">
          <cell r="B53" t="str">
            <v>DRVNRE1</v>
          </cell>
          <cell r="C53" t="str">
            <v>DRIVE IN UP TO 125'-EOW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</row>
        <row r="54">
          <cell r="B54" t="str">
            <v>DRVNRW1</v>
          </cell>
          <cell r="C54" t="str">
            <v>DRIVE IN UP TO 125'-WKLY</v>
          </cell>
          <cell r="D54">
            <v>10.33</v>
          </cell>
          <cell r="E54">
            <v>10.58</v>
          </cell>
          <cell r="F54">
            <v>20.66</v>
          </cell>
          <cell r="G54">
            <v>20.66</v>
          </cell>
          <cell r="H54">
            <v>20.66</v>
          </cell>
          <cell r="I54">
            <v>20.66</v>
          </cell>
          <cell r="J54">
            <v>20.66</v>
          </cell>
          <cell r="K54">
            <v>20.66</v>
          </cell>
          <cell r="L54">
            <v>20.66</v>
          </cell>
          <cell r="M54">
            <v>20.66</v>
          </cell>
          <cell r="N54">
            <v>20.66</v>
          </cell>
          <cell r="O54">
            <v>21.16</v>
          </cell>
          <cell r="P54">
            <v>21.16</v>
          </cell>
          <cell r="Q54">
            <v>21.16</v>
          </cell>
          <cell r="R54">
            <v>249.42</v>
          </cell>
          <cell r="T54">
            <v>2</v>
          </cell>
          <cell r="U54">
            <v>2</v>
          </cell>
          <cell r="V54">
            <v>2</v>
          </cell>
          <cell r="W54">
            <v>2</v>
          </cell>
          <cell r="X54">
            <v>2</v>
          </cell>
          <cell r="Y54">
            <v>2</v>
          </cell>
          <cell r="Z54">
            <v>2</v>
          </cell>
          <cell r="AA54">
            <v>2</v>
          </cell>
          <cell r="AB54">
            <v>2</v>
          </cell>
          <cell r="AC54">
            <v>2</v>
          </cell>
          <cell r="AD54">
            <v>2</v>
          </cell>
          <cell r="AE54">
            <v>2</v>
          </cell>
          <cell r="AF54">
            <v>24</v>
          </cell>
          <cell r="AG54">
            <v>2</v>
          </cell>
        </row>
        <row r="55">
          <cell r="B55" t="str">
            <v>DRVNRW2</v>
          </cell>
          <cell r="C55" t="str">
            <v>DRIVE IN OVER 125'-WKLY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</row>
        <row r="56">
          <cell r="B56" t="str">
            <v>GWCR</v>
          </cell>
          <cell r="C56" t="str">
            <v>GOOD WILL CREDIT - RESI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-44</v>
          </cell>
          <cell r="K56">
            <v>0</v>
          </cell>
          <cell r="L56">
            <v>0</v>
          </cell>
          <cell r="M56">
            <v>-15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-59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</row>
        <row r="57">
          <cell r="B57" t="str">
            <v>IMPCNR1</v>
          </cell>
          <cell r="C57" t="str">
            <v>1 IMPROPER CAN - RESI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</row>
        <row r="58">
          <cell r="B58" t="str">
            <v>IMPCNR2</v>
          </cell>
          <cell r="C58" t="str">
            <v>2 IMPROPER CANS - RESI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</row>
        <row r="59">
          <cell r="B59" t="str">
            <v>OBSR</v>
          </cell>
          <cell r="C59" t="str">
            <v>OBSTRUCTION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</row>
        <row r="60">
          <cell r="B60" t="str">
            <v>OS</v>
          </cell>
          <cell r="C60" t="str">
            <v>OVERSIZE UNIT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</row>
        <row r="61">
          <cell r="B61" t="str">
            <v>OSOW</v>
          </cell>
          <cell r="C61" t="str">
            <v>OVERSIZE/OVERWEIGHT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</row>
        <row r="62">
          <cell r="B62" t="str">
            <v>OW</v>
          </cell>
          <cell r="C62" t="str">
            <v>OVERWEIGHT UNIT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</row>
        <row r="63">
          <cell r="B63" t="str">
            <v>PACKLC</v>
          </cell>
          <cell r="C63" t="str">
            <v>CARRY-OUT LONG DISTANCE</v>
          </cell>
          <cell r="D63">
            <v>10.33</v>
          </cell>
          <cell r="E63">
            <v>10.574999999999999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</row>
        <row r="64">
          <cell r="B64" t="str">
            <v>PACKR</v>
          </cell>
          <cell r="C64" t="str">
            <v>CARRY-OUT RESIDENTIAL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</row>
        <row r="65">
          <cell r="B65" t="str">
            <v>PACKSNR</v>
          </cell>
          <cell r="C65" t="str">
            <v>CARRY-OUT SENIOR SERVICE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</row>
        <row r="66">
          <cell r="B66" t="str">
            <v>RESTART FEE</v>
          </cell>
          <cell r="C66" t="str">
            <v>RESTART FEE</v>
          </cell>
          <cell r="D66">
            <v>27.75</v>
          </cell>
          <cell r="E66">
            <v>28.41</v>
          </cell>
          <cell r="F66">
            <v>14</v>
          </cell>
          <cell r="G66">
            <v>527.25</v>
          </cell>
          <cell r="H66">
            <v>0</v>
          </cell>
          <cell r="I66">
            <v>721.5</v>
          </cell>
          <cell r="J66">
            <v>83.25</v>
          </cell>
          <cell r="K66">
            <v>305.25</v>
          </cell>
          <cell r="L66">
            <v>0</v>
          </cell>
          <cell r="M66">
            <v>471.75</v>
          </cell>
          <cell r="N66">
            <v>111</v>
          </cell>
          <cell r="O66">
            <v>652.77</v>
          </cell>
          <cell r="P66">
            <v>198.87</v>
          </cell>
          <cell r="Q66">
            <v>482.97</v>
          </cell>
          <cell r="R66">
            <v>3568.6099999999997</v>
          </cell>
          <cell r="T66">
            <v>0.50450450450450446</v>
          </cell>
          <cell r="U66">
            <v>19</v>
          </cell>
          <cell r="V66">
            <v>0</v>
          </cell>
          <cell r="W66">
            <v>26</v>
          </cell>
          <cell r="X66">
            <v>3</v>
          </cell>
          <cell r="Y66">
            <v>11</v>
          </cell>
          <cell r="Z66">
            <v>0</v>
          </cell>
          <cell r="AA66">
            <v>17</v>
          </cell>
          <cell r="AB66">
            <v>4</v>
          </cell>
          <cell r="AC66">
            <v>22.976768743400211</v>
          </cell>
          <cell r="AD66">
            <v>7</v>
          </cell>
          <cell r="AE66">
            <v>17</v>
          </cell>
          <cell r="AF66">
            <v>127.48127324790471</v>
          </cell>
          <cell r="AG66">
            <v>10.623439437325393</v>
          </cell>
        </row>
        <row r="67">
          <cell r="B67" t="str">
            <v>REXTRA</v>
          </cell>
          <cell r="C67" t="str">
            <v>EXTRA UNITS</v>
          </cell>
          <cell r="D67">
            <v>6.75</v>
          </cell>
          <cell r="E67">
            <v>6.88</v>
          </cell>
          <cell r="F67">
            <v>2106</v>
          </cell>
          <cell r="G67">
            <v>2099.25</v>
          </cell>
          <cell r="H67">
            <v>1059.75</v>
          </cell>
          <cell r="I67">
            <v>843.75</v>
          </cell>
          <cell r="J67">
            <v>1086.75</v>
          </cell>
          <cell r="K67">
            <v>1343.25</v>
          </cell>
          <cell r="L67">
            <v>722.25</v>
          </cell>
          <cell r="M67">
            <v>1066.5</v>
          </cell>
          <cell r="N67">
            <v>945</v>
          </cell>
          <cell r="O67">
            <v>667.49</v>
          </cell>
          <cell r="P67">
            <v>1032.3900000000001</v>
          </cell>
          <cell r="Q67">
            <v>1032</v>
          </cell>
          <cell r="R67">
            <v>14004.38</v>
          </cell>
          <cell r="T67">
            <v>312</v>
          </cell>
          <cell r="U67">
            <v>311</v>
          </cell>
          <cell r="V67">
            <v>157</v>
          </cell>
          <cell r="W67">
            <v>125</v>
          </cell>
          <cell r="X67">
            <v>161</v>
          </cell>
          <cell r="Y67">
            <v>199</v>
          </cell>
          <cell r="Z67">
            <v>107</v>
          </cell>
          <cell r="AA67">
            <v>158</v>
          </cell>
          <cell r="AB67">
            <v>140</v>
          </cell>
          <cell r="AC67">
            <v>97.018895348837219</v>
          </cell>
          <cell r="AD67">
            <v>150.05668604651166</v>
          </cell>
          <cell r="AE67">
            <v>150</v>
          </cell>
          <cell r="AF67">
            <v>2067.0755813953492</v>
          </cell>
          <cell r="AG67">
            <v>172.25629844961244</v>
          </cell>
        </row>
        <row r="68">
          <cell r="B68" t="str">
            <v>SUNKENR</v>
          </cell>
          <cell r="C68" t="str">
            <v>SUNKEN CAN CHARGE - RESI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</row>
        <row r="69">
          <cell r="B69" t="str">
            <v>TRIPRCANS</v>
          </cell>
          <cell r="C69" t="str">
            <v>RETURN TRIP CHARGE - CANS</v>
          </cell>
          <cell r="D69">
            <v>7.9</v>
          </cell>
          <cell r="E69">
            <v>8.09</v>
          </cell>
          <cell r="F69">
            <v>7.9</v>
          </cell>
          <cell r="G69">
            <v>15.8</v>
          </cell>
          <cell r="H69">
            <v>0</v>
          </cell>
          <cell r="I69">
            <v>31.6</v>
          </cell>
          <cell r="J69">
            <v>7.9</v>
          </cell>
          <cell r="K69">
            <v>0</v>
          </cell>
          <cell r="L69">
            <v>7.9</v>
          </cell>
          <cell r="M69">
            <v>7.9</v>
          </cell>
          <cell r="N69">
            <v>15.8</v>
          </cell>
          <cell r="O69">
            <v>16.18</v>
          </cell>
          <cell r="P69">
            <v>16.18</v>
          </cell>
          <cell r="Q69">
            <v>24.27</v>
          </cell>
          <cell r="R69">
            <v>151.43000000000004</v>
          </cell>
          <cell r="T69">
            <v>1</v>
          </cell>
          <cell r="U69">
            <v>2</v>
          </cell>
          <cell r="V69">
            <v>0</v>
          </cell>
          <cell r="W69">
            <v>4</v>
          </cell>
          <cell r="X69">
            <v>1</v>
          </cell>
          <cell r="Y69">
            <v>0</v>
          </cell>
          <cell r="Z69">
            <v>1</v>
          </cell>
          <cell r="AA69">
            <v>1</v>
          </cell>
          <cell r="AB69">
            <v>2</v>
          </cell>
          <cell r="AC69">
            <v>2</v>
          </cell>
          <cell r="AD69">
            <v>2</v>
          </cell>
          <cell r="AE69">
            <v>3</v>
          </cell>
          <cell r="AF69">
            <v>19</v>
          </cell>
          <cell r="AG69">
            <v>1.5833333333333333</v>
          </cell>
        </row>
        <row r="70">
          <cell r="B70" t="str">
            <v>TRIPRCARTS</v>
          </cell>
          <cell r="C70" t="str">
            <v>RESI TRIP CHARGE - CARTS</v>
          </cell>
          <cell r="D70">
            <v>7.9</v>
          </cell>
          <cell r="E70">
            <v>8.09</v>
          </cell>
          <cell r="F70">
            <v>7.9</v>
          </cell>
          <cell r="G70">
            <v>7.9</v>
          </cell>
          <cell r="H70">
            <v>0</v>
          </cell>
          <cell r="I70">
            <v>0</v>
          </cell>
          <cell r="J70">
            <v>7.9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23.700000000000003</v>
          </cell>
          <cell r="T70">
            <v>1</v>
          </cell>
          <cell r="U70">
            <v>1</v>
          </cell>
          <cell r="V70">
            <v>0</v>
          </cell>
          <cell r="W70">
            <v>0</v>
          </cell>
          <cell r="X70">
            <v>1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3</v>
          </cell>
          <cell r="AG70">
            <v>0.25</v>
          </cell>
        </row>
        <row r="71">
          <cell r="B71" t="str">
            <v>BULKY-RES</v>
          </cell>
          <cell r="C71" t="str">
            <v>BULKY ITEM</v>
          </cell>
          <cell r="D71">
            <v>26.36</v>
          </cell>
          <cell r="E71">
            <v>26.99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92.26</v>
          </cell>
          <cell r="N71">
            <v>0</v>
          </cell>
          <cell r="O71">
            <v>52.72</v>
          </cell>
          <cell r="P71">
            <v>65.900000000000006</v>
          </cell>
          <cell r="Q71">
            <v>25.8</v>
          </cell>
          <cell r="R71">
            <v>236.68000000000004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3.5000000000000004</v>
          </cell>
          <cell r="AB71">
            <v>0</v>
          </cell>
          <cell r="AC71">
            <v>1.9533160429788812</v>
          </cell>
          <cell r="AD71">
            <v>2.4416450537236019</v>
          </cell>
          <cell r="AE71">
            <v>0.95590959614672111</v>
          </cell>
          <cell r="AF71">
            <v>8.8508706928492042</v>
          </cell>
          <cell r="AG71">
            <v>0.73757255773743369</v>
          </cell>
        </row>
        <row r="72">
          <cell r="B72" t="str">
            <v>DELCART</v>
          </cell>
          <cell r="C72" t="str">
            <v>CART REDELIVERY</v>
          </cell>
          <cell r="D72">
            <v>17.059999999999999</v>
          </cell>
          <cell r="E72">
            <v>17.47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17.47</v>
          </cell>
          <cell r="P72">
            <v>17.47</v>
          </cell>
          <cell r="Q72">
            <v>0</v>
          </cell>
          <cell r="R72">
            <v>34.94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1</v>
          </cell>
          <cell r="AD72">
            <v>1</v>
          </cell>
          <cell r="AE72">
            <v>0</v>
          </cell>
          <cell r="AF72">
            <v>2</v>
          </cell>
          <cell r="AG72">
            <v>0.16666666666666666</v>
          </cell>
        </row>
        <row r="106">
          <cell r="B106" t="str">
            <v>20CW1</v>
          </cell>
          <cell r="C106" t="str">
            <v>1-20 GAL CART WKLY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</row>
        <row r="107">
          <cell r="B107" t="str">
            <v>32C2W2</v>
          </cell>
          <cell r="C107" t="str">
            <v>2-32 GAL CANS 2X WEEKLY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</row>
        <row r="108">
          <cell r="B108" t="str">
            <v>32CE1</v>
          </cell>
          <cell r="C108" t="str">
            <v>32 GAL CAN COMM EOW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</row>
        <row r="109">
          <cell r="B109" t="str">
            <v>32CW1</v>
          </cell>
          <cell r="C109" t="str">
            <v>1-32 GAL CAN WEEKLY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</row>
        <row r="110">
          <cell r="B110" t="str">
            <v>32CW2</v>
          </cell>
          <cell r="C110" t="str">
            <v>2-32 GAL CANS WKLY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</row>
        <row r="111">
          <cell r="B111" t="str">
            <v>32CW3</v>
          </cell>
          <cell r="C111" t="str">
            <v>3-32 GAL CANS WKLY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</row>
        <row r="112">
          <cell r="B112" t="str">
            <v>32CW4</v>
          </cell>
          <cell r="C112" t="str">
            <v>4-32 GAL CANS WKLY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</row>
        <row r="113">
          <cell r="B113" t="str">
            <v>35CW1</v>
          </cell>
          <cell r="C113" t="str">
            <v>1-35 GAL CART WKLY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</row>
        <row r="114">
          <cell r="B114" t="str">
            <v>65CW1</v>
          </cell>
          <cell r="C114" t="str">
            <v>1-65 GAL CART WKLY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</row>
        <row r="115">
          <cell r="B115" t="str">
            <v>95CW1</v>
          </cell>
          <cell r="C115" t="str">
            <v>1-95 GAL CART WKLY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</row>
        <row r="116">
          <cell r="B116" t="str">
            <v>F1YD1W</v>
          </cell>
          <cell r="C116" t="str">
            <v>1YD CONT 1X WEEKLY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</row>
        <row r="117">
          <cell r="B117" t="str">
            <v>R1YD1W</v>
          </cell>
          <cell r="C117" t="str">
            <v>1YD CONT 1xWEEKLY</v>
          </cell>
          <cell r="D117">
            <v>111.75</v>
          </cell>
          <cell r="E117">
            <v>113.65</v>
          </cell>
          <cell r="F117">
            <v>2458.5</v>
          </cell>
          <cell r="G117">
            <v>2458.5</v>
          </cell>
          <cell r="H117">
            <v>2458.5</v>
          </cell>
          <cell r="I117">
            <v>2372.6849999999999</v>
          </cell>
          <cell r="J117">
            <v>2514.375</v>
          </cell>
          <cell r="K117">
            <v>2514.375</v>
          </cell>
          <cell r="L117">
            <v>2514.375</v>
          </cell>
          <cell r="M117">
            <v>2458.5</v>
          </cell>
          <cell r="N117">
            <v>2458.5</v>
          </cell>
          <cell r="O117">
            <v>2500.3000000000002</v>
          </cell>
          <cell r="P117">
            <v>2500.3000000000002</v>
          </cell>
          <cell r="Q117">
            <v>2443.48</v>
          </cell>
          <cell r="R117">
            <v>29652.389999999996</v>
          </cell>
          <cell r="T117">
            <v>22</v>
          </cell>
          <cell r="U117">
            <v>22</v>
          </cell>
          <cell r="V117">
            <v>22</v>
          </cell>
          <cell r="W117">
            <v>21.232080536912751</v>
          </cell>
          <cell r="X117">
            <v>22.5</v>
          </cell>
          <cell r="Y117">
            <v>22.5</v>
          </cell>
          <cell r="Z117">
            <v>22.5</v>
          </cell>
          <cell r="AA117">
            <v>22</v>
          </cell>
          <cell r="AB117">
            <v>22</v>
          </cell>
          <cell r="AC117">
            <v>22</v>
          </cell>
          <cell r="AD117">
            <v>22</v>
          </cell>
          <cell r="AE117">
            <v>21.500043994720631</v>
          </cell>
          <cell r="AF117">
            <v>264.23212453163336</v>
          </cell>
          <cell r="AG117">
            <v>22.019343710969448</v>
          </cell>
        </row>
        <row r="118">
          <cell r="B118" t="str">
            <v>F1YD2W</v>
          </cell>
          <cell r="C118" t="str">
            <v>1YD CONT 2X WEEKLY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</row>
        <row r="119">
          <cell r="B119" t="str">
            <v>R1YD2W</v>
          </cell>
          <cell r="C119" t="str">
            <v>1YD CONT 2xWEEKLY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</row>
        <row r="120">
          <cell r="B120" t="str">
            <v>R1YD3W</v>
          </cell>
          <cell r="C120" t="str">
            <v>1YD CONT 3xWEEKLY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</row>
        <row r="121">
          <cell r="B121" t="str">
            <v>R1YDEOW</v>
          </cell>
          <cell r="C121" t="str">
            <v>1YD CONT EOW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</row>
        <row r="122">
          <cell r="B122" t="str">
            <v>R1YDTPU</v>
          </cell>
          <cell r="C122" t="str">
            <v>1YD TEMP CONT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</row>
        <row r="123">
          <cell r="B123" t="str">
            <v>R1.5YD1W</v>
          </cell>
          <cell r="C123" t="str">
            <v>1.5YD CONT 1xWEEKLY</v>
          </cell>
          <cell r="D123">
            <v>153.11000000000001</v>
          </cell>
          <cell r="E123">
            <v>155.62</v>
          </cell>
          <cell r="F123">
            <v>1626.79</v>
          </cell>
          <cell r="G123">
            <v>1531.1</v>
          </cell>
          <cell r="H123">
            <v>1531.1</v>
          </cell>
          <cell r="I123">
            <v>1531.1</v>
          </cell>
          <cell r="J123">
            <v>1531.1</v>
          </cell>
          <cell r="K123">
            <v>1531.1</v>
          </cell>
          <cell r="L123">
            <v>1531.1</v>
          </cell>
          <cell r="M123">
            <v>1531.1</v>
          </cell>
          <cell r="N123">
            <v>1531.1</v>
          </cell>
          <cell r="O123">
            <v>1634.01</v>
          </cell>
          <cell r="P123">
            <v>1634.01</v>
          </cell>
          <cell r="Q123">
            <v>1458.9349999999999</v>
          </cell>
          <cell r="R123">
            <v>18602.545000000002</v>
          </cell>
          <cell r="T123">
            <v>10.624975507804844</v>
          </cell>
          <cell r="U123">
            <v>9.9999999999999982</v>
          </cell>
          <cell r="V123">
            <v>9.9999999999999982</v>
          </cell>
          <cell r="W123">
            <v>9.9999999999999982</v>
          </cell>
          <cell r="X123">
            <v>9.9999999999999982</v>
          </cell>
          <cell r="Y123">
            <v>9.9999999999999982</v>
          </cell>
          <cell r="Z123">
            <v>9.9999999999999982</v>
          </cell>
          <cell r="AA123">
            <v>9.9999999999999982</v>
          </cell>
          <cell r="AB123">
            <v>9.9999999999999982</v>
          </cell>
          <cell r="AC123">
            <v>10.5</v>
          </cell>
          <cell r="AD123">
            <v>10.5</v>
          </cell>
          <cell r="AE123">
            <v>9.3749839352268332</v>
          </cell>
          <cell r="AF123">
            <v>120.99995944303167</v>
          </cell>
          <cell r="AG123">
            <v>10.083329953585972</v>
          </cell>
        </row>
        <row r="124">
          <cell r="B124" t="str">
            <v>F1.5YD1W</v>
          </cell>
          <cell r="C124" t="str">
            <v>1.5YD CONT 1X WEEKLY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</row>
        <row r="125">
          <cell r="B125" t="str">
            <v>R1.5YD2W</v>
          </cell>
          <cell r="C125" t="str">
            <v>1.5YD CONT 2xWEEKLY</v>
          </cell>
          <cell r="D125">
            <v>302.91000000000003</v>
          </cell>
          <cell r="E125">
            <v>307.85000000000002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230.88499999999999</v>
          </cell>
          <cell r="R125">
            <v>230.88499999999999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0.74999187916192944</v>
          </cell>
          <cell r="AF125">
            <v>0.74999187916192944</v>
          </cell>
          <cell r="AG125">
            <v>6.2499323263494118E-2</v>
          </cell>
        </row>
        <row r="126">
          <cell r="B126" t="str">
            <v>R1.5YD3W</v>
          </cell>
          <cell r="C126" t="str">
            <v>1.5YD CONT 3xWEEKLY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</row>
        <row r="127">
          <cell r="B127" t="str">
            <v>R1.5YDEOW</v>
          </cell>
          <cell r="C127" t="str">
            <v>1.5YD CONT EOW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</row>
        <row r="128">
          <cell r="B128" t="str">
            <v>R1.5YDTPU</v>
          </cell>
          <cell r="C128" t="str">
            <v>1.5YD TEMP CONTAINER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</row>
        <row r="129">
          <cell r="B129" t="str">
            <v>F2YD1W</v>
          </cell>
          <cell r="C129" t="str">
            <v>2YD CONT 1X WEEKLY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</row>
        <row r="130">
          <cell r="B130" t="str">
            <v>R2YD1W</v>
          </cell>
          <cell r="C130" t="str">
            <v>2YD CONT 1xWEEKLY</v>
          </cell>
          <cell r="D130">
            <v>197.33</v>
          </cell>
          <cell r="E130">
            <v>200.61</v>
          </cell>
          <cell r="F130">
            <v>2121.2950000000001</v>
          </cell>
          <cell r="G130">
            <v>2071.9700000000003</v>
          </cell>
          <cell r="H130">
            <v>2170.63</v>
          </cell>
          <cell r="I130">
            <v>2515.9499999999998</v>
          </cell>
          <cell r="J130">
            <v>2367.9499999999998</v>
          </cell>
          <cell r="K130">
            <v>2269.29</v>
          </cell>
          <cell r="L130">
            <v>2071.96</v>
          </cell>
          <cell r="M130">
            <v>1381.31</v>
          </cell>
          <cell r="N130">
            <v>2269.29</v>
          </cell>
          <cell r="O130">
            <v>1016.17</v>
          </cell>
          <cell r="P130">
            <v>1805.49</v>
          </cell>
          <cell r="Q130">
            <v>2106.395</v>
          </cell>
          <cell r="R130">
            <v>24167.700000000004</v>
          </cell>
          <cell r="T130">
            <v>10.749987330867075</v>
          </cell>
          <cell r="U130">
            <v>10.50002533826585</v>
          </cell>
          <cell r="V130">
            <v>11</v>
          </cell>
          <cell r="W130">
            <v>12.749961992601225</v>
          </cell>
          <cell r="X130">
            <v>11.9999493234683</v>
          </cell>
          <cell r="Y130">
            <v>11.49997466173415</v>
          </cell>
          <cell r="Z130">
            <v>10.49997466173415</v>
          </cell>
          <cell r="AA130">
            <v>6.9999999999999991</v>
          </cell>
          <cell r="AB130">
            <v>11.49997466173415</v>
          </cell>
          <cell r="AC130">
            <v>5.0654005283884151</v>
          </cell>
          <cell r="AD130">
            <v>9</v>
          </cell>
          <cell r="AE130">
            <v>10.499950152036288</v>
          </cell>
          <cell r="AF130">
            <v>122.06519865082959</v>
          </cell>
          <cell r="AG130">
            <v>10.172099887569132</v>
          </cell>
        </row>
        <row r="131">
          <cell r="B131" t="str">
            <v>R2YD2W</v>
          </cell>
          <cell r="C131" t="str">
            <v>2YD CONT 2xWEEKLY</v>
          </cell>
          <cell r="D131">
            <v>388.37</v>
          </cell>
          <cell r="E131">
            <v>394.78</v>
          </cell>
          <cell r="F131">
            <v>388.37</v>
          </cell>
          <cell r="G131">
            <v>388.37</v>
          </cell>
          <cell r="H131">
            <v>388.37</v>
          </cell>
          <cell r="I131">
            <v>388.37</v>
          </cell>
          <cell r="J131">
            <v>388.37</v>
          </cell>
          <cell r="K131">
            <v>388.37</v>
          </cell>
          <cell r="L131">
            <v>388.37</v>
          </cell>
          <cell r="M131">
            <v>388.37</v>
          </cell>
          <cell r="N131">
            <v>388.37</v>
          </cell>
          <cell r="O131">
            <v>394.78</v>
          </cell>
          <cell r="P131">
            <v>394.78</v>
          </cell>
          <cell r="Q131">
            <v>394.78</v>
          </cell>
          <cell r="R131">
            <v>4679.6699999999992</v>
          </cell>
          <cell r="T131">
            <v>1</v>
          </cell>
          <cell r="U131">
            <v>1</v>
          </cell>
          <cell r="V131">
            <v>1</v>
          </cell>
          <cell r="W131">
            <v>1</v>
          </cell>
          <cell r="X131">
            <v>1</v>
          </cell>
          <cell r="Y131">
            <v>1</v>
          </cell>
          <cell r="Z131">
            <v>1</v>
          </cell>
          <cell r="AA131">
            <v>1</v>
          </cell>
          <cell r="AB131">
            <v>1</v>
          </cell>
          <cell r="AC131">
            <v>1</v>
          </cell>
          <cell r="AD131">
            <v>1</v>
          </cell>
          <cell r="AE131">
            <v>1</v>
          </cell>
          <cell r="AF131">
            <v>12</v>
          </cell>
          <cell r="AG131">
            <v>1</v>
          </cell>
        </row>
        <row r="132">
          <cell r="B132" t="str">
            <v>F2YD2W</v>
          </cell>
          <cell r="C132" t="str">
            <v>2YD CONT 2X WEEKLY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</row>
        <row r="133">
          <cell r="B133" t="str">
            <v>F2YD3W</v>
          </cell>
          <cell r="C133" t="str">
            <v>2YD CONT 3X WEEKLY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</row>
        <row r="134">
          <cell r="B134" t="str">
            <v>R2YD3W</v>
          </cell>
          <cell r="C134" t="str">
            <v>2YD CONT 3xWEEKLY</v>
          </cell>
          <cell r="D134">
            <v>585.69000000000005</v>
          </cell>
          <cell r="E134">
            <v>595.37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</row>
        <row r="135">
          <cell r="B135" t="str">
            <v>R2YD4W</v>
          </cell>
          <cell r="C135" t="str">
            <v>2YD CONT 4xWEEKLY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</row>
        <row r="136">
          <cell r="B136" t="str">
            <v>R2YD5W</v>
          </cell>
          <cell r="C136" t="str">
            <v>2YD CONT 5xWEEKLY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</row>
        <row r="137">
          <cell r="B137" t="str">
            <v>R2YDEOW</v>
          </cell>
          <cell r="C137" t="str">
            <v>2YD CONT EOW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</row>
        <row r="138">
          <cell r="B138" t="str">
            <v>R2YDTPU</v>
          </cell>
          <cell r="C138" t="str">
            <v>2YD TEMP CONTAINER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</row>
        <row r="139">
          <cell r="B139" t="str">
            <v>F4YD1W</v>
          </cell>
          <cell r="C139" t="str">
            <v>4YD CONT 1X WEEKLY</v>
          </cell>
          <cell r="D139">
            <v>372.43</v>
          </cell>
          <cell r="E139">
            <v>378.55</v>
          </cell>
          <cell r="F139">
            <v>2607.0100000000002</v>
          </cell>
          <cell r="G139">
            <v>2607.0100000000002</v>
          </cell>
          <cell r="H139">
            <v>2607.0100000000002</v>
          </cell>
          <cell r="I139">
            <v>2234.5800000000004</v>
          </cell>
          <cell r="J139">
            <v>2234.5800000000004</v>
          </cell>
          <cell r="K139">
            <v>2607.0100000000002</v>
          </cell>
          <cell r="L139">
            <v>2607.0100000000002</v>
          </cell>
          <cell r="M139">
            <v>2979.44</v>
          </cell>
          <cell r="N139">
            <v>2979.44</v>
          </cell>
          <cell r="O139">
            <v>2277.42</v>
          </cell>
          <cell r="P139">
            <v>2277.42</v>
          </cell>
          <cell r="Q139">
            <v>2649.85</v>
          </cell>
          <cell r="R139">
            <v>30667.779999999992</v>
          </cell>
          <cell r="T139">
            <v>7.0000000000000009</v>
          </cell>
          <cell r="U139">
            <v>7.0000000000000009</v>
          </cell>
          <cell r="V139">
            <v>7.0000000000000009</v>
          </cell>
          <cell r="W139">
            <v>6.0000000000000009</v>
          </cell>
          <cell r="X139">
            <v>6.0000000000000009</v>
          </cell>
          <cell r="Y139">
            <v>7.0000000000000009</v>
          </cell>
          <cell r="Z139">
            <v>7.0000000000000009</v>
          </cell>
          <cell r="AA139">
            <v>8</v>
          </cell>
          <cell r="AB139">
            <v>8</v>
          </cell>
          <cell r="AC139">
            <v>6.0161669528463877</v>
          </cell>
          <cell r="AD139">
            <v>6.0161669528463877</v>
          </cell>
          <cell r="AE139">
            <v>6.9999999999999991</v>
          </cell>
          <cell r="AF139">
            <v>82.032333905692781</v>
          </cell>
          <cell r="AG139">
            <v>6.8360278254743987</v>
          </cell>
        </row>
        <row r="140">
          <cell r="B140" t="str">
            <v>F4YD2W</v>
          </cell>
          <cell r="C140" t="str">
            <v>4YD CONT 2X WEEKLY</v>
          </cell>
          <cell r="D140">
            <v>744.82</v>
          </cell>
          <cell r="E140">
            <v>757.06</v>
          </cell>
          <cell r="F140">
            <v>744.82</v>
          </cell>
          <cell r="G140">
            <v>744.82</v>
          </cell>
          <cell r="H140">
            <v>744.82</v>
          </cell>
          <cell r="I140">
            <v>1489.64</v>
          </cell>
          <cell r="J140">
            <v>1489.64</v>
          </cell>
          <cell r="K140">
            <v>1489.64</v>
          </cell>
          <cell r="L140">
            <v>1489.64</v>
          </cell>
          <cell r="M140">
            <v>1489.64</v>
          </cell>
          <cell r="N140">
            <v>1489.64</v>
          </cell>
          <cell r="O140">
            <v>1514.12</v>
          </cell>
          <cell r="P140">
            <v>1514.12</v>
          </cell>
          <cell r="Q140">
            <v>1514.12</v>
          </cell>
          <cell r="R140">
            <v>15714.659999999996</v>
          </cell>
          <cell r="T140">
            <v>1</v>
          </cell>
          <cell r="U140">
            <v>1</v>
          </cell>
          <cell r="V140">
            <v>1</v>
          </cell>
          <cell r="W140">
            <v>2</v>
          </cell>
          <cell r="X140">
            <v>2</v>
          </cell>
          <cell r="Y140">
            <v>2</v>
          </cell>
          <cell r="Z140">
            <v>2</v>
          </cell>
          <cell r="AA140">
            <v>2</v>
          </cell>
          <cell r="AB140">
            <v>2</v>
          </cell>
          <cell r="AC140">
            <v>2</v>
          </cell>
          <cell r="AD140">
            <v>2</v>
          </cell>
          <cell r="AE140">
            <v>2</v>
          </cell>
          <cell r="AF140">
            <v>21</v>
          </cell>
          <cell r="AG140">
            <v>1.75</v>
          </cell>
        </row>
        <row r="141">
          <cell r="B141" t="str">
            <v>F4YD3W</v>
          </cell>
          <cell r="C141" t="str">
            <v>4YD CONT 3X WEEKLY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</row>
        <row r="142">
          <cell r="B142" t="str">
            <v>F4YD4W</v>
          </cell>
          <cell r="C142" t="str">
            <v>4YD CONT 4X WEEKLY SVC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</row>
        <row r="143">
          <cell r="B143" t="str">
            <v>F6YD1W</v>
          </cell>
          <cell r="C143" t="str">
            <v>6YD CONT 1X WEEKLY</v>
          </cell>
          <cell r="D143">
            <v>527.91999999999996</v>
          </cell>
          <cell r="E143">
            <v>536.73</v>
          </cell>
          <cell r="F143">
            <v>3695.44</v>
          </cell>
          <cell r="G143">
            <v>3299.5</v>
          </cell>
          <cell r="H143">
            <v>3299.5</v>
          </cell>
          <cell r="I143">
            <v>1583.7600000000002</v>
          </cell>
          <cell r="J143">
            <v>1583.7600000000002</v>
          </cell>
          <cell r="K143">
            <v>1583.76</v>
          </cell>
          <cell r="L143">
            <v>1583.76</v>
          </cell>
          <cell r="M143">
            <v>1583.7599999999998</v>
          </cell>
          <cell r="N143">
            <v>1583.7599999999998</v>
          </cell>
          <cell r="O143">
            <v>1610.19</v>
          </cell>
          <cell r="P143">
            <v>1610.19</v>
          </cell>
          <cell r="Q143">
            <v>1610.19</v>
          </cell>
          <cell r="R143">
            <v>24627.569999999992</v>
          </cell>
          <cell r="T143">
            <v>7.0000000000000009</v>
          </cell>
          <cell r="U143">
            <v>6.2500000000000009</v>
          </cell>
          <cell r="V143">
            <v>6.2500000000000009</v>
          </cell>
          <cell r="W143">
            <v>3.0000000000000004</v>
          </cell>
          <cell r="X143">
            <v>3.0000000000000004</v>
          </cell>
          <cell r="Y143">
            <v>3</v>
          </cell>
          <cell r="Z143">
            <v>3</v>
          </cell>
          <cell r="AA143">
            <v>3</v>
          </cell>
          <cell r="AB143">
            <v>3</v>
          </cell>
          <cell r="AC143">
            <v>3</v>
          </cell>
          <cell r="AD143">
            <v>3</v>
          </cell>
          <cell r="AE143">
            <v>3</v>
          </cell>
          <cell r="AF143">
            <v>46.5</v>
          </cell>
          <cell r="AG143">
            <v>3.875</v>
          </cell>
        </row>
        <row r="144">
          <cell r="B144" t="str">
            <v>F6YD2W</v>
          </cell>
          <cell r="C144" t="str">
            <v>6YD CONT 2X WEEKLY</v>
          </cell>
          <cell r="D144">
            <v>1055.81</v>
          </cell>
          <cell r="E144">
            <v>1073.43</v>
          </cell>
          <cell r="F144">
            <v>10558.1</v>
          </cell>
          <cell r="G144">
            <v>12471.754999999999</v>
          </cell>
          <cell r="H144">
            <v>12471.754999999999</v>
          </cell>
          <cell r="I144">
            <v>15837.15</v>
          </cell>
          <cell r="J144">
            <v>15837.15</v>
          </cell>
          <cell r="K144">
            <v>15837.15</v>
          </cell>
          <cell r="L144">
            <v>15837.15</v>
          </cell>
          <cell r="M144">
            <v>15837.15</v>
          </cell>
          <cell r="N144">
            <v>15837.15</v>
          </cell>
          <cell r="O144">
            <v>15967.27</v>
          </cell>
          <cell r="P144">
            <v>16101.45</v>
          </cell>
          <cell r="Q144">
            <v>16101.45</v>
          </cell>
          <cell r="R144">
            <v>178694.68</v>
          </cell>
          <cell r="T144">
            <v>10</v>
          </cell>
          <cell r="U144">
            <v>11.81249940803743</v>
          </cell>
          <cell r="V144">
            <v>11.81249940803743</v>
          </cell>
          <cell r="W144">
            <v>15</v>
          </cell>
          <cell r="X144">
            <v>15</v>
          </cell>
          <cell r="Y144">
            <v>15</v>
          </cell>
          <cell r="Z144">
            <v>15</v>
          </cell>
          <cell r="AA144">
            <v>15</v>
          </cell>
          <cell r="AB144">
            <v>15</v>
          </cell>
          <cell r="AC144">
            <v>14.874998835508602</v>
          </cell>
          <cell r="AD144">
            <v>15</v>
          </cell>
          <cell r="AE144">
            <v>15</v>
          </cell>
          <cell r="AF144">
            <v>168.49999765158347</v>
          </cell>
          <cell r="AG144">
            <v>14.041666470965289</v>
          </cell>
        </row>
        <row r="145">
          <cell r="B145" t="str">
            <v>F6YD3W</v>
          </cell>
          <cell r="C145" t="str">
            <v>6YD CONT 3X WEEKLY</v>
          </cell>
          <cell r="D145">
            <v>1583.75</v>
          </cell>
          <cell r="E145">
            <v>1610.18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</row>
        <row r="146">
          <cell r="B146" t="str">
            <v>F6YD4W</v>
          </cell>
          <cell r="C146" t="str">
            <v>6YD CONT 4X WEEKLY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</row>
        <row r="147">
          <cell r="B147" t="str">
            <v>F6YD5W</v>
          </cell>
          <cell r="C147" t="str">
            <v>6YD CONT 5X WEEKLY</v>
          </cell>
          <cell r="D147">
            <v>1294.81</v>
          </cell>
          <cell r="E147">
            <v>2632.49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</row>
        <row r="148">
          <cell r="B148" t="str">
            <v>F8YD2W</v>
          </cell>
          <cell r="C148" t="str">
            <v>8 YD CONT 2X WKLY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</row>
        <row r="149">
          <cell r="B149" t="str">
            <v>FCP2YD1W2.25-1</v>
          </cell>
          <cell r="C149" t="str">
            <v>2 YD 2.25-1 COMP 1X WK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</row>
        <row r="150">
          <cell r="B150" t="str">
            <v>FCP2YD1W4-1</v>
          </cell>
          <cell r="C150" t="str">
            <v>2 YD 4-1 COMP 1X WK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</row>
        <row r="151">
          <cell r="B151" t="str">
            <v>FCP2YD2W</v>
          </cell>
          <cell r="C151" t="str">
            <v>2 YD COMPACTOR 2X WKLY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</row>
        <row r="152">
          <cell r="B152" t="str">
            <v>FCP4YD1W2.25-1</v>
          </cell>
          <cell r="C152" t="str">
            <v>4 YD 2.25-1 COMP 1X WK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</row>
        <row r="153">
          <cell r="B153" t="str">
            <v>FCP4YD1W4-1</v>
          </cell>
          <cell r="C153" t="str">
            <v>4YD 4-1 COMP 1X WK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</row>
        <row r="154">
          <cell r="B154" t="str">
            <v>FCP4YD1W5-1</v>
          </cell>
          <cell r="C154" t="str">
            <v>4 YD 5-1 COMP 1X WK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</row>
        <row r="155">
          <cell r="B155" t="str">
            <v>FCP4YDEOW5-1</v>
          </cell>
          <cell r="C155" t="str">
            <v>4 YD 5-1 COMP EOW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</row>
        <row r="156">
          <cell r="B156" t="str">
            <v>FCP4YDOC5-1</v>
          </cell>
          <cell r="C156" t="str">
            <v>4 YD 5-1 COMP ON CALL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</row>
        <row r="157">
          <cell r="B157" t="str">
            <v>FCP6YD2W</v>
          </cell>
          <cell r="C157" t="str">
            <v>6YD COMPACTOR 2X WKLY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</row>
        <row r="158">
          <cell r="B158" t="str">
            <v>FCP6YD2W3-1</v>
          </cell>
          <cell r="C158" t="str">
            <v>6 YD 3-1 COMP 2X WK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</row>
        <row r="159">
          <cell r="B159" t="str">
            <v>FCP6YD2W4-1</v>
          </cell>
          <cell r="C159" t="str">
            <v>6 YD 4-1 COMP 2X WK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</row>
        <row r="160">
          <cell r="B160" t="str">
            <v>IMPCNC</v>
          </cell>
          <cell r="C160" t="str">
            <v>1 IMPROPER CAN - CMML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</row>
        <row r="161">
          <cell r="B161" t="str">
            <v>PACKC</v>
          </cell>
          <cell r="C161" t="str">
            <v>CARRY-OUT COMMERCIAL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</row>
        <row r="162">
          <cell r="B162" t="str">
            <v>R1YDEX</v>
          </cell>
          <cell r="C162" t="str">
            <v>1YD CONTAINER EXTRA</v>
          </cell>
          <cell r="D162">
            <v>26.34</v>
          </cell>
          <cell r="E162">
            <v>13.395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</row>
        <row r="163">
          <cell r="B163" t="str">
            <v>F1YDEX</v>
          </cell>
          <cell r="C163" t="str">
            <v>1YD CONT EXTRA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</row>
        <row r="164">
          <cell r="B164" t="str">
            <v>R1.5YDEX</v>
          </cell>
          <cell r="C164" t="str">
            <v>1.5YD CONTAINER EXTRA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</row>
        <row r="165">
          <cell r="B165" t="str">
            <v>F2YDEX</v>
          </cell>
          <cell r="C165" t="str">
            <v>2YD CONT EXTRA</v>
          </cell>
          <cell r="D165">
            <v>46.07</v>
          </cell>
          <cell r="E165">
            <v>23.42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</row>
        <row r="166">
          <cell r="B166" t="str">
            <v>R2YDEX</v>
          </cell>
          <cell r="C166" t="str">
            <v>2YD CONTAINER EXTRA</v>
          </cell>
          <cell r="D166">
            <v>46.07</v>
          </cell>
          <cell r="E166">
            <v>23.42</v>
          </cell>
          <cell r="F166">
            <v>0</v>
          </cell>
          <cell r="G166">
            <v>0</v>
          </cell>
          <cell r="H166">
            <v>0</v>
          </cell>
          <cell r="I166">
            <v>46.07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46.07</v>
          </cell>
          <cell r="T166">
            <v>0</v>
          </cell>
          <cell r="U166">
            <v>0</v>
          </cell>
          <cell r="V166">
            <v>0</v>
          </cell>
          <cell r="W166">
            <v>1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1</v>
          </cell>
          <cell r="AG166">
            <v>8.3333333333333329E-2</v>
          </cell>
        </row>
        <row r="167">
          <cell r="B167" t="str">
            <v>F4YDEX</v>
          </cell>
          <cell r="C167" t="str">
            <v>4YD CONT EXTRA PICKUP</v>
          </cell>
          <cell r="D167">
            <v>86.83</v>
          </cell>
          <cell r="E167">
            <v>44.13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</row>
        <row r="168">
          <cell r="B168" t="str">
            <v>F6YDEX</v>
          </cell>
          <cell r="C168" t="str">
            <v>6YD CONT EXTRA PICKUP</v>
          </cell>
          <cell r="D168">
            <v>123.01</v>
          </cell>
          <cell r="E168">
            <v>62.534999999999997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</row>
        <row r="169">
          <cell r="B169" t="str">
            <v>ADJCOM</v>
          </cell>
          <cell r="C169" t="str">
            <v>SERVICE ADJ-COMMERCIAL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</row>
        <row r="170">
          <cell r="B170" t="str">
            <v>CCONNECT</v>
          </cell>
          <cell r="C170" t="str">
            <v>CMML CONNECT/RECONNECT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</row>
        <row r="171">
          <cell r="B171" t="str">
            <v>CDEL</v>
          </cell>
          <cell r="C171" t="str">
            <v>CONTAINER DELIVERY CHARGE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42.83</v>
          </cell>
          <cell r="Q171">
            <v>0</v>
          </cell>
          <cell r="R171">
            <v>42.83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</row>
        <row r="172">
          <cell r="B172" t="str">
            <v>CEX</v>
          </cell>
          <cell r="C172" t="str">
            <v>EXTRA CANS</v>
          </cell>
          <cell r="D172">
            <v>6.75</v>
          </cell>
          <cell r="E172">
            <v>6.88</v>
          </cell>
          <cell r="F172">
            <v>20.25</v>
          </cell>
          <cell r="G172">
            <v>74.25</v>
          </cell>
          <cell r="H172">
            <v>0</v>
          </cell>
          <cell r="I172">
            <v>20.25</v>
          </cell>
          <cell r="J172">
            <v>6.75</v>
          </cell>
          <cell r="K172">
            <v>67.5</v>
          </cell>
          <cell r="L172">
            <v>13.5</v>
          </cell>
          <cell r="M172">
            <v>13.5</v>
          </cell>
          <cell r="N172">
            <v>87.75</v>
          </cell>
          <cell r="O172">
            <v>75.680000000000007</v>
          </cell>
          <cell r="P172">
            <v>75.680000000000007</v>
          </cell>
          <cell r="Q172">
            <v>123.84</v>
          </cell>
          <cell r="R172">
            <v>578.95000000000005</v>
          </cell>
          <cell r="T172">
            <v>3</v>
          </cell>
          <cell r="U172">
            <v>11</v>
          </cell>
          <cell r="V172">
            <v>0</v>
          </cell>
          <cell r="W172">
            <v>3</v>
          </cell>
          <cell r="X172">
            <v>1</v>
          </cell>
          <cell r="Y172">
            <v>10</v>
          </cell>
          <cell r="Z172">
            <v>2</v>
          </cell>
          <cell r="AA172">
            <v>2</v>
          </cell>
          <cell r="AB172">
            <v>13</v>
          </cell>
          <cell r="AC172">
            <v>11.000000000000002</v>
          </cell>
          <cell r="AD172">
            <v>11.000000000000002</v>
          </cell>
          <cell r="AE172">
            <v>18</v>
          </cell>
          <cell r="AF172">
            <v>85</v>
          </cell>
          <cell r="AG172">
            <v>7.083333333333333</v>
          </cell>
        </row>
        <row r="173">
          <cell r="B173" t="str">
            <v>CEXYD</v>
          </cell>
          <cell r="C173" t="str">
            <v>CMML EXTRA YARDAGE</v>
          </cell>
          <cell r="D173">
            <v>16.149999999999999</v>
          </cell>
          <cell r="E173">
            <v>16.36</v>
          </cell>
          <cell r="F173">
            <v>226.1</v>
          </cell>
          <cell r="G173">
            <v>16.149999999999999</v>
          </cell>
          <cell r="H173">
            <v>0</v>
          </cell>
          <cell r="I173">
            <v>16.149999999999999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16.149999999999999</v>
          </cell>
          <cell r="O173">
            <v>0</v>
          </cell>
          <cell r="P173">
            <v>16.36</v>
          </cell>
          <cell r="Q173">
            <v>147.24</v>
          </cell>
          <cell r="R173">
            <v>438.15</v>
          </cell>
          <cell r="T173">
            <v>14</v>
          </cell>
          <cell r="U173">
            <v>1</v>
          </cell>
          <cell r="V173">
            <v>0</v>
          </cell>
          <cell r="W173">
            <v>1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1</v>
          </cell>
          <cell r="AC173">
            <v>0</v>
          </cell>
          <cell r="AD173">
            <v>1</v>
          </cell>
          <cell r="AE173">
            <v>9</v>
          </cell>
          <cell r="AF173">
            <v>27</v>
          </cell>
          <cell r="AG173">
            <v>2.25</v>
          </cell>
        </row>
        <row r="174">
          <cell r="B174" t="str">
            <v>CLOCK</v>
          </cell>
          <cell r="C174" t="str">
            <v>LOCK CHARGE-CONTAINER</v>
          </cell>
          <cell r="D174">
            <v>9.76</v>
          </cell>
          <cell r="E174">
            <v>10</v>
          </cell>
          <cell r="F174">
            <v>19.52</v>
          </cell>
          <cell r="G174">
            <v>24.4</v>
          </cell>
          <cell r="H174">
            <v>24.4</v>
          </cell>
          <cell r="I174">
            <v>24.4</v>
          </cell>
          <cell r="J174">
            <v>24.4</v>
          </cell>
          <cell r="K174">
            <v>24.4</v>
          </cell>
          <cell r="L174">
            <v>24.4</v>
          </cell>
          <cell r="M174">
            <v>24.4</v>
          </cell>
          <cell r="N174">
            <v>24.4</v>
          </cell>
          <cell r="O174">
            <v>25</v>
          </cell>
          <cell r="P174">
            <v>25</v>
          </cell>
          <cell r="Q174">
            <v>25</v>
          </cell>
          <cell r="R174">
            <v>289.72000000000003</v>
          </cell>
          <cell r="T174">
            <v>2</v>
          </cell>
          <cell r="U174">
            <v>2.5</v>
          </cell>
          <cell r="V174">
            <v>2.5</v>
          </cell>
          <cell r="W174">
            <v>2.5</v>
          </cell>
          <cell r="X174">
            <v>2.5</v>
          </cell>
          <cell r="Y174">
            <v>2.5</v>
          </cell>
          <cell r="Z174">
            <v>2.5</v>
          </cell>
          <cell r="AA174">
            <v>2.5</v>
          </cell>
          <cell r="AB174">
            <v>2.5</v>
          </cell>
          <cell r="AC174">
            <v>2.5</v>
          </cell>
          <cell r="AD174">
            <v>2.5</v>
          </cell>
          <cell r="AE174">
            <v>2.5</v>
          </cell>
          <cell r="AF174">
            <v>29.5</v>
          </cell>
          <cell r="AG174">
            <v>2.4583333333333335</v>
          </cell>
        </row>
        <row r="175">
          <cell r="B175" t="str">
            <v>CROLL</v>
          </cell>
          <cell r="C175" t="str">
            <v>ROLLOUT CHARGE - CMML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</row>
        <row r="176">
          <cell r="B176" t="str">
            <v>CTDEL</v>
          </cell>
          <cell r="C176" t="str">
            <v>TEMP CONTAINER DELIVERY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</row>
        <row r="177">
          <cell r="B177" t="str">
            <v>CTRIP</v>
          </cell>
          <cell r="C177" t="str">
            <v>RETURN TRIP CHARGE - CONT</v>
          </cell>
          <cell r="D177">
            <v>7.9</v>
          </cell>
          <cell r="E177">
            <v>8.09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15.8</v>
          </cell>
          <cell r="L177">
            <v>7.9</v>
          </cell>
          <cell r="M177">
            <v>0</v>
          </cell>
          <cell r="N177">
            <v>0</v>
          </cell>
          <cell r="O177">
            <v>0</v>
          </cell>
          <cell r="P177">
            <v>8.09</v>
          </cell>
          <cell r="Q177">
            <v>0</v>
          </cell>
          <cell r="R177">
            <v>31.790000000000003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2</v>
          </cell>
          <cell r="Z177">
            <v>1</v>
          </cell>
          <cell r="AA177">
            <v>0</v>
          </cell>
          <cell r="AB177">
            <v>0</v>
          </cell>
          <cell r="AC177">
            <v>0</v>
          </cell>
          <cell r="AD177">
            <v>1</v>
          </cell>
          <cell r="AE177">
            <v>0</v>
          </cell>
          <cell r="AF177">
            <v>4</v>
          </cell>
          <cell r="AG177">
            <v>0.33333333333333331</v>
          </cell>
        </row>
        <row r="178">
          <cell r="B178" t="str">
            <v>CUNLOCK</v>
          </cell>
          <cell r="C178" t="str">
            <v>COMM UNLOCK GATE OR CONT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</row>
        <row r="179">
          <cell r="B179" t="str">
            <v>DRIVEDWAY-COMM</v>
          </cell>
          <cell r="C179" t="str">
            <v>DRIVE IN DRIVEWAY - COMM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</row>
        <row r="180">
          <cell r="B180" t="str">
            <v>DRIVEPVT-COMM</v>
          </cell>
          <cell r="C180" t="str">
            <v>DRIVE IN PRIVATE RD - COMM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</row>
        <row r="181">
          <cell r="B181" t="str">
            <v>DRVNC</v>
          </cell>
          <cell r="C181" t="str">
            <v>DRIVE IN - CMML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</row>
        <row r="182">
          <cell r="B182" t="str">
            <v>TIMEC</v>
          </cell>
          <cell r="C182" t="str">
            <v>CMML TIME CHARGE</v>
          </cell>
          <cell r="D182">
            <v>104.63</v>
          </cell>
          <cell r="E182">
            <v>107.11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</row>
        <row r="183">
          <cell r="B183" t="str">
            <v>RESTART FEE-COM</v>
          </cell>
          <cell r="C183" t="str">
            <v>RESTART FEE</v>
          </cell>
          <cell r="D183">
            <v>27.75</v>
          </cell>
          <cell r="E183">
            <v>28.41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27.75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27.75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1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1</v>
          </cell>
          <cell r="AG183">
            <v>8.3333333333333329E-2</v>
          </cell>
        </row>
      </sheetData>
      <sheetData sheetId="10"/>
      <sheetData sheetId="11">
        <row r="10">
          <cell r="B10" t="str">
            <v>10RW1N</v>
          </cell>
          <cell r="C10" t="str">
            <v>1-10 GAL CART WKLY NON REC</v>
          </cell>
          <cell r="D10">
            <v>17.989999999999998</v>
          </cell>
          <cell r="E10">
            <v>19.12</v>
          </cell>
          <cell r="F10">
            <v>71.959999999999994</v>
          </cell>
          <cell r="G10">
            <v>71.959999999999994</v>
          </cell>
          <cell r="H10">
            <v>71.959999999999994</v>
          </cell>
          <cell r="I10">
            <v>71.959999999999994</v>
          </cell>
          <cell r="J10">
            <v>71.959999999999994</v>
          </cell>
          <cell r="K10">
            <v>89.949999999999989</v>
          </cell>
          <cell r="L10">
            <v>89.949999999999989</v>
          </cell>
          <cell r="M10">
            <v>89.95</v>
          </cell>
          <cell r="N10">
            <v>89.95</v>
          </cell>
          <cell r="O10">
            <v>67.484999999999999</v>
          </cell>
          <cell r="P10">
            <v>67.484999999999999</v>
          </cell>
          <cell r="Q10">
            <v>76.48</v>
          </cell>
          <cell r="R10">
            <v>931.05000000000007</v>
          </cell>
          <cell r="T10">
            <v>4</v>
          </cell>
          <cell r="U10">
            <v>4</v>
          </cell>
          <cell r="V10">
            <v>4</v>
          </cell>
          <cell r="W10">
            <v>4</v>
          </cell>
          <cell r="X10">
            <v>4</v>
          </cell>
          <cell r="Y10">
            <v>5</v>
          </cell>
          <cell r="Z10">
            <v>5</v>
          </cell>
          <cell r="AA10">
            <v>5.0000000000000009</v>
          </cell>
          <cell r="AB10">
            <v>5.0000000000000009</v>
          </cell>
          <cell r="AC10">
            <v>3.5295502092050208</v>
          </cell>
          <cell r="AD10">
            <v>3.5295502092050208</v>
          </cell>
          <cell r="AE10">
            <v>4</v>
          </cell>
          <cell r="AF10">
            <v>51.05910041841004</v>
          </cell>
          <cell r="AG10">
            <v>4.2549250348675036</v>
          </cell>
        </row>
        <row r="11">
          <cell r="B11" t="str">
            <v>10RW1R</v>
          </cell>
          <cell r="C11" t="str">
            <v>1-10 GAL CART WKLY W/ REC</v>
          </cell>
          <cell r="D11">
            <v>13.77</v>
          </cell>
          <cell r="E11">
            <v>14.62</v>
          </cell>
          <cell r="F11">
            <v>3717.9</v>
          </cell>
          <cell r="G11">
            <v>3713.57</v>
          </cell>
          <cell r="H11">
            <v>3731.67</v>
          </cell>
          <cell r="I11">
            <v>3704.13</v>
          </cell>
          <cell r="J11">
            <v>3704.13</v>
          </cell>
          <cell r="K11">
            <v>3752.3250000000003</v>
          </cell>
          <cell r="L11">
            <v>3724.7850000000003</v>
          </cell>
          <cell r="M11">
            <v>3711.355</v>
          </cell>
          <cell r="N11">
            <v>3686.915</v>
          </cell>
          <cell r="O11">
            <v>3865.29</v>
          </cell>
          <cell r="P11">
            <v>3879.91</v>
          </cell>
          <cell r="Q11">
            <v>3837.75</v>
          </cell>
          <cell r="R11">
            <v>45029.729999999996</v>
          </cell>
          <cell r="T11">
            <v>270</v>
          </cell>
          <cell r="U11">
            <v>269.68554829339143</v>
          </cell>
          <cell r="V11">
            <v>271</v>
          </cell>
          <cell r="W11">
            <v>269</v>
          </cell>
          <cell r="X11">
            <v>269</v>
          </cell>
          <cell r="Y11">
            <v>272.5</v>
          </cell>
          <cell r="Z11">
            <v>270.50000000000006</v>
          </cell>
          <cell r="AA11">
            <v>269.52469135802471</v>
          </cell>
          <cell r="AB11">
            <v>267.74981844589689</v>
          </cell>
          <cell r="AC11">
            <v>264.38372093023258</v>
          </cell>
          <cell r="AD11">
            <v>265.38372093023258</v>
          </cell>
          <cell r="AE11">
            <v>262.5</v>
          </cell>
          <cell r="AF11">
            <v>3221.2274999577785</v>
          </cell>
          <cell r="AG11">
            <v>268.43562499648152</v>
          </cell>
        </row>
        <row r="12">
          <cell r="B12" t="str">
            <v>20RM1</v>
          </cell>
          <cell r="C12" t="str">
            <v>1-20 GAL CART MONTHLY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</row>
        <row r="13">
          <cell r="B13" t="str">
            <v>20RW1</v>
          </cell>
          <cell r="C13" t="str">
            <v>1-20 GAL CAN WEEKLY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</row>
        <row r="14">
          <cell r="B14" t="str">
            <v>20RW1N</v>
          </cell>
          <cell r="C14" t="str">
            <v>1-20 GL CART WKLY NON REC</v>
          </cell>
          <cell r="D14">
            <v>26.02</v>
          </cell>
          <cell r="E14">
            <v>27.62</v>
          </cell>
          <cell r="F14">
            <v>234.18</v>
          </cell>
          <cell r="G14">
            <v>234.18</v>
          </cell>
          <cell r="H14">
            <v>234.18</v>
          </cell>
          <cell r="I14">
            <v>208.16</v>
          </cell>
          <cell r="J14">
            <v>208.16</v>
          </cell>
          <cell r="K14">
            <v>208.16</v>
          </cell>
          <cell r="L14">
            <v>208.16</v>
          </cell>
          <cell r="M14">
            <v>208.16</v>
          </cell>
          <cell r="N14">
            <v>208.16</v>
          </cell>
          <cell r="O14">
            <v>248.58</v>
          </cell>
          <cell r="P14">
            <v>248.58</v>
          </cell>
          <cell r="Q14">
            <v>248.58</v>
          </cell>
          <cell r="R14">
            <v>2697.2400000000002</v>
          </cell>
          <cell r="T14">
            <v>9</v>
          </cell>
          <cell r="U14">
            <v>9</v>
          </cell>
          <cell r="V14">
            <v>9</v>
          </cell>
          <cell r="W14">
            <v>8</v>
          </cell>
          <cell r="X14">
            <v>8</v>
          </cell>
          <cell r="Y14">
            <v>8</v>
          </cell>
          <cell r="Z14">
            <v>8</v>
          </cell>
          <cell r="AA14">
            <v>8</v>
          </cell>
          <cell r="AB14">
            <v>8</v>
          </cell>
          <cell r="AC14">
            <v>9</v>
          </cell>
          <cell r="AD14">
            <v>9</v>
          </cell>
          <cell r="AE14">
            <v>9</v>
          </cell>
          <cell r="AF14">
            <v>102</v>
          </cell>
          <cell r="AG14">
            <v>8.5</v>
          </cell>
        </row>
        <row r="15">
          <cell r="B15" t="str">
            <v>20RW1NR</v>
          </cell>
          <cell r="C15" t="str">
            <v>1-20 GAL WKLY NON REC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</row>
        <row r="16">
          <cell r="B16" t="str">
            <v>20RW1R</v>
          </cell>
          <cell r="C16" t="str">
            <v>1-20 GL CART WKLY W/ RECY</v>
          </cell>
          <cell r="D16">
            <v>21.75</v>
          </cell>
          <cell r="E16">
            <v>23.07</v>
          </cell>
          <cell r="F16">
            <v>23358.2</v>
          </cell>
          <cell r="G16">
            <v>23477.825000000001</v>
          </cell>
          <cell r="H16">
            <v>23499.575000000001</v>
          </cell>
          <cell r="I16">
            <v>22676.715</v>
          </cell>
          <cell r="J16">
            <v>23276.634999999998</v>
          </cell>
          <cell r="K16">
            <v>22754.645</v>
          </cell>
          <cell r="L16">
            <v>22885.145</v>
          </cell>
          <cell r="M16">
            <v>22534.36</v>
          </cell>
          <cell r="N16">
            <v>22598.61</v>
          </cell>
          <cell r="O16">
            <v>23994.19</v>
          </cell>
          <cell r="P16">
            <v>24117</v>
          </cell>
          <cell r="Q16">
            <v>24176.86</v>
          </cell>
          <cell r="R16">
            <v>279349.75999999995</v>
          </cell>
          <cell r="T16">
            <v>1073.9402298850575</v>
          </cell>
          <cell r="U16">
            <v>1079.4402298850575</v>
          </cell>
          <cell r="V16">
            <v>1080.4402298850575</v>
          </cell>
          <cell r="W16">
            <v>1042.6075862068965</v>
          </cell>
          <cell r="X16">
            <v>1070.1901149425287</v>
          </cell>
          <cell r="Y16">
            <v>1046.1905747126436</v>
          </cell>
          <cell r="Z16">
            <v>1052.1905747126436</v>
          </cell>
          <cell r="AA16">
            <v>1036.0625287356322</v>
          </cell>
          <cell r="AB16">
            <v>1039.016551724138</v>
          </cell>
          <cell r="AC16">
            <v>1040.0602514087559</v>
          </cell>
          <cell r="AD16">
            <v>1045.3836150845254</v>
          </cell>
          <cell r="AE16">
            <v>1047.9783268313827</v>
          </cell>
          <cell r="AF16">
            <v>12653.500814014318</v>
          </cell>
          <cell r="AG16">
            <v>1054.4584011678598</v>
          </cell>
        </row>
        <row r="17">
          <cell r="B17" t="str">
            <v>24RW1N</v>
          </cell>
          <cell r="C17" t="str">
            <v>1-24 GL CART WKLY NON REC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</row>
        <row r="18">
          <cell r="B18" t="str">
            <v>24RW1R</v>
          </cell>
          <cell r="C18" t="str">
            <v>1-24 GL CART WKLY W/ RECY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</row>
        <row r="19">
          <cell r="B19" t="str">
            <v>32RE1</v>
          </cell>
          <cell r="C19" t="str">
            <v>1-32 GAL CAN EOW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</row>
        <row r="20">
          <cell r="B20" t="str">
            <v>32RM1</v>
          </cell>
          <cell r="C20" t="str">
            <v>1-32 GAL CAN MONTHLY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</row>
        <row r="21">
          <cell r="B21" t="str">
            <v>32ROCPU</v>
          </cell>
          <cell r="C21" t="str">
            <v>1-32 GAL CAN-ON CALL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</row>
        <row r="22">
          <cell r="B22" t="str">
            <v>32RW1</v>
          </cell>
          <cell r="C22" t="str">
            <v>1-32 GAL CAN WEEKLY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</row>
        <row r="23">
          <cell r="B23" t="str">
            <v>32RW1N</v>
          </cell>
          <cell r="C23" t="str">
            <v>1-32 GL CART WKLY NON REC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</row>
        <row r="24">
          <cell r="B24" t="str">
            <v>32RW1NR</v>
          </cell>
          <cell r="C24" t="str">
            <v>1-32 GAL WKLY NON REC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</row>
        <row r="25">
          <cell r="B25" t="str">
            <v>32RW1R</v>
          </cell>
          <cell r="C25" t="str">
            <v>1-32 GL CART WKLY W/ RECY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</row>
        <row r="26">
          <cell r="B26" t="str">
            <v>32RW2</v>
          </cell>
          <cell r="C26" t="str">
            <v>2-32 GAL CANS WEEKLY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</row>
        <row r="27">
          <cell r="B27" t="str">
            <v>32RW2R</v>
          </cell>
          <cell r="C27" t="str">
            <v>2-32 GL CART WKLY W/ RECY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</row>
        <row r="28">
          <cell r="B28" t="str">
            <v>32RW2NR</v>
          </cell>
          <cell r="C28" t="str">
            <v>2-32 GAL WKLY NON REC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</row>
        <row r="29">
          <cell r="B29" t="str">
            <v>32RW3</v>
          </cell>
          <cell r="C29" t="str">
            <v>3-32 GAL CANS WEEKLY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</row>
        <row r="30">
          <cell r="B30" t="str">
            <v>32RW3NR</v>
          </cell>
          <cell r="C30" t="str">
            <v>3-32 GAL WKLY NON REC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</row>
        <row r="31">
          <cell r="B31" t="str">
            <v>32RW4</v>
          </cell>
          <cell r="C31" t="str">
            <v>4-32 GAL CANS WEEKLY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</row>
        <row r="32">
          <cell r="B32" t="str">
            <v>32RW4NR</v>
          </cell>
          <cell r="C32" t="str">
            <v>4-32 GAL WKLY NON REC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</row>
        <row r="33">
          <cell r="B33" t="str">
            <v>32RW5</v>
          </cell>
          <cell r="C33" t="str">
            <v>5-32 GAL CANS WEEKLY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</row>
        <row r="34">
          <cell r="B34" t="str">
            <v>32RW5NR</v>
          </cell>
          <cell r="C34" t="str">
            <v>5-32 GAL WKLY NON REC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</row>
        <row r="35">
          <cell r="B35" t="str">
            <v>32RW6</v>
          </cell>
          <cell r="C35" t="str">
            <v>6-32 GAL CANS WEEKLY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</row>
        <row r="36">
          <cell r="B36" t="str">
            <v>35RM1</v>
          </cell>
          <cell r="C36" t="str">
            <v>1-35 GAL CART MONTHLY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</row>
        <row r="37">
          <cell r="B37" t="str">
            <v>35RW1N</v>
          </cell>
          <cell r="C37" t="str">
            <v>1-35 GAL CART WKLY NONREC</v>
          </cell>
          <cell r="D37">
            <v>34.24</v>
          </cell>
          <cell r="E37">
            <v>36.340000000000003</v>
          </cell>
          <cell r="F37">
            <v>1934.56</v>
          </cell>
          <cell r="G37">
            <v>1917.44</v>
          </cell>
          <cell r="H37">
            <v>1917.44</v>
          </cell>
          <cell r="I37">
            <v>1900.32</v>
          </cell>
          <cell r="J37">
            <v>1900.32</v>
          </cell>
          <cell r="K37">
            <v>1797.6</v>
          </cell>
          <cell r="L37">
            <v>1797.6</v>
          </cell>
          <cell r="M37">
            <v>1746.24</v>
          </cell>
          <cell r="N37">
            <v>1746.24</v>
          </cell>
          <cell r="O37">
            <v>1834.1200000000001</v>
          </cell>
          <cell r="P37">
            <v>1834.1200000000001</v>
          </cell>
          <cell r="Q37">
            <v>1926.02</v>
          </cell>
          <cell r="R37">
            <v>22252.02</v>
          </cell>
          <cell r="T37">
            <v>56.499999999999993</v>
          </cell>
          <cell r="U37">
            <v>56</v>
          </cell>
          <cell r="V37">
            <v>56</v>
          </cell>
          <cell r="W37">
            <v>55.499999999999993</v>
          </cell>
          <cell r="X37">
            <v>55.499999999999993</v>
          </cell>
          <cell r="Y37">
            <v>52.499999999999993</v>
          </cell>
          <cell r="Z37">
            <v>52.499999999999993</v>
          </cell>
          <cell r="AA37">
            <v>51</v>
          </cell>
          <cell r="AB37">
            <v>51</v>
          </cell>
          <cell r="AC37">
            <v>50.471106219042376</v>
          </cell>
          <cell r="AD37">
            <v>50.471106219042376</v>
          </cell>
          <cell r="AE37">
            <v>52.999999999999993</v>
          </cell>
          <cell r="AF37">
            <v>640.44221243808465</v>
          </cell>
          <cell r="AG37">
            <v>53.370184369840388</v>
          </cell>
        </row>
        <row r="38">
          <cell r="B38" t="str">
            <v>35RW1R</v>
          </cell>
          <cell r="C38" t="str">
            <v>1-35 GAL CART WKLY W/REC</v>
          </cell>
          <cell r="D38">
            <v>29.98</v>
          </cell>
          <cell r="E38">
            <v>31.8</v>
          </cell>
          <cell r="F38">
            <v>186230.28499999997</v>
          </cell>
          <cell r="G38">
            <v>184682.63</v>
          </cell>
          <cell r="H38">
            <v>184472.05499999999</v>
          </cell>
          <cell r="I38">
            <v>183474.02499999999</v>
          </cell>
          <cell r="J38">
            <v>183988.94</v>
          </cell>
          <cell r="K38">
            <v>182347.61499999999</v>
          </cell>
          <cell r="L38">
            <v>182885.39500000002</v>
          </cell>
          <cell r="M38">
            <v>180894.46000000002</v>
          </cell>
          <cell r="N38">
            <v>181160.45</v>
          </cell>
          <cell r="O38">
            <v>192087.77499999999</v>
          </cell>
          <cell r="P38">
            <v>192842.89499999999</v>
          </cell>
          <cell r="Q38">
            <v>193037.45</v>
          </cell>
          <cell r="R38">
            <v>2228103.9750000001</v>
          </cell>
          <cell r="T38">
            <v>6211.8173782521671</v>
          </cell>
          <cell r="U38">
            <v>6160.194462975317</v>
          </cell>
          <cell r="V38">
            <v>6153.1706137424944</v>
          </cell>
          <cell r="W38">
            <v>6119.8807538358906</v>
          </cell>
          <cell r="X38">
            <v>6137.0560373582384</v>
          </cell>
          <cell r="Y38">
            <v>6082.3087058038691</v>
          </cell>
          <cell r="Z38">
            <v>6100.2466644429624</v>
          </cell>
          <cell r="AA38">
            <v>6033.837891927953</v>
          </cell>
          <cell r="AB38">
            <v>6042.7101400933961</v>
          </cell>
          <cell r="AC38">
            <v>6040.4960691823899</v>
          </cell>
          <cell r="AD38">
            <v>6064.2419811320751</v>
          </cell>
          <cell r="AE38">
            <v>6070.3600628930817</v>
          </cell>
          <cell r="AF38">
            <v>73216.320761639829</v>
          </cell>
          <cell r="AG38">
            <v>6101.360063469986</v>
          </cell>
        </row>
        <row r="39">
          <cell r="B39" t="str">
            <v>64RW1N</v>
          </cell>
          <cell r="C39" t="str">
            <v>1-64 GAL CART WKLY NONREC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</row>
        <row r="40">
          <cell r="B40" t="str">
            <v>64RW1R</v>
          </cell>
          <cell r="C40" t="str">
            <v>1-64 GAL CART WKLY W/REC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</row>
        <row r="41">
          <cell r="B41" t="str">
            <v>65RM1</v>
          </cell>
          <cell r="C41" t="str">
            <v>1-65 GAL CART MONTHLY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</row>
        <row r="42">
          <cell r="B42" t="str">
            <v>65RW1N</v>
          </cell>
          <cell r="C42" t="str">
            <v>1-65 GAL CART WKLY NONREC</v>
          </cell>
          <cell r="D42">
            <v>54.04</v>
          </cell>
          <cell r="E42">
            <v>57.28</v>
          </cell>
          <cell r="F42">
            <v>1621.2</v>
          </cell>
          <cell r="G42">
            <v>1567.1599999999999</v>
          </cell>
          <cell r="H42">
            <v>1567.1599999999999</v>
          </cell>
          <cell r="I42">
            <v>1567.16</v>
          </cell>
          <cell r="J42">
            <v>1567.16</v>
          </cell>
          <cell r="K42">
            <v>1567.16</v>
          </cell>
          <cell r="L42">
            <v>1567.16</v>
          </cell>
          <cell r="M42">
            <v>1567.16</v>
          </cell>
          <cell r="N42">
            <v>1567.16</v>
          </cell>
          <cell r="O42">
            <v>1661.12</v>
          </cell>
          <cell r="P42">
            <v>1661.12</v>
          </cell>
          <cell r="Q42">
            <v>1718.4</v>
          </cell>
          <cell r="R42">
            <v>19199.12</v>
          </cell>
          <cell r="T42">
            <v>30</v>
          </cell>
          <cell r="U42">
            <v>28.999999999999996</v>
          </cell>
          <cell r="V42">
            <v>28.999999999999996</v>
          </cell>
          <cell r="W42">
            <v>29.000000000000004</v>
          </cell>
          <cell r="X42">
            <v>29.000000000000004</v>
          </cell>
          <cell r="Y42">
            <v>29.000000000000004</v>
          </cell>
          <cell r="Z42">
            <v>29.000000000000004</v>
          </cell>
          <cell r="AA42">
            <v>29.000000000000004</v>
          </cell>
          <cell r="AB42">
            <v>29.000000000000004</v>
          </cell>
          <cell r="AC42">
            <v>28.999999999999996</v>
          </cell>
          <cell r="AD42">
            <v>28.999999999999996</v>
          </cell>
          <cell r="AE42">
            <v>30</v>
          </cell>
          <cell r="AF42">
            <v>350</v>
          </cell>
          <cell r="AG42">
            <v>29.166666666666668</v>
          </cell>
        </row>
        <row r="43">
          <cell r="B43" t="str">
            <v>65RW1R</v>
          </cell>
          <cell r="C43" t="str">
            <v>1-65 GAL CART WKLY W/REC</v>
          </cell>
          <cell r="D43">
            <v>49.8</v>
          </cell>
          <cell r="E43">
            <v>52.76</v>
          </cell>
          <cell r="F43">
            <v>147436.38</v>
          </cell>
          <cell r="G43">
            <v>148611.46000000002</v>
          </cell>
          <cell r="H43">
            <v>149246.51000000004</v>
          </cell>
          <cell r="I43">
            <v>150356.16</v>
          </cell>
          <cell r="J43">
            <v>149474.70000000001</v>
          </cell>
          <cell r="K43">
            <v>152089.41499999998</v>
          </cell>
          <cell r="L43">
            <v>152475.36499999999</v>
          </cell>
          <cell r="M43">
            <v>153081.51499999998</v>
          </cell>
          <cell r="N43">
            <v>153327.88500000001</v>
          </cell>
          <cell r="O43">
            <v>160547.31</v>
          </cell>
          <cell r="P43">
            <v>161299.42000000001</v>
          </cell>
          <cell r="Q43">
            <v>162584.66000000003</v>
          </cell>
          <cell r="R43">
            <v>1840530.7800000003</v>
          </cell>
          <cell r="T43">
            <v>2960.5698795180724</v>
          </cell>
          <cell r="U43">
            <v>2984.1658634538157</v>
          </cell>
          <cell r="V43">
            <v>2996.9178714859449</v>
          </cell>
          <cell r="W43">
            <v>3019.2000000000003</v>
          </cell>
          <cell r="X43">
            <v>3001.5000000000005</v>
          </cell>
          <cell r="Y43">
            <v>3054.0043172690762</v>
          </cell>
          <cell r="Z43">
            <v>3061.7543172690762</v>
          </cell>
          <cell r="AA43">
            <v>3073.9260040160643</v>
          </cell>
          <cell r="AB43">
            <v>3078.8731927710846</v>
          </cell>
          <cell r="AC43">
            <v>3042.9740333586051</v>
          </cell>
          <cell r="AD43">
            <v>3057.2293404094016</v>
          </cell>
          <cell r="AE43">
            <v>3081.58946171342</v>
          </cell>
          <cell r="AF43">
            <v>36412.704281264552</v>
          </cell>
          <cell r="AG43">
            <v>3034.3920234387128</v>
          </cell>
        </row>
        <row r="44">
          <cell r="B44" t="str">
            <v>95RM1</v>
          </cell>
          <cell r="C44" t="str">
            <v>1-95 GAL CART MONTHLY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</row>
        <row r="45">
          <cell r="B45" t="str">
            <v>95RW1N</v>
          </cell>
          <cell r="C45" t="str">
            <v>1-95 GAL CART WKLY NONREC</v>
          </cell>
          <cell r="D45">
            <v>74.89</v>
          </cell>
          <cell r="E45">
            <v>79.349999999999994</v>
          </cell>
          <cell r="F45">
            <v>374.45</v>
          </cell>
          <cell r="G45">
            <v>224.67</v>
          </cell>
          <cell r="H45">
            <v>224.67</v>
          </cell>
          <cell r="I45">
            <v>149.78</v>
          </cell>
          <cell r="J45">
            <v>149.78</v>
          </cell>
          <cell r="K45">
            <v>149.78</v>
          </cell>
          <cell r="L45">
            <v>149.78</v>
          </cell>
          <cell r="M45">
            <v>149.78</v>
          </cell>
          <cell r="N45">
            <v>149.78</v>
          </cell>
          <cell r="O45">
            <v>158.69999999999999</v>
          </cell>
          <cell r="P45">
            <v>158.69999999999999</v>
          </cell>
          <cell r="Q45">
            <v>158.69999999999999</v>
          </cell>
          <cell r="R45">
            <v>2198.5699999999997</v>
          </cell>
          <cell r="T45">
            <v>5</v>
          </cell>
          <cell r="U45">
            <v>3</v>
          </cell>
          <cell r="V45">
            <v>3</v>
          </cell>
          <cell r="W45">
            <v>2</v>
          </cell>
          <cell r="X45">
            <v>2</v>
          </cell>
          <cell r="Y45">
            <v>2</v>
          </cell>
          <cell r="Z45">
            <v>2</v>
          </cell>
          <cell r="AA45">
            <v>2</v>
          </cell>
          <cell r="AB45">
            <v>2</v>
          </cell>
          <cell r="AC45">
            <v>2</v>
          </cell>
          <cell r="AD45">
            <v>2</v>
          </cell>
          <cell r="AE45">
            <v>2</v>
          </cell>
          <cell r="AF45">
            <v>29</v>
          </cell>
          <cell r="AG45">
            <v>2.4166666666666665</v>
          </cell>
        </row>
        <row r="46">
          <cell r="B46" t="str">
            <v>95RW1R</v>
          </cell>
          <cell r="C46" t="str">
            <v>1-95 GAL CART WKLY W/REC</v>
          </cell>
          <cell r="D46">
            <v>70.67</v>
          </cell>
          <cell r="E46">
            <v>74.86</v>
          </cell>
          <cell r="F46">
            <v>48805.340000000004</v>
          </cell>
          <cell r="G46">
            <v>49836.76</v>
          </cell>
          <cell r="H46">
            <v>50432.659999999996</v>
          </cell>
          <cell r="I46">
            <v>52464.92</v>
          </cell>
          <cell r="J46">
            <v>52460.41</v>
          </cell>
          <cell r="K46">
            <v>53166.614999999998</v>
          </cell>
          <cell r="L46">
            <v>53237.284999999996</v>
          </cell>
          <cell r="M46">
            <v>55719.30999999999</v>
          </cell>
          <cell r="N46">
            <v>56139.099999999991</v>
          </cell>
          <cell r="O46">
            <v>59839.385000000002</v>
          </cell>
          <cell r="P46">
            <v>60468.775000000001</v>
          </cell>
          <cell r="Q46">
            <v>61653.27</v>
          </cell>
          <cell r="R46">
            <v>654223.82999999996</v>
          </cell>
          <cell r="T46">
            <v>690.60902787604357</v>
          </cell>
          <cell r="U46">
            <v>705.20390547615682</v>
          </cell>
          <cell r="V46">
            <v>713.63605490307054</v>
          </cell>
          <cell r="W46">
            <v>742.39309466534598</v>
          </cell>
          <cell r="X46">
            <v>742.32927692090004</v>
          </cell>
          <cell r="Y46">
            <v>752.32227253431438</v>
          </cell>
          <cell r="Z46">
            <v>753.32227253431438</v>
          </cell>
          <cell r="AA46">
            <v>788.44361115041727</v>
          </cell>
          <cell r="AB46">
            <v>794.38375548323177</v>
          </cell>
          <cell r="AC46">
            <v>799.35058776382584</v>
          </cell>
          <cell r="AD46">
            <v>807.75814854394878</v>
          </cell>
          <cell r="AE46">
            <v>823.58095110873626</v>
          </cell>
          <cell r="AF46">
            <v>9113.3329589603054</v>
          </cell>
          <cell r="AG46">
            <v>759.44441324669208</v>
          </cell>
        </row>
        <row r="47">
          <cell r="B47" t="str">
            <v>96RW1N</v>
          </cell>
          <cell r="C47" t="str">
            <v>1-96 GAL CART WKLY NONREC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</row>
        <row r="48">
          <cell r="B48" t="str">
            <v>96RW1R</v>
          </cell>
          <cell r="C48" t="str">
            <v>1-96 GAL CART WKLY W/REC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</row>
        <row r="49">
          <cell r="B49" t="str">
            <v>ADJRES</v>
          </cell>
          <cell r="C49" t="str">
            <v>SERVICE ADJ-RESIDENTIAL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79.12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79.12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</row>
        <row r="50">
          <cell r="B50" t="str">
            <v>CARRY-RES</v>
          </cell>
          <cell r="C50" t="str">
            <v>CARRY OUT -RES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</row>
        <row r="51">
          <cell r="B51" t="str">
            <v>DELTOT</v>
          </cell>
          <cell r="C51" t="str">
            <v>GARB CART REDELIVERY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</row>
        <row r="52">
          <cell r="B52" t="str">
            <v>DRIVEPRVT-RES</v>
          </cell>
          <cell r="C52" t="str">
            <v>DRIVE IN PRIVATE RD - RES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</row>
        <row r="53">
          <cell r="B53" t="str">
            <v>DRVNRE1</v>
          </cell>
          <cell r="C53" t="str">
            <v>DRIVE IN UP TO 125'-EOW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</row>
        <row r="54">
          <cell r="B54" t="str">
            <v>DRVNRW1</v>
          </cell>
          <cell r="C54" t="str">
            <v>DRIVE IN UP TO 125'-WKLY</v>
          </cell>
          <cell r="D54">
            <v>13.29</v>
          </cell>
          <cell r="E54">
            <v>14.16</v>
          </cell>
          <cell r="F54">
            <v>34.89</v>
          </cell>
          <cell r="G54">
            <v>34.89</v>
          </cell>
          <cell r="H54">
            <v>34.89</v>
          </cell>
          <cell r="I54">
            <v>34.89</v>
          </cell>
          <cell r="J54">
            <v>34.89</v>
          </cell>
          <cell r="K54">
            <v>34.89</v>
          </cell>
          <cell r="L54">
            <v>34.89</v>
          </cell>
          <cell r="M54">
            <v>31.57</v>
          </cell>
          <cell r="N54">
            <v>34.89</v>
          </cell>
          <cell r="O54">
            <v>35.76</v>
          </cell>
          <cell r="P54">
            <v>35.76</v>
          </cell>
          <cell r="Q54">
            <v>35.76</v>
          </cell>
          <cell r="R54">
            <v>417.96999999999991</v>
          </cell>
          <cell r="T54">
            <v>2.6252821670428896</v>
          </cell>
          <cell r="U54">
            <v>2.6252821670428896</v>
          </cell>
          <cell r="V54">
            <v>2.6252821670428896</v>
          </cell>
          <cell r="W54">
            <v>2.6252821670428896</v>
          </cell>
          <cell r="X54">
            <v>2.6252821670428896</v>
          </cell>
          <cell r="Y54">
            <v>2.6252821670428896</v>
          </cell>
          <cell r="Z54">
            <v>2.6252821670428896</v>
          </cell>
          <cell r="AA54">
            <v>2.3754702784048156</v>
          </cell>
          <cell r="AB54">
            <v>2.6252821670428896</v>
          </cell>
          <cell r="AC54">
            <v>2.5254237288135593</v>
          </cell>
          <cell r="AD54">
            <v>2.5254237288135593</v>
          </cell>
          <cell r="AE54">
            <v>2.5254237288135593</v>
          </cell>
          <cell r="AF54">
            <v>30.953998801188614</v>
          </cell>
          <cell r="AG54">
            <v>2.5794999000990511</v>
          </cell>
        </row>
        <row r="55">
          <cell r="B55" t="str">
            <v>DRVNRW2</v>
          </cell>
          <cell r="C55" t="str">
            <v>DRIVE IN OVER 125'-WKLY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</row>
        <row r="56">
          <cell r="B56" t="str">
            <v>GWCR</v>
          </cell>
          <cell r="C56" t="str">
            <v>GOOD WILL CREDIT - RESI</v>
          </cell>
          <cell r="D56">
            <v>0</v>
          </cell>
          <cell r="E56">
            <v>0</v>
          </cell>
          <cell r="F56">
            <v>-15</v>
          </cell>
          <cell r="G56">
            <v>-85</v>
          </cell>
          <cell r="H56">
            <v>0</v>
          </cell>
          <cell r="I56">
            <v>0</v>
          </cell>
          <cell r="J56">
            <v>0</v>
          </cell>
          <cell r="K56">
            <v>-20</v>
          </cell>
          <cell r="L56">
            <v>-15</v>
          </cell>
          <cell r="M56">
            <v>-139.36000000000001</v>
          </cell>
          <cell r="N56">
            <v>-15</v>
          </cell>
          <cell r="O56">
            <v>0</v>
          </cell>
          <cell r="P56">
            <v>-30</v>
          </cell>
          <cell r="Q56">
            <v>-15</v>
          </cell>
          <cell r="R56">
            <v>-334.36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</row>
        <row r="57">
          <cell r="B57" t="str">
            <v>IMPCNR1</v>
          </cell>
          <cell r="C57" t="str">
            <v>1 IMPROPER CAN - RESI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</row>
        <row r="58">
          <cell r="B58" t="str">
            <v>IMPCNR2</v>
          </cell>
          <cell r="C58" t="str">
            <v>2 IMPROPER CANS - RESI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</row>
        <row r="59">
          <cell r="B59" t="str">
            <v>OBSR</v>
          </cell>
          <cell r="C59" t="str">
            <v>OBSTRUCTION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</row>
        <row r="60">
          <cell r="B60" t="str">
            <v>OS</v>
          </cell>
          <cell r="C60" t="str">
            <v>OVERSIZE UNIT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</row>
        <row r="61">
          <cell r="B61" t="str">
            <v>OSOW</v>
          </cell>
          <cell r="C61" t="str">
            <v>OVERSIZE/OVERWEIGHT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</row>
        <row r="62">
          <cell r="B62" t="str">
            <v>OW</v>
          </cell>
          <cell r="C62" t="str">
            <v>OVERWEIGHT UNIT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</row>
        <row r="63">
          <cell r="B63" t="str">
            <v>PACKLC</v>
          </cell>
          <cell r="C63" t="str">
            <v>CARRY-OUT LONG DISTANCE</v>
          </cell>
          <cell r="D63">
            <v>13.29</v>
          </cell>
          <cell r="E63">
            <v>14.16</v>
          </cell>
          <cell r="F63">
            <v>49.24</v>
          </cell>
          <cell r="G63">
            <v>49.24</v>
          </cell>
          <cell r="H63">
            <v>49.24</v>
          </cell>
          <cell r="I63">
            <v>42.14</v>
          </cell>
          <cell r="J63">
            <v>49.24</v>
          </cell>
          <cell r="K63">
            <v>45.69</v>
          </cell>
          <cell r="L63">
            <v>45.69</v>
          </cell>
          <cell r="M63">
            <v>45.69</v>
          </cell>
          <cell r="N63">
            <v>45.69</v>
          </cell>
          <cell r="O63">
            <v>46.56</v>
          </cell>
          <cell r="P63">
            <v>46.56</v>
          </cell>
          <cell r="Q63">
            <v>46.56</v>
          </cell>
          <cell r="R63">
            <v>561.54</v>
          </cell>
          <cell r="T63">
            <v>3.7050413844996242</v>
          </cell>
          <cell r="U63">
            <v>3.7050413844996242</v>
          </cell>
          <cell r="V63">
            <v>3.7050413844996242</v>
          </cell>
          <cell r="W63">
            <v>3.1708051166290447</v>
          </cell>
          <cell r="X63">
            <v>3.7050413844996242</v>
          </cell>
          <cell r="Y63">
            <v>3.4379232505643342</v>
          </cell>
          <cell r="Z63">
            <v>3.4379232505643342</v>
          </cell>
          <cell r="AA63">
            <v>3.4379232505643342</v>
          </cell>
          <cell r="AB63">
            <v>3.4379232505643342</v>
          </cell>
          <cell r="AC63">
            <v>3.2881355932203391</v>
          </cell>
          <cell r="AD63">
            <v>3.2881355932203391</v>
          </cell>
          <cell r="AE63">
            <v>3.2881355932203391</v>
          </cell>
          <cell r="AF63">
            <v>41.607070436545897</v>
          </cell>
          <cell r="AG63">
            <v>3.467255869712158</v>
          </cell>
        </row>
        <row r="64">
          <cell r="B64" t="str">
            <v>PACKR</v>
          </cell>
          <cell r="C64" t="str">
            <v>CARRY-OUT RESIDENTIAL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</row>
        <row r="65">
          <cell r="B65" t="str">
            <v>PACKSNR</v>
          </cell>
          <cell r="C65" t="str">
            <v>CARRY-OUT SENIOR SERVICE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</row>
        <row r="66">
          <cell r="B66" t="str">
            <v>RESTART FEE</v>
          </cell>
          <cell r="C66" t="str">
            <v>RESTART FEE</v>
          </cell>
          <cell r="D66">
            <v>26.6</v>
          </cell>
          <cell r="E66">
            <v>28.33</v>
          </cell>
          <cell r="F66">
            <v>53.400000000000006</v>
          </cell>
          <cell r="G66">
            <v>1330</v>
          </cell>
          <cell r="H66">
            <v>266</v>
          </cell>
          <cell r="I66">
            <v>1464.6</v>
          </cell>
          <cell r="J66">
            <v>133</v>
          </cell>
          <cell r="K66">
            <v>1542.8</v>
          </cell>
          <cell r="L66">
            <v>53.2</v>
          </cell>
          <cell r="M66">
            <v>1234.8699999999999</v>
          </cell>
          <cell r="N66">
            <v>212.8</v>
          </cell>
          <cell r="O66">
            <v>1391.69</v>
          </cell>
          <cell r="P66">
            <v>226.64</v>
          </cell>
          <cell r="Q66">
            <v>1334.97</v>
          </cell>
          <cell r="R66">
            <v>9243.9700000000012</v>
          </cell>
          <cell r="T66">
            <v>2.0075187969924815</v>
          </cell>
          <cell r="U66">
            <v>50</v>
          </cell>
          <cell r="V66">
            <v>10</v>
          </cell>
          <cell r="W66">
            <v>55.060150375939841</v>
          </cell>
          <cell r="X66">
            <v>5</v>
          </cell>
          <cell r="Y66">
            <v>57.999999999999993</v>
          </cell>
          <cell r="Z66">
            <v>2</v>
          </cell>
          <cell r="AA66">
            <v>46.423684210526311</v>
          </cell>
          <cell r="AB66">
            <v>8</v>
          </cell>
          <cell r="AC66">
            <v>49.124249911754326</v>
          </cell>
          <cell r="AD66">
            <v>8</v>
          </cell>
          <cell r="AE66">
            <v>47.122132015531243</v>
          </cell>
          <cell r="AF66">
            <v>340.7377353107442</v>
          </cell>
          <cell r="AG66">
            <v>28.39481127589535</v>
          </cell>
        </row>
        <row r="67">
          <cell r="B67" t="str">
            <v>REXTRA</v>
          </cell>
          <cell r="C67" t="str">
            <v>EXTRA UNITS</v>
          </cell>
          <cell r="D67">
            <v>6.47</v>
          </cell>
          <cell r="E67">
            <v>6.86</v>
          </cell>
          <cell r="F67">
            <v>6372.95</v>
          </cell>
          <cell r="G67">
            <v>5408.92</v>
          </cell>
          <cell r="H67">
            <v>5518.91</v>
          </cell>
          <cell r="I67">
            <v>4619.58</v>
          </cell>
          <cell r="J67">
            <v>3623.2000000000003</v>
          </cell>
          <cell r="K67">
            <v>6288.84</v>
          </cell>
          <cell r="L67">
            <v>3480.86</v>
          </cell>
          <cell r="M67">
            <v>5719.2699999999995</v>
          </cell>
          <cell r="N67">
            <v>3340.0499999999997</v>
          </cell>
          <cell r="O67">
            <v>4061.19</v>
          </cell>
          <cell r="P67">
            <v>3747.9</v>
          </cell>
          <cell r="Q67">
            <v>2794.75</v>
          </cell>
          <cell r="R67">
            <v>54976.420000000006</v>
          </cell>
          <cell r="T67">
            <v>985</v>
          </cell>
          <cell r="U67">
            <v>836</v>
          </cell>
          <cell r="V67">
            <v>853</v>
          </cell>
          <cell r="W67">
            <v>714</v>
          </cell>
          <cell r="X67">
            <v>560.00000000000011</v>
          </cell>
          <cell r="Y67">
            <v>972.00000000000011</v>
          </cell>
          <cell r="Z67">
            <v>538</v>
          </cell>
          <cell r="AA67">
            <v>883.96754250386391</v>
          </cell>
          <cell r="AB67">
            <v>516.23647604327664</v>
          </cell>
          <cell r="AC67">
            <v>592.01020408163265</v>
          </cell>
          <cell r="AD67">
            <v>546.34110787172006</v>
          </cell>
          <cell r="AE67">
            <v>407.39795918367344</v>
          </cell>
          <cell r="AF67">
            <v>8403.9532896841665</v>
          </cell>
          <cell r="AG67">
            <v>700.32944080701384</v>
          </cell>
        </row>
        <row r="68">
          <cell r="B68" t="str">
            <v>SUNKENR</v>
          </cell>
          <cell r="C68" t="str">
            <v>SUNKEN CAN CHARGE - RESI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</row>
        <row r="69">
          <cell r="B69" t="str">
            <v>TRIPRCANS</v>
          </cell>
          <cell r="C69" t="str">
            <v>RETURN TRIP CHARGE - CANS</v>
          </cell>
          <cell r="D69">
            <v>13.19</v>
          </cell>
          <cell r="E69">
            <v>14.05</v>
          </cell>
          <cell r="F69">
            <v>145.09</v>
          </cell>
          <cell r="G69">
            <v>197.85</v>
          </cell>
          <cell r="H69">
            <v>131.9</v>
          </cell>
          <cell r="I69">
            <v>250.61</v>
          </cell>
          <cell r="J69">
            <v>118.71</v>
          </cell>
          <cell r="K69">
            <v>226.77</v>
          </cell>
          <cell r="L69">
            <v>92.33</v>
          </cell>
          <cell r="M69">
            <v>131.9</v>
          </cell>
          <cell r="N69">
            <v>92.33</v>
          </cell>
          <cell r="O69">
            <v>84.3</v>
          </cell>
          <cell r="P69">
            <v>56.2</v>
          </cell>
          <cell r="Q69">
            <v>112.4</v>
          </cell>
          <cell r="R69">
            <v>1640.39</v>
          </cell>
          <cell r="T69">
            <v>11</v>
          </cell>
          <cell r="U69">
            <v>15</v>
          </cell>
          <cell r="V69">
            <v>10</v>
          </cell>
          <cell r="W69">
            <v>19</v>
          </cell>
          <cell r="X69">
            <v>9</v>
          </cell>
          <cell r="Y69">
            <v>17.192570128885521</v>
          </cell>
          <cell r="Z69">
            <v>7</v>
          </cell>
          <cell r="AA69">
            <v>10</v>
          </cell>
          <cell r="AB69">
            <v>7</v>
          </cell>
          <cell r="AC69">
            <v>5.9999999999999991</v>
          </cell>
          <cell r="AD69">
            <v>4</v>
          </cell>
          <cell r="AE69">
            <v>8</v>
          </cell>
          <cell r="AF69">
            <v>123.19257012888552</v>
          </cell>
          <cell r="AG69">
            <v>10.26604751074046</v>
          </cell>
        </row>
        <row r="70">
          <cell r="B70" t="str">
            <v>TRIPRCARTS</v>
          </cell>
          <cell r="C70" t="str">
            <v>RESI TRIP CHARGE - CARTS</v>
          </cell>
          <cell r="D70">
            <v>13.19</v>
          </cell>
          <cell r="E70">
            <v>14.05</v>
          </cell>
          <cell r="F70">
            <v>39.57</v>
          </cell>
          <cell r="G70">
            <v>65.95</v>
          </cell>
          <cell r="H70">
            <v>0</v>
          </cell>
          <cell r="I70">
            <v>26.380000000000003</v>
          </cell>
          <cell r="J70">
            <v>13.19</v>
          </cell>
          <cell r="K70">
            <v>118.71000000000001</v>
          </cell>
          <cell r="L70">
            <v>26.38</v>
          </cell>
          <cell r="M70">
            <v>13.19</v>
          </cell>
          <cell r="N70">
            <v>0</v>
          </cell>
          <cell r="O70">
            <v>14.05</v>
          </cell>
          <cell r="P70">
            <v>14.05</v>
          </cell>
          <cell r="Q70">
            <v>0</v>
          </cell>
          <cell r="R70">
            <v>331.47</v>
          </cell>
          <cell r="T70">
            <v>3</v>
          </cell>
          <cell r="U70">
            <v>5</v>
          </cell>
          <cell r="V70">
            <v>0</v>
          </cell>
          <cell r="W70">
            <v>2.0000000000000004</v>
          </cell>
          <cell r="X70">
            <v>1</v>
          </cell>
          <cell r="Y70">
            <v>9.0000000000000018</v>
          </cell>
          <cell r="Z70">
            <v>2</v>
          </cell>
          <cell r="AA70">
            <v>1</v>
          </cell>
          <cell r="AB70">
            <v>0</v>
          </cell>
          <cell r="AC70">
            <v>1</v>
          </cell>
          <cell r="AD70">
            <v>1</v>
          </cell>
          <cell r="AE70">
            <v>0</v>
          </cell>
          <cell r="AF70">
            <v>25</v>
          </cell>
          <cell r="AG70">
            <v>2.0833333333333335</v>
          </cell>
        </row>
        <row r="71">
          <cell r="B71" t="str">
            <v>BULKY-RES</v>
          </cell>
          <cell r="C71" t="str">
            <v>BULKY ITEM</v>
          </cell>
          <cell r="D71">
            <v>26.1</v>
          </cell>
          <cell r="E71">
            <v>27.81</v>
          </cell>
          <cell r="F71">
            <v>114.81</v>
          </cell>
          <cell r="G71">
            <v>142.08000000000001</v>
          </cell>
          <cell r="H71">
            <v>666.35</v>
          </cell>
          <cell r="I71">
            <v>441.05</v>
          </cell>
          <cell r="J71">
            <v>287.10000000000002</v>
          </cell>
          <cell r="K71">
            <v>274</v>
          </cell>
          <cell r="L71">
            <v>598.95000000000005</v>
          </cell>
          <cell r="M71">
            <v>2031.92</v>
          </cell>
          <cell r="N71">
            <v>90.17</v>
          </cell>
          <cell r="O71">
            <v>104.4</v>
          </cell>
          <cell r="P71">
            <v>417.6</v>
          </cell>
          <cell r="Q71">
            <v>276.20999999999998</v>
          </cell>
          <cell r="R71">
            <v>5444.64</v>
          </cell>
          <cell r="T71">
            <v>4.3988505747126432</v>
          </cell>
          <cell r="U71">
            <v>5.4436781609195402</v>
          </cell>
          <cell r="V71">
            <v>25.530651340996169</v>
          </cell>
          <cell r="W71">
            <v>16.898467432950191</v>
          </cell>
          <cell r="X71">
            <v>11</v>
          </cell>
          <cell r="Y71">
            <v>10.498084291187739</v>
          </cell>
          <cell r="Z71">
            <v>22.948275862068964</v>
          </cell>
          <cell r="AA71">
            <v>77.851340996168574</v>
          </cell>
          <cell r="AB71">
            <v>3.4547892720306512</v>
          </cell>
          <cell r="AC71">
            <v>3.754045307443366</v>
          </cell>
          <cell r="AD71">
            <v>15.016181229773464</v>
          </cell>
          <cell r="AE71">
            <v>9.9320388349514559</v>
          </cell>
          <cell r="AF71">
            <v>206.72640330320274</v>
          </cell>
          <cell r="AG71">
            <v>17.227200275266895</v>
          </cell>
        </row>
        <row r="72">
          <cell r="B72" t="str">
            <v>DELCART</v>
          </cell>
          <cell r="C72" t="str">
            <v>CART REDELIVERY</v>
          </cell>
          <cell r="D72">
            <v>15.73</v>
          </cell>
          <cell r="E72">
            <v>16.760000000000002</v>
          </cell>
          <cell r="F72">
            <v>0</v>
          </cell>
          <cell r="G72">
            <v>15.73</v>
          </cell>
          <cell r="H72">
            <v>15.73</v>
          </cell>
          <cell r="I72">
            <v>15.73</v>
          </cell>
          <cell r="J72">
            <v>15.73</v>
          </cell>
          <cell r="K72">
            <v>0</v>
          </cell>
          <cell r="L72">
            <v>62.92</v>
          </cell>
          <cell r="M72">
            <v>0</v>
          </cell>
          <cell r="N72">
            <v>15.73</v>
          </cell>
          <cell r="O72">
            <v>0</v>
          </cell>
          <cell r="P72">
            <v>50.28</v>
          </cell>
          <cell r="Q72">
            <v>16.760000000000002</v>
          </cell>
          <cell r="R72">
            <v>208.60999999999999</v>
          </cell>
          <cell r="T72">
            <v>0</v>
          </cell>
          <cell r="U72">
            <v>1</v>
          </cell>
          <cell r="V72">
            <v>1</v>
          </cell>
          <cell r="W72">
            <v>1</v>
          </cell>
          <cell r="X72">
            <v>1</v>
          </cell>
          <cell r="Y72">
            <v>0</v>
          </cell>
          <cell r="Z72">
            <v>4</v>
          </cell>
          <cell r="AA72">
            <v>0</v>
          </cell>
          <cell r="AB72">
            <v>1</v>
          </cell>
          <cell r="AC72">
            <v>0</v>
          </cell>
          <cell r="AD72">
            <v>3</v>
          </cell>
          <cell r="AE72">
            <v>1</v>
          </cell>
          <cell r="AF72">
            <v>13</v>
          </cell>
          <cell r="AG72">
            <v>1.0833333333333333</v>
          </cell>
        </row>
        <row r="73">
          <cell r="B73" t="str">
            <v>ADJRESRECY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-79.12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-79.12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</row>
        <row r="106">
          <cell r="B106" t="str">
            <v>20CW1</v>
          </cell>
          <cell r="C106" t="str">
            <v>1-20 GAL CART WKLY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</row>
        <row r="107">
          <cell r="B107" t="str">
            <v>32C2W2</v>
          </cell>
          <cell r="C107" t="str">
            <v>2-32 GAL CANS 2X WEEKLY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</row>
        <row r="108">
          <cell r="B108" t="str">
            <v>32CE1</v>
          </cell>
          <cell r="C108" t="str">
            <v>32 GAL CAN COMM EOW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</row>
        <row r="109">
          <cell r="B109" t="str">
            <v>32CW1</v>
          </cell>
          <cell r="C109" t="str">
            <v>1-32 GAL CAN WEEKLY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</row>
        <row r="110">
          <cell r="B110" t="str">
            <v>32CW2</v>
          </cell>
          <cell r="C110" t="str">
            <v>2-32 GAL CANS WKLY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</row>
        <row r="111">
          <cell r="B111" t="str">
            <v>32CW3</v>
          </cell>
          <cell r="C111" t="str">
            <v>3-32 GAL CANS WKLY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</row>
        <row r="112">
          <cell r="B112" t="str">
            <v>32CW4</v>
          </cell>
          <cell r="C112" t="str">
            <v>4-32 GAL CANS WKLY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</row>
        <row r="113">
          <cell r="B113" t="str">
            <v>35CW1</v>
          </cell>
          <cell r="C113" t="str">
            <v>1-35 GAL CART WKLY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</row>
        <row r="114">
          <cell r="B114" t="str">
            <v>65CW1</v>
          </cell>
          <cell r="C114" t="str">
            <v>1-65 GAL CART WKLY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</row>
        <row r="115">
          <cell r="B115" t="str">
            <v>95CW1</v>
          </cell>
          <cell r="C115" t="str">
            <v>1-95 GAL CART WKLY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</row>
        <row r="116">
          <cell r="B116" t="str">
            <v>F1YD1W</v>
          </cell>
          <cell r="C116" t="str">
            <v>1YD CONT 1X WEEKLY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</row>
        <row r="117">
          <cell r="B117" t="str">
            <v>R1YD1W</v>
          </cell>
          <cell r="C117" t="str">
            <v>1YD CONT 1xWEEKLY</v>
          </cell>
          <cell r="D117">
            <v>123.91</v>
          </cell>
          <cell r="E117">
            <v>131.22</v>
          </cell>
          <cell r="F117">
            <v>14972.754999999999</v>
          </cell>
          <cell r="G117">
            <v>15329.004999999999</v>
          </cell>
          <cell r="H117">
            <v>16215.414999999999</v>
          </cell>
          <cell r="I117">
            <v>15809.15</v>
          </cell>
          <cell r="J117">
            <v>15550.83</v>
          </cell>
          <cell r="K117">
            <v>15829.484999999999</v>
          </cell>
          <cell r="L117">
            <v>15581.664999999999</v>
          </cell>
          <cell r="M117">
            <v>15132.504999999999</v>
          </cell>
          <cell r="N117">
            <v>15132.504999999999</v>
          </cell>
          <cell r="O117">
            <v>16463.53</v>
          </cell>
          <cell r="P117">
            <v>16208.409999999998</v>
          </cell>
          <cell r="Q117">
            <v>17321.034999999996</v>
          </cell>
          <cell r="R117">
            <v>189546.29</v>
          </cell>
          <cell r="T117">
            <v>120.83572754418529</v>
          </cell>
          <cell r="U117">
            <v>123.71079815995481</v>
          </cell>
          <cell r="V117">
            <v>130.86445807440884</v>
          </cell>
          <cell r="W117">
            <v>127.58574772011944</v>
          </cell>
          <cell r="X117">
            <v>125.5010087967073</v>
          </cell>
          <cell r="Y117">
            <v>127.74985876846097</v>
          </cell>
          <cell r="Z117">
            <v>125.74985876846098</v>
          </cell>
          <cell r="AA117">
            <v>122.12496973609878</v>
          </cell>
          <cell r="AB117">
            <v>122.12496973609878</v>
          </cell>
          <cell r="AC117">
            <v>125.46509678402681</v>
          </cell>
          <cell r="AD117">
            <v>123.52088096326779</v>
          </cell>
          <cell r="AE117">
            <v>131.99996189605241</v>
          </cell>
          <cell r="AF117">
            <v>1507.2333369478422</v>
          </cell>
          <cell r="AG117">
            <v>125.60277807898684</v>
          </cell>
        </row>
        <row r="118">
          <cell r="B118" t="str">
            <v>F1YD2W</v>
          </cell>
          <cell r="C118" t="str">
            <v>1YD CONT 2X WEEKLY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-31.81</v>
          </cell>
          <cell r="R118">
            <v>-31.81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</row>
        <row r="119">
          <cell r="B119" t="str">
            <v>R1YD2W</v>
          </cell>
          <cell r="C119" t="str">
            <v>1YD CONT 2xWEEKLY</v>
          </cell>
          <cell r="D119">
            <v>240.37</v>
          </cell>
          <cell r="E119">
            <v>254.52</v>
          </cell>
          <cell r="F119">
            <v>721.11</v>
          </cell>
          <cell r="G119">
            <v>721.11</v>
          </cell>
          <cell r="H119">
            <v>721.11</v>
          </cell>
          <cell r="I119">
            <v>721.11</v>
          </cell>
          <cell r="J119">
            <v>721.11</v>
          </cell>
          <cell r="K119">
            <v>721.11</v>
          </cell>
          <cell r="L119">
            <v>721.11</v>
          </cell>
          <cell r="M119">
            <v>721.11</v>
          </cell>
          <cell r="N119">
            <v>721.11</v>
          </cell>
          <cell r="O119">
            <v>763.56</v>
          </cell>
          <cell r="P119">
            <v>763.56</v>
          </cell>
          <cell r="Q119">
            <v>827.18499999999995</v>
          </cell>
          <cell r="R119">
            <v>8844.2949999999983</v>
          </cell>
          <cell r="T119">
            <v>3</v>
          </cell>
          <cell r="U119">
            <v>3</v>
          </cell>
          <cell r="V119">
            <v>3</v>
          </cell>
          <cell r="W119">
            <v>3</v>
          </cell>
          <cell r="X119">
            <v>3</v>
          </cell>
          <cell r="Y119">
            <v>3</v>
          </cell>
          <cell r="Z119">
            <v>3</v>
          </cell>
          <cell r="AA119">
            <v>3</v>
          </cell>
          <cell r="AB119">
            <v>3</v>
          </cell>
          <cell r="AC119">
            <v>2.9999999999999996</v>
          </cell>
          <cell r="AD119">
            <v>2.9999999999999996</v>
          </cell>
          <cell r="AE119">
            <v>3.2499803551783746</v>
          </cell>
          <cell r="AF119">
            <v>36.249980355178373</v>
          </cell>
          <cell r="AG119">
            <v>3.0208316962648643</v>
          </cell>
        </row>
        <row r="120">
          <cell r="B120" t="str">
            <v>R1YD3W</v>
          </cell>
          <cell r="C120" t="str">
            <v>1YD CONT 3xWEEKLY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</row>
        <row r="121">
          <cell r="B121" t="str">
            <v>R1YDEOW</v>
          </cell>
          <cell r="C121" t="str">
            <v>1YD CONT EOW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</row>
        <row r="122">
          <cell r="B122" t="str">
            <v>R1YDTPU</v>
          </cell>
          <cell r="C122" t="str">
            <v>1YD TEMP CONT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</row>
        <row r="123">
          <cell r="B123" t="str">
            <v>F1.5YD1W</v>
          </cell>
          <cell r="C123" t="str">
            <v>1.5YD CONT 1X WEEKLY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</row>
        <row r="124">
          <cell r="B124" t="str">
            <v>R1.5YD1W</v>
          </cell>
          <cell r="C124" t="str">
            <v>1.5YD CONT 1xWEEKLY</v>
          </cell>
          <cell r="D124">
            <v>172.5</v>
          </cell>
          <cell r="E124">
            <v>182.59</v>
          </cell>
          <cell r="F124">
            <v>7633.125</v>
          </cell>
          <cell r="G124">
            <v>7568.4350000000004</v>
          </cell>
          <cell r="H124">
            <v>7568.4350000000004</v>
          </cell>
          <cell r="I124">
            <v>7590</v>
          </cell>
          <cell r="J124">
            <v>7590</v>
          </cell>
          <cell r="K124">
            <v>7503.75</v>
          </cell>
          <cell r="L124">
            <v>7503.75</v>
          </cell>
          <cell r="M124">
            <v>8042.8050000000003</v>
          </cell>
          <cell r="N124">
            <v>7697.8050000000003</v>
          </cell>
          <cell r="O124">
            <v>8263.4549999999999</v>
          </cell>
          <cell r="P124">
            <v>8263.4549999999999</v>
          </cell>
          <cell r="Q124">
            <v>8056.7849999999999</v>
          </cell>
          <cell r="R124">
            <v>93281.800000000017</v>
          </cell>
          <cell r="T124">
            <v>44.25</v>
          </cell>
          <cell r="U124">
            <v>43.874985507246379</v>
          </cell>
          <cell r="V124">
            <v>43.874985507246379</v>
          </cell>
          <cell r="W124">
            <v>44</v>
          </cell>
          <cell r="X124">
            <v>44</v>
          </cell>
          <cell r="Y124">
            <v>43.5</v>
          </cell>
          <cell r="Z124">
            <v>43.5</v>
          </cell>
          <cell r="AA124">
            <v>46.624956521739129</v>
          </cell>
          <cell r="AB124">
            <v>44.624956521739129</v>
          </cell>
          <cell r="AC124">
            <v>45.256887014622926</v>
          </cell>
          <cell r="AD124">
            <v>45.256887014622926</v>
          </cell>
          <cell r="AE124">
            <v>44.125006845938991</v>
          </cell>
          <cell r="AF124">
            <v>532.88866493315584</v>
          </cell>
          <cell r="AG124">
            <v>44.407388744429653</v>
          </cell>
        </row>
        <row r="125">
          <cell r="B125" t="str">
            <v>R1.5YD2W</v>
          </cell>
          <cell r="C125" t="str">
            <v>1.5YD CONT 2xWEEKLY</v>
          </cell>
          <cell r="D125">
            <v>337.27</v>
          </cell>
          <cell r="E125">
            <v>356.96</v>
          </cell>
          <cell r="F125">
            <v>2698.16</v>
          </cell>
          <cell r="G125">
            <v>3119.7449999999999</v>
          </cell>
          <cell r="H125">
            <v>3119.7449999999999</v>
          </cell>
          <cell r="I125">
            <v>3035.43</v>
          </cell>
          <cell r="J125">
            <v>3035.43</v>
          </cell>
          <cell r="K125">
            <v>3035.43</v>
          </cell>
          <cell r="L125">
            <v>3035.43</v>
          </cell>
          <cell r="M125">
            <v>3035.43</v>
          </cell>
          <cell r="N125">
            <v>3035.43</v>
          </cell>
          <cell r="O125">
            <v>3212.64</v>
          </cell>
          <cell r="P125">
            <v>3212.64</v>
          </cell>
          <cell r="Q125">
            <v>3212.64</v>
          </cell>
          <cell r="R125">
            <v>36788.15</v>
          </cell>
          <cell r="T125">
            <v>8</v>
          </cell>
          <cell r="U125">
            <v>9.24999258754114</v>
          </cell>
          <cell r="V125">
            <v>9.24999258754114</v>
          </cell>
          <cell r="W125">
            <v>9</v>
          </cell>
          <cell r="X125">
            <v>9</v>
          </cell>
          <cell r="Y125">
            <v>9</v>
          </cell>
          <cell r="Z125">
            <v>9</v>
          </cell>
          <cell r="AA125">
            <v>9</v>
          </cell>
          <cell r="AB125">
            <v>9</v>
          </cell>
          <cell r="AC125">
            <v>9</v>
          </cell>
          <cell r="AD125">
            <v>9</v>
          </cell>
          <cell r="AE125">
            <v>9</v>
          </cell>
          <cell r="AF125">
            <v>107.49998517508229</v>
          </cell>
          <cell r="AG125">
            <v>8.9583320979235239</v>
          </cell>
        </row>
        <row r="126">
          <cell r="B126" t="str">
            <v>R1.5YD3W</v>
          </cell>
          <cell r="C126" t="str">
            <v>1.5YD CONT 3xWEEKLY</v>
          </cell>
          <cell r="D126">
            <v>502.22</v>
          </cell>
          <cell r="E126">
            <v>531.51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564.995</v>
          </cell>
          <cell r="L126">
            <v>564.995</v>
          </cell>
          <cell r="M126">
            <v>502.22</v>
          </cell>
          <cell r="N126">
            <v>502.22</v>
          </cell>
          <cell r="O126">
            <v>531.51</v>
          </cell>
          <cell r="P126">
            <v>531.51</v>
          </cell>
          <cell r="Q126">
            <v>531.51</v>
          </cell>
          <cell r="R126">
            <v>3728.9600000000009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1.1249950221018676</v>
          </cell>
          <cell r="Z126">
            <v>1.1249950221018676</v>
          </cell>
          <cell r="AA126">
            <v>1</v>
          </cell>
          <cell r="AB126">
            <v>1</v>
          </cell>
          <cell r="AC126">
            <v>1</v>
          </cell>
          <cell r="AD126">
            <v>1</v>
          </cell>
          <cell r="AE126">
            <v>1</v>
          </cell>
          <cell r="AF126">
            <v>7.2499900442037353</v>
          </cell>
          <cell r="AG126">
            <v>0.6041658370169779</v>
          </cell>
        </row>
        <row r="127">
          <cell r="B127" t="str">
            <v>R1.5YDEOW</v>
          </cell>
          <cell r="C127" t="str">
            <v>1.5YD CONT EOW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</row>
        <row r="128">
          <cell r="B128" t="str">
            <v>R1.5YDTPU</v>
          </cell>
          <cell r="C128" t="str">
            <v>1.5YD TEMP CONTAINER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</row>
        <row r="129">
          <cell r="B129" t="str">
            <v>F2YD1W</v>
          </cell>
          <cell r="C129" t="str">
            <v>2YD CONT 1X WEEKLY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</row>
        <row r="130">
          <cell r="B130" t="str">
            <v>F2YD2W</v>
          </cell>
          <cell r="C130" t="str">
            <v>2YD CONT 2X WEEKLY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</row>
        <row r="131">
          <cell r="B131" t="str">
            <v>F2YD3W</v>
          </cell>
          <cell r="C131" t="str">
            <v>2YD CONT 3X WEEKLY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</row>
        <row r="132">
          <cell r="B132" t="str">
            <v>R2YD1W</v>
          </cell>
          <cell r="C132" t="str">
            <v>2YD CONT 1xWEEKLY</v>
          </cell>
          <cell r="D132">
            <v>229.83</v>
          </cell>
          <cell r="E132">
            <v>243.38</v>
          </cell>
          <cell r="F132">
            <v>32319.84</v>
          </cell>
          <cell r="G132">
            <v>32090.005000000001</v>
          </cell>
          <cell r="H132">
            <v>31630.345000000001</v>
          </cell>
          <cell r="I132">
            <v>31975.09</v>
          </cell>
          <cell r="J132">
            <v>31975.09</v>
          </cell>
          <cell r="K132">
            <v>33210.409999999996</v>
          </cell>
          <cell r="L132">
            <v>34187.189999999995</v>
          </cell>
          <cell r="M132">
            <v>34679.969999999994</v>
          </cell>
          <cell r="N132">
            <v>34733.049999999996</v>
          </cell>
          <cell r="O132">
            <v>35798.379999999997</v>
          </cell>
          <cell r="P132">
            <v>36824.629999999997</v>
          </cell>
          <cell r="Q132">
            <v>35055.040000000001</v>
          </cell>
          <cell r="R132">
            <v>404479.04</v>
          </cell>
          <cell r="T132">
            <v>140.62498368359221</v>
          </cell>
          <cell r="U132">
            <v>139.62496192838185</v>
          </cell>
          <cell r="V132">
            <v>137.62496192838185</v>
          </cell>
          <cell r="W132">
            <v>139.12496192838185</v>
          </cell>
          <cell r="X132">
            <v>139.12496192838185</v>
          </cell>
          <cell r="Y132">
            <v>144.49989122394811</v>
          </cell>
          <cell r="Z132">
            <v>148.74990210155329</v>
          </cell>
          <cell r="AA132">
            <v>150.89400861506329</v>
          </cell>
          <cell r="AB132">
            <v>151.12496192838182</v>
          </cell>
          <cell r="AC132">
            <v>147.08842139863586</v>
          </cell>
          <cell r="AD132">
            <v>151.30507847810009</v>
          </cell>
          <cell r="AE132">
            <v>144.03418522475141</v>
          </cell>
          <cell r="AF132">
            <v>1733.8212803675531</v>
          </cell>
          <cell r="AG132">
            <v>144.48510669729609</v>
          </cell>
        </row>
        <row r="133">
          <cell r="B133" t="str">
            <v>R2YD2W</v>
          </cell>
          <cell r="C133" t="str">
            <v>2YD CONT 2xWEEKLY</v>
          </cell>
          <cell r="D133">
            <v>451.92</v>
          </cell>
          <cell r="E133">
            <v>478.51</v>
          </cell>
          <cell r="F133">
            <v>16912.840000000004</v>
          </cell>
          <cell r="G133">
            <v>17624.88</v>
          </cell>
          <cell r="H133">
            <v>19263.09</v>
          </cell>
          <cell r="I133">
            <v>17737.86</v>
          </cell>
          <cell r="J133">
            <v>19093.62</v>
          </cell>
          <cell r="K133">
            <v>19291.334999999999</v>
          </cell>
          <cell r="L133">
            <v>19234.844999999998</v>
          </cell>
          <cell r="M133">
            <v>18698.189999999999</v>
          </cell>
          <cell r="N133">
            <v>18415.740000000002</v>
          </cell>
          <cell r="O133">
            <v>20462.95</v>
          </cell>
          <cell r="P133">
            <v>20462.95</v>
          </cell>
          <cell r="Q133">
            <v>21532.95</v>
          </cell>
          <cell r="R133">
            <v>228731.25000000003</v>
          </cell>
          <cell r="T133">
            <v>37.424411400247841</v>
          </cell>
          <cell r="U133">
            <v>39</v>
          </cell>
          <cell r="V133">
            <v>42.625</v>
          </cell>
          <cell r="W133">
            <v>39.25</v>
          </cell>
          <cell r="X133">
            <v>42.249999999999993</v>
          </cell>
          <cell r="Y133">
            <v>42.6875</v>
          </cell>
          <cell r="Z133">
            <v>42.562499999999993</v>
          </cell>
          <cell r="AA133">
            <v>41.374999999999993</v>
          </cell>
          <cell r="AB133">
            <v>40.75</v>
          </cell>
          <cell r="AC133">
            <v>42.763892081670186</v>
          </cell>
          <cell r="AD133">
            <v>42.763892081670186</v>
          </cell>
          <cell r="AE133">
            <v>45</v>
          </cell>
          <cell r="AF133">
            <v>498.45219556358819</v>
          </cell>
          <cell r="AG133">
            <v>41.537682963632349</v>
          </cell>
        </row>
        <row r="134">
          <cell r="B134" t="str">
            <v>R2YD3W</v>
          </cell>
          <cell r="C134" t="str">
            <v>2YD CONT 3xWEEKLY</v>
          </cell>
          <cell r="D134">
            <v>674.04</v>
          </cell>
          <cell r="E134">
            <v>713.67</v>
          </cell>
          <cell r="F134">
            <v>12132.72</v>
          </cell>
          <cell r="G134">
            <v>12132.72</v>
          </cell>
          <cell r="H134">
            <v>12132.72</v>
          </cell>
          <cell r="I134">
            <v>12132.72</v>
          </cell>
          <cell r="J134">
            <v>12132.72</v>
          </cell>
          <cell r="K134">
            <v>12132.72</v>
          </cell>
          <cell r="L134">
            <v>12132.72</v>
          </cell>
          <cell r="M134">
            <v>12132.72</v>
          </cell>
          <cell r="N134">
            <v>12132.72</v>
          </cell>
          <cell r="O134">
            <v>12846.06</v>
          </cell>
          <cell r="P134">
            <v>12846.06</v>
          </cell>
          <cell r="Q134">
            <v>12846.06</v>
          </cell>
          <cell r="R134">
            <v>147732.66</v>
          </cell>
          <cell r="T134">
            <v>18</v>
          </cell>
          <cell r="U134">
            <v>18</v>
          </cell>
          <cell r="V134">
            <v>18</v>
          </cell>
          <cell r="W134">
            <v>18</v>
          </cell>
          <cell r="X134">
            <v>18</v>
          </cell>
          <cell r="Y134">
            <v>18</v>
          </cell>
          <cell r="Z134">
            <v>18</v>
          </cell>
          <cell r="AA134">
            <v>18</v>
          </cell>
          <cell r="AB134">
            <v>18</v>
          </cell>
          <cell r="AC134">
            <v>18</v>
          </cell>
          <cell r="AD134">
            <v>18</v>
          </cell>
          <cell r="AE134">
            <v>18</v>
          </cell>
          <cell r="AF134">
            <v>216</v>
          </cell>
          <cell r="AG134">
            <v>18</v>
          </cell>
        </row>
        <row r="135">
          <cell r="B135" t="str">
            <v>R2YD4W</v>
          </cell>
          <cell r="C135" t="str">
            <v>2YD CONT 4xWEEKLY</v>
          </cell>
          <cell r="D135">
            <v>896.18</v>
          </cell>
          <cell r="E135">
            <v>948.86</v>
          </cell>
          <cell r="F135">
            <v>2688.54</v>
          </cell>
          <cell r="G135">
            <v>2688.54</v>
          </cell>
          <cell r="H135">
            <v>2688.54</v>
          </cell>
          <cell r="I135">
            <v>2688.54</v>
          </cell>
          <cell r="J135">
            <v>2688.54</v>
          </cell>
          <cell r="K135">
            <v>2688.54</v>
          </cell>
          <cell r="L135">
            <v>2688.54</v>
          </cell>
          <cell r="M135">
            <v>2688.54</v>
          </cell>
          <cell r="N135">
            <v>2688.54</v>
          </cell>
          <cell r="O135">
            <v>2846.58</v>
          </cell>
          <cell r="P135">
            <v>2846.58</v>
          </cell>
          <cell r="Q135">
            <v>2846.58</v>
          </cell>
          <cell r="R135">
            <v>32736.600000000006</v>
          </cell>
          <cell r="T135">
            <v>3</v>
          </cell>
          <cell r="U135">
            <v>3</v>
          </cell>
          <cell r="V135">
            <v>3</v>
          </cell>
          <cell r="W135">
            <v>3</v>
          </cell>
          <cell r="X135">
            <v>3</v>
          </cell>
          <cell r="Y135">
            <v>3</v>
          </cell>
          <cell r="Z135">
            <v>3</v>
          </cell>
          <cell r="AA135">
            <v>3</v>
          </cell>
          <cell r="AB135">
            <v>3</v>
          </cell>
          <cell r="AC135">
            <v>3</v>
          </cell>
          <cell r="AD135">
            <v>3</v>
          </cell>
          <cell r="AE135">
            <v>3</v>
          </cell>
          <cell r="AF135">
            <v>36</v>
          </cell>
          <cell r="AG135">
            <v>3</v>
          </cell>
        </row>
        <row r="136">
          <cell r="B136" t="str">
            <v>R2YD5W</v>
          </cell>
          <cell r="C136" t="str">
            <v>2YD CONT 5xWEEKLY</v>
          </cell>
          <cell r="D136">
            <v>1118.3499999999999</v>
          </cell>
          <cell r="E136">
            <v>1184.08</v>
          </cell>
          <cell r="F136">
            <v>4473.3999999999996</v>
          </cell>
          <cell r="G136">
            <v>4473.3999999999996</v>
          </cell>
          <cell r="H136">
            <v>4473.3999999999996</v>
          </cell>
          <cell r="I136">
            <v>4473.3999999999996</v>
          </cell>
          <cell r="J136">
            <v>4473.3999999999996</v>
          </cell>
          <cell r="K136">
            <v>4473.3999999999996</v>
          </cell>
          <cell r="L136">
            <v>4473.3999999999996</v>
          </cell>
          <cell r="M136">
            <v>4473.3999999999996</v>
          </cell>
          <cell r="N136">
            <v>4473.3999999999996</v>
          </cell>
          <cell r="O136">
            <v>4736.32</v>
          </cell>
          <cell r="P136">
            <v>4736.32</v>
          </cell>
          <cell r="Q136">
            <v>4736.32</v>
          </cell>
          <cell r="R136">
            <v>54469.560000000005</v>
          </cell>
          <cell r="T136">
            <v>4</v>
          </cell>
          <cell r="U136">
            <v>4</v>
          </cell>
          <cell r="V136">
            <v>4</v>
          </cell>
          <cell r="W136">
            <v>4</v>
          </cell>
          <cell r="X136">
            <v>4</v>
          </cell>
          <cell r="Y136">
            <v>4</v>
          </cell>
          <cell r="Z136">
            <v>4</v>
          </cell>
          <cell r="AA136">
            <v>4</v>
          </cell>
          <cell r="AB136">
            <v>4</v>
          </cell>
          <cell r="AC136">
            <v>4</v>
          </cell>
          <cell r="AD136">
            <v>4</v>
          </cell>
          <cell r="AE136">
            <v>4</v>
          </cell>
          <cell r="AF136">
            <v>48</v>
          </cell>
          <cell r="AG136">
            <v>4</v>
          </cell>
        </row>
        <row r="137">
          <cell r="B137" t="str">
            <v>R2YDEOW</v>
          </cell>
          <cell r="C137" t="str">
            <v>2YD CONT EOW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</row>
        <row r="138">
          <cell r="B138" t="str">
            <v>R2YDTPU</v>
          </cell>
          <cell r="C138" t="str">
            <v>2YD TEMP CONTAINER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</row>
        <row r="139">
          <cell r="B139" t="str">
            <v>F4YD1W</v>
          </cell>
          <cell r="C139" t="str">
            <v>4YD CONT 1X WEEKLY</v>
          </cell>
          <cell r="D139">
            <v>453.19</v>
          </cell>
          <cell r="E139">
            <v>479.96</v>
          </cell>
          <cell r="F139">
            <v>23622.525000000001</v>
          </cell>
          <cell r="G139">
            <v>24075.715</v>
          </cell>
          <cell r="H139">
            <v>24075.715</v>
          </cell>
          <cell r="I139">
            <v>22432.904999999999</v>
          </cell>
          <cell r="J139">
            <v>22432.904999999999</v>
          </cell>
          <cell r="K139">
            <v>22886.094999999998</v>
          </cell>
          <cell r="L139">
            <v>22886.094999999998</v>
          </cell>
          <cell r="M139">
            <v>23452.575000000001</v>
          </cell>
          <cell r="N139">
            <v>23452.575000000001</v>
          </cell>
          <cell r="O139">
            <v>25541.134999999998</v>
          </cell>
          <cell r="P139">
            <v>25421.144999999997</v>
          </cell>
          <cell r="Q139">
            <v>25003.195000000003</v>
          </cell>
          <cell r="R139">
            <v>285282.58</v>
          </cell>
          <cell r="T139">
            <v>52.124991725324925</v>
          </cell>
          <cell r="U139">
            <v>53.124991725324918</v>
          </cell>
          <cell r="V139">
            <v>53.124991725324918</v>
          </cell>
          <cell r="W139">
            <v>49.5</v>
          </cell>
          <cell r="X139">
            <v>49.5</v>
          </cell>
          <cell r="Y139">
            <v>50.499999999999993</v>
          </cell>
          <cell r="Z139">
            <v>50.499999999999993</v>
          </cell>
          <cell r="AA139">
            <v>51.749983450649843</v>
          </cell>
          <cell r="AB139">
            <v>51.749983450649843</v>
          </cell>
          <cell r="AC139">
            <v>53.215132511042583</v>
          </cell>
          <cell r="AD139">
            <v>52.965132511042583</v>
          </cell>
          <cell r="AE139">
            <v>52.094330777564807</v>
          </cell>
          <cell r="AF139">
            <v>620.14953787692446</v>
          </cell>
          <cell r="AG139">
            <v>51.679128156410371</v>
          </cell>
        </row>
        <row r="140">
          <cell r="B140" t="str">
            <v>F4YD2W</v>
          </cell>
          <cell r="C140" t="str">
            <v>4YD CONT 2X WEEKLY</v>
          </cell>
          <cell r="D140">
            <v>898.51</v>
          </cell>
          <cell r="E140">
            <v>951.53</v>
          </cell>
          <cell r="F140">
            <v>18194.825000000001</v>
          </cell>
          <cell r="G140">
            <v>18531.764999999999</v>
          </cell>
          <cell r="H140">
            <v>18531.764999999999</v>
          </cell>
          <cell r="I140">
            <v>18700.239999999998</v>
          </cell>
          <cell r="J140">
            <v>18700.239999999998</v>
          </cell>
          <cell r="K140">
            <v>17970.2</v>
          </cell>
          <cell r="L140">
            <v>17970.2</v>
          </cell>
          <cell r="M140">
            <v>17970.2</v>
          </cell>
          <cell r="N140">
            <v>17970.2</v>
          </cell>
          <cell r="O140">
            <v>19387.419999999998</v>
          </cell>
          <cell r="P140">
            <v>19387.419999999998</v>
          </cell>
          <cell r="Q140">
            <v>20457.895</v>
          </cell>
          <cell r="R140">
            <v>223772.36999999997</v>
          </cell>
          <cell r="T140">
            <v>20.249997217615832</v>
          </cell>
          <cell r="U140">
            <v>20.624995826423746</v>
          </cell>
          <cell r="V140">
            <v>20.624995826423746</v>
          </cell>
          <cell r="W140">
            <v>20.812500695596039</v>
          </cell>
          <cell r="X140">
            <v>20.812500695596039</v>
          </cell>
          <cell r="Y140">
            <v>20</v>
          </cell>
          <cell r="Z140">
            <v>20</v>
          </cell>
          <cell r="AA140">
            <v>20</v>
          </cell>
          <cell r="AB140">
            <v>20</v>
          </cell>
          <cell r="AC140">
            <v>20.374996058978695</v>
          </cell>
          <cell r="AD140">
            <v>20.374996058978695</v>
          </cell>
          <cell r="AE140">
            <v>21.5</v>
          </cell>
          <cell r="AF140">
            <v>245.37498237961279</v>
          </cell>
          <cell r="AG140">
            <v>20.447915198301065</v>
          </cell>
        </row>
        <row r="141">
          <cell r="B141" t="str">
            <v>F4YD3W</v>
          </cell>
          <cell r="C141" t="str">
            <v>4YD CONT 3X WEEKLY</v>
          </cell>
          <cell r="D141">
            <v>1343.7</v>
          </cell>
          <cell r="E141">
            <v>1422.97</v>
          </cell>
          <cell r="F141">
            <v>6718.5</v>
          </cell>
          <cell r="G141">
            <v>6718.5</v>
          </cell>
          <cell r="H141">
            <v>6718.5</v>
          </cell>
          <cell r="I141">
            <v>6718.5</v>
          </cell>
          <cell r="J141">
            <v>6718.5</v>
          </cell>
          <cell r="K141">
            <v>6718.5</v>
          </cell>
          <cell r="L141">
            <v>6718.5</v>
          </cell>
          <cell r="M141">
            <v>6718.5</v>
          </cell>
          <cell r="N141">
            <v>6718.5</v>
          </cell>
          <cell r="O141">
            <v>6297.9950000000008</v>
          </cell>
          <cell r="P141">
            <v>6297.9950000000008</v>
          </cell>
          <cell r="Q141">
            <v>3338.5099999999998</v>
          </cell>
          <cell r="R141">
            <v>76400.999999999985</v>
          </cell>
          <cell r="T141">
            <v>5</v>
          </cell>
          <cell r="U141">
            <v>5</v>
          </cell>
          <cell r="V141">
            <v>5</v>
          </cell>
          <cell r="W141">
            <v>5</v>
          </cell>
          <cell r="X141">
            <v>5</v>
          </cell>
          <cell r="Y141">
            <v>5</v>
          </cell>
          <cell r="Z141">
            <v>5</v>
          </cell>
          <cell r="AA141">
            <v>5</v>
          </cell>
          <cell r="AB141">
            <v>5</v>
          </cell>
          <cell r="AC141">
            <v>4.4259506525084866</v>
          </cell>
          <cell r="AD141">
            <v>4.4259506525084866</v>
          </cell>
          <cell r="AE141">
            <v>2.3461562787690533</v>
          </cell>
          <cell r="AF141">
            <v>56.198057583786031</v>
          </cell>
          <cell r="AG141">
            <v>4.6831714653155023</v>
          </cell>
        </row>
        <row r="142">
          <cell r="B142" t="str">
            <v>F4YD4W</v>
          </cell>
          <cell r="C142" t="str">
            <v>4YD CONT 4X WEEKLY SVC</v>
          </cell>
          <cell r="D142">
            <v>1791.5</v>
          </cell>
          <cell r="E142">
            <v>1897.19</v>
          </cell>
          <cell r="F142">
            <v>1791.5</v>
          </cell>
          <cell r="G142">
            <v>1791.5</v>
          </cell>
          <cell r="H142">
            <v>1791.5</v>
          </cell>
          <cell r="I142">
            <v>1791.5</v>
          </cell>
          <cell r="J142">
            <v>1791.5</v>
          </cell>
          <cell r="K142">
            <v>1791.5</v>
          </cell>
          <cell r="L142">
            <v>1791.5</v>
          </cell>
          <cell r="M142">
            <v>1791.5</v>
          </cell>
          <cell r="N142">
            <v>1791.5</v>
          </cell>
          <cell r="O142">
            <v>4074.3</v>
          </cell>
          <cell r="P142">
            <v>4074.3</v>
          </cell>
          <cell r="Q142">
            <v>3794.38</v>
          </cell>
          <cell r="R142">
            <v>28066.48</v>
          </cell>
          <cell r="T142">
            <v>1</v>
          </cell>
          <cell r="U142">
            <v>1</v>
          </cell>
          <cell r="V142">
            <v>1</v>
          </cell>
          <cell r="W142">
            <v>1</v>
          </cell>
          <cell r="X142">
            <v>1</v>
          </cell>
          <cell r="Y142">
            <v>1</v>
          </cell>
          <cell r="Z142">
            <v>1</v>
          </cell>
          <cell r="AA142">
            <v>1</v>
          </cell>
          <cell r="AB142">
            <v>1</v>
          </cell>
          <cell r="AC142">
            <v>2.147544526378486</v>
          </cell>
          <cell r="AD142">
            <v>2.147544526378486</v>
          </cell>
          <cell r="AE142">
            <v>2</v>
          </cell>
          <cell r="AF142">
            <v>15.295089052756971</v>
          </cell>
          <cell r="AG142">
            <v>1.2745907543964143</v>
          </cell>
        </row>
        <row r="143">
          <cell r="B143" t="str">
            <v>F6YD1W</v>
          </cell>
          <cell r="C143" t="str">
            <v>6YD CONT 1X WEEKLY</v>
          </cell>
          <cell r="D143">
            <v>650.29</v>
          </cell>
          <cell r="E143">
            <v>688.89</v>
          </cell>
          <cell r="F143">
            <v>37960.675000000003</v>
          </cell>
          <cell r="G143">
            <v>38529.68</v>
          </cell>
          <cell r="H143">
            <v>38041.96</v>
          </cell>
          <cell r="I143">
            <v>37838.744999999995</v>
          </cell>
          <cell r="J143">
            <v>37838.744999999995</v>
          </cell>
          <cell r="K143">
            <v>37635.535000000003</v>
          </cell>
          <cell r="L143">
            <v>37635.535000000003</v>
          </cell>
          <cell r="M143">
            <v>38204.54</v>
          </cell>
          <cell r="N143">
            <v>38367.11</v>
          </cell>
          <cell r="O143">
            <v>40132.67</v>
          </cell>
          <cell r="P143">
            <v>39960.449999999997</v>
          </cell>
          <cell r="Q143">
            <v>40127.839999999997</v>
          </cell>
          <cell r="R143">
            <v>462273.48499999999</v>
          </cell>
          <cell r="T143">
            <v>58.374994233342058</v>
          </cell>
          <cell r="U143">
            <v>59.249996155561369</v>
          </cell>
          <cell r="V143">
            <v>58.499992311122732</v>
          </cell>
          <cell r="W143">
            <v>58.187493272232388</v>
          </cell>
          <cell r="X143">
            <v>58.187493272232388</v>
          </cell>
          <cell r="Y143">
            <v>57.875001922219326</v>
          </cell>
          <cell r="Z143">
            <v>57.875001922219326</v>
          </cell>
          <cell r="AA143">
            <v>58.750003844438638</v>
          </cell>
          <cell r="AB143">
            <v>59.000000000000007</v>
          </cell>
          <cell r="AC143">
            <v>58.257007649987663</v>
          </cell>
          <cell r="AD143">
            <v>58.007011279014066</v>
          </cell>
          <cell r="AE143">
            <v>58.249996370973591</v>
          </cell>
          <cell r="AF143">
            <v>700.51399223334352</v>
          </cell>
          <cell r="AG143">
            <v>58.376166019445293</v>
          </cell>
        </row>
        <row r="144">
          <cell r="B144" t="str">
            <v>F6YD2W</v>
          </cell>
          <cell r="C144" t="str">
            <v>6YD CONT 2X WEEKLY</v>
          </cell>
          <cell r="D144">
            <v>1292.4000000000001</v>
          </cell>
          <cell r="E144">
            <v>1369.09</v>
          </cell>
          <cell r="F144">
            <v>45234</v>
          </cell>
          <cell r="G144">
            <v>47011.05</v>
          </cell>
          <cell r="H144">
            <v>47011.05</v>
          </cell>
          <cell r="I144">
            <v>45395.55</v>
          </cell>
          <cell r="J144">
            <v>45395.55</v>
          </cell>
          <cell r="K144">
            <v>47460.329999999994</v>
          </cell>
          <cell r="L144">
            <v>47460.329999999994</v>
          </cell>
          <cell r="M144">
            <v>44103.15</v>
          </cell>
          <cell r="N144">
            <v>46687.950000000004</v>
          </cell>
          <cell r="O144">
            <v>51644.799999999996</v>
          </cell>
          <cell r="P144">
            <v>51644.799999999996</v>
          </cell>
          <cell r="Q144">
            <v>50057.355000000003</v>
          </cell>
          <cell r="R144">
            <v>569105.91500000004</v>
          </cell>
          <cell r="T144">
            <v>35</v>
          </cell>
          <cell r="U144">
            <v>36.375</v>
          </cell>
          <cell r="V144">
            <v>36.375</v>
          </cell>
          <cell r="W144">
            <v>35.125</v>
          </cell>
          <cell r="X144">
            <v>35.125</v>
          </cell>
          <cell r="Y144">
            <v>36.722632311977712</v>
          </cell>
          <cell r="Z144">
            <v>36.722632311977712</v>
          </cell>
          <cell r="AA144">
            <v>34.125</v>
          </cell>
          <cell r="AB144">
            <v>36.125</v>
          </cell>
          <cell r="AC144">
            <v>37.721990519250014</v>
          </cell>
          <cell r="AD144">
            <v>37.721990519250014</v>
          </cell>
          <cell r="AE144">
            <v>36.562501369522828</v>
          </cell>
          <cell r="AF144">
            <v>433.7017470319783</v>
          </cell>
          <cell r="AG144">
            <v>36.141812252664856</v>
          </cell>
        </row>
        <row r="145">
          <cell r="B145" t="str">
            <v>F6YD3W</v>
          </cell>
          <cell r="C145" t="str">
            <v>6YD CONT 3X WEEKLY</v>
          </cell>
          <cell r="D145">
            <v>1934.46</v>
          </cell>
          <cell r="E145">
            <v>2049.21</v>
          </cell>
          <cell r="F145">
            <v>40865.47</v>
          </cell>
          <cell r="G145">
            <v>38366.800000000003</v>
          </cell>
          <cell r="H145">
            <v>38366.800000000003</v>
          </cell>
          <cell r="I145">
            <v>40623.660000000003</v>
          </cell>
          <cell r="J145">
            <v>40623.660000000003</v>
          </cell>
          <cell r="K145">
            <v>42899.495000000003</v>
          </cell>
          <cell r="L145">
            <v>42899.495000000003</v>
          </cell>
          <cell r="M145">
            <v>44250.770000000004</v>
          </cell>
          <cell r="N145">
            <v>44250.770000000004</v>
          </cell>
          <cell r="O145">
            <v>49181.04</v>
          </cell>
          <cell r="P145">
            <v>49181.04</v>
          </cell>
          <cell r="Q145">
            <v>50034.875</v>
          </cell>
          <cell r="R145">
            <v>521543.875</v>
          </cell>
          <cell r="T145">
            <v>21.125001292350319</v>
          </cell>
          <cell r="U145">
            <v>19.833338502734616</v>
          </cell>
          <cell r="V145">
            <v>19.833338502734616</v>
          </cell>
          <cell r="W145">
            <v>21</v>
          </cell>
          <cell r="X145">
            <v>21</v>
          </cell>
          <cell r="Y145">
            <v>22.17647043619408</v>
          </cell>
          <cell r="Z145">
            <v>22.17647043619408</v>
          </cell>
          <cell r="AA145">
            <v>22.874998707649681</v>
          </cell>
          <cell r="AB145">
            <v>22.874998707649681</v>
          </cell>
          <cell r="AC145">
            <v>24</v>
          </cell>
          <cell r="AD145">
            <v>24</v>
          </cell>
          <cell r="AE145">
            <v>24.41666544668433</v>
          </cell>
          <cell r="AF145">
            <v>265.3112820321914</v>
          </cell>
          <cell r="AG145">
            <v>22.109273502682615</v>
          </cell>
        </row>
        <row r="146">
          <cell r="B146" t="str">
            <v>F6YD4W</v>
          </cell>
          <cell r="C146" t="str">
            <v>6YD CONT 4X WEEKLY</v>
          </cell>
          <cell r="D146">
            <v>2576.5100000000002</v>
          </cell>
          <cell r="E146">
            <v>2729.33</v>
          </cell>
          <cell r="F146">
            <v>9017.7849999999999</v>
          </cell>
          <cell r="G146">
            <v>7729.53</v>
          </cell>
          <cell r="H146">
            <v>7729.53</v>
          </cell>
          <cell r="I146">
            <v>7729.53</v>
          </cell>
          <cell r="J146">
            <v>7729.53</v>
          </cell>
          <cell r="K146">
            <v>7729.53</v>
          </cell>
          <cell r="L146">
            <v>7729.53</v>
          </cell>
          <cell r="M146">
            <v>7729.53</v>
          </cell>
          <cell r="N146">
            <v>7729.53</v>
          </cell>
          <cell r="O146">
            <v>8187.99</v>
          </cell>
          <cell r="P146">
            <v>8187.99</v>
          </cell>
          <cell r="Q146">
            <v>8187.99</v>
          </cell>
          <cell r="R146">
            <v>95417.99500000001</v>
          </cell>
          <cell r="T146">
            <v>3.4999999999999996</v>
          </cell>
          <cell r="U146">
            <v>2.9999999999999996</v>
          </cell>
          <cell r="V146">
            <v>2.9999999999999996</v>
          </cell>
          <cell r="W146">
            <v>2.9999999999999996</v>
          </cell>
          <cell r="X146">
            <v>2.9999999999999996</v>
          </cell>
          <cell r="Y146">
            <v>2.9999999999999996</v>
          </cell>
          <cell r="Z146">
            <v>2.9999999999999996</v>
          </cell>
          <cell r="AA146">
            <v>2.9999999999999996</v>
          </cell>
          <cell r="AB146">
            <v>2.9999999999999996</v>
          </cell>
          <cell r="AC146">
            <v>3</v>
          </cell>
          <cell r="AD146">
            <v>3</v>
          </cell>
          <cell r="AE146">
            <v>3</v>
          </cell>
          <cell r="AF146">
            <v>36.5</v>
          </cell>
          <cell r="AG146">
            <v>3.0416666666666665</v>
          </cell>
        </row>
        <row r="147">
          <cell r="B147" t="str">
            <v>F6YD5W</v>
          </cell>
          <cell r="C147" t="str">
            <v>6YD CONT 5X WEEKLY</v>
          </cell>
          <cell r="D147">
            <v>1609.2850000000001</v>
          </cell>
          <cell r="E147">
            <v>3409.45</v>
          </cell>
          <cell r="F147">
            <v>3218.57</v>
          </cell>
          <cell r="G147">
            <v>3218.57</v>
          </cell>
          <cell r="H147">
            <v>3218.57</v>
          </cell>
          <cell r="I147">
            <v>3218.57</v>
          </cell>
          <cell r="J147">
            <v>3218.57</v>
          </cell>
          <cell r="K147">
            <v>3218.57</v>
          </cell>
          <cell r="L147">
            <v>3218.57</v>
          </cell>
          <cell r="M147">
            <v>3218.57</v>
          </cell>
          <cell r="N147">
            <v>3218.57</v>
          </cell>
          <cell r="O147">
            <v>3409.45</v>
          </cell>
          <cell r="P147">
            <v>3409.45</v>
          </cell>
          <cell r="Q147">
            <v>3409.45</v>
          </cell>
          <cell r="R147">
            <v>39195.479999999996</v>
          </cell>
          <cell r="T147">
            <v>2</v>
          </cell>
          <cell r="U147">
            <v>2</v>
          </cell>
          <cell r="V147">
            <v>2</v>
          </cell>
          <cell r="W147">
            <v>2</v>
          </cell>
          <cell r="X147">
            <v>2</v>
          </cell>
          <cell r="Y147">
            <v>2</v>
          </cell>
          <cell r="Z147">
            <v>2</v>
          </cell>
          <cell r="AA147">
            <v>2</v>
          </cell>
          <cell r="AB147">
            <v>2</v>
          </cell>
          <cell r="AC147">
            <v>1</v>
          </cell>
          <cell r="AD147">
            <v>1</v>
          </cell>
          <cell r="AE147">
            <v>1</v>
          </cell>
          <cell r="AF147">
            <v>21</v>
          </cell>
          <cell r="AG147">
            <v>1.75</v>
          </cell>
        </row>
        <row r="148">
          <cell r="B148" t="str">
            <v>F8YD2W</v>
          </cell>
          <cell r="C148" t="str">
            <v>8 YD CONT 2X WKLY</v>
          </cell>
          <cell r="D148">
            <v>1691.48</v>
          </cell>
          <cell r="E148">
            <v>1791.65</v>
          </cell>
          <cell r="F148">
            <v>1691.48</v>
          </cell>
          <cell r="G148">
            <v>1691.48</v>
          </cell>
          <cell r="H148">
            <v>1691.48</v>
          </cell>
          <cell r="I148">
            <v>1691.48</v>
          </cell>
          <cell r="J148">
            <v>1691.48</v>
          </cell>
          <cell r="K148">
            <v>1691.48</v>
          </cell>
          <cell r="L148">
            <v>1691.48</v>
          </cell>
          <cell r="M148">
            <v>1691.48</v>
          </cell>
          <cell r="N148">
            <v>1691.48</v>
          </cell>
          <cell r="O148">
            <v>1791.65</v>
          </cell>
          <cell r="P148">
            <v>1791.65</v>
          </cell>
          <cell r="Q148">
            <v>1791.65</v>
          </cell>
          <cell r="R148">
            <v>20598.27</v>
          </cell>
          <cell r="T148">
            <v>1</v>
          </cell>
          <cell r="U148">
            <v>1</v>
          </cell>
          <cell r="V148">
            <v>1</v>
          </cell>
          <cell r="W148">
            <v>1</v>
          </cell>
          <cell r="X148">
            <v>1</v>
          </cell>
          <cell r="Y148">
            <v>1</v>
          </cell>
          <cell r="Z148">
            <v>1</v>
          </cell>
          <cell r="AA148">
            <v>1</v>
          </cell>
          <cell r="AB148">
            <v>1</v>
          </cell>
          <cell r="AC148">
            <v>1</v>
          </cell>
          <cell r="AD148">
            <v>1</v>
          </cell>
          <cell r="AE148">
            <v>1</v>
          </cell>
          <cell r="AF148">
            <v>12</v>
          </cell>
          <cell r="AG148">
            <v>1</v>
          </cell>
        </row>
        <row r="149">
          <cell r="B149" t="str">
            <v>FCP2YD1W2.25-1</v>
          </cell>
          <cell r="C149" t="str">
            <v>2 YD 2.25-1 COMP 1X WK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</row>
        <row r="150">
          <cell r="B150" t="str">
            <v>FCP2YD1W4-1</v>
          </cell>
          <cell r="C150" t="str">
            <v>2 YD 4-1 COMP 1X WK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</row>
        <row r="151">
          <cell r="B151" t="str">
            <v>FCP2YD2W</v>
          </cell>
          <cell r="C151" t="str">
            <v>2 YD COMPACTOR 2X WKLY</v>
          </cell>
          <cell r="D151">
            <v>2156.89</v>
          </cell>
          <cell r="E151">
            <v>2283.61</v>
          </cell>
          <cell r="F151">
            <v>4313.78</v>
          </cell>
          <cell r="G151">
            <v>10784.45</v>
          </cell>
          <cell r="H151">
            <v>10784.45</v>
          </cell>
          <cell r="I151">
            <v>10784.45</v>
          </cell>
          <cell r="J151">
            <v>10784.45</v>
          </cell>
          <cell r="K151">
            <v>10784.45</v>
          </cell>
          <cell r="L151">
            <v>10784.45</v>
          </cell>
          <cell r="M151">
            <v>10784.45</v>
          </cell>
          <cell r="N151">
            <v>10784.45</v>
          </cell>
          <cell r="O151">
            <v>11418.05</v>
          </cell>
          <cell r="P151">
            <v>11418.05</v>
          </cell>
          <cell r="Q151">
            <v>11418.05</v>
          </cell>
          <cell r="R151">
            <v>124843.53</v>
          </cell>
          <cell r="T151">
            <v>2</v>
          </cell>
          <cell r="U151">
            <v>5.0000000000000009</v>
          </cell>
          <cell r="V151">
            <v>5.0000000000000009</v>
          </cell>
          <cell r="W151">
            <v>5.0000000000000009</v>
          </cell>
          <cell r="X151">
            <v>5.0000000000000009</v>
          </cell>
          <cell r="Y151">
            <v>5.0000000000000009</v>
          </cell>
          <cell r="Z151">
            <v>5.0000000000000009</v>
          </cell>
          <cell r="AA151">
            <v>5.0000000000000009</v>
          </cell>
          <cell r="AB151">
            <v>5.0000000000000009</v>
          </cell>
          <cell r="AC151">
            <v>4.9999999999999991</v>
          </cell>
          <cell r="AD151">
            <v>4.9999999999999991</v>
          </cell>
          <cell r="AE151">
            <v>4.9999999999999991</v>
          </cell>
          <cell r="AF151">
            <v>57.000000000000007</v>
          </cell>
          <cell r="AG151">
            <v>4.7500000000000009</v>
          </cell>
        </row>
        <row r="152">
          <cell r="B152" t="str">
            <v>FCP4YD1W2.25-1</v>
          </cell>
          <cell r="C152" t="str">
            <v>4 YD 2.25-1 COMP 1X WK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</row>
        <row r="153">
          <cell r="B153" t="str">
            <v>FCP4YD1W4-1</v>
          </cell>
          <cell r="C153" t="str">
            <v>4YD 4-1 COMP 1X WK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</row>
        <row r="154">
          <cell r="B154" t="str">
            <v>FCP4YD1W5-1</v>
          </cell>
          <cell r="C154" t="str">
            <v>4 YD 5-1 COMP 1X WK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</row>
        <row r="155">
          <cell r="B155" t="str">
            <v>FCP4YDEOW5-1</v>
          </cell>
          <cell r="C155" t="str">
            <v>4 YD 5-1 COMP EOW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</row>
        <row r="156">
          <cell r="B156" t="str">
            <v>FCP4YDOC5-1</v>
          </cell>
          <cell r="C156" t="str">
            <v>4 YD 5-1 COMP ON CALL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</row>
        <row r="157">
          <cell r="B157" t="str">
            <v>FCP6YD2W</v>
          </cell>
          <cell r="C157" t="str">
            <v>6YD COMPACTOR 2X WKLY</v>
          </cell>
          <cell r="D157">
            <v>5397.44</v>
          </cell>
          <cell r="E157">
            <v>5707.46</v>
          </cell>
          <cell r="F157">
            <v>5397.44</v>
          </cell>
          <cell r="G157">
            <v>5397.44</v>
          </cell>
          <cell r="H157">
            <v>5397.44</v>
          </cell>
          <cell r="I157">
            <v>5397.44</v>
          </cell>
          <cell r="J157">
            <v>5397.44</v>
          </cell>
          <cell r="K157">
            <v>5397.44</v>
          </cell>
          <cell r="L157">
            <v>5397.44</v>
          </cell>
          <cell r="M157">
            <v>5397.44</v>
          </cell>
          <cell r="N157">
            <v>5397.44</v>
          </cell>
          <cell r="O157">
            <v>5707.46</v>
          </cell>
          <cell r="P157">
            <v>5707.46</v>
          </cell>
          <cell r="Q157">
            <v>5707.46</v>
          </cell>
          <cell r="R157">
            <v>65699.34</v>
          </cell>
          <cell r="T157">
            <v>1</v>
          </cell>
          <cell r="U157">
            <v>1</v>
          </cell>
          <cell r="V157">
            <v>1</v>
          </cell>
          <cell r="W157">
            <v>1</v>
          </cell>
          <cell r="X157">
            <v>1</v>
          </cell>
          <cell r="Y157">
            <v>1</v>
          </cell>
          <cell r="Z157">
            <v>1</v>
          </cell>
          <cell r="AA157">
            <v>1</v>
          </cell>
          <cell r="AB157">
            <v>1</v>
          </cell>
          <cell r="AC157">
            <v>1</v>
          </cell>
          <cell r="AD157">
            <v>1</v>
          </cell>
          <cell r="AE157">
            <v>1</v>
          </cell>
          <cell r="AF157">
            <v>12</v>
          </cell>
          <cell r="AG157">
            <v>1</v>
          </cell>
        </row>
        <row r="158">
          <cell r="B158" t="str">
            <v>FCP6YD2W3-1</v>
          </cell>
          <cell r="C158" t="str">
            <v>6 YD 3-1 COMP 2X WK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</row>
        <row r="159">
          <cell r="B159" t="str">
            <v>FCP6YD2W4-1</v>
          </cell>
          <cell r="C159" t="str">
            <v>6 YD 4-1 COMP 2X WK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</row>
        <row r="160">
          <cell r="B160" t="str">
            <v>IMPCNC</v>
          </cell>
          <cell r="C160" t="str">
            <v>1 IMPROPER CAN - CMML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</row>
        <row r="161">
          <cell r="B161" t="str">
            <v>PACKC</v>
          </cell>
          <cell r="C161" t="str">
            <v>CARRY-OUT COMMERCIAL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</row>
        <row r="162">
          <cell r="B162" t="str">
            <v>R1.5YDEX</v>
          </cell>
          <cell r="C162" t="str">
            <v>1.5YD CONTAINER EXTRA</v>
          </cell>
          <cell r="D162">
            <v>47.88</v>
          </cell>
          <cell r="E162">
            <v>25.364999999999998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47.88</v>
          </cell>
          <cell r="K162">
            <v>47.88</v>
          </cell>
          <cell r="L162">
            <v>0</v>
          </cell>
          <cell r="M162">
            <v>47.88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143.64000000000001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1</v>
          </cell>
          <cell r="Y162">
            <v>1</v>
          </cell>
          <cell r="Z162">
            <v>0</v>
          </cell>
          <cell r="AA162">
            <v>1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3</v>
          </cell>
          <cell r="AG162">
            <v>0.25</v>
          </cell>
        </row>
        <row r="163">
          <cell r="B163" t="str">
            <v>R1YDEX</v>
          </cell>
          <cell r="C163" t="str">
            <v>1YD CONTAINER EXTRA</v>
          </cell>
          <cell r="D163">
            <v>37.01</v>
          </cell>
          <cell r="E163">
            <v>19.625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37.01</v>
          </cell>
          <cell r="L163">
            <v>0</v>
          </cell>
          <cell r="M163">
            <v>0</v>
          </cell>
          <cell r="N163">
            <v>0</v>
          </cell>
          <cell r="O163">
            <v>39.25</v>
          </cell>
          <cell r="P163">
            <v>0</v>
          </cell>
          <cell r="Q163">
            <v>0</v>
          </cell>
          <cell r="R163">
            <v>76.259999999999991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1</v>
          </cell>
          <cell r="Z163">
            <v>0</v>
          </cell>
          <cell r="AA163">
            <v>0</v>
          </cell>
          <cell r="AB163">
            <v>0</v>
          </cell>
          <cell r="AC163">
            <v>2</v>
          </cell>
          <cell r="AD163">
            <v>0</v>
          </cell>
          <cell r="AE163">
            <v>0</v>
          </cell>
          <cell r="AF163">
            <v>3</v>
          </cell>
          <cell r="AG163">
            <v>0.25</v>
          </cell>
        </row>
        <row r="164">
          <cell r="B164" t="str">
            <v>F1YDEX</v>
          </cell>
          <cell r="C164" t="str">
            <v>1YD CONT EXTRA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</row>
        <row r="165">
          <cell r="B165" t="str">
            <v>F2YDEX</v>
          </cell>
          <cell r="C165" t="str">
            <v>2YD CONT EXTRA</v>
          </cell>
          <cell r="D165">
            <v>59.33</v>
          </cell>
          <cell r="E165">
            <v>31.434999999999999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125.74</v>
          </cell>
          <cell r="R165">
            <v>125.74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4</v>
          </cell>
          <cell r="AF165">
            <v>4</v>
          </cell>
          <cell r="AG165">
            <v>0.33333333333333331</v>
          </cell>
        </row>
        <row r="166">
          <cell r="B166" t="str">
            <v>R2YDEX</v>
          </cell>
          <cell r="C166" t="str">
            <v>2YD CONTAINER EXTRA</v>
          </cell>
          <cell r="D166">
            <v>59.33</v>
          </cell>
          <cell r="E166">
            <v>31.434999999999999</v>
          </cell>
          <cell r="F166">
            <v>59.33</v>
          </cell>
          <cell r="G166">
            <v>59.33</v>
          </cell>
          <cell r="H166">
            <v>0</v>
          </cell>
          <cell r="I166">
            <v>0</v>
          </cell>
          <cell r="J166">
            <v>4449.75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62.87</v>
          </cell>
          <cell r="Q166">
            <v>0</v>
          </cell>
          <cell r="R166">
            <v>4631.28</v>
          </cell>
          <cell r="T166">
            <v>1</v>
          </cell>
          <cell r="U166">
            <v>1</v>
          </cell>
          <cell r="V166">
            <v>0</v>
          </cell>
          <cell r="W166">
            <v>0</v>
          </cell>
          <cell r="X166">
            <v>75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2</v>
          </cell>
          <cell r="AE166">
            <v>0</v>
          </cell>
          <cell r="AF166">
            <v>79</v>
          </cell>
          <cell r="AG166">
            <v>6.583333333333333</v>
          </cell>
        </row>
        <row r="167">
          <cell r="B167" t="str">
            <v>F4YDEX</v>
          </cell>
          <cell r="C167" t="str">
            <v>4YD CONT EXTRA PICKUP</v>
          </cell>
          <cell r="D167">
            <v>103.67</v>
          </cell>
          <cell r="E167">
            <v>54.895000000000003</v>
          </cell>
          <cell r="F167">
            <v>0</v>
          </cell>
          <cell r="G167">
            <v>414.68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103.67</v>
          </cell>
          <cell r="M167">
            <v>0</v>
          </cell>
          <cell r="N167">
            <v>103.67</v>
          </cell>
          <cell r="O167">
            <v>0</v>
          </cell>
          <cell r="P167">
            <v>0</v>
          </cell>
          <cell r="Q167">
            <v>109.79</v>
          </cell>
          <cell r="R167">
            <v>731.81</v>
          </cell>
          <cell r="T167">
            <v>0</v>
          </cell>
          <cell r="U167">
            <v>4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1</v>
          </cell>
          <cell r="AA167">
            <v>0</v>
          </cell>
          <cell r="AB167">
            <v>1</v>
          </cell>
          <cell r="AC167">
            <v>0</v>
          </cell>
          <cell r="AD167">
            <v>0</v>
          </cell>
          <cell r="AE167">
            <v>2</v>
          </cell>
          <cell r="AF167">
            <v>8</v>
          </cell>
          <cell r="AG167">
            <v>0.66666666666666663</v>
          </cell>
        </row>
        <row r="168">
          <cell r="B168" t="str">
            <v>F6YDEX</v>
          </cell>
          <cell r="C168" t="str">
            <v>6YD CONT EXTRA PICKUP</v>
          </cell>
          <cell r="D168">
            <v>144.32</v>
          </cell>
          <cell r="E168">
            <v>76.430000000000007</v>
          </cell>
          <cell r="F168">
            <v>288.64</v>
          </cell>
          <cell r="G168">
            <v>577.28</v>
          </cell>
          <cell r="H168">
            <v>432.96</v>
          </cell>
          <cell r="I168">
            <v>288.64</v>
          </cell>
          <cell r="J168">
            <v>0</v>
          </cell>
          <cell r="K168">
            <v>0</v>
          </cell>
          <cell r="L168">
            <v>144.32</v>
          </cell>
          <cell r="M168">
            <v>432.96</v>
          </cell>
          <cell r="N168">
            <v>144.32</v>
          </cell>
          <cell r="O168">
            <v>152.86000000000001</v>
          </cell>
          <cell r="P168">
            <v>152.86000000000001</v>
          </cell>
          <cell r="Q168">
            <v>152.86000000000001</v>
          </cell>
          <cell r="R168">
            <v>2767.7000000000003</v>
          </cell>
          <cell r="T168">
            <v>2</v>
          </cell>
          <cell r="U168">
            <v>4</v>
          </cell>
          <cell r="V168">
            <v>3</v>
          </cell>
          <cell r="W168">
            <v>2</v>
          </cell>
          <cell r="X168">
            <v>0</v>
          </cell>
          <cell r="Y168">
            <v>0</v>
          </cell>
          <cell r="Z168">
            <v>1</v>
          </cell>
          <cell r="AA168">
            <v>3</v>
          </cell>
          <cell r="AB168">
            <v>1</v>
          </cell>
          <cell r="AC168">
            <v>2</v>
          </cell>
          <cell r="AD168">
            <v>2</v>
          </cell>
          <cell r="AE168">
            <v>2</v>
          </cell>
          <cell r="AF168">
            <v>22</v>
          </cell>
          <cell r="AG168">
            <v>1.8333333333333333</v>
          </cell>
        </row>
        <row r="169">
          <cell r="B169" t="str">
            <v>ADJCOM</v>
          </cell>
          <cell r="C169" t="str">
            <v>SERVICE ADJ-COMMERCIAL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</row>
        <row r="170">
          <cell r="B170" t="str">
            <v>CCONNECT</v>
          </cell>
          <cell r="C170" t="str">
            <v>CMML CONNECT/RECONNECT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</row>
        <row r="171">
          <cell r="B171" t="str">
            <v>CDEL</v>
          </cell>
          <cell r="C171" t="str">
            <v>CONTAINER DELIVERY CHARGE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15.73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15.73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</row>
        <row r="172">
          <cell r="B172" t="str">
            <v>CEX</v>
          </cell>
          <cell r="C172" t="str">
            <v>EXTRA CANS</v>
          </cell>
          <cell r="D172">
            <v>6.47</v>
          </cell>
          <cell r="E172">
            <v>6.86</v>
          </cell>
          <cell r="F172">
            <v>685.82</v>
          </cell>
          <cell r="G172">
            <v>601.71</v>
          </cell>
          <cell r="H172">
            <v>381.73</v>
          </cell>
          <cell r="I172">
            <v>414.08</v>
          </cell>
          <cell r="J172">
            <v>368.79</v>
          </cell>
          <cell r="K172">
            <v>291.14999999999998</v>
          </cell>
          <cell r="L172">
            <v>219.98</v>
          </cell>
          <cell r="M172">
            <v>349.38</v>
          </cell>
          <cell r="N172">
            <v>168.22</v>
          </cell>
          <cell r="O172">
            <v>346.53</v>
          </cell>
          <cell r="P172">
            <v>329.28</v>
          </cell>
          <cell r="Q172">
            <v>246.96</v>
          </cell>
          <cell r="R172">
            <v>4403.63</v>
          </cell>
          <cell r="T172">
            <v>106.00000000000001</v>
          </cell>
          <cell r="U172">
            <v>93.000000000000014</v>
          </cell>
          <cell r="V172">
            <v>59.000000000000007</v>
          </cell>
          <cell r="W172">
            <v>64</v>
          </cell>
          <cell r="X172">
            <v>57.000000000000007</v>
          </cell>
          <cell r="Y172">
            <v>45</v>
          </cell>
          <cell r="Z172">
            <v>34</v>
          </cell>
          <cell r="AA172">
            <v>54</v>
          </cell>
          <cell r="AB172">
            <v>26</v>
          </cell>
          <cell r="AC172">
            <v>50.51457725947521</v>
          </cell>
          <cell r="AD172">
            <v>47.999999999999993</v>
          </cell>
          <cell r="AE172">
            <v>36</v>
          </cell>
          <cell r="AF172">
            <v>672.51457725947523</v>
          </cell>
          <cell r="AG172">
            <v>56.042881438289605</v>
          </cell>
        </row>
        <row r="173">
          <cell r="B173" t="str">
            <v>CEXYD</v>
          </cell>
          <cell r="C173" t="str">
            <v>CMML EXTRA YARDAGE</v>
          </cell>
          <cell r="D173">
            <v>37.01</v>
          </cell>
          <cell r="E173">
            <v>39.25</v>
          </cell>
          <cell r="F173">
            <v>8364.41</v>
          </cell>
          <cell r="G173">
            <v>7161.56</v>
          </cell>
          <cell r="H173">
            <v>4089.65</v>
          </cell>
          <cell r="I173">
            <v>2165.0700000000002</v>
          </cell>
          <cell r="J173">
            <v>1794.99</v>
          </cell>
          <cell r="K173">
            <v>2313.13</v>
          </cell>
          <cell r="L173">
            <v>2886.78</v>
          </cell>
          <cell r="M173">
            <v>1720.97</v>
          </cell>
          <cell r="N173">
            <v>2146.58</v>
          </cell>
          <cell r="O173">
            <v>4335.33</v>
          </cell>
          <cell r="P173">
            <v>5887.5</v>
          </cell>
          <cell r="Q173">
            <v>8635</v>
          </cell>
          <cell r="R173">
            <v>51500.970000000008</v>
          </cell>
          <cell r="T173">
            <v>226.00405295865983</v>
          </cell>
          <cell r="U173">
            <v>193.50337746554987</v>
          </cell>
          <cell r="V173">
            <v>110.50121588759795</v>
          </cell>
          <cell r="W173">
            <v>58.499594704134026</v>
          </cell>
          <cell r="X173">
            <v>48.500135098621996</v>
          </cell>
          <cell r="Y173">
            <v>62.500135098622003</v>
          </cell>
          <cell r="Z173">
            <v>78.000000000000014</v>
          </cell>
          <cell r="AA173">
            <v>46.500135098621996</v>
          </cell>
          <cell r="AB173">
            <v>58</v>
          </cell>
          <cell r="AC173">
            <v>110.45426751592356</v>
          </cell>
          <cell r="AD173">
            <v>150</v>
          </cell>
          <cell r="AE173">
            <v>220</v>
          </cell>
          <cell r="AF173">
            <v>1362.462913827731</v>
          </cell>
          <cell r="AG173">
            <v>113.53857615231091</v>
          </cell>
        </row>
        <row r="174">
          <cell r="B174" t="str">
            <v>CLOCK</v>
          </cell>
          <cell r="C174" t="str">
            <v>LOCK CHARGE-CONTAINER</v>
          </cell>
          <cell r="D174">
            <v>9.82</v>
          </cell>
          <cell r="E174">
            <v>10.46</v>
          </cell>
          <cell r="F174">
            <v>152.21</v>
          </cell>
          <cell r="G174">
            <v>155.27500000000001</v>
          </cell>
          <cell r="H174">
            <v>155.27500000000001</v>
          </cell>
          <cell r="I174">
            <v>179.215</v>
          </cell>
          <cell r="J174">
            <v>179.215</v>
          </cell>
          <cell r="K174">
            <v>166.94</v>
          </cell>
          <cell r="L174">
            <v>196.4</v>
          </cell>
          <cell r="M174">
            <v>194.55499999999998</v>
          </cell>
          <cell r="N174">
            <v>194.55499999999998</v>
          </cell>
          <cell r="O174">
            <v>203.97</v>
          </cell>
          <cell r="P174">
            <v>203.97</v>
          </cell>
          <cell r="Q174">
            <v>237.31</v>
          </cell>
          <cell r="R174">
            <v>2218.8900000000003</v>
          </cell>
          <cell r="T174">
            <v>15.5</v>
          </cell>
          <cell r="U174">
            <v>15.812118126272912</v>
          </cell>
          <cell r="V174">
            <v>15.812118126272912</v>
          </cell>
          <cell r="W174">
            <v>18.25</v>
          </cell>
          <cell r="X174">
            <v>18.25</v>
          </cell>
          <cell r="Y174">
            <v>17</v>
          </cell>
          <cell r="Z174">
            <v>20</v>
          </cell>
          <cell r="AA174">
            <v>19.81211812627291</v>
          </cell>
          <cell r="AB174">
            <v>19.81211812627291</v>
          </cell>
          <cell r="AC174">
            <v>19.5</v>
          </cell>
          <cell r="AD174">
            <v>19.5</v>
          </cell>
          <cell r="AE174">
            <v>22.68738049713193</v>
          </cell>
          <cell r="AF174">
            <v>221.93585300222358</v>
          </cell>
          <cell r="AG174">
            <v>18.494654416851965</v>
          </cell>
        </row>
        <row r="175">
          <cell r="B175" t="str">
            <v>CROLL</v>
          </cell>
          <cell r="C175" t="str">
            <v>ROLLOUT CHARGE - CMML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</row>
        <row r="176">
          <cell r="B176" t="str">
            <v>CTDEL</v>
          </cell>
          <cell r="C176" t="str">
            <v>TEMP CONTAINER DELIVERY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15.73</v>
          </cell>
          <cell r="L176">
            <v>15.73</v>
          </cell>
          <cell r="M176">
            <v>0</v>
          </cell>
          <cell r="N176">
            <v>0</v>
          </cell>
          <cell r="O176">
            <v>0</v>
          </cell>
          <cell r="P176">
            <v>42.83</v>
          </cell>
          <cell r="Q176">
            <v>0</v>
          </cell>
          <cell r="R176">
            <v>74.289999999999992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</row>
        <row r="177">
          <cell r="B177" t="str">
            <v>CTRIP</v>
          </cell>
          <cell r="C177" t="str">
            <v>RETURN TRIP CHARGE - CONT</v>
          </cell>
          <cell r="D177">
            <v>28.93</v>
          </cell>
          <cell r="E177">
            <v>30.82</v>
          </cell>
          <cell r="F177">
            <v>115.65</v>
          </cell>
          <cell r="G177">
            <v>86.79</v>
          </cell>
          <cell r="H177">
            <v>202.51</v>
          </cell>
          <cell r="I177">
            <v>57.860000000000007</v>
          </cell>
          <cell r="J177">
            <v>144.65</v>
          </cell>
          <cell r="K177">
            <v>289.3</v>
          </cell>
          <cell r="L177">
            <v>57.86</v>
          </cell>
          <cell r="M177">
            <v>57.86</v>
          </cell>
          <cell r="N177">
            <v>28.93</v>
          </cell>
          <cell r="O177">
            <v>92.46</v>
          </cell>
          <cell r="P177">
            <v>30.82</v>
          </cell>
          <cell r="Q177">
            <v>30.82</v>
          </cell>
          <cell r="R177">
            <v>1195.51</v>
          </cell>
          <cell r="T177">
            <v>3.9975803664016594</v>
          </cell>
          <cell r="U177">
            <v>3.0000000000000004</v>
          </cell>
          <cell r="V177">
            <v>7</v>
          </cell>
          <cell r="W177">
            <v>2.0000000000000004</v>
          </cell>
          <cell r="X177">
            <v>5</v>
          </cell>
          <cell r="Y177">
            <v>10</v>
          </cell>
          <cell r="Z177">
            <v>2</v>
          </cell>
          <cell r="AA177">
            <v>2</v>
          </cell>
          <cell r="AB177">
            <v>1</v>
          </cell>
          <cell r="AC177">
            <v>2.9999999999999996</v>
          </cell>
          <cell r="AD177">
            <v>1</v>
          </cell>
          <cell r="AE177">
            <v>1</v>
          </cell>
          <cell r="AF177">
            <v>40.997580366401664</v>
          </cell>
          <cell r="AG177">
            <v>3.4164650305334718</v>
          </cell>
        </row>
        <row r="178">
          <cell r="B178" t="str">
            <v>CUNLOCK</v>
          </cell>
          <cell r="C178" t="str">
            <v>COMM UNLOCK GATE OR CONT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</row>
        <row r="179">
          <cell r="B179" t="str">
            <v>DRIVEDWAY-COMM</v>
          </cell>
          <cell r="C179" t="str">
            <v>DRIVE IN DRIVEWAY - COMM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</row>
        <row r="180">
          <cell r="B180" t="str">
            <v>DRIVEPVT-COMM</v>
          </cell>
          <cell r="C180" t="str">
            <v>DRIVE IN PRIVATE RD - COMM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</row>
        <row r="181">
          <cell r="B181" t="str">
            <v>DRVNC</v>
          </cell>
          <cell r="C181" t="str">
            <v>DRIVE IN - CMML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</row>
        <row r="182">
          <cell r="B182" t="str">
            <v>TIMEC</v>
          </cell>
          <cell r="C182" t="str">
            <v>CMML TIME CHARGE</v>
          </cell>
          <cell r="D182">
            <v>88.34</v>
          </cell>
          <cell r="E182">
            <v>94.11</v>
          </cell>
          <cell r="F182">
            <v>198.8</v>
          </cell>
          <cell r="G182">
            <v>176.72</v>
          </cell>
          <cell r="H182">
            <v>44.17</v>
          </cell>
          <cell r="I182">
            <v>198.8</v>
          </cell>
          <cell r="J182">
            <v>44.18</v>
          </cell>
          <cell r="K182">
            <v>132.54</v>
          </cell>
          <cell r="L182">
            <v>88.36</v>
          </cell>
          <cell r="M182">
            <v>66.27</v>
          </cell>
          <cell r="N182">
            <v>0</v>
          </cell>
          <cell r="O182">
            <v>0</v>
          </cell>
          <cell r="P182">
            <v>0</v>
          </cell>
          <cell r="Q182">
            <v>23.53</v>
          </cell>
          <cell r="R182">
            <v>973.36999999999989</v>
          </cell>
          <cell r="T182">
            <v>2.2503961965134707</v>
          </cell>
          <cell r="U182">
            <v>2.0004527960153951</v>
          </cell>
          <cell r="V182">
            <v>0.5</v>
          </cell>
          <cell r="W182">
            <v>2.2503961965134707</v>
          </cell>
          <cell r="X182">
            <v>0.50011319900384876</v>
          </cell>
          <cell r="Y182">
            <v>1.5003395970115461</v>
          </cell>
          <cell r="Z182">
            <v>1.0002263980076975</v>
          </cell>
          <cell r="AA182">
            <v>0.75016979850577303</v>
          </cell>
          <cell r="AB182">
            <v>0</v>
          </cell>
          <cell r="AC182">
            <v>0</v>
          </cell>
          <cell r="AD182">
            <v>0</v>
          </cell>
          <cell r="AE182">
            <v>0.25002656465837853</v>
          </cell>
          <cell r="AF182">
            <v>11.002120746229581</v>
          </cell>
          <cell r="AG182">
            <v>0.91684339551913174</v>
          </cell>
        </row>
        <row r="183">
          <cell r="B183" t="str">
            <v>BULKY-COM</v>
          </cell>
          <cell r="C183" t="str">
            <v>BULKY ITEM</v>
          </cell>
          <cell r="D183">
            <v>26.1</v>
          </cell>
          <cell r="E183">
            <v>27.81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302.7</v>
          </cell>
          <cell r="R183">
            <v>302.7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10.884573894282632</v>
          </cell>
          <cell r="AF183">
            <v>10.884573894282632</v>
          </cell>
          <cell r="AG183">
            <v>0.90704782452355259</v>
          </cell>
        </row>
        <row r="184">
          <cell r="B184" t="str">
            <v>CTRIPCAN</v>
          </cell>
          <cell r="C184" t="str">
            <v>RETURN TRIP CHG - CANS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13.19</v>
          </cell>
          <cell r="N184">
            <v>0</v>
          </cell>
          <cell r="O184">
            <v>-13.19</v>
          </cell>
          <cell r="P184">
            <v>0</v>
          </cell>
          <cell r="Q184">
            <v>0</v>
          </cell>
          <cell r="R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</row>
        <row r="185">
          <cell r="B185" t="str">
            <v>RESTART FEE-COM</v>
          </cell>
          <cell r="C185" t="str">
            <v>RESTART FEE</v>
          </cell>
          <cell r="D185">
            <v>26.6</v>
          </cell>
          <cell r="E185">
            <v>28.33</v>
          </cell>
          <cell r="F185">
            <v>0</v>
          </cell>
          <cell r="G185">
            <v>106.4</v>
          </cell>
          <cell r="H185">
            <v>0</v>
          </cell>
          <cell r="I185">
            <v>0</v>
          </cell>
          <cell r="J185">
            <v>0</v>
          </cell>
          <cell r="K185">
            <v>106.4</v>
          </cell>
          <cell r="L185">
            <v>26.6</v>
          </cell>
          <cell r="M185">
            <v>0</v>
          </cell>
          <cell r="N185">
            <v>0</v>
          </cell>
          <cell r="O185">
            <v>84.99</v>
          </cell>
          <cell r="P185">
            <v>0</v>
          </cell>
          <cell r="Q185">
            <v>28.33</v>
          </cell>
          <cell r="R185">
            <v>352.71999999999997</v>
          </cell>
          <cell r="T185">
            <v>0</v>
          </cell>
          <cell r="U185">
            <v>4</v>
          </cell>
          <cell r="V185">
            <v>0</v>
          </cell>
          <cell r="W185">
            <v>0</v>
          </cell>
          <cell r="X185">
            <v>0</v>
          </cell>
          <cell r="Y185">
            <v>4</v>
          </cell>
          <cell r="Z185">
            <v>1</v>
          </cell>
          <cell r="AA185">
            <v>0</v>
          </cell>
          <cell r="AB185">
            <v>0</v>
          </cell>
          <cell r="AC185">
            <v>3</v>
          </cell>
          <cell r="AD185">
            <v>0</v>
          </cell>
          <cell r="AE185">
            <v>1</v>
          </cell>
          <cell r="AF185">
            <v>13</v>
          </cell>
          <cell r="AG185">
            <v>1.0833333333333333</v>
          </cell>
        </row>
        <row r="227">
          <cell r="B227" t="str">
            <v>32MW1</v>
          </cell>
          <cell r="C227" t="str">
            <v>1-32 GAL CAN MULTI-FAMILY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</row>
        <row r="228">
          <cell r="B228" t="str">
            <v>32MW1NR</v>
          </cell>
          <cell r="C228" t="str">
            <v>MF 1 CAN NON RECY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</row>
        <row r="229">
          <cell r="B229" t="str">
            <v>32MW2</v>
          </cell>
          <cell r="C229" t="str">
            <v>2-32 GAL CANS MULTI-FAMILY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</row>
        <row r="230">
          <cell r="B230" t="str">
            <v>32MW3</v>
          </cell>
          <cell r="C230" t="str">
            <v>3-32 GAL CANS MULTI-FAMILY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</row>
        <row r="231">
          <cell r="B231" t="str">
            <v>32MW3NR</v>
          </cell>
          <cell r="C231" t="str">
            <v>MF 3 CAN NON RECY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</row>
        <row r="232">
          <cell r="B232" t="str">
            <v>32MW4</v>
          </cell>
          <cell r="C232" t="str">
            <v>4-32 GAL CANS MULTI-FAMILY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</row>
        <row r="233">
          <cell r="B233" t="str">
            <v>32MW4NR</v>
          </cell>
          <cell r="C233" t="str">
            <v>MF 4 CAN NON RECY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</row>
        <row r="234">
          <cell r="B234" t="str">
            <v>32MW5</v>
          </cell>
          <cell r="C234" t="str">
            <v>5-32 GAL CANS MULTI-FAMILY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</row>
        <row r="235">
          <cell r="B235" t="str">
            <v>35MW1</v>
          </cell>
          <cell r="C235" t="str">
            <v>MF 1-35 GAL CART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</row>
        <row r="236">
          <cell r="B236" t="str">
            <v>35MW1N</v>
          </cell>
          <cell r="C236" t="str">
            <v>MF 1-35 GAL CART NONREC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</row>
        <row r="237">
          <cell r="B237" t="str">
            <v>65MW1</v>
          </cell>
          <cell r="C237" t="str">
            <v>MF 1-65 GAL CART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</row>
        <row r="238">
          <cell r="B238" t="str">
            <v>65MW1N</v>
          </cell>
          <cell r="C238" t="str">
            <v>MF 1-65 GAL CART NONREC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</row>
        <row r="239">
          <cell r="B239" t="str">
            <v>95MW1</v>
          </cell>
          <cell r="C239" t="str">
            <v>MF 1-95 GAL CART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</row>
        <row r="240">
          <cell r="B240" t="str">
            <v>95MW1N</v>
          </cell>
          <cell r="C240" t="str">
            <v>MF 1-95 GAL CART NONREC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</row>
        <row r="241">
          <cell r="B241" t="str">
            <v>MCCWR1</v>
          </cell>
          <cell r="C241" t="str">
            <v>MF CAN COUNT W/RECYCLING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</row>
        <row r="242">
          <cell r="B242" t="str">
            <v>MCCWR35</v>
          </cell>
          <cell r="C242" t="str">
            <v>MF 1-35 GL CART COUNT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  <cell r="AF242">
            <v>0</v>
          </cell>
          <cell r="AG242">
            <v>0</v>
          </cell>
        </row>
        <row r="243">
          <cell r="B243" t="str">
            <v>MCCWR65</v>
          </cell>
          <cell r="C243" t="str">
            <v>MF 1-65 GL CART COUNT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</row>
        <row r="244">
          <cell r="B244" t="str">
            <v>MCCWR95</v>
          </cell>
          <cell r="C244" t="str">
            <v xml:space="preserve">MF 1-95 GL CART COUNT 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</row>
        <row r="245">
          <cell r="B245" t="str">
            <v>MCCWRA</v>
          </cell>
          <cell r="C245" t="str">
            <v>MF CAN COUNT W/ RECY ADDT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0</v>
          </cell>
        </row>
        <row r="246">
          <cell r="B246" t="str">
            <v>MSRTOT</v>
          </cell>
          <cell r="C246" t="str">
            <v>MF TOTER SERVICE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</row>
        <row r="247">
          <cell r="B247" t="str">
            <v>M1.5YD1W</v>
          </cell>
          <cell r="C247" t="str">
            <v>MF 1.5YD CONT 1X WKLY</v>
          </cell>
          <cell r="D247">
            <v>406.08</v>
          </cell>
          <cell r="E247">
            <v>215.13</v>
          </cell>
          <cell r="F247">
            <v>3223.26</v>
          </cell>
          <cell r="G247">
            <v>3197.88</v>
          </cell>
          <cell r="H247">
            <v>3197.88</v>
          </cell>
          <cell r="I247">
            <v>3350.16</v>
          </cell>
          <cell r="J247">
            <v>3350.16</v>
          </cell>
          <cell r="K247">
            <v>3603.96</v>
          </cell>
          <cell r="L247">
            <v>3603.96</v>
          </cell>
          <cell r="M247">
            <v>3654.72</v>
          </cell>
          <cell r="N247">
            <v>3654.72</v>
          </cell>
          <cell r="O247">
            <v>3791.67</v>
          </cell>
          <cell r="P247">
            <v>3791.67</v>
          </cell>
          <cell r="Q247">
            <v>3657.21</v>
          </cell>
          <cell r="R247">
            <v>42077.25</v>
          </cell>
          <cell r="T247">
            <v>7.9375000000000009</v>
          </cell>
          <cell r="U247">
            <v>7.8750000000000009</v>
          </cell>
          <cell r="V247">
            <v>7.8750000000000009</v>
          </cell>
          <cell r="X247">
            <v>8.25</v>
          </cell>
          <cell r="Y247">
            <v>8.875</v>
          </cell>
          <cell r="Z247">
            <v>8.875</v>
          </cell>
          <cell r="AA247">
            <v>9</v>
          </cell>
          <cell r="AB247">
            <v>9</v>
          </cell>
          <cell r="AC247">
            <v>17.625017431320597</v>
          </cell>
          <cell r="AD247">
            <v>17.625017431320597</v>
          </cell>
          <cell r="AE247">
            <v>17</v>
          </cell>
          <cell r="AF247">
            <v>119.9375348626412</v>
          </cell>
          <cell r="AG247">
            <v>9.9947945718867661</v>
          </cell>
        </row>
        <row r="248">
          <cell r="B248" t="str">
            <v>M1.5YD2W</v>
          </cell>
          <cell r="C248" t="str">
            <v>MF 1.5YD CONT 2X WKLY</v>
          </cell>
          <cell r="D248">
            <v>825.9</v>
          </cell>
          <cell r="E248">
            <v>437.59</v>
          </cell>
          <cell r="F248">
            <v>4232.7349999999997</v>
          </cell>
          <cell r="G248">
            <v>4129.5</v>
          </cell>
          <cell r="H248">
            <v>4129.5</v>
          </cell>
          <cell r="I248">
            <v>3923.0250000000001</v>
          </cell>
          <cell r="J248">
            <v>3923.0250000000001</v>
          </cell>
          <cell r="K248">
            <v>3716.55</v>
          </cell>
          <cell r="L248">
            <v>3716.55</v>
          </cell>
          <cell r="M248">
            <v>3716.55</v>
          </cell>
          <cell r="N248">
            <v>3621.1800000000003</v>
          </cell>
          <cell r="O248">
            <v>4129.7550000000001</v>
          </cell>
          <cell r="P248">
            <v>4129.7550000000001</v>
          </cell>
          <cell r="Q248">
            <v>4375.8999999999996</v>
          </cell>
          <cell r="R248">
            <v>47744.025000000001</v>
          </cell>
          <cell r="T248">
            <v>5.1249969729991518</v>
          </cell>
          <cell r="U248">
            <v>5</v>
          </cell>
          <cell r="V248">
            <v>5</v>
          </cell>
          <cell r="W248">
            <v>4.75</v>
          </cell>
          <cell r="X248">
            <v>4.75</v>
          </cell>
          <cell r="Y248">
            <v>4.5</v>
          </cell>
          <cell r="Z248">
            <v>4.5</v>
          </cell>
          <cell r="AA248">
            <v>4.5</v>
          </cell>
          <cell r="AB248">
            <v>4.3845259716672729</v>
          </cell>
          <cell r="AC248">
            <v>9.43749857172239</v>
          </cell>
          <cell r="AD248">
            <v>9.43749857172239</v>
          </cell>
          <cell r="AE248">
            <v>10</v>
          </cell>
          <cell r="AF248">
            <v>71.384520088111202</v>
          </cell>
          <cell r="AG248">
            <v>5.9487100073426005</v>
          </cell>
        </row>
        <row r="249">
          <cell r="B249" t="str">
            <v>M1.5YD3W</v>
          </cell>
          <cell r="C249" t="str">
            <v>MF 1.5YD CONT 3X WKLY</v>
          </cell>
          <cell r="D249">
            <v>622.04</v>
          </cell>
          <cell r="E249">
            <v>659.16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</row>
        <row r="250">
          <cell r="B250" t="str">
            <v>M1YD1W</v>
          </cell>
          <cell r="C250" t="str">
            <v>MF 1YD CONT 1X WKLY</v>
          </cell>
          <cell r="D250">
            <v>287.7</v>
          </cell>
          <cell r="E250">
            <v>152.46</v>
          </cell>
          <cell r="F250">
            <v>5394.375</v>
          </cell>
          <cell r="G250">
            <v>4998.79</v>
          </cell>
          <cell r="H250">
            <v>3889.4700000000003</v>
          </cell>
          <cell r="I250">
            <v>5178.6000000000004</v>
          </cell>
          <cell r="J250">
            <v>5178.6000000000004</v>
          </cell>
          <cell r="K250">
            <v>4947.5849999999991</v>
          </cell>
          <cell r="L250">
            <v>4980.8049999999994</v>
          </cell>
          <cell r="M250">
            <v>4890.8999999999996</v>
          </cell>
          <cell r="N250">
            <v>4890.8999999999996</v>
          </cell>
          <cell r="O250">
            <v>5183.6400000000003</v>
          </cell>
          <cell r="P250">
            <v>5183.6400000000003</v>
          </cell>
          <cell r="Q250">
            <v>4729.17</v>
          </cell>
          <cell r="R250">
            <v>59446.474999999999</v>
          </cell>
          <cell r="T250">
            <v>18.75</v>
          </cell>
          <cell r="U250">
            <v>17.375008689607231</v>
          </cell>
          <cell r="V250">
            <v>13.519186652763297</v>
          </cell>
          <cell r="W250">
            <v>18.000000000000004</v>
          </cell>
          <cell r="X250">
            <v>18.000000000000004</v>
          </cell>
          <cell r="Y250">
            <v>17.197028154327423</v>
          </cell>
          <cell r="Z250">
            <v>17.312495655196383</v>
          </cell>
          <cell r="AA250">
            <v>17</v>
          </cell>
          <cell r="AB250">
            <v>17</v>
          </cell>
          <cell r="AC250">
            <v>34</v>
          </cell>
          <cell r="AD250">
            <v>34</v>
          </cell>
          <cell r="AE250">
            <v>31.019086973632426</v>
          </cell>
          <cell r="AF250">
            <v>253.17280612552676</v>
          </cell>
          <cell r="AG250">
            <v>21.097733843793897</v>
          </cell>
        </row>
        <row r="251">
          <cell r="B251" t="str">
            <v>M1YD2W</v>
          </cell>
          <cell r="C251" t="str">
            <v>MF 1YD CONT 2X WKLY</v>
          </cell>
          <cell r="D251">
            <v>589.41999999999996</v>
          </cell>
          <cell r="E251">
            <v>312.41000000000003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</row>
        <row r="252">
          <cell r="B252" t="str">
            <v>M1YDTPU</v>
          </cell>
          <cell r="C252" t="str">
            <v>MF 1YD TEMP CONT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</row>
        <row r="253">
          <cell r="B253" t="str">
            <v>M2YD1W</v>
          </cell>
          <cell r="C253" t="str">
            <v>MF 2YD CONT 1X WKLY</v>
          </cell>
          <cell r="D253">
            <v>540.67999999999995</v>
          </cell>
          <cell r="E253">
            <v>286.54000000000002</v>
          </cell>
          <cell r="F253">
            <v>6623.33</v>
          </cell>
          <cell r="G253">
            <v>7028.84</v>
          </cell>
          <cell r="H253">
            <v>7028.84</v>
          </cell>
          <cell r="I253">
            <v>6082.65</v>
          </cell>
          <cell r="J253">
            <v>6623.33</v>
          </cell>
          <cell r="K253">
            <v>6623.33</v>
          </cell>
          <cell r="L253">
            <v>6623.33</v>
          </cell>
          <cell r="M253">
            <v>6488.16</v>
          </cell>
          <cell r="N253">
            <v>6416.24</v>
          </cell>
          <cell r="O253">
            <v>6590.42</v>
          </cell>
          <cell r="P253">
            <v>7163.5</v>
          </cell>
          <cell r="Q253">
            <v>6667.52</v>
          </cell>
          <cell r="R253">
            <v>79959.49000000002</v>
          </cell>
          <cell r="T253">
            <v>12.250000000000002</v>
          </cell>
          <cell r="U253">
            <v>13.000000000000002</v>
          </cell>
          <cell r="V253">
            <v>13.000000000000002</v>
          </cell>
          <cell r="W253">
            <v>11.25</v>
          </cell>
          <cell r="X253">
            <v>12.250000000000002</v>
          </cell>
          <cell r="Y253">
            <v>12.250000000000002</v>
          </cell>
          <cell r="Z253">
            <v>12.250000000000002</v>
          </cell>
          <cell r="AA253">
            <v>12</v>
          </cell>
          <cell r="AB253">
            <v>11.866982318561812</v>
          </cell>
          <cell r="AC253">
            <v>23</v>
          </cell>
          <cell r="AD253">
            <v>24.999999999999996</v>
          </cell>
          <cell r="AE253">
            <v>23.269072380819431</v>
          </cell>
          <cell r="AF253">
            <v>181.38605469938128</v>
          </cell>
          <cell r="AG253">
            <v>15.115504558281772</v>
          </cell>
        </row>
        <row r="254">
          <cell r="B254" t="str">
            <v>M2YD2W</v>
          </cell>
          <cell r="C254" t="str">
            <v>MF 2YD CONT 2X WKLY</v>
          </cell>
          <cell r="D254">
            <v>1093.06</v>
          </cell>
          <cell r="E254">
            <v>579.29999999999995</v>
          </cell>
          <cell r="F254">
            <v>10930.599999999999</v>
          </cell>
          <cell r="G254">
            <v>10862.279999999999</v>
          </cell>
          <cell r="H254">
            <v>10862.279999999999</v>
          </cell>
          <cell r="I254">
            <v>12570.19</v>
          </cell>
          <cell r="J254">
            <v>12570.19</v>
          </cell>
          <cell r="K254">
            <v>12023.66</v>
          </cell>
          <cell r="L254">
            <v>12023.66</v>
          </cell>
          <cell r="M254">
            <v>12023.66</v>
          </cell>
          <cell r="N254">
            <v>12023.66</v>
          </cell>
          <cell r="O254">
            <v>12744.6</v>
          </cell>
          <cell r="P254">
            <v>12744.6</v>
          </cell>
          <cell r="Q254">
            <v>12744.6</v>
          </cell>
          <cell r="R254">
            <v>144123.98000000001</v>
          </cell>
          <cell r="T254">
            <v>10</v>
          </cell>
          <cell r="U254">
            <v>9.9374965692642672</v>
          </cell>
          <cell r="V254">
            <v>9.9374965692642672</v>
          </cell>
          <cell r="W254">
            <v>11.500000000000002</v>
          </cell>
          <cell r="X254">
            <v>11.500000000000002</v>
          </cell>
          <cell r="Y254">
            <v>11</v>
          </cell>
          <cell r="Z254">
            <v>11</v>
          </cell>
          <cell r="AA254">
            <v>11</v>
          </cell>
          <cell r="AB254">
            <v>11</v>
          </cell>
          <cell r="AC254">
            <v>22.000000000000004</v>
          </cell>
          <cell r="AD254">
            <v>22.000000000000004</v>
          </cell>
          <cell r="AE254">
            <v>22.000000000000004</v>
          </cell>
          <cell r="AF254">
            <v>162.87499313852854</v>
          </cell>
          <cell r="AG254">
            <v>13.572916094877378</v>
          </cell>
        </row>
        <row r="255">
          <cell r="B255" t="str">
            <v>M2YD3W</v>
          </cell>
          <cell r="C255" t="str">
            <v>MF 2YD CONT 3X WKLY</v>
          </cell>
          <cell r="D255">
            <v>1648.72</v>
          </cell>
          <cell r="E255">
            <v>873.82</v>
          </cell>
          <cell r="F255">
            <v>824.36</v>
          </cell>
          <cell r="G255">
            <v>824.36</v>
          </cell>
          <cell r="H255">
            <v>824.36</v>
          </cell>
          <cell r="I255">
            <v>824.36</v>
          </cell>
          <cell r="J255">
            <v>824.36</v>
          </cell>
          <cell r="K255">
            <v>824.36</v>
          </cell>
          <cell r="L255">
            <v>824.36</v>
          </cell>
          <cell r="M255">
            <v>824.36</v>
          </cell>
          <cell r="N255">
            <v>824.36</v>
          </cell>
          <cell r="O255">
            <v>873.82</v>
          </cell>
          <cell r="P255">
            <v>873.82</v>
          </cell>
          <cell r="Q255">
            <v>873.82</v>
          </cell>
          <cell r="R255">
            <v>10040.699999999999</v>
          </cell>
          <cell r="T255">
            <v>0.5</v>
          </cell>
          <cell r="U255">
            <v>0.5</v>
          </cell>
          <cell r="V255">
            <v>0.5</v>
          </cell>
          <cell r="W255">
            <v>0.5</v>
          </cell>
          <cell r="X255">
            <v>0.5</v>
          </cell>
          <cell r="Y255">
            <v>0.5</v>
          </cell>
          <cell r="Z255">
            <v>0.5</v>
          </cell>
          <cell r="AA255">
            <v>0.5</v>
          </cell>
          <cell r="AB255">
            <v>0.5</v>
          </cell>
          <cell r="AC255">
            <v>1</v>
          </cell>
          <cell r="AD255">
            <v>1</v>
          </cell>
          <cell r="AE255">
            <v>1</v>
          </cell>
          <cell r="AF255">
            <v>7.5</v>
          </cell>
          <cell r="AG255">
            <v>0.625</v>
          </cell>
        </row>
        <row r="256">
          <cell r="B256" t="str">
            <v>M2YD5W</v>
          </cell>
          <cell r="C256" t="str">
            <v>MF 2YD CONT 5X WKLY</v>
          </cell>
          <cell r="D256">
            <v>2747.75</v>
          </cell>
          <cell r="E256">
            <v>1463.665</v>
          </cell>
          <cell r="F256">
            <v>0</v>
          </cell>
          <cell r="G256">
            <v>0</v>
          </cell>
          <cell r="H256">
            <v>0</v>
          </cell>
          <cell r="I256">
            <v>2060.81</v>
          </cell>
          <cell r="J256">
            <v>2060.81</v>
          </cell>
          <cell r="K256">
            <v>1373.875</v>
          </cell>
          <cell r="L256">
            <v>1373.875</v>
          </cell>
          <cell r="M256">
            <v>1373.875</v>
          </cell>
          <cell r="N256">
            <v>1373.875</v>
          </cell>
          <cell r="O256">
            <v>1463.665</v>
          </cell>
          <cell r="P256">
            <v>1463.665</v>
          </cell>
          <cell r="Q256">
            <v>1463.665</v>
          </cell>
          <cell r="R256">
            <v>14008.115000000002</v>
          </cell>
          <cell r="T256">
            <v>0</v>
          </cell>
          <cell r="U256">
            <v>0</v>
          </cell>
          <cell r="V256">
            <v>0</v>
          </cell>
          <cell r="W256">
            <v>0.74999909016468014</v>
          </cell>
          <cell r="X256">
            <v>0.74999909016468014</v>
          </cell>
          <cell r="Y256">
            <v>0.5</v>
          </cell>
          <cell r="Z256">
            <v>0.5</v>
          </cell>
          <cell r="AA256">
            <v>0.5</v>
          </cell>
          <cell r="AB256">
            <v>0.5</v>
          </cell>
          <cell r="AC256">
            <v>1</v>
          </cell>
          <cell r="AD256">
            <v>1</v>
          </cell>
          <cell r="AE256">
            <v>1</v>
          </cell>
          <cell r="AF256">
            <v>6.4999981803293601</v>
          </cell>
          <cell r="AG256">
            <v>0.54166651502744667</v>
          </cell>
        </row>
        <row r="257">
          <cell r="B257" t="str">
            <v>M2YDTPU</v>
          </cell>
          <cell r="C257" t="str">
            <v>MF 2YD TEMP CONT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</row>
        <row r="258">
          <cell r="B258" t="str">
            <v>M4YD1W</v>
          </cell>
          <cell r="C258" t="str">
            <v>MF 4YD CONT 1X WKLY</v>
          </cell>
          <cell r="D258">
            <v>1066.6600000000001</v>
          </cell>
          <cell r="E258">
            <v>565.34</v>
          </cell>
          <cell r="F258">
            <v>5866.63</v>
          </cell>
          <cell r="G258">
            <v>5866.63</v>
          </cell>
          <cell r="H258">
            <v>5866.63</v>
          </cell>
          <cell r="I258">
            <v>5866.63</v>
          </cell>
          <cell r="J258">
            <v>5866.63</v>
          </cell>
          <cell r="K258">
            <v>5866.63</v>
          </cell>
          <cell r="L258">
            <v>5866.63</v>
          </cell>
          <cell r="M258">
            <v>5866.63</v>
          </cell>
          <cell r="N258">
            <v>5866.63</v>
          </cell>
          <cell r="O258">
            <v>5520.07</v>
          </cell>
          <cell r="P258">
            <v>5378.74</v>
          </cell>
          <cell r="Q258">
            <v>5653.4</v>
          </cell>
          <cell r="R258">
            <v>69351.87999999999</v>
          </cell>
          <cell r="T258">
            <v>5.5</v>
          </cell>
          <cell r="U258">
            <v>5.5</v>
          </cell>
          <cell r="V258">
            <v>5.5</v>
          </cell>
          <cell r="W258">
            <v>5.5</v>
          </cell>
          <cell r="X258">
            <v>5.5</v>
          </cell>
          <cell r="Y258">
            <v>5.5</v>
          </cell>
          <cell r="Z258">
            <v>5.5</v>
          </cell>
          <cell r="AA258">
            <v>5.5</v>
          </cell>
          <cell r="AB258">
            <v>5.5</v>
          </cell>
          <cell r="AC258">
            <v>9.7641596207591874</v>
          </cell>
          <cell r="AD258">
            <v>9.5141684649945155</v>
          </cell>
          <cell r="AE258">
            <v>9.9999999999999982</v>
          </cell>
          <cell r="AF258">
            <v>78.778328085753699</v>
          </cell>
          <cell r="AG258">
            <v>6.5648606738128086</v>
          </cell>
        </row>
        <row r="259">
          <cell r="B259" t="str">
            <v>M4YD2W</v>
          </cell>
          <cell r="C259" t="str">
            <v>MF 4YD CONT 2X WKLY</v>
          </cell>
          <cell r="D259">
            <v>2145.6799999999998</v>
          </cell>
          <cell r="E259">
            <v>1137.26</v>
          </cell>
          <cell r="F259">
            <v>2145.6799999999998</v>
          </cell>
          <cell r="G259">
            <v>2145.6799999999998</v>
          </cell>
          <cell r="H259">
            <v>2145.6799999999998</v>
          </cell>
          <cell r="I259">
            <v>2145.6799999999998</v>
          </cell>
          <cell r="J259">
            <v>2145.6799999999998</v>
          </cell>
          <cell r="K259">
            <v>2145.6799999999998</v>
          </cell>
          <cell r="L259">
            <v>2145.6799999999998</v>
          </cell>
          <cell r="M259">
            <v>2145.6799999999998</v>
          </cell>
          <cell r="N259">
            <v>2145.6799999999998</v>
          </cell>
          <cell r="O259">
            <v>2542.7299999999996</v>
          </cell>
          <cell r="P259">
            <v>2542.7299999999996</v>
          </cell>
          <cell r="Q259">
            <v>2274.52</v>
          </cell>
          <cell r="R259">
            <v>26671.1</v>
          </cell>
          <cell r="T259">
            <v>1</v>
          </cell>
          <cell r="U259">
            <v>1</v>
          </cell>
          <cell r="V259">
            <v>1</v>
          </cell>
          <cell r="W259">
            <v>1</v>
          </cell>
          <cell r="X259">
            <v>1</v>
          </cell>
          <cell r="Y259">
            <v>1</v>
          </cell>
          <cell r="Z259">
            <v>1</v>
          </cell>
          <cell r="AA259">
            <v>1</v>
          </cell>
          <cell r="AB259">
            <v>1</v>
          </cell>
          <cell r="AC259">
            <v>2.2358387703779257</v>
          </cell>
          <cell r="AD259">
            <v>2.2358387703779257</v>
          </cell>
          <cell r="AE259">
            <v>2</v>
          </cell>
          <cell r="AF259">
            <v>15.471677540755852</v>
          </cell>
          <cell r="AG259">
            <v>1.2893064617296544</v>
          </cell>
        </row>
        <row r="260">
          <cell r="B260" t="str">
            <v>M6YD1W</v>
          </cell>
          <cell r="C260" t="str">
            <v>MF 6YD CONT 1X WKLY</v>
          </cell>
          <cell r="D260">
            <v>1543.76</v>
          </cell>
          <cell r="E260">
            <v>818.43</v>
          </cell>
          <cell r="F260">
            <v>6175.04</v>
          </cell>
          <cell r="G260">
            <v>6175.04</v>
          </cell>
          <cell r="H260">
            <v>6175.04</v>
          </cell>
          <cell r="I260">
            <v>6175.04</v>
          </cell>
          <cell r="J260">
            <v>6175.04</v>
          </cell>
          <cell r="K260">
            <v>6175.04</v>
          </cell>
          <cell r="L260">
            <v>6175.04</v>
          </cell>
          <cell r="M260">
            <v>6175.04</v>
          </cell>
          <cell r="N260">
            <v>6175.04</v>
          </cell>
          <cell r="O260">
            <v>6547.44</v>
          </cell>
          <cell r="P260">
            <v>6547.44</v>
          </cell>
          <cell r="Q260">
            <v>6547.44</v>
          </cell>
          <cell r="R260">
            <v>75217.680000000008</v>
          </cell>
          <cell r="T260">
            <v>4</v>
          </cell>
          <cell r="U260">
            <v>4</v>
          </cell>
          <cell r="V260">
            <v>4</v>
          </cell>
          <cell r="W260">
            <v>4</v>
          </cell>
          <cell r="X260">
            <v>4</v>
          </cell>
          <cell r="Y260">
            <v>4</v>
          </cell>
          <cell r="Z260">
            <v>4</v>
          </cell>
          <cell r="AA260">
            <v>4</v>
          </cell>
          <cell r="AB260">
            <v>4</v>
          </cell>
          <cell r="AC260">
            <v>8</v>
          </cell>
          <cell r="AD260">
            <v>8</v>
          </cell>
          <cell r="AE260">
            <v>8</v>
          </cell>
          <cell r="AF260">
            <v>60</v>
          </cell>
          <cell r="AG260">
            <v>5</v>
          </cell>
        </row>
        <row r="261">
          <cell r="B261" t="str">
            <v>M6YD2W</v>
          </cell>
          <cell r="C261" t="str">
            <v>MF 6YD CONT 2X WKLY</v>
          </cell>
          <cell r="D261">
            <v>3095</v>
          </cell>
          <cell r="E261">
            <v>1640.86</v>
          </cell>
          <cell r="F261">
            <v>3095</v>
          </cell>
          <cell r="G261">
            <v>3095</v>
          </cell>
          <cell r="H261">
            <v>3095</v>
          </cell>
          <cell r="I261">
            <v>3095</v>
          </cell>
          <cell r="J261">
            <v>3095</v>
          </cell>
          <cell r="K261">
            <v>3095</v>
          </cell>
          <cell r="L261">
            <v>3095</v>
          </cell>
          <cell r="M261">
            <v>3095</v>
          </cell>
          <cell r="N261">
            <v>3095</v>
          </cell>
          <cell r="O261">
            <v>3281.72</v>
          </cell>
          <cell r="P261">
            <v>3281.72</v>
          </cell>
          <cell r="Q261">
            <v>3281.72</v>
          </cell>
          <cell r="R261">
            <v>37700.160000000003</v>
          </cell>
          <cell r="T261">
            <v>1</v>
          </cell>
          <cell r="U261">
            <v>1</v>
          </cell>
          <cell r="V261">
            <v>1</v>
          </cell>
          <cell r="W261">
            <v>1</v>
          </cell>
          <cell r="X261">
            <v>1</v>
          </cell>
          <cell r="Y261">
            <v>1</v>
          </cell>
          <cell r="Z261">
            <v>1</v>
          </cell>
          <cell r="AA261">
            <v>1</v>
          </cell>
          <cell r="AB261">
            <v>1</v>
          </cell>
          <cell r="AC261">
            <v>2</v>
          </cell>
          <cell r="AD261">
            <v>2</v>
          </cell>
          <cell r="AE261">
            <v>2</v>
          </cell>
          <cell r="AF261">
            <v>15</v>
          </cell>
          <cell r="AG261">
            <v>1.25</v>
          </cell>
        </row>
        <row r="262">
          <cell r="B262" t="str">
            <v>M6YD3W</v>
          </cell>
          <cell r="C262" t="str">
            <v>MF 6YD CONT 3X WKLY</v>
          </cell>
          <cell r="D262">
            <v>4656.12</v>
          </cell>
          <cell r="E262">
            <v>2468.5300000000002</v>
          </cell>
          <cell r="F262">
            <v>4656.12</v>
          </cell>
          <cell r="G262">
            <v>4656.12</v>
          </cell>
          <cell r="H262">
            <v>4656.12</v>
          </cell>
          <cell r="I262">
            <v>4656.12</v>
          </cell>
          <cell r="J262">
            <v>4656.12</v>
          </cell>
          <cell r="K262">
            <v>4656.12</v>
          </cell>
          <cell r="L262">
            <v>4656.12</v>
          </cell>
          <cell r="M262">
            <v>4656.12</v>
          </cell>
          <cell r="N262">
            <v>4656.12</v>
          </cell>
          <cell r="O262">
            <v>4937.0600000000004</v>
          </cell>
          <cell r="P262">
            <v>4937.0600000000004</v>
          </cell>
          <cell r="Q262">
            <v>4937.0600000000004</v>
          </cell>
          <cell r="R262">
            <v>56716.259999999995</v>
          </cell>
          <cell r="T262">
            <v>1</v>
          </cell>
          <cell r="U262">
            <v>1</v>
          </cell>
          <cell r="V262">
            <v>1</v>
          </cell>
          <cell r="W262">
            <v>1</v>
          </cell>
          <cell r="X262">
            <v>1</v>
          </cell>
          <cell r="Y262">
            <v>1</v>
          </cell>
          <cell r="Z262">
            <v>1</v>
          </cell>
          <cell r="AA262">
            <v>1</v>
          </cell>
          <cell r="AB262">
            <v>1</v>
          </cell>
          <cell r="AC262">
            <v>2</v>
          </cell>
          <cell r="AD262">
            <v>2</v>
          </cell>
          <cell r="AE262">
            <v>2</v>
          </cell>
          <cell r="AF262">
            <v>15</v>
          </cell>
          <cell r="AG262">
            <v>1.25</v>
          </cell>
        </row>
        <row r="263">
          <cell r="B263" t="str">
            <v>MYDW90</v>
          </cell>
          <cell r="C263" t="str">
            <v>MF YARDWASTE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</row>
        <row r="264">
          <cell r="B264" t="str">
            <v>M1.5YDEX</v>
          </cell>
          <cell r="C264" t="str">
            <v>MF 1.5YD CONT EXTRA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</row>
        <row r="265">
          <cell r="B265" t="str">
            <v>M1YDEX</v>
          </cell>
          <cell r="C265" t="str">
            <v>MF 1YD CONT EXTRA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</row>
        <row r="266">
          <cell r="B266" t="str">
            <v>M2YDEX</v>
          </cell>
          <cell r="C266" t="str">
            <v>MF 2YD CONT EXTRA</v>
          </cell>
          <cell r="D266">
            <v>0</v>
          </cell>
          <cell r="E266">
            <v>0</v>
          </cell>
          <cell r="F266">
            <v>59.33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59.33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</row>
        <row r="267">
          <cell r="B267" t="str">
            <v>M4YDEX</v>
          </cell>
          <cell r="C267" t="str">
            <v>MF 4YD CONT EXTRA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</row>
        <row r="268">
          <cell r="B268" t="str">
            <v>M6YDEX</v>
          </cell>
          <cell r="C268" t="str">
            <v>MF 6YD CONT EXTRA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0</v>
          </cell>
        </row>
        <row r="269">
          <cell r="B269" t="str">
            <v>MIMPCN</v>
          </cell>
          <cell r="C269" t="str">
            <v>MF 1 IMPROPER CAN W/ RECY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</row>
        <row r="270">
          <cell r="B270" t="str">
            <v>MCONNECT</v>
          </cell>
          <cell r="C270" t="str">
            <v>MF CONNECT/RECONNECT</v>
          </cell>
          <cell r="D270">
            <v>7.01</v>
          </cell>
          <cell r="E270">
            <v>7.47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0</v>
          </cell>
        </row>
        <row r="271">
          <cell r="B271" t="str">
            <v>MRENT90</v>
          </cell>
          <cell r="C271" t="str">
            <v>MF 90GAL TOTER RENT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</row>
        <row r="272">
          <cell r="B272" t="str">
            <v>MROLL</v>
          </cell>
          <cell r="C272" t="str">
            <v>ROLLOUT CHARGE - MF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C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0</v>
          </cell>
        </row>
        <row r="273">
          <cell r="B273" t="str">
            <v>PACKM</v>
          </cell>
          <cell r="C273" t="str">
            <v>CARRY-OUT MULTI FAMILY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</row>
        <row r="274">
          <cell r="B274" t="str">
            <v>ADJMF</v>
          </cell>
          <cell r="C274" t="str">
            <v>SERVICE ADJ MULTI FAMILY</v>
          </cell>
          <cell r="D274">
            <v>0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</row>
        <row r="275">
          <cell r="B275" t="str">
            <v>DRVNM</v>
          </cell>
          <cell r="C275" t="str">
            <v>DRIVE IN - MULTIFAMILY</v>
          </cell>
          <cell r="D275">
            <v>0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</row>
        <row r="276">
          <cell r="B276" t="str">
            <v>EXTRA-MF</v>
          </cell>
          <cell r="C276" t="str">
            <v>EXTRA CANS - MF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</row>
        <row r="277">
          <cell r="B277" t="str">
            <v>M2YD4W</v>
          </cell>
          <cell r="D277">
            <v>0</v>
          </cell>
          <cell r="E277">
            <v>0</v>
          </cell>
          <cell r="F277">
            <v>1099.1500000000001</v>
          </cell>
          <cell r="G277">
            <v>1099.1500000000001</v>
          </cell>
          <cell r="H277">
            <v>1099.1500000000001</v>
          </cell>
          <cell r="I277">
            <v>-549.57500000000005</v>
          </cell>
          <cell r="J277">
            <v>-549.57500000000005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2198.3000000000002</v>
          </cell>
        </row>
      </sheetData>
      <sheetData sheetId="12"/>
      <sheetData sheetId="13">
        <row r="10">
          <cell r="B10" t="str">
            <v>10RW1N</v>
          </cell>
          <cell r="C10" t="str">
            <v>1-10 GAL CART WKLY NON REC</v>
          </cell>
          <cell r="D10">
            <v>18.18</v>
          </cell>
          <cell r="E10">
            <v>19.079999999999998</v>
          </cell>
          <cell r="F10">
            <v>18.18</v>
          </cell>
          <cell r="G10">
            <v>18.18</v>
          </cell>
          <cell r="H10">
            <v>18.18</v>
          </cell>
          <cell r="I10">
            <v>18.18</v>
          </cell>
          <cell r="J10">
            <v>18.18</v>
          </cell>
          <cell r="K10">
            <v>18.18</v>
          </cell>
          <cell r="L10">
            <v>18.18</v>
          </cell>
          <cell r="M10">
            <v>18.18</v>
          </cell>
          <cell r="N10">
            <v>18.18</v>
          </cell>
          <cell r="O10">
            <v>19.079999999999998</v>
          </cell>
          <cell r="P10">
            <v>19.079999999999998</v>
          </cell>
          <cell r="Q10">
            <v>19.079999999999998</v>
          </cell>
          <cell r="R10">
            <v>220.86</v>
          </cell>
          <cell r="T10">
            <v>1</v>
          </cell>
          <cell r="U10">
            <v>1</v>
          </cell>
          <cell r="V10">
            <v>1</v>
          </cell>
          <cell r="W10">
            <v>1</v>
          </cell>
          <cell r="X10">
            <v>1</v>
          </cell>
          <cell r="Y10">
            <v>1</v>
          </cell>
          <cell r="Z10">
            <v>1</v>
          </cell>
          <cell r="AA10">
            <v>1</v>
          </cell>
          <cell r="AB10">
            <v>1</v>
          </cell>
          <cell r="AC10">
            <v>1</v>
          </cell>
          <cell r="AD10">
            <v>1</v>
          </cell>
          <cell r="AE10">
            <v>1</v>
          </cell>
          <cell r="AF10">
            <v>12</v>
          </cell>
          <cell r="AG10">
            <v>1</v>
          </cell>
        </row>
        <row r="11">
          <cell r="B11" t="str">
            <v>10RW1R</v>
          </cell>
          <cell r="C11" t="str">
            <v>1-10 GAL CART WKLY W/ REC</v>
          </cell>
          <cell r="D11">
            <v>18.18</v>
          </cell>
          <cell r="E11">
            <v>19.079999999999998</v>
          </cell>
          <cell r="F11">
            <v>2063.4299999999998</v>
          </cell>
          <cell r="G11">
            <v>2036.8500000000001</v>
          </cell>
          <cell r="H11">
            <v>2045.2500000000002</v>
          </cell>
          <cell r="I11">
            <v>1963.44</v>
          </cell>
          <cell r="J11">
            <v>1981.6200000000001</v>
          </cell>
          <cell r="K11">
            <v>1927.08</v>
          </cell>
          <cell r="L11">
            <v>1981.62</v>
          </cell>
          <cell r="M11">
            <v>1881.63</v>
          </cell>
          <cell r="N11">
            <v>1917.99</v>
          </cell>
          <cell r="O11">
            <v>1993.86</v>
          </cell>
          <cell r="P11">
            <v>1975.6799999999998</v>
          </cell>
          <cell r="Q11">
            <v>1869.84</v>
          </cell>
          <cell r="R11">
            <v>23638.290000000005</v>
          </cell>
          <cell r="T11">
            <v>113.49999999999999</v>
          </cell>
          <cell r="U11">
            <v>112.03795379537955</v>
          </cell>
          <cell r="V11">
            <v>112.50000000000001</v>
          </cell>
          <cell r="W11">
            <v>108</v>
          </cell>
          <cell r="X11">
            <v>109.00000000000001</v>
          </cell>
          <cell r="Y11">
            <v>106</v>
          </cell>
          <cell r="Z11">
            <v>109</v>
          </cell>
          <cell r="AA11">
            <v>103.50000000000001</v>
          </cell>
          <cell r="AB11">
            <v>105.5</v>
          </cell>
          <cell r="AC11">
            <v>104.5</v>
          </cell>
          <cell r="AD11">
            <v>103.54716981132076</v>
          </cell>
          <cell r="AE11">
            <v>98</v>
          </cell>
          <cell r="AF11">
            <v>1285.0851236067003</v>
          </cell>
          <cell r="AG11">
            <v>107.09042696722503</v>
          </cell>
        </row>
        <row r="12">
          <cell r="B12" t="str">
            <v>20RM1</v>
          </cell>
          <cell r="C12" t="str">
            <v>1-20 GAL CART MONTHLY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</row>
        <row r="13">
          <cell r="B13" t="str">
            <v>20RW1</v>
          </cell>
          <cell r="C13" t="str">
            <v>1-20 GAL CAN WEEKLY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</row>
        <row r="14">
          <cell r="B14" t="str">
            <v>20RW1N</v>
          </cell>
          <cell r="C14" t="str">
            <v>1-20 GL CART WKLY NON REC</v>
          </cell>
          <cell r="D14">
            <v>24.84</v>
          </cell>
          <cell r="E14">
            <v>26.05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</row>
        <row r="15">
          <cell r="B15" t="str">
            <v>20RW1NR</v>
          </cell>
          <cell r="C15" t="str">
            <v>1-20 GAL WKLY NON REC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</row>
        <row r="16">
          <cell r="B16" t="str">
            <v>20RW1R</v>
          </cell>
          <cell r="C16" t="str">
            <v>1-20 GL CART WKLY W/ RECY</v>
          </cell>
          <cell r="D16">
            <v>24.84</v>
          </cell>
          <cell r="E16">
            <v>26.05</v>
          </cell>
          <cell r="F16">
            <v>7917.75</v>
          </cell>
          <cell r="G16">
            <v>8035.7400000000007</v>
          </cell>
          <cell r="H16">
            <v>8035.7400000000007</v>
          </cell>
          <cell r="I16">
            <v>8062.04</v>
          </cell>
          <cell r="J16">
            <v>8193.9699999999993</v>
          </cell>
          <cell r="K16">
            <v>7923.96</v>
          </cell>
          <cell r="L16">
            <v>8072.9999999999991</v>
          </cell>
          <cell r="M16">
            <v>7961.22</v>
          </cell>
          <cell r="N16">
            <v>8051.79</v>
          </cell>
          <cell r="O16">
            <v>8060.54</v>
          </cell>
          <cell r="P16">
            <v>8194.7099999999991</v>
          </cell>
          <cell r="Q16">
            <v>8140.625</v>
          </cell>
          <cell r="R16">
            <v>96651.084999999992</v>
          </cell>
          <cell r="T16">
            <v>318.75</v>
          </cell>
          <cell r="U16">
            <v>323.50000000000006</v>
          </cell>
          <cell r="V16">
            <v>323.50000000000006</v>
          </cell>
          <cell r="W16">
            <v>324.55877616747182</v>
          </cell>
          <cell r="X16">
            <v>329.86996779388079</v>
          </cell>
          <cell r="Y16">
            <v>319</v>
          </cell>
          <cell r="Z16">
            <v>324.99999999999994</v>
          </cell>
          <cell r="AA16">
            <v>320.5</v>
          </cell>
          <cell r="AB16">
            <v>324.14613526570048</v>
          </cell>
          <cell r="AC16">
            <v>309.42571976967372</v>
          </cell>
          <cell r="AD16">
            <v>314.57619961612278</v>
          </cell>
          <cell r="AE16">
            <v>312.5</v>
          </cell>
          <cell r="AF16">
            <v>3845.3267986128499</v>
          </cell>
          <cell r="AG16">
            <v>320.44389988440417</v>
          </cell>
        </row>
        <row r="17">
          <cell r="B17" t="str">
            <v>24RW1N</v>
          </cell>
          <cell r="C17" t="str">
            <v>1-24 GL CART WKLY NON REC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</row>
        <row r="18">
          <cell r="B18" t="str">
            <v>24RW1R</v>
          </cell>
          <cell r="C18" t="str">
            <v>1-24 GL CART WKLY W/ RECY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</row>
        <row r="19">
          <cell r="B19" t="str">
            <v>32RE1</v>
          </cell>
          <cell r="C19" t="str">
            <v>1-32 GAL CAN EOW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</row>
        <row r="20">
          <cell r="B20" t="str">
            <v>32RM1</v>
          </cell>
          <cell r="C20" t="str">
            <v>1-32 GAL CAN MONTHLY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</row>
        <row r="21">
          <cell r="B21" t="str">
            <v>32ROCPU</v>
          </cell>
          <cell r="C21" t="str">
            <v>1-32 GAL CAN-ON CALL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</row>
        <row r="22">
          <cell r="B22" t="str">
            <v>32RW1</v>
          </cell>
          <cell r="C22" t="str">
            <v>1-32 GAL CAN WEEKLY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</row>
        <row r="23">
          <cell r="B23" t="str">
            <v>32RW1N</v>
          </cell>
          <cell r="C23" t="str">
            <v>1-32 GL CART WKLY NON REC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</row>
        <row r="24">
          <cell r="B24" t="str">
            <v>32RW1NR</v>
          </cell>
          <cell r="C24" t="str">
            <v>1-32 GAL WKLY NON REC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</row>
        <row r="25">
          <cell r="B25" t="str">
            <v>32RW1R</v>
          </cell>
          <cell r="C25" t="str">
            <v>1-32 GL CART WKLY W/ RECY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</row>
        <row r="26">
          <cell r="B26" t="str">
            <v>32RW2</v>
          </cell>
          <cell r="C26" t="str">
            <v>2-32 GAL CANS WEEKLY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</row>
        <row r="27">
          <cell r="B27" t="str">
            <v>32RW2R</v>
          </cell>
          <cell r="C27" t="str">
            <v>2-32 GL CART WKLY W/ RECY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</row>
        <row r="28">
          <cell r="B28" t="str">
            <v>32RW2NR</v>
          </cell>
          <cell r="C28" t="str">
            <v>2-32 GAL WKLY NON REC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</row>
        <row r="29">
          <cell r="B29" t="str">
            <v>32RW3</v>
          </cell>
          <cell r="C29" t="str">
            <v>3-32 GAL CANS WEEKLY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</row>
        <row r="30">
          <cell r="B30" t="str">
            <v>32RW3NR</v>
          </cell>
          <cell r="C30" t="str">
            <v>3-32 GAL WKLY NON REC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</row>
        <row r="31">
          <cell r="B31" t="str">
            <v>32RW4</v>
          </cell>
          <cell r="C31" t="str">
            <v>4-32 GAL CANS WEEKLY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</row>
        <row r="32">
          <cell r="B32" t="str">
            <v>32RW4NR</v>
          </cell>
          <cell r="C32" t="str">
            <v>4-32 GAL WKLY NON REC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</row>
        <row r="33">
          <cell r="B33" t="str">
            <v>32RW5</v>
          </cell>
          <cell r="C33" t="str">
            <v>5-32 GAL CANS WEEKLY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</row>
        <row r="34">
          <cell r="B34" t="str">
            <v>32RW5NR</v>
          </cell>
          <cell r="C34" t="str">
            <v>5-32 GAL WKLY NON REC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</row>
        <row r="35">
          <cell r="B35" t="str">
            <v>32RW6</v>
          </cell>
          <cell r="C35" t="str">
            <v>6-32 GAL CANS WEEKLY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</row>
        <row r="36">
          <cell r="B36" t="str">
            <v>35RM1</v>
          </cell>
          <cell r="C36" t="str">
            <v>1-35 GAL CART MONTHLY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</row>
        <row r="37">
          <cell r="B37" t="str">
            <v>35RW1N</v>
          </cell>
          <cell r="C37" t="str">
            <v>1-35 GAL CART WKLY NONREC</v>
          </cell>
          <cell r="D37">
            <v>30.98</v>
          </cell>
          <cell r="E37">
            <v>32.47</v>
          </cell>
          <cell r="F37">
            <v>216.86</v>
          </cell>
          <cell r="G37">
            <v>216.86</v>
          </cell>
          <cell r="H37">
            <v>216.86</v>
          </cell>
          <cell r="I37">
            <v>216.86</v>
          </cell>
          <cell r="J37">
            <v>216.86</v>
          </cell>
          <cell r="K37">
            <v>154.9</v>
          </cell>
          <cell r="L37">
            <v>154.9</v>
          </cell>
          <cell r="M37">
            <v>154.9</v>
          </cell>
          <cell r="N37">
            <v>154.9</v>
          </cell>
          <cell r="O37">
            <v>146.11500000000001</v>
          </cell>
          <cell r="P37">
            <v>178.58500000000001</v>
          </cell>
          <cell r="Q37">
            <v>109.58499999999999</v>
          </cell>
          <cell r="R37">
            <v>2138.1850000000004</v>
          </cell>
          <cell r="T37">
            <v>7</v>
          </cell>
          <cell r="U37">
            <v>7</v>
          </cell>
          <cell r="V37">
            <v>7</v>
          </cell>
          <cell r="W37">
            <v>7</v>
          </cell>
          <cell r="X37">
            <v>7</v>
          </cell>
          <cell r="Y37">
            <v>5</v>
          </cell>
          <cell r="Z37">
            <v>5</v>
          </cell>
          <cell r="AA37">
            <v>5</v>
          </cell>
          <cell r="AB37">
            <v>5</v>
          </cell>
          <cell r="AC37">
            <v>4.5</v>
          </cell>
          <cell r="AD37">
            <v>5.5</v>
          </cell>
          <cell r="AE37">
            <v>3.3749615029257773</v>
          </cell>
          <cell r="AF37">
            <v>68.374961502925771</v>
          </cell>
          <cell r="AG37">
            <v>5.6979134585771476</v>
          </cell>
        </row>
        <row r="38">
          <cell r="B38" t="str">
            <v>35RW1R</v>
          </cell>
          <cell r="C38" t="str">
            <v>1-35 GAL CART WKLY W/REC</v>
          </cell>
          <cell r="D38">
            <v>30.98</v>
          </cell>
          <cell r="E38">
            <v>32.47</v>
          </cell>
          <cell r="F38">
            <v>48297.86</v>
          </cell>
          <cell r="G38">
            <v>48387.05000000001</v>
          </cell>
          <cell r="H38">
            <v>48390.76</v>
          </cell>
          <cell r="I38">
            <v>47420.27</v>
          </cell>
          <cell r="J38">
            <v>48107.83</v>
          </cell>
          <cell r="K38">
            <v>46853.369999999995</v>
          </cell>
          <cell r="L38">
            <v>46573.06</v>
          </cell>
          <cell r="M38">
            <v>45791.284999999996</v>
          </cell>
          <cell r="N38">
            <v>46753.440000000002</v>
          </cell>
          <cell r="O38">
            <v>47644.95</v>
          </cell>
          <cell r="P38">
            <v>49221.205000000002</v>
          </cell>
          <cell r="Q38">
            <v>48201.705000000002</v>
          </cell>
          <cell r="R38">
            <v>571642.78500000003</v>
          </cell>
          <cell r="T38">
            <v>1559.0012911555843</v>
          </cell>
          <cell r="U38">
            <v>1561.8802453195613</v>
          </cell>
          <cell r="V38">
            <v>1562</v>
          </cell>
          <cell r="W38">
            <v>1530.6736604260811</v>
          </cell>
          <cell r="X38">
            <v>1552.8673337637185</v>
          </cell>
          <cell r="Y38">
            <v>1512.3747579083279</v>
          </cell>
          <cell r="Z38">
            <v>1503.3266623628147</v>
          </cell>
          <cell r="AA38">
            <v>1478.0918334409296</v>
          </cell>
          <cell r="AB38">
            <v>1509.1491284699807</v>
          </cell>
          <cell r="AC38">
            <v>1467.3529411764705</v>
          </cell>
          <cell r="AD38">
            <v>1515.8979057591623</v>
          </cell>
          <cell r="AE38">
            <v>1484.4996920234064</v>
          </cell>
          <cell r="AF38">
            <v>18237.115451806039</v>
          </cell>
          <cell r="AG38">
            <v>1519.7596209838366</v>
          </cell>
        </row>
        <row r="39">
          <cell r="B39" t="str">
            <v>64RW1N</v>
          </cell>
          <cell r="C39" t="str">
            <v>1-64 GAL CART WKLY NONREC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</row>
        <row r="40">
          <cell r="B40" t="str">
            <v>64RW1R</v>
          </cell>
          <cell r="C40" t="str">
            <v>1-64 GAL CART WKLY W/REC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</row>
        <row r="41">
          <cell r="B41" t="str">
            <v>65RM1</v>
          </cell>
          <cell r="C41" t="str">
            <v>1-65 GAL CART MONTHLY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</row>
        <row r="42">
          <cell r="B42" t="str">
            <v>65RW1N</v>
          </cell>
          <cell r="C42" t="str">
            <v>1-65 GAL CART WKLY NONREC</v>
          </cell>
          <cell r="D42">
            <v>43.2</v>
          </cell>
          <cell r="E42">
            <v>45.19</v>
          </cell>
          <cell r="F42">
            <v>216</v>
          </cell>
          <cell r="G42">
            <v>216</v>
          </cell>
          <cell r="H42">
            <v>216</v>
          </cell>
          <cell r="I42">
            <v>216</v>
          </cell>
          <cell r="J42">
            <v>216</v>
          </cell>
          <cell r="K42">
            <v>172.8</v>
          </cell>
          <cell r="L42">
            <v>172.8</v>
          </cell>
          <cell r="M42">
            <v>172.8</v>
          </cell>
          <cell r="N42">
            <v>172.8</v>
          </cell>
          <cell r="O42">
            <v>180.76</v>
          </cell>
          <cell r="P42">
            <v>180.76</v>
          </cell>
          <cell r="Q42">
            <v>135.57</v>
          </cell>
          <cell r="R42">
            <v>2268.29</v>
          </cell>
          <cell r="T42">
            <v>5</v>
          </cell>
          <cell r="U42">
            <v>5</v>
          </cell>
          <cell r="V42">
            <v>5</v>
          </cell>
          <cell r="W42">
            <v>5</v>
          </cell>
          <cell r="X42">
            <v>5</v>
          </cell>
          <cell r="Y42">
            <v>4</v>
          </cell>
          <cell r="Z42">
            <v>4</v>
          </cell>
          <cell r="AA42">
            <v>4</v>
          </cell>
          <cell r="AB42">
            <v>4</v>
          </cell>
          <cell r="AC42">
            <v>4</v>
          </cell>
          <cell r="AD42">
            <v>4</v>
          </cell>
          <cell r="AE42">
            <v>3</v>
          </cell>
          <cell r="AF42">
            <v>52</v>
          </cell>
          <cell r="AG42">
            <v>4.333333333333333</v>
          </cell>
        </row>
        <row r="43">
          <cell r="B43" t="str">
            <v>65RW1R</v>
          </cell>
          <cell r="C43" t="str">
            <v>1-65 GAL CART WKLY W/REC</v>
          </cell>
          <cell r="D43">
            <v>43.2</v>
          </cell>
          <cell r="E43">
            <v>45.19</v>
          </cell>
          <cell r="F43">
            <v>32438.609999999997</v>
          </cell>
          <cell r="G43">
            <v>33226.200000000004</v>
          </cell>
          <cell r="H43">
            <v>33355.800000000003</v>
          </cell>
          <cell r="I43">
            <v>33690.6</v>
          </cell>
          <cell r="J43">
            <v>34221.74</v>
          </cell>
          <cell r="K43">
            <v>33135.349999999991</v>
          </cell>
          <cell r="L43">
            <v>33533.889999999992</v>
          </cell>
          <cell r="M43">
            <v>32911.94</v>
          </cell>
          <cell r="N43">
            <v>33905.17</v>
          </cell>
          <cell r="O43">
            <v>34606.804999999993</v>
          </cell>
          <cell r="P43">
            <v>36016.42</v>
          </cell>
          <cell r="Q43">
            <v>35118.274999999994</v>
          </cell>
          <cell r="R43">
            <v>406160.79999999993</v>
          </cell>
          <cell r="T43">
            <v>750.89374999999984</v>
          </cell>
          <cell r="U43">
            <v>769.125</v>
          </cell>
          <cell r="V43">
            <v>772.125</v>
          </cell>
          <cell r="W43">
            <v>779.87499999999989</v>
          </cell>
          <cell r="X43">
            <v>792.16990740740732</v>
          </cell>
          <cell r="Y43">
            <v>767.02199074074053</v>
          </cell>
          <cell r="Z43">
            <v>776.24745370370351</v>
          </cell>
          <cell r="AA43">
            <v>761.85046296296298</v>
          </cell>
          <cell r="AB43">
            <v>784.84189814814806</v>
          </cell>
          <cell r="AC43">
            <v>765.80670502323517</v>
          </cell>
          <cell r="AD43">
            <v>796.99977871210444</v>
          </cell>
          <cell r="AE43">
            <v>777.12491701703902</v>
          </cell>
          <cell r="AF43">
            <v>9294.0818637153407</v>
          </cell>
          <cell r="AG43">
            <v>774.50682197627839</v>
          </cell>
        </row>
        <row r="44">
          <cell r="B44" t="str">
            <v>95RM1</v>
          </cell>
          <cell r="C44" t="str">
            <v>1-95 GAL CART MONTHLY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</row>
        <row r="45">
          <cell r="B45" t="str">
            <v>95RW1N</v>
          </cell>
          <cell r="C45" t="str">
            <v>1-95 GAL CART WKLY NONREC</v>
          </cell>
          <cell r="D45">
            <v>56.85</v>
          </cell>
          <cell r="E45">
            <v>59.41</v>
          </cell>
          <cell r="F45">
            <v>739.05</v>
          </cell>
          <cell r="G45">
            <v>739.05</v>
          </cell>
          <cell r="H45">
            <v>739.05</v>
          </cell>
          <cell r="I45">
            <v>739.05</v>
          </cell>
          <cell r="J45">
            <v>739.05</v>
          </cell>
          <cell r="K45">
            <v>113.7</v>
          </cell>
          <cell r="L45">
            <v>113.7</v>
          </cell>
          <cell r="M45">
            <v>113.7</v>
          </cell>
          <cell r="N45">
            <v>113.7</v>
          </cell>
          <cell r="O45">
            <v>118.82</v>
          </cell>
          <cell r="P45">
            <v>118.82</v>
          </cell>
          <cell r="Q45">
            <v>59.41</v>
          </cell>
          <cell r="R45">
            <v>4447.0999999999985</v>
          </cell>
          <cell r="T45">
            <v>12.999999999999998</v>
          </cell>
          <cell r="U45">
            <v>12.999999999999998</v>
          </cell>
          <cell r="V45">
            <v>12.999999999999998</v>
          </cell>
          <cell r="W45">
            <v>12.999999999999998</v>
          </cell>
          <cell r="X45">
            <v>12.999999999999998</v>
          </cell>
          <cell r="Y45">
            <v>2</v>
          </cell>
          <cell r="Z45">
            <v>2</v>
          </cell>
          <cell r="AA45">
            <v>2</v>
          </cell>
          <cell r="AB45">
            <v>2</v>
          </cell>
          <cell r="AC45">
            <v>2</v>
          </cell>
          <cell r="AD45">
            <v>2</v>
          </cell>
          <cell r="AE45">
            <v>1</v>
          </cell>
          <cell r="AF45">
            <v>77.999999999999986</v>
          </cell>
          <cell r="AG45">
            <v>6.4999999999999991</v>
          </cell>
        </row>
        <row r="46">
          <cell r="B46" t="str">
            <v>95RW1R</v>
          </cell>
          <cell r="C46" t="str">
            <v>1-95 GAL CART WKLY W/REC</v>
          </cell>
          <cell r="D46">
            <v>56.85</v>
          </cell>
          <cell r="E46">
            <v>59.41</v>
          </cell>
          <cell r="F46">
            <v>11739.525</v>
          </cell>
          <cell r="G46">
            <v>12222.749999999998</v>
          </cell>
          <cell r="H46">
            <v>12393.3</v>
          </cell>
          <cell r="I46">
            <v>12308.025000000001</v>
          </cell>
          <cell r="J46">
            <v>12819.675000000001</v>
          </cell>
          <cell r="K46">
            <v>11803.474999999999</v>
          </cell>
          <cell r="L46">
            <v>10893.875</v>
          </cell>
          <cell r="M46">
            <v>11092.85</v>
          </cell>
          <cell r="N46">
            <v>12126.390000000001</v>
          </cell>
          <cell r="O46">
            <v>11990.580000000002</v>
          </cell>
          <cell r="P46">
            <v>12624.625000000002</v>
          </cell>
          <cell r="Q46">
            <v>12297.87</v>
          </cell>
          <cell r="R46">
            <v>144312.94</v>
          </cell>
          <cell r="T46">
            <v>206.5</v>
          </cell>
          <cell r="U46">
            <v>214.99999999999997</v>
          </cell>
          <cell r="V46">
            <v>217.99999999999997</v>
          </cell>
          <cell r="W46">
            <v>216.50000000000003</v>
          </cell>
          <cell r="X46">
            <v>225.5</v>
          </cell>
          <cell r="Y46">
            <v>207.62489006156548</v>
          </cell>
          <cell r="Z46">
            <v>191.62489006156551</v>
          </cell>
          <cell r="AA46">
            <v>195.12489006156554</v>
          </cell>
          <cell r="AB46">
            <v>213.30501319261217</v>
          </cell>
          <cell r="AC46">
            <v>201.82763844470631</v>
          </cell>
          <cell r="AD46">
            <v>212.50000000000006</v>
          </cell>
          <cell r="AE46">
            <v>207.00000000000003</v>
          </cell>
          <cell r="AF46">
            <v>2510.5073218220155</v>
          </cell>
          <cell r="AG46">
            <v>209.20894348516796</v>
          </cell>
        </row>
        <row r="47">
          <cell r="B47" t="str">
            <v>96RW1N</v>
          </cell>
          <cell r="C47" t="str">
            <v>1-96 GAL CART WKLY NONREC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</row>
        <row r="48">
          <cell r="B48" t="str">
            <v>96RW1R</v>
          </cell>
          <cell r="C48" t="str">
            <v>1-96 GAL CART WKLY W/REC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</row>
        <row r="49">
          <cell r="B49" t="str">
            <v>ADJRES</v>
          </cell>
          <cell r="C49" t="str">
            <v>SERVICE ADJ-RESIDENTIAL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</row>
        <row r="50">
          <cell r="B50" t="str">
            <v>CARRY-RES</v>
          </cell>
          <cell r="C50" t="str">
            <v>CARRY OUT -RES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</row>
        <row r="51">
          <cell r="B51" t="str">
            <v>DELTOT</v>
          </cell>
          <cell r="C51" t="str">
            <v>GARB CART REDELIVERY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</row>
        <row r="52">
          <cell r="B52" t="str">
            <v>DRIVEPRVT-RES</v>
          </cell>
          <cell r="C52" t="str">
            <v>DRIVE IN PRIVATE RD - RES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</row>
        <row r="53">
          <cell r="B53" t="str">
            <v>DRVNRE1</v>
          </cell>
          <cell r="C53" t="str">
            <v>DRIVE IN UP TO 125'-EOW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</row>
        <row r="54">
          <cell r="B54" t="str">
            <v>DRVNRW1</v>
          </cell>
          <cell r="C54" t="str">
            <v>DRIVE IN UP TO 125'-WKLY</v>
          </cell>
          <cell r="D54">
            <v>12.9</v>
          </cell>
          <cell r="E54">
            <v>13.574999999999999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</row>
        <row r="55">
          <cell r="B55" t="str">
            <v>DRVNRW2</v>
          </cell>
          <cell r="C55" t="str">
            <v>DRIVE IN OVER 125'-WKLY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</row>
        <row r="56">
          <cell r="B56" t="str">
            <v>GWCR</v>
          </cell>
          <cell r="C56" t="str">
            <v>GOOD WILL CREDIT - RESI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-15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-15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</row>
        <row r="57">
          <cell r="B57" t="str">
            <v>IMPCNR1</v>
          </cell>
          <cell r="C57" t="str">
            <v>1 IMPROPER CAN - RESI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</row>
        <row r="58">
          <cell r="B58" t="str">
            <v>IMPCNR2</v>
          </cell>
          <cell r="C58" t="str">
            <v>2 IMPROPER CANS - RESI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</row>
        <row r="59">
          <cell r="B59" t="str">
            <v>OBSR</v>
          </cell>
          <cell r="C59" t="str">
            <v>OBSTRUCTION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</row>
        <row r="60">
          <cell r="B60" t="str">
            <v>OS</v>
          </cell>
          <cell r="C60" t="str">
            <v>OVERSIZE UNIT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</row>
        <row r="61">
          <cell r="B61" t="str">
            <v>OSOW</v>
          </cell>
          <cell r="C61" t="str">
            <v>OVERSIZE/OVERWEIGHT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</row>
        <row r="62">
          <cell r="B62" t="str">
            <v>OW</v>
          </cell>
          <cell r="C62" t="str">
            <v>OVERWEIGHT UNIT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</row>
        <row r="63">
          <cell r="B63" t="str">
            <v>PACKLC</v>
          </cell>
          <cell r="C63" t="str">
            <v>CARRY-OUT LONG DISTANCE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</row>
        <row r="64">
          <cell r="B64" t="str">
            <v>PACKR</v>
          </cell>
          <cell r="C64" t="str">
            <v>CARRY-OUT RESIDENTIAL</v>
          </cell>
          <cell r="D64">
            <v>12.9</v>
          </cell>
          <cell r="E64">
            <v>13.574999999999999</v>
          </cell>
          <cell r="F64">
            <v>38.700000000000003</v>
          </cell>
          <cell r="G64">
            <v>38.700000000000003</v>
          </cell>
          <cell r="H64">
            <v>38.700000000000003</v>
          </cell>
          <cell r="I64">
            <v>38.700000000000003</v>
          </cell>
          <cell r="J64">
            <v>38.700000000000003</v>
          </cell>
          <cell r="K64">
            <v>38.700000000000003</v>
          </cell>
          <cell r="L64">
            <v>38.700000000000003</v>
          </cell>
          <cell r="M64">
            <v>38.700000000000003</v>
          </cell>
          <cell r="N64">
            <v>38.700000000000003</v>
          </cell>
          <cell r="O64">
            <v>40.725000000000001</v>
          </cell>
          <cell r="P64">
            <v>40.725000000000001</v>
          </cell>
          <cell r="Q64">
            <v>40.725000000000001</v>
          </cell>
          <cell r="R64">
            <v>470.47500000000002</v>
          </cell>
          <cell r="T64">
            <v>3</v>
          </cell>
          <cell r="U64">
            <v>3</v>
          </cell>
          <cell r="V64">
            <v>3</v>
          </cell>
          <cell r="W64">
            <v>3</v>
          </cell>
          <cell r="X64">
            <v>3</v>
          </cell>
          <cell r="Y64">
            <v>3</v>
          </cell>
          <cell r="Z64">
            <v>3</v>
          </cell>
          <cell r="AA64">
            <v>3</v>
          </cell>
          <cell r="AB64">
            <v>3</v>
          </cell>
          <cell r="AC64">
            <v>3.0000000000000004</v>
          </cell>
          <cell r="AD64">
            <v>3.0000000000000004</v>
          </cell>
          <cell r="AE64">
            <v>3.0000000000000004</v>
          </cell>
          <cell r="AF64">
            <v>36</v>
          </cell>
          <cell r="AG64">
            <v>3</v>
          </cell>
        </row>
        <row r="65">
          <cell r="B65" t="str">
            <v>PACKSNR</v>
          </cell>
          <cell r="C65" t="str">
            <v>CARRY-OUT SENIOR SERVICE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</row>
        <row r="66">
          <cell r="B66" t="str">
            <v>RESTART FEE</v>
          </cell>
          <cell r="C66" t="str">
            <v>RESTART FEE</v>
          </cell>
          <cell r="D66">
            <v>25.48</v>
          </cell>
          <cell r="E66">
            <v>26.81</v>
          </cell>
          <cell r="F66">
            <v>89.179999999999993</v>
          </cell>
          <cell r="G66">
            <v>356.72</v>
          </cell>
          <cell r="H66">
            <v>25.48</v>
          </cell>
          <cell r="I66">
            <v>687.96</v>
          </cell>
          <cell r="J66">
            <v>50.96</v>
          </cell>
          <cell r="K66">
            <v>76.44</v>
          </cell>
          <cell r="L66">
            <v>76.44</v>
          </cell>
          <cell r="M66">
            <v>50.96</v>
          </cell>
          <cell r="N66">
            <v>1477.84</v>
          </cell>
          <cell r="O66">
            <v>316.39999999999998</v>
          </cell>
          <cell r="P66">
            <v>1718.5</v>
          </cell>
          <cell r="Q66">
            <v>160.86000000000001</v>
          </cell>
          <cell r="R66">
            <v>5087.7400000000007</v>
          </cell>
          <cell r="T66">
            <v>3.4999999999999996</v>
          </cell>
          <cell r="U66">
            <v>14</v>
          </cell>
          <cell r="V66">
            <v>1</v>
          </cell>
          <cell r="W66">
            <v>27</v>
          </cell>
          <cell r="X66">
            <v>2</v>
          </cell>
          <cell r="Y66">
            <v>3</v>
          </cell>
          <cell r="Z66">
            <v>3</v>
          </cell>
          <cell r="AA66">
            <v>2</v>
          </cell>
          <cell r="AB66">
            <v>57.999999999999993</v>
          </cell>
          <cell r="AC66">
            <v>11.801566579634464</v>
          </cell>
          <cell r="AD66">
            <v>64.099216710182773</v>
          </cell>
          <cell r="AE66">
            <v>6.0000000000000009</v>
          </cell>
          <cell r="AF66">
            <v>195.40078328981724</v>
          </cell>
          <cell r="AG66">
            <v>16.28339860748477</v>
          </cell>
        </row>
        <row r="67">
          <cell r="B67" t="str">
            <v>REXTRA</v>
          </cell>
          <cell r="C67" t="str">
            <v>EXTRA UNITS</v>
          </cell>
          <cell r="D67">
            <v>5.86</v>
          </cell>
          <cell r="E67">
            <v>6.14</v>
          </cell>
          <cell r="F67">
            <v>568.41999999999996</v>
          </cell>
          <cell r="G67">
            <v>1248.1799999999998</v>
          </cell>
          <cell r="H67">
            <v>966.9</v>
          </cell>
          <cell r="I67">
            <v>1095.82</v>
          </cell>
          <cell r="J67">
            <v>878.99999999999989</v>
          </cell>
          <cell r="K67">
            <v>873.14</v>
          </cell>
          <cell r="L67">
            <v>656.32</v>
          </cell>
          <cell r="M67">
            <v>1283.3400000000001</v>
          </cell>
          <cell r="N67">
            <v>662.18000000000006</v>
          </cell>
          <cell r="O67">
            <v>783.12</v>
          </cell>
          <cell r="P67">
            <v>614.83999999999992</v>
          </cell>
          <cell r="Q67">
            <v>742.93999999999994</v>
          </cell>
          <cell r="R67">
            <v>10374.200000000001</v>
          </cell>
          <cell r="T67">
            <v>96.999999999999986</v>
          </cell>
          <cell r="U67">
            <v>212.99999999999997</v>
          </cell>
          <cell r="V67">
            <v>165</v>
          </cell>
          <cell r="W67">
            <v>186.99999999999997</v>
          </cell>
          <cell r="X67">
            <v>149.99999999999997</v>
          </cell>
          <cell r="Y67">
            <v>149</v>
          </cell>
          <cell r="Z67">
            <v>112</v>
          </cell>
          <cell r="AA67">
            <v>219</v>
          </cell>
          <cell r="AB67">
            <v>113</v>
          </cell>
          <cell r="AC67">
            <v>127.54397394136808</v>
          </cell>
          <cell r="AD67">
            <v>100.13680781758957</v>
          </cell>
          <cell r="AE67">
            <v>121</v>
          </cell>
          <cell r="AF67">
            <v>1753.6807817589577</v>
          </cell>
          <cell r="AG67">
            <v>146.14006514657981</v>
          </cell>
        </row>
        <row r="68">
          <cell r="B68" t="str">
            <v>SUNKENR</v>
          </cell>
          <cell r="C68" t="str">
            <v>SUNKEN CAN CHARGE - RESI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</row>
        <row r="69">
          <cell r="B69" t="str">
            <v>TRIPRCANS</v>
          </cell>
          <cell r="C69" t="str">
            <v>RETURN TRIP CHARGE - CANS</v>
          </cell>
          <cell r="D69">
            <v>9.0299999999999994</v>
          </cell>
          <cell r="E69">
            <v>9.5</v>
          </cell>
          <cell r="F69">
            <v>45.15</v>
          </cell>
          <cell r="G69">
            <v>18.059999999999999</v>
          </cell>
          <cell r="H69">
            <v>36.119999999999997</v>
          </cell>
          <cell r="I69">
            <v>36.119999999999997</v>
          </cell>
          <cell r="J69">
            <v>27.089999999999996</v>
          </cell>
          <cell r="K69">
            <v>9.0299999999999994</v>
          </cell>
          <cell r="L69">
            <v>0</v>
          </cell>
          <cell r="M69">
            <v>9.0299999999999994</v>
          </cell>
          <cell r="N69">
            <v>45.15</v>
          </cell>
          <cell r="O69">
            <v>9.5</v>
          </cell>
          <cell r="P69">
            <v>66.5</v>
          </cell>
          <cell r="Q69">
            <v>0</v>
          </cell>
          <cell r="R69">
            <v>301.75</v>
          </cell>
          <cell r="T69">
            <v>5</v>
          </cell>
          <cell r="U69">
            <v>2</v>
          </cell>
          <cell r="V69">
            <v>4</v>
          </cell>
          <cell r="W69">
            <v>4</v>
          </cell>
          <cell r="X69">
            <v>3</v>
          </cell>
          <cell r="Y69">
            <v>1</v>
          </cell>
          <cell r="Z69">
            <v>0</v>
          </cell>
          <cell r="AA69">
            <v>1</v>
          </cell>
          <cell r="AB69">
            <v>5</v>
          </cell>
          <cell r="AC69">
            <v>1</v>
          </cell>
          <cell r="AD69">
            <v>7</v>
          </cell>
          <cell r="AE69">
            <v>0</v>
          </cell>
          <cell r="AF69">
            <v>33</v>
          </cell>
          <cell r="AG69">
            <v>2.75</v>
          </cell>
        </row>
        <row r="70">
          <cell r="B70" t="str">
            <v>TRIPRCARTS</v>
          </cell>
          <cell r="C70" t="str">
            <v>RESI TRIP CHARGE - CARTS</v>
          </cell>
          <cell r="D70">
            <v>9.0299999999999994</v>
          </cell>
          <cell r="E70">
            <v>9.5</v>
          </cell>
          <cell r="F70">
            <v>18.059999999999999</v>
          </cell>
          <cell r="G70">
            <v>9.0299999999999994</v>
          </cell>
          <cell r="H70">
            <v>18.059999999999999</v>
          </cell>
          <cell r="I70">
            <v>0</v>
          </cell>
          <cell r="J70">
            <v>9.0299999999999994</v>
          </cell>
          <cell r="K70">
            <v>0</v>
          </cell>
          <cell r="L70">
            <v>0</v>
          </cell>
          <cell r="M70">
            <v>0</v>
          </cell>
          <cell r="N70">
            <v>27.09</v>
          </cell>
          <cell r="O70">
            <v>9.5</v>
          </cell>
          <cell r="P70">
            <v>28.5</v>
          </cell>
          <cell r="Q70">
            <v>0</v>
          </cell>
          <cell r="R70">
            <v>119.27</v>
          </cell>
          <cell r="T70">
            <v>2</v>
          </cell>
          <cell r="U70">
            <v>1</v>
          </cell>
          <cell r="V70">
            <v>2</v>
          </cell>
          <cell r="W70">
            <v>0</v>
          </cell>
          <cell r="X70">
            <v>1</v>
          </cell>
          <cell r="Y70">
            <v>0</v>
          </cell>
          <cell r="Z70">
            <v>0</v>
          </cell>
          <cell r="AA70">
            <v>0</v>
          </cell>
          <cell r="AB70">
            <v>3</v>
          </cell>
          <cell r="AC70">
            <v>1</v>
          </cell>
          <cell r="AD70">
            <v>3</v>
          </cell>
          <cell r="AE70">
            <v>0</v>
          </cell>
          <cell r="AF70">
            <v>13</v>
          </cell>
          <cell r="AG70">
            <v>1.0833333333333333</v>
          </cell>
        </row>
        <row r="71">
          <cell r="B71" t="str">
            <v>BULKY-RES</v>
          </cell>
          <cell r="C71" t="str">
            <v>BULKY ITEM</v>
          </cell>
          <cell r="D71">
            <v>26</v>
          </cell>
          <cell r="E71">
            <v>27.36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26</v>
          </cell>
          <cell r="N71">
            <v>104</v>
          </cell>
          <cell r="O71">
            <v>104</v>
          </cell>
          <cell r="P71">
            <v>169</v>
          </cell>
          <cell r="Q71">
            <v>0</v>
          </cell>
          <cell r="R71">
            <v>403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1</v>
          </cell>
          <cell r="AB71">
            <v>4</v>
          </cell>
          <cell r="AC71">
            <v>3.801169590643275</v>
          </cell>
          <cell r="AD71">
            <v>6.1769005847953213</v>
          </cell>
          <cell r="AE71">
            <v>0</v>
          </cell>
          <cell r="AF71">
            <v>14.978070175438596</v>
          </cell>
          <cell r="AG71">
            <v>1.248172514619883</v>
          </cell>
        </row>
        <row r="72">
          <cell r="B72" t="str">
            <v>DELCART</v>
          </cell>
          <cell r="C72" t="str">
            <v>CART REDELIVERY</v>
          </cell>
          <cell r="D72">
            <v>25</v>
          </cell>
          <cell r="E72">
            <v>26.31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26.31</v>
          </cell>
          <cell r="Q72">
            <v>0</v>
          </cell>
          <cell r="R72">
            <v>26.31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1</v>
          </cell>
          <cell r="AE72">
            <v>0</v>
          </cell>
          <cell r="AF72">
            <v>1</v>
          </cell>
          <cell r="AG72">
            <v>8.3333333333333329E-2</v>
          </cell>
        </row>
        <row r="73">
          <cell r="B73" t="str">
            <v>MDMINMO</v>
          </cell>
          <cell r="C73" t="str">
            <v>MINIMUM MONTHLY CHARGE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15</v>
          </cell>
          <cell r="P73">
            <v>0</v>
          </cell>
          <cell r="Q73">
            <v>0</v>
          </cell>
          <cell r="R73">
            <v>15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</row>
        <row r="74">
          <cell r="B74" t="str">
            <v>REDELCONT-COMM</v>
          </cell>
          <cell r="C74" t="str">
            <v>REDELIVERY FEE CONT - COMM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26.31</v>
          </cell>
          <cell r="Q74">
            <v>0</v>
          </cell>
          <cell r="R74">
            <v>26.31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</row>
        <row r="75">
          <cell r="B75" t="str">
            <v>RESTART FEE-COM</v>
          </cell>
          <cell r="C75" t="str">
            <v>RESTART FEE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76.44</v>
          </cell>
          <cell r="N75">
            <v>127.4</v>
          </cell>
          <cell r="O75">
            <v>105.91</v>
          </cell>
          <cell r="P75">
            <v>26.81</v>
          </cell>
          <cell r="Q75">
            <v>80.430000000000007</v>
          </cell>
          <cell r="R75">
            <v>416.99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</row>
        <row r="110">
          <cell r="B110" t="str">
            <v>20CW1</v>
          </cell>
          <cell r="C110" t="str">
            <v>1-20 GAL CART WKLY</v>
          </cell>
          <cell r="D110">
            <v>24.84</v>
          </cell>
          <cell r="E110">
            <v>26.05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52.1</v>
          </cell>
          <cell r="P110">
            <v>13.02</v>
          </cell>
          <cell r="Q110">
            <v>0</v>
          </cell>
          <cell r="R110">
            <v>65.12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2</v>
          </cell>
          <cell r="AD110">
            <v>0.49980806142034545</v>
          </cell>
          <cell r="AE110">
            <v>0</v>
          </cell>
          <cell r="AF110">
            <v>2.4998080614203455</v>
          </cell>
          <cell r="AG110">
            <v>0.20831733845169545</v>
          </cell>
        </row>
        <row r="111">
          <cell r="B111" t="str">
            <v>32C2W2</v>
          </cell>
          <cell r="C111" t="str">
            <v>2-32 GAL CANS 2X WEEKLY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</row>
        <row r="112">
          <cell r="B112" t="str">
            <v>32CE1</v>
          </cell>
          <cell r="C112" t="str">
            <v>32 GAL CAN COMM EOW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</row>
        <row r="113">
          <cell r="B113" t="str">
            <v>32CW1</v>
          </cell>
          <cell r="C113" t="str">
            <v>1-32 GAL CAN WEEKLY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</row>
        <row r="114">
          <cell r="B114" t="str">
            <v>32CW2</v>
          </cell>
          <cell r="C114" t="str">
            <v>2-32 GAL CANS WKLY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</row>
        <row r="115">
          <cell r="B115" t="str">
            <v>32CW3</v>
          </cell>
          <cell r="C115" t="str">
            <v>3-32 GAL CANS WKLY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</row>
        <row r="116">
          <cell r="B116" t="str">
            <v>32CW4</v>
          </cell>
          <cell r="C116" t="str">
            <v>4-32 GAL CANS WKLY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</row>
        <row r="117">
          <cell r="B117" t="str">
            <v>35CW1</v>
          </cell>
          <cell r="C117" t="str">
            <v>1-35 GAL CART WKLY</v>
          </cell>
          <cell r="D117">
            <v>30.98</v>
          </cell>
          <cell r="E117">
            <v>32.47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30.98</v>
          </cell>
          <cell r="K117">
            <v>619.6</v>
          </cell>
          <cell r="L117">
            <v>681.56</v>
          </cell>
          <cell r="M117">
            <v>681.56</v>
          </cell>
          <cell r="N117">
            <v>681.56</v>
          </cell>
          <cell r="O117">
            <v>746.81</v>
          </cell>
          <cell r="P117">
            <v>624.24</v>
          </cell>
          <cell r="Q117">
            <v>649.4</v>
          </cell>
          <cell r="R117">
            <v>4715.7099999999991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1</v>
          </cell>
          <cell r="Y117">
            <v>20</v>
          </cell>
          <cell r="Z117">
            <v>21.999999999999996</v>
          </cell>
          <cell r="AA117">
            <v>21.999999999999996</v>
          </cell>
          <cell r="AB117">
            <v>21.999999999999996</v>
          </cell>
          <cell r="AC117">
            <v>23</v>
          </cell>
          <cell r="AD117">
            <v>19.225130890052355</v>
          </cell>
          <cell r="AE117">
            <v>20</v>
          </cell>
          <cell r="AF117">
            <v>149.22513089005236</v>
          </cell>
          <cell r="AG117">
            <v>12.43542757417103</v>
          </cell>
        </row>
        <row r="118">
          <cell r="B118" t="str">
            <v>65CW1</v>
          </cell>
          <cell r="C118" t="str">
            <v>1-65 GAL CART WKLY</v>
          </cell>
          <cell r="D118">
            <v>43.2</v>
          </cell>
          <cell r="E118">
            <v>45.19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43.2</v>
          </cell>
          <cell r="K118">
            <v>604.79999999999995</v>
          </cell>
          <cell r="L118">
            <v>648</v>
          </cell>
          <cell r="M118">
            <v>648</v>
          </cell>
          <cell r="N118">
            <v>648</v>
          </cell>
          <cell r="O118">
            <v>677.85</v>
          </cell>
          <cell r="P118">
            <v>723.04</v>
          </cell>
          <cell r="Q118">
            <v>723.04</v>
          </cell>
          <cell r="R118">
            <v>4715.93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1</v>
          </cell>
          <cell r="Y118">
            <v>13.999999999999998</v>
          </cell>
          <cell r="Z118">
            <v>14.999999999999998</v>
          </cell>
          <cell r="AA118">
            <v>14.999999999999998</v>
          </cell>
          <cell r="AB118">
            <v>14.999999999999998</v>
          </cell>
          <cell r="AC118">
            <v>15.000000000000002</v>
          </cell>
          <cell r="AD118">
            <v>16</v>
          </cell>
          <cell r="AE118">
            <v>16</v>
          </cell>
          <cell r="AF118">
            <v>107</v>
          </cell>
          <cell r="AG118">
            <v>8.9166666666666661</v>
          </cell>
        </row>
        <row r="119">
          <cell r="B119" t="str">
            <v>95CW1</v>
          </cell>
          <cell r="C119" t="str">
            <v>1-95 GAL CART WKLY</v>
          </cell>
          <cell r="D119">
            <v>56.85</v>
          </cell>
          <cell r="E119">
            <v>59.41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170.55</v>
          </cell>
          <cell r="K119">
            <v>2217.1499999999996</v>
          </cell>
          <cell r="L119">
            <v>2274</v>
          </cell>
          <cell r="M119">
            <v>2346.14</v>
          </cell>
          <cell r="N119">
            <v>2330.85</v>
          </cell>
          <cell r="O119">
            <v>2480.36</v>
          </cell>
          <cell r="P119">
            <v>2673.45</v>
          </cell>
          <cell r="Q119">
            <v>2688.3</v>
          </cell>
          <cell r="R119">
            <v>17180.8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3</v>
          </cell>
          <cell r="Y119">
            <v>38.999999999999993</v>
          </cell>
          <cell r="Z119">
            <v>40</v>
          </cell>
          <cell r="AA119">
            <v>41.268953386103782</v>
          </cell>
          <cell r="AB119">
            <v>41</v>
          </cell>
          <cell r="AC119">
            <v>41.749873758626499</v>
          </cell>
          <cell r="AD119">
            <v>45</v>
          </cell>
          <cell r="AE119">
            <v>45.249957919542169</v>
          </cell>
          <cell r="AF119">
            <v>296.26878506427249</v>
          </cell>
          <cell r="AG119">
            <v>24.689065422022708</v>
          </cell>
        </row>
        <row r="120">
          <cell r="B120" t="str">
            <v>F1YD1W</v>
          </cell>
          <cell r="C120" t="str">
            <v>1YD CONT 1X WEEKLY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</row>
        <row r="121">
          <cell r="B121" t="str">
            <v>R1YD1W</v>
          </cell>
          <cell r="C121" t="str">
            <v>1YD CONT 1xWEEKLY</v>
          </cell>
          <cell r="D121">
            <v>121.36</v>
          </cell>
          <cell r="E121">
            <v>126.96</v>
          </cell>
          <cell r="F121">
            <v>11817.43</v>
          </cell>
          <cell r="G121">
            <v>11407.84</v>
          </cell>
          <cell r="H121">
            <v>11862.94</v>
          </cell>
          <cell r="I121">
            <v>11756.749999999998</v>
          </cell>
          <cell r="J121">
            <v>12060.15</v>
          </cell>
          <cell r="K121">
            <v>11832.6</v>
          </cell>
          <cell r="L121">
            <v>11225.8</v>
          </cell>
          <cell r="M121">
            <v>10744.990000000002</v>
          </cell>
          <cell r="N121">
            <v>11043.76</v>
          </cell>
          <cell r="O121">
            <v>11821.699999999999</v>
          </cell>
          <cell r="P121">
            <v>11965.98</v>
          </cell>
          <cell r="Q121">
            <v>12346.86</v>
          </cell>
          <cell r="R121">
            <v>139886.79999999999</v>
          </cell>
          <cell r="T121">
            <v>97.375</v>
          </cell>
          <cell r="U121">
            <v>94</v>
          </cell>
          <cell r="V121">
            <v>97.75</v>
          </cell>
          <cell r="W121">
            <v>96.874999999999986</v>
          </cell>
          <cell r="X121">
            <v>99.375</v>
          </cell>
          <cell r="Y121">
            <v>97.5</v>
          </cell>
          <cell r="Z121">
            <v>92.5</v>
          </cell>
          <cell r="AA121">
            <v>88.538150955833899</v>
          </cell>
          <cell r="AB121">
            <v>91</v>
          </cell>
          <cell r="AC121">
            <v>93.113579080025204</v>
          </cell>
          <cell r="AD121">
            <v>94.25</v>
          </cell>
          <cell r="AE121">
            <v>97.250000000000014</v>
          </cell>
          <cell r="AF121">
            <v>1139.5267300358591</v>
          </cell>
          <cell r="AG121">
            <v>94.960560836321591</v>
          </cell>
        </row>
        <row r="122">
          <cell r="B122" t="str">
            <v>F1YD2W</v>
          </cell>
          <cell r="C122" t="str">
            <v>1YD CONT 2X WEEKLY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</row>
        <row r="123">
          <cell r="B123" t="str">
            <v>R1YD2W</v>
          </cell>
          <cell r="C123" t="str">
            <v>1YD CONT 2xWEEKLY</v>
          </cell>
          <cell r="D123">
            <v>242.74</v>
          </cell>
          <cell r="E123">
            <v>253.93</v>
          </cell>
          <cell r="F123">
            <v>242.74</v>
          </cell>
          <cell r="G123">
            <v>141.28000000000003</v>
          </cell>
          <cell r="H123">
            <v>242.74</v>
          </cell>
          <cell r="I123">
            <v>242.74</v>
          </cell>
          <cell r="J123">
            <v>242.74</v>
          </cell>
          <cell r="K123">
            <v>242.74</v>
          </cell>
          <cell r="L123">
            <v>242.74</v>
          </cell>
          <cell r="M123">
            <v>242.74</v>
          </cell>
          <cell r="N123">
            <v>242.74</v>
          </cell>
          <cell r="O123">
            <v>253.93</v>
          </cell>
          <cell r="P123">
            <v>253.93</v>
          </cell>
          <cell r="Q123">
            <v>253.93</v>
          </cell>
          <cell r="R123">
            <v>2844.9899999999993</v>
          </cell>
          <cell r="T123">
            <v>1</v>
          </cell>
          <cell r="U123">
            <v>0.58202191645381895</v>
          </cell>
          <cell r="V123">
            <v>1</v>
          </cell>
          <cell r="W123">
            <v>1</v>
          </cell>
          <cell r="X123">
            <v>1</v>
          </cell>
          <cell r="Y123">
            <v>1</v>
          </cell>
          <cell r="Z123">
            <v>1</v>
          </cell>
          <cell r="AA123">
            <v>1</v>
          </cell>
          <cell r="AB123">
            <v>1</v>
          </cell>
          <cell r="AC123">
            <v>1</v>
          </cell>
          <cell r="AD123">
            <v>1</v>
          </cell>
          <cell r="AE123">
            <v>1</v>
          </cell>
          <cell r="AF123">
            <v>11.582021916453819</v>
          </cell>
          <cell r="AG123">
            <v>0.96516849303781826</v>
          </cell>
        </row>
        <row r="124">
          <cell r="B124" t="str">
            <v>R1YD3W</v>
          </cell>
          <cell r="C124" t="str">
            <v>1YD CONT 3xWEEKLY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</row>
        <row r="125">
          <cell r="B125" t="str">
            <v>R1YDEOW</v>
          </cell>
          <cell r="C125" t="str">
            <v>1YD CONT EOW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</row>
        <row r="126">
          <cell r="B126" t="str">
            <v>R1YDTPU</v>
          </cell>
          <cell r="C126" t="str">
            <v>1YD TEMP CONT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</row>
        <row r="127">
          <cell r="B127" t="str">
            <v>R1.5YD1W</v>
          </cell>
          <cell r="C127" t="str">
            <v>1.5YD CONT 1xWEEKLY</v>
          </cell>
          <cell r="D127">
            <v>168.98</v>
          </cell>
          <cell r="E127">
            <v>176.69</v>
          </cell>
          <cell r="F127">
            <v>4942.665</v>
          </cell>
          <cell r="G127">
            <v>4984.91</v>
          </cell>
          <cell r="H127">
            <v>4815.93</v>
          </cell>
          <cell r="I127">
            <v>3717.56</v>
          </cell>
          <cell r="J127">
            <v>3971.0299999999997</v>
          </cell>
          <cell r="K127">
            <v>3548.58</v>
          </cell>
          <cell r="L127">
            <v>3607.5</v>
          </cell>
          <cell r="M127">
            <v>3506.33</v>
          </cell>
          <cell r="N127">
            <v>3548.58</v>
          </cell>
          <cell r="O127">
            <v>3710.49</v>
          </cell>
          <cell r="P127">
            <v>3622.14</v>
          </cell>
          <cell r="Q127">
            <v>3533.8</v>
          </cell>
          <cell r="R127">
            <v>47509.515000000007</v>
          </cell>
          <cell r="T127">
            <v>29.25</v>
          </cell>
          <cell r="U127">
            <v>29.5</v>
          </cell>
          <cell r="V127">
            <v>28.500000000000004</v>
          </cell>
          <cell r="W127">
            <v>22</v>
          </cell>
          <cell r="X127">
            <v>23.5</v>
          </cell>
          <cell r="Y127">
            <v>21</v>
          </cell>
          <cell r="Z127">
            <v>21.348680317197303</v>
          </cell>
          <cell r="AA127">
            <v>20.749970410699493</v>
          </cell>
          <cell r="AB127">
            <v>21</v>
          </cell>
          <cell r="AC127">
            <v>21</v>
          </cell>
          <cell r="AD127">
            <v>20.499971701850697</v>
          </cell>
          <cell r="AE127">
            <v>20</v>
          </cell>
          <cell r="AF127">
            <v>278.34862242974748</v>
          </cell>
          <cell r="AG127">
            <v>23.19571853581229</v>
          </cell>
        </row>
        <row r="128">
          <cell r="B128" t="str">
            <v>F1.5YD1W</v>
          </cell>
          <cell r="C128" t="str">
            <v>1.5YD CONT 1X WEEKLY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</row>
        <row r="129">
          <cell r="B129" t="str">
            <v>R1.5YD2W</v>
          </cell>
          <cell r="C129" t="str">
            <v>1.5YD CONT 2xWEEKLY</v>
          </cell>
          <cell r="D129">
            <v>337.67</v>
          </cell>
          <cell r="E129">
            <v>353.07</v>
          </cell>
          <cell r="F129">
            <v>4727.38</v>
          </cell>
          <cell r="G129">
            <v>4642.96</v>
          </cell>
          <cell r="H129">
            <v>4600.75</v>
          </cell>
          <cell r="I129">
            <v>4642.96</v>
          </cell>
          <cell r="J129">
            <v>4727.38</v>
          </cell>
          <cell r="K129">
            <v>4727.38</v>
          </cell>
          <cell r="L129">
            <v>4727.38</v>
          </cell>
          <cell r="M129">
            <v>4727.38</v>
          </cell>
          <cell r="N129">
            <v>4727.38</v>
          </cell>
          <cell r="O129">
            <v>4854.7199999999993</v>
          </cell>
          <cell r="P129">
            <v>4942.9799999999996</v>
          </cell>
          <cell r="Q129">
            <v>4942.9799999999996</v>
          </cell>
          <cell r="R129">
            <v>56991.62999999999</v>
          </cell>
          <cell r="T129">
            <v>14</v>
          </cell>
          <cell r="U129">
            <v>13.749992596321853</v>
          </cell>
          <cell r="V129">
            <v>13.624988894482778</v>
          </cell>
          <cell r="W129">
            <v>13.749992596321853</v>
          </cell>
          <cell r="X129">
            <v>14</v>
          </cell>
          <cell r="Y129">
            <v>14</v>
          </cell>
          <cell r="Z129">
            <v>14</v>
          </cell>
          <cell r="AA129">
            <v>14</v>
          </cell>
          <cell r="AB129">
            <v>14</v>
          </cell>
          <cell r="AC129">
            <v>13.750021242246579</v>
          </cell>
          <cell r="AD129">
            <v>13.999999999999998</v>
          </cell>
          <cell r="AE129">
            <v>13.999999999999998</v>
          </cell>
          <cell r="AF129">
            <v>166.87499532937306</v>
          </cell>
          <cell r="AG129">
            <v>13.906249610781089</v>
          </cell>
        </row>
        <row r="130">
          <cell r="B130" t="str">
            <v>R1.5YD3W</v>
          </cell>
          <cell r="C130" t="str">
            <v>1.5YD CONT 3xWEEKLY</v>
          </cell>
          <cell r="D130">
            <v>255.2</v>
          </cell>
          <cell r="E130">
            <v>533.58000000000004</v>
          </cell>
          <cell r="F130">
            <v>0</v>
          </cell>
          <cell r="G130">
            <v>0</v>
          </cell>
          <cell r="H130">
            <v>0</v>
          </cell>
          <cell r="I130">
            <v>297.72500000000002</v>
          </cell>
          <cell r="J130">
            <v>91.925000000000011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389.65000000000003</v>
          </cell>
          <cell r="T130">
            <v>0</v>
          </cell>
          <cell r="U130">
            <v>0</v>
          </cell>
          <cell r="V130">
            <v>0</v>
          </cell>
          <cell r="W130">
            <v>1.1666340125391852</v>
          </cell>
          <cell r="X130">
            <v>0.36020768025078376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1.5268416927899691</v>
          </cell>
          <cell r="AG130">
            <v>0.12723680773249743</v>
          </cell>
        </row>
        <row r="131">
          <cell r="B131" t="str">
            <v>R1.5YDEOW</v>
          </cell>
          <cell r="C131" t="str">
            <v>1.5YD CONT EOW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</row>
        <row r="132">
          <cell r="B132" t="str">
            <v>R1.5YDTPU</v>
          </cell>
          <cell r="C132" t="str">
            <v>1.5YD TEMP CONTAINER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</row>
        <row r="133">
          <cell r="B133" t="str">
            <v>F2YD1W</v>
          </cell>
          <cell r="C133" t="str">
            <v>2YD CONT 1X WEEKLY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</row>
        <row r="134">
          <cell r="B134" t="str">
            <v>R2YD1W</v>
          </cell>
          <cell r="C134" t="str">
            <v>2YD CONT 1xWEEKLY</v>
          </cell>
          <cell r="D134">
            <v>219.71</v>
          </cell>
          <cell r="E134">
            <v>229.8</v>
          </cell>
          <cell r="F134">
            <v>21064.69</v>
          </cell>
          <cell r="G134">
            <v>24074.085000000003</v>
          </cell>
          <cell r="H134">
            <v>20652.735000000004</v>
          </cell>
          <cell r="I134">
            <v>22154.3</v>
          </cell>
          <cell r="J134">
            <v>23289.249999999996</v>
          </cell>
          <cell r="K134">
            <v>21504.1</v>
          </cell>
          <cell r="L134">
            <v>23371.65</v>
          </cell>
          <cell r="M134">
            <v>22794.89</v>
          </cell>
          <cell r="N134">
            <v>22410.38</v>
          </cell>
          <cell r="O134">
            <v>23382.15</v>
          </cell>
          <cell r="P134">
            <v>23094.9</v>
          </cell>
          <cell r="Q134">
            <v>23611.95</v>
          </cell>
          <cell r="R134">
            <v>271405.08</v>
          </cell>
          <cell r="T134">
            <v>95.874971553411299</v>
          </cell>
          <cell r="U134">
            <v>109.57209503436349</v>
          </cell>
          <cell r="V134">
            <v>93.999977242729074</v>
          </cell>
          <cell r="W134">
            <v>100.83428155295616</v>
          </cell>
          <cell r="X134">
            <v>105.99995448545809</v>
          </cell>
          <cell r="Y134">
            <v>97.874926038869404</v>
          </cell>
          <cell r="Z134">
            <v>106.37499431068227</v>
          </cell>
          <cell r="AA134">
            <v>103.74989759228073</v>
          </cell>
          <cell r="AB134">
            <v>101.99981794183242</v>
          </cell>
          <cell r="AC134">
            <v>101.75</v>
          </cell>
          <cell r="AD134">
            <v>100.5</v>
          </cell>
          <cell r="AE134">
            <v>102.75</v>
          </cell>
          <cell r="AF134">
            <v>1221.2809157525828</v>
          </cell>
          <cell r="AG134">
            <v>101.77340964604856</v>
          </cell>
        </row>
        <row r="135">
          <cell r="B135" t="str">
            <v>R2YD2W</v>
          </cell>
          <cell r="C135" t="str">
            <v>2YD CONT 2xWEEKLY</v>
          </cell>
          <cell r="D135">
            <v>439.36</v>
          </cell>
          <cell r="E135">
            <v>459.51</v>
          </cell>
          <cell r="F135">
            <v>8402.76</v>
          </cell>
          <cell r="G135">
            <v>3290.5000000000009</v>
          </cell>
          <cell r="H135">
            <v>9363.86</v>
          </cell>
          <cell r="I135">
            <v>10160.200000000001</v>
          </cell>
          <cell r="J135">
            <v>11038.92</v>
          </cell>
          <cell r="K135">
            <v>9127.7000000000007</v>
          </cell>
          <cell r="L135">
            <v>9336.4</v>
          </cell>
          <cell r="M135">
            <v>9061.7999999999993</v>
          </cell>
          <cell r="N135">
            <v>9830.68</v>
          </cell>
          <cell r="O135">
            <v>9945.67</v>
          </cell>
          <cell r="P135">
            <v>10113.99</v>
          </cell>
          <cell r="Q135">
            <v>10462.609999999999</v>
          </cell>
          <cell r="R135">
            <v>110135.09000000001</v>
          </cell>
          <cell r="T135">
            <v>19.125</v>
          </cell>
          <cell r="U135">
            <v>7.4893026219956322</v>
          </cell>
          <cell r="V135">
            <v>21.3125</v>
          </cell>
          <cell r="W135">
            <v>23.125</v>
          </cell>
          <cell r="X135">
            <v>25.125</v>
          </cell>
          <cell r="Y135">
            <v>20.774990895848507</v>
          </cell>
          <cell r="Z135">
            <v>21.25</v>
          </cell>
          <cell r="AA135">
            <v>20.624999999999996</v>
          </cell>
          <cell r="AB135">
            <v>22.375</v>
          </cell>
          <cell r="AC135">
            <v>21.644077386781571</v>
          </cell>
          <cell r="AD135">
            <v>22.010380622837371</v>
          </cell>
          <cell r="AE135">
            <v>22.769058344758545</v>
          </cell>
          <cell r="AF135">
            <v>247.62530987222161</v>
          </cell>
          <cell r="AG135">
            <v>20.635442489351799</v>
          </cell>
        </row>
        <row r="136">
          <cell r="B136" t="str">
            <v>F2YD2W</v>
          </cell>
          <cell r="C136" t="str">
            <v>2YD CONT 2X WEEKLY</v>
          </cell>
          <cell r="D136">
            <v>439.36</v>
          </cell>
          <cell r="E136">
            <v>459.51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329.52</v>
          </cell>
          <cell r="N136">
            <v>439.36</v>
          </cell>
          <cell r="O136">
            <v>459.51</v>
          </cell>
          <cell r="P136">
            <v>459.51</v>
          </cell>
          <cell r="Q136">
            <v>459.51</v>
          </cell>
          <cell r="R136">
            <v>2147.41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0.74999999999999989</v>
          </cell>
          <cell r="AB136">
            <v>1</v>
          </cell>
          <cell r="AC136">
            <v>1</v>
          </cell>
          <cell r="AD136">
            <v>1</v>
          </cell>
          <cell r="AE136">
            <v>1</v>
          </cell>
          <cell r="AF136">
            <v>4.75</v>
          </cell>
          <cell r="AG136">
            <v>0.39583333333333331</v>
          </cell>
        </row>
        <row r="137">
          <cell r="B137" t="str">
            <v>F2YD3W</v>
          </cell>
          <cell r="C137" t="str">
            <v>2YD CONT 3X WEEKLY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</row>
        <row r="138">
          <cell r="B138" t="str">
            <v>R2YD3W</v>
          </cell>
          <cell r="C138" t="str">
            <v>2YD CONT 3xWEEKLY</v>
          </cell>
          <cell r="D138">
            <v>659.09</v>
          </cell>
          <cell r="E138">
            <v>689.33</v>
          </cell>
          <cell r="F138">
            <v>8156.2349999999997</v>
          </cell>
          <cell r="G138">
            <v>7250.0599999999995</v>
          </cell>
          <cell r="H138">
            <v>7909.08</v>
          </cell>
          <cell r="I138">
            <v>7249.99</v>
          </cell>
          <cell r="J138">
            <v>7249.99</v>
          </cell>
          <cell r="K138">
            <v>7249.99</v>
          </cell>
          <cell r="L138">
            <v>7909.08</v>
          </cell>
          <cell r="M138">
            <v>7909.08</v>
          </cell>
          <cell r="N138">
            <v>7909.08</v>
          </cell>
          <cell r="O138">
            <v>7582.63</v>
          </cell>
          <cell r="P138">
            <v>7582.63</v>
          </cell>
          <cell r="Q138">
            <v>7582.63</v>
          </cell>
          <cell r="R138">
            <v>91540.475000000006</v>
          </cell>
          <cell r="T138">
            <v>12.374994310336978</v>
          </cell>
          <cell r="U138">
            <v>11.000106207043043</v>
          </cell>
          <cell r="V138">
            <v>12</v>
          </cell>
          <cell r="W138">
            <v>11</v>
          </cell>
          <cell r="X138">
            <v>11</v>
          </cell>
          <cell r="Y138">
            <v>11</v>
          </cell>
          <cell r="Z138">
            <v>12</v>
          </cell>
          <cell r="AA138">
            <v>12</v>
          </cell>
          <cell r="AB138">
            <v>12</v>
          </cell>
          <cell r="AC138">
            <v>11</v>
          </cell>
          <cell r="AD138">
            <v>11</v>
          </cell>
          <cell r="AE138">
            <v>11</v>
          </cell>
          <cell r="AF138">
            <v>137.37510051738002</v>
          </cell>
          <cell r="AG138">
            <v>11.447925043115001</v>
          </cell>
        </row>
        <row r="139">
          <cell r="B139" t="str">
            <v>R2YD4W</v>
          </cell>
          <cell r="C139" t="str">
            <v>2YD CONT 4xWEEKLY</v>
          </cell>
          <cell r="D139">
            <v>889.39</v>
          </cell>
          <cell r="E139">
            <v>930.26</v>
          </cell>
          <cell r="F139">
            <v>889.39</v>
          </cell>
          <cell r="G139">
            <v>889.39</v>
          </cell>
          <cell r="H139">
            <v>889.39</v>
          </cell>
          <cell r="I139">
            <v>889.39</v>
          </cell>
          <cell r="J139">
            <v>889.39</v>
          </cell>
          <cell r="K139">
            <v>889.39</v>
          </cell>
          <cell r="L139">
            <v>889.39</v>
          </cell>
          <cell r="M139">
            <v>889.39</v>
          </cell>
          <cell r="N139">
            <v>889.39</v>
          </cell>
          <cell r="O139">
            <v>930.26</v>
          </cell>
          <cell r="P139">
            <v>930.26</v>
          </cell>
          <cell r="Q139">
            <v>930.26</v>
          </cell>
          <cell r="R139">
            <v>10795.29</v>
          </cell>
          <cell r="T139">
            <v>1</v>
          </cell>
          <cell r="U139">
            <v>1</v>
          </cell>
          <cell r="V139">
            <v>1</v>
          </cell>
          <cell r="W139">
            <v>1</v>
          </cell>
          <cell r="X139">
            <v>1</v>
          </cell>
          <cell r="Y139">
            <v>1</v>
          </cell>
          <cell r="Z139">
            <v>1</v>
          </cell>
          <cell r="AA139">
            <v>1</v>
          </cell>
          <cell r="AB139">
            <v>1</v>
          </cell>
          <cell r="AC139">
            <v>1</v>
          </cell>
          <cell r="AD139">
            <v>1</v>
          </cell>
          <cell r="AE139">
            <v>1</v>
          </cell>
          <cell r="AF139">
            <v>12</v>
          </cell>
          <cell r="AG139">
            <v>1</v>
          </cell>
        </row>
        <row r="140">
          <cell r="B140" t="str">
            <v>R2YD5W</v>
          </cell>
          <cell r="C140" t="str">
            <v>2YD CONT 5xWEEKLY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</row>
        <row r="141">
          <cell r="B141" t="str">
            <v>R2YDEOW</v>
          </cell>
          <cell r="C141" t="str">
            <v>2YD CONT EOW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</row>
        <row r="142">
          <cell r="B142" t="str">
            <v>R2YDTPU</v>
          </cell>
          <cell r="C142" t="str">
            <v>2YD TEMP CONTAINER</v>
          </cell>
          <cell r="D142">
            <v>0</v>
          </cell>
          <cell r="E142">
            <v>0</v>
          </cell>
          <cell r="F142">
            <v>-219.71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-219.71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</row>
        <row r="143">
          <cell r="B143" t="str">
            <v>F4YD1W</v>
          </cell>
          <cell r="C143" t="str">
            <v>4YD CONT 1X WEEKLY</v>
          </cell>
          <cell r="D143">
            <v>415.19</v>
          </cell>
          <cell r="E143">
            <v>434.17</v>
          </cell>
          <cell r="F143">
            <v>22420.26</v>
          </cell>
          <cell r="G143">
            <v>20500.015000000003</v>
          </cell>
          <cell r="H143">
            <v>21745.585000000003</v>
          </cell>
          <cell r="I143">
            <v>21070.890000000003</v>
          </cell>
          <cell r="J143">
            <v>22316.460000000003</v>
          </cell>
          <cell r="K143">
            <v>22005.06</v>
          </cell>
          <cell r="L143">
            <v>21963.54</v>
          </cell>
          <cell r="M143">
            <v>21901.26</v>
          </cell>
          <cell r="N143">
            <v>22420.26</v>
          </cell>
          <cell r="O143">
            <v>23119.54</v>
          </cell>
          <cell r="P143">
            <v>23662.25</v>
          </cell>
          <cell r="Q143">
            <v>24856.22</v>
          </cell>
          <cell r="R143">
            <v>267981.34000000003</v>
          </cell>
          <cell r="T143">
            <v>53.999999999999993</v>
          </cell>
          <cell r="U143">
            <v>49.375021074688703</v>
          </cell>
          <cell r="V143">
            <v>52.375021074688703</v>
          </cell>
          <cell r="W143">
            <v>50.749993978660378</v>
          </cell>
          <cell r="X143">
            <v>53.749993978660378</v>
          </cell>
          <cell r="Y143">
            <v>52.999975914641496</v>
          </cell>
          <cell r="Z143">
            <v>52.899973506105638</v>
          </cell>
          <cell r="AA143">
            <v>52.749969893301859</v>
          </cell>
          <cell r="AB143">
            <v>53.999999999999993</v>
          </cell>
          <cell r="AC143">
            <v>53.249971209434094</v>
          </cell>
          <cell r="AD143">
            <v>54.499965451320911</v>
          </cell>
          <cell r="AE143">
            <v>57.249971209434094</v>
          </cell>
          <cell r="AF143">
            <v>637.89985729093621</v>
          </cell>
          <cell r="AG143">
            <v>53.158321440911351</v>
          </cell>
        </row>
        <row r="144">
          <cell r="B144" t="str">
            <v>F4YD2W</v>
          </cell>
          <cell r="C144" t="str">
            <v>4YD CONT 2X WEEKLY</v>
          </cell>
          <cell r="D144">
            <v>830.41</v>
          </cell>
          <cell r="E144">
            <v>868.39</v>
          </cell>
          <cell r="F144">
            <v>9134.51</v>
          </cell>
          <cell r="G144">
            <v>10224.42</v>
          </cell>
          <cell r="H144">
            <v>10224.42</v>
          </cell>
          <cell r="I144">
            <v>10795.33</v>
          </cell>
          <cell r="J144">
            <v>11625.74</v>
          </cell>
          <cell r="K144">
            <v>9549.7100000000009</v>
          </cell>
          <cell r="L144">
            <v>8304.1</v>
          </cell>
          <cell r="M144">
            <v>8304.1</v>
          </cell>
          <cell r="N144">
            <v>8096.49</v>
          </cell>
          <cell r="O144">
            <v>8683.9</v>
          </cell>
          <cell r="P144">
            <v>8683.9</v>
          </cell>
          <cell r="Q144">
            <v>8683.9</v>
          </cell>
          <cell r="R144">
            <v>112310.51999999999</v>
          </cell>
          <cell r="T144">
            <v>11</v>
          </cell>
          <cell r="U144">
            <v>12.31249623679869</v>
          </cell>
          <cell r="V144">
            <v>12.31249623679869</v>
          </cell>
          <cell r="W144">
            <v>13</v>
          </cell>
          <cell r="X144">
            <v>14</v>
          </cell>
          <cell r="Y144">
            <v>11.499993978877905</v>
          </cell>
          <cell r="Z144">
            <v>10</v>
          </cell>
          <cell r="AA144">
            <v>10</v>
          </cell>
          <cell r="AB144">
            <v>9.7499909683168564</v>
          </cell>
          <cell r="AC144">
            <v>10</v>
          </cell>
          <cell r="AD144">
            <v>10</v>
          </cell>
          <cell r="AE144">
            <v>10</v>
          </cell>
          <cell r="AF144">
            <v>133.87497742079213</v>
          </cell>
          <cell r="AG144">
            <v>11.156248118399345</v>
          </cell>
        </row>
        <row r="145">
          <cell r="B145" t="str">
            <v>F4YD3W</v>
          </cell>
          <cell r="C145" t="str">
            <v>4YD CONT 3X WEEKLY</v>
          </cell>
          <cell r="D145">
            <v>1245.58</v>
          </cell>
          <cell r="E145">
            <v>1302.53</v>
          </cell>
          <cell r="F145">
            <v>3736.74</v>
          </cell>
          <cell r="G145">
            <v>3736.74</v>
          </cell>
          <cell r="H145">
            <v>3736.74</v>
          </cell>
          <cell r="I145">
            <v>3736.74</v>
          </cell>
          <cell r="J145">
            <v>3736.74</v>
          </cell>
          <cell r="K145">
            <v>3736.74</v>
          </cell>
          <cell r="L145">
            <v>3736.74</v>
          </cell>
          <cell r="M145">
            <v>3736.74</v>
          </cell>
          <cell r="N145">
            <v>3736.74</v>
          </cell>
          <cell r="O145">
            <v>3907.59</v>
          </cell>
          <cell r="P145">
            <v>3907.59</v>
          </cell>
          <cell r="Q145">
            <v>3907.59</v>
          </cell>
          <cell r="R145">
            <v>45353.429999999978</v>
          </cell>
          <cell r="T145">
            <v>3</v>
          </cell>
          <cell r="U145">
            <v>3</v>
          </cell>
          <cell r="V145">
            <v>3</v>
          </cell>
          <cell r="W145">
            <v>3</v>
          </cell>
          <cell r="X145">
            <v>3</v>
          </cell>
          <cell r="Y145">
            <v>3</v>
          </cell>
          <cell r="Z145">
            <v>3</v>
          </cell>
          <cell r="AA145">
            <v>3</v>
          </cell>
          <cell r="AB145">
            <v>3</v>
          </cell>
          <cell r="AC145">
            <v>3</v>
          </cell>
          <cell r="AD145">
            <v>3</v>
          </cell>
          <cell r="AE145">
            <v>3</v>
          </cell>
          <cell r="AF145">
            <v>36</v>
          </cell>
          <cell r="AG145">
            <v>3</v>
          </cell>
        </row>
        <row r="146">
          <cell r="B146" t="str">
            <v>F4YD4W</v>
          </cell>
          <cell r="C146" t="str">
            <v>4YD CONT 4X WEEKLY SVC</v>
          </cell>
          <cell r="D146">
            <v>1717.41</v>
          </cell>
          <cell r="E146">
            <v>1796.31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</row>
        <row r="147">
          <cell r="B147" t="str">
            <v>F6YD1W</v>
          </cell>
          <cell r="C147" t="str">
            <v>6YD CONT 1X WEEKLY</v>
          </cell>
          <cell r="D147">
            <v>587.08000000000004</v>
          </cell>
          <cell r="E147">
            <v>614.05999999999995</v>
          </cell>
          <cell r="F147">
            <v>19520.41</v>
          </cell>
          <cell r="G147">
            <v>19447.025000000001</v>
          </cell>
          <cell r="H147">
            <v>19447.025000000001</v>
          </cell>
          <cell r="I147">
            <v>20327.645</v>
          </cell>
          <cell r="J147">
            <v>23263.045000000002</v>
          </cell>
          <cell r="K147">
            <v>15851.160000000002</v>
          </cell>
          <cell r="L147">
            <v>19960.72</v>
          </cell>
          <cell r="M147">
            <v>19080.099999999999</v>
          </cell>
          <cell r="N147">
            <v>18639.79</v>
          </cell>
          <cell r="O147">
            <v>19649.919999999998</v>
          </cell>
          <cell r="P147">
            <v>19649.919999999998</v>
          </cell>
          <cell r="Q147">
            <v>18805.59</v>
          </cell>
          <cell r="R147">
            <v>233642.35</v>
          </cell>
          <cell r="T147">
            <v>33.25</v>
          </cell>
          <cell r="U147">
            <v>33.125</v>
          </cell>
          <cell r="V147">
            <v>33.125</v>
          </cell>
          <cell r="W147">
            <v>34.625</v>
          </cell>
          <cell r="X147">
            <v>39.625</v>
          </cell>
          <cell r="Y147">
            <v>27</v>
          </cell>
          <cell r="Z147">
            <v>34</v>
          </cell>
          <cell r="AA147">
            <v>32.499999999999993</v>
          </cell>
          <cell r="AB147">
            <v>31.75</v>
          </cell>
          <cell r="AC147">
            <v>32</v>
          </cell>
          <cell r="AD147">
            <v>32</v>
          </cell>
          <cell r="AE147">
            <v>30.625004071263398</v>
          </cell>
          <cell r="AF147">
            <v>393.62500407126339</v>
          </cell>
          <cell r="AG147">
            <v>32.802083672605285</v>
          </cell>
        </row>
        <row r="148">
          <cell r="B148" t="str">
            <v>F6YD2W</v>
          </cell>
          <cell r="C148" t="str">
            <v>6YD CONT 2X WEEKLY</v>
          </cell>
          <cell r="D148">
            <v>1174.0899999999999</v>
          </cell>
          <cell r="E148">
            <v>1228.04</v>
          </cell>
          <cell r="F148">
            <v>23922.080000000002</v>
          </cell>
          <cell r="G148">
            <v>23481.8</v>
          </cell>
          <cell r="H148">
            <v>23481.8</v>
          </cell>
          <cell r="I148">
            <v>23481.8</v>
          </cell>
          <cell r="J148">
            <v>23481.8</v>
          </cell>
          <cell r="K148">
            <v>23481.8</v>
          </cell>
          <cell r="L148">
            <v>24655.89</v>
          </cell>
          <cell r="M148">
            <v>25242.93</v>
          </cell>
          <cell r="N148">
            <v>26710.54</v>
          </cell>
          <cell r="O148">
            <v>29175.06</v>
          </cell>
          <cell r="P148">
            <v>30701</v>
          </cell>
          <cell r="Q148">
            <v>30701</v>
          </cell>
          <cell r="R148">
            <v>308517.5</v>
          </cell>
          <cell r="T148">
            <v>20.374996806037018</v>
          </cell>
          <cell r="U148">
            <v>20</v>
          </cell>
          <cell r="V148">
            <v>20</v>
          </cell>
          <cell r="W148">
            <v>20</v>
          </cell>
          <cell r="X148">
            <v>20</v>
          </cell>
          <cell r="Y148">
            <v>20</v>
          </cell>
          <cell r="Z148">
            <v>21</v>
          </cell>
          <cell r="AA148">
            <v>21.499995741382691</v>
          </cell>
          <cell r="AB148">
            <v>22.749993612074036</v>
          </cell>
          <cell r="AC148">
            <v>23.757418325135991</v>
          </cell>
          <cell r="AD148">
            <v>25</v>
          </cell>
          <cell r="AE148">
            <v>25</v>
          </cell>
          <cell r="AF148">
            <v>259.38240448462977</v>
          </cell>
          <cell r="AG148">
            <v>21.615200373719148</v>
          </cell>
        </row>
        <row r="149">
          <cell r="B149" t="str">
            <v>F6YD3W</v>
          </cell>
          <cell r="C149" t="str">
            <v>6YD CONT 3X WEEKLY</v>
          </cell>
          <cell r="D149">
            <v>1761.19</v>
          </cell>
          <cell r="E149">
            <v>1842.11</v>
          </cell>
          <cell r="F149">
            <v>14089.52</v>
          </cell>
          <cell r="G149">
            <v>14089.52</v>
          </cell>
          <cell r="H149">
            <v>14089.52</v>
          </cell>
          <cell r="I149">
            <v>14089.52</v>
          </cell>
          <cell r="J149">
            <v>14089.52</v>
          </cell>
          <cell r="K149">
            <v>14089.52</v>
          </cell>
          <cell r="L149">
            <v>14089.52</v>
          </cell>
          <cell r="M149">
            <v>14089.52</v>
          </cell>
          <cell r="N149">
            <v>14089.52</v>
          </cell>
          <cell r="O149">
            <v>14736.88</v>
          </cell>
          <cell r="P149">
            <v>14736.88</v>
          </cell>
          <cell r="Q149">
            <v>14276.35</v>
          </cell>
          <cell r="R149">
            <v>170555.79000000004</v>
          </cell>
          <cell r="T149">
            <v>8</v>
          </cell>
          <cell r="U149">
            <v>8</v>
          </cell>
          <cell r="V149">
            <v>8</v>
          </cell>
          <cell r="W149">
            <v>8</v>
          </cell>
          <cell r="X149">
            <v>8</v>
          </cell>
          <cell r="Y149">
            <v>8</v>
          </cell>
          <cell r="Z149">
            <v>8</v>
          </cell>
          <cell r="AA149">
            <v>8</v>
          </cell>
          <cell r="AB149">
            <v>8</v>
          </cell>
          <cell r="AC149">
            <v>8</v>
          </cell>
          <cell r="AD149">
            <v>8</v>
          </cell>
          <cell r="AE149">
            <v>7.7499986428606329</v>
          </cell>
          <cell r="AF149">
            <v>95.749998642860632</v>
          </cell>
          <cell r="AG149">
            <v>7.9791665535717193</v>
          </cell>
        </row>
        <row r="150">
          <cell r="B150" t="str">
            <v>F6YD4W</v>
          </cell>
          <cell r="C150" t="str">
            <v>6YD CONT 4X WEEKLY</v>
          </cell>
          <cell r="D150">
            <v>2360.13</v>
          </cell>
          <cell r="E150">
            <v>2468.64</v>
          </cell>
          <cell r="F150">
            <v>7080.39</v>
          </cell>
          <cell r="G150">
            <v>7080.39</v>
          </cell>
          <cell r="H150">
            <v>7080.39</v>
          </cell>
          <cell r="I150">
            <v>3835.2050000000004</v>
          </cell>
          <cell r="J150">
            <v>5900.3250000000007</v>
          </cell>
          <cell r="K150">
            <v>5900.31</v>
          </cell>
          <cell r="L150">
            <v>9440.52</v>
          </cell>
          <cell r="M150">
            <v>3687.69</v>
          </cell>
          <cell r="N150">
            <v>2360.13</v>
          </cell>
          <cell r="O150">
            <v>2468.64</v>
          </cell>
          <cell r="P150">
            <v>2468.64</v>
          </cell>
          <cell r="Q150">
            <v>2468.64</v>
          </cell>
          <cell r="R150">
            <v>59771.27</v>
          </cell>
          <cell r="T150">
            <v>3</v>
          </cell>
          <cell r="U150">
            <v>3</v>
          </cell>
          <cell r="V150">
            <v>3</v>
          </cell>
          <cell r="W150">
            <v>1.6249973518407885</v>
          </cell>
          <cell r="X150">
            <v>2.5</v>
          </cell>
          <cell r="Y150">
            <v>2.4999936444178923</v>
          </cell>
          <cell r="Z150">
            <v>4</v>
          </cell>
          <cell r="AA150">
            <v>1.5624944388656556</v>
          </cell>
          <cell r="AB150">
            <v>1</v>
          </cell>
          <cell r="AC150">
            <v>1</v>
          </cell>
          <cell r="AD150">
            <v>1</v>
          </cell>
          <cell r="AE150">
            <v>1</v>
          </cell>
          <cell r="AF150">
            <v>25.187485435124337</v>
          </cell>
          <cell r="AG150">
            <v>2.0989571195936949</v>
          </cell>
        </row>
        <row r="151">
          <cell r="B151" t="str">
            <v>F6YD5W</v>
          </cell>
          <cell r="C151" t="str">
            <v>6YD CONT 5X WEEKLY</v>
          </cell>
          <cell r="D151">
            <v>1473.9949999999999</v>
          </cell>
          <cell r="E151">
            <v>3083.51</v>
          </cell>
          <cell r="F151">
            <v>5895.98</v>
          </cell>
          <cell r="G151">
            <v>5895.98</v>
          </cell>
          <cell r="H151">
            <v>5895.98</v>
          </cell>
          <cell r="I151">
            <v>6043.3799999999992</v>
          </cell>
          <cell r="J151">
            <v>6043.3799999999992</v>
          </cell>
          <cell r="K151">
            <v>2947.99</v>
          </cell>
          <cell r="L151">
            <v>2947.99</v>
          </cell>
          <cell r="M151">
            <v>2947.99</v>
          </cell>
          <cell r="N151">
            <v>2947.99</v>
          </cell>
          <cell r="O151">
            <v>2775.15</v>
          </cell>
          <cell r="P151">
            <v>0</v>
          </cell>
          <cell r="Q151">
            <v>0</v>
          </cell>
          <cell r="R151">
            <v>44341.80999999999</v>
          </cell>
          <cell r="T151">
            <v>4</v>
          </cell>
          <cell r="U151">
            <v>4</v>
          </cell>
          <cell r="V151">
            <v>4</v>
          </cell>
          <cell r="W151">
            <v>4.1000003392141764</v>
          </cell>
          <cell r="X151">
            <v>4.1000003392141764</v>
          </cell>
          <cell r="Y151">
            <v>2</v>
          </cell>
          <cell r="Z151">
            <v>2</v>
          </cell>
          <cell r="AA151">
            <v>2</v>
          </cell>
          <cell r="AB151">
            <v>2</v>
          </cell>
          <cell r="AC151">
            <v>0.89999708124831768</v>
          </cell>
          <cell r="AD151">
            <v>0</v>
          </cell>
          <cell r="AE151">
            <v>0</v>
          </cell>
          <cell r="AF151">
            <v>29.099997759676672</v>
          </cell>
          <cell r="AG151">
            <v>2.4249998133063895</v>
          </cell>
        </row>
        <row r="152">
          <cell r="B152" t="str">
            <v>F8YD2W</v>
          </cell>
          <cell r="C152" t="str">
            <v>8 YD CONT 2X WKLY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</row>
        <row r="153">
          <cell r="B153" t="str">
            <v>FCP2YD1W2.25-1</v>
          </cell>
          <cell r="C153" t="str">
            <v>2 YD 2.25-1 COMP 1X WK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</row>
        <row r="154">
          <cell r="B154" t="str">
            <v>FCP2YD1W4-1</v>
          </cell>
          <cell r="C154" t="str">
            <v>2 YD 4-1 COMP 1X WK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</row>
        <row r="155">
          <cell r="B155" t="str">
            <v>FCP2YD2W</v>
          </cell>
          <cell r="C155" t="str">
            <v>2 YD COMPACTOR 2X WKLY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</row>
        <row r="156">
          <cell r="B156" t="str">
            <v>FCP4YD1W2.25-1</v>
          </cell>
          <cell r="C156" t="str">
            <v>4 YD 2.25-1 COMP 1X WK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</row>
        <row r="157">
          <cell r="B157" t="str">
            <v>FCP4YD1W4-1</v>
          </cell>
          <cell r="C157" t="str">
            <v>4YD 4-1 COMP 1X WK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</row>
        <row r="158">
          <cell r="B158" t="str">
            <v>FCP4YD1W5-1</v>
          </cell>
          <cell r="C158" t="str">
            <v>4 YD 5-1 COMP 1X WK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</row>
        <row r="159">
          <cell r="B159" t="str">
            <v>FCP4YDEOW5-1</v>
          </cell>
          <cell r="C159" t="str">
            <v>4 YD 5-1 COMP EOW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</row>
        <row r="160">
          <cell r="B160" t="str">
            <v>FCP4YDOC5-1</v>
          </cell>
          <cell r="C160" t="str">
            <v>4 YD 5-1 COMP ON CALL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</row>
        <row r="161">
          <cell r="B161" t="str">
            <v>FCP6YD2W</v>
          </cell>
          <cell r="C161" t="str">
            <v>6YD COMPACTOR 2X WKLY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</row>
        <row r="162">
          <cell r="B162" t="str">
            <v>FCP6YD2W3-1</v>
          </cell>
          <cell r="C162" t="str">
            <v>6 YD 3-1 COMP 2X WK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</row>
        <row r="163">
          <cell r="B163" t="str">
            <v>FCP6YD2W4-1</v>
          </cell>
          <cell r="C163" t="str">
            <v>6 YD 4-1 COMP 2X WK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</row>
        <row r="164">
          <cell r="B164" t="str">
            <v>IMPCNC</v>
          </cell>
          <cell r="C164" t="str">
            <v>1 IMPROPER CAN - CMML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</row>
        <row r="165">
          <cell r="B165" t="str">
            <v>PACKC</v>
          </cell>
          <cell r="C165" t="str">
            <v>CARRY-OUT COMMERCIAL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</row>
        <row r="166">
          <cell r="B166" t="str">
            <v>F1YDEX</v>
          </cell>
          <cell r="C166" t="str">
            <v>1YD CONT EXTRA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</row>
        <row r="167">
          <cell r="B167" t="str">
            <v>R1YDEX</v>
          </cell>
          <cell r="C167" t="str">
            <v>1YD CONTAINER EXTRA</v>
          </cell>
          <cell r="D167">
            <v>32.409999999999997</v>
          </cell>
          <cell r="E167">
            <v>33.93</v>
          </cell>
          <cell r="F167">
            <v>0</v>
          </cell>
          <cell r="G167">
            <v>0</v>
          </cell>
          <cell r="H167">
            <v>32.409999999999997</v>
          </cell>
          <cell r="I167">
            <v>0</v>
          </cell>
          <cell r="J167">
            <v>0</v>
          </cell>
          <cell r="K167">
            <v>32.409999999999997</v>
          </cell>
          <cell r="L167">
            <v>32.409999999999997</v>
          </cell>
          <cell r="M167">
            <v>32.409999999999997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129.63999999999999</v>
          </cell>
          <cell r="T167">
            <v>0</v>
          </cell>
          <cell r="U167">
            <v>0</v>
          </cell>
          <cell r="V167">
            <v>1</v>
          </cell>
          <cell r="W167">
            <v>0</v>
          </cell>
          <cell r="X167">
            <v>0</v>
          </cell>
          <cell r="Y167">
            <v>1</v>
          </cell>
          <cell r="Z167">
            <v>1</v>
          </cell>
          <cell r="AA167">
            <v>1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4</v>
          </cell>
          <cell r="AG167">
            <v>0.33333333333333331</v>
          </cell>
        </row>
        <row r="168">
          <cell r="B168" t="str">
            <v>R1.5YDEX</v>
          </cell>
          <cell r="C168" t="str">
            <v>1.5YD CONTAINER EXTRA</v>
          </cell>
          <cell r="D168">
            <v>43.66</v>
          </cell>
          <cell r="E168">
            <v>45.68</v>
          </cell>
          <cell r="F168">
            <v>0</v>
          </cell>
          <cell r="G168">
            <v>43.66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45.68</v>
          </cell>
          <cell r="P168">
            <v>0</v>
          </cell>
          <cell r="Q168">
            <v>0</v>
          </cell>
          <cell r="R168">
            <v>89.34</v>
          </cell>
          <cell r="T168">
            <v>0</v>
          </cell>
          <cell r="U168">
            <v>1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1</v>
          </cell>
          <cell r="AD168">
            <v>0</v>
          </cell>
          <cell r="AE168">
            <v>0</v>
          </cell>
          <cell r="AF168">
            <v>2</v>
          </cell>
          <cell r="AG168">
            <v>0.16666666666666666</v>
          </cell>
        </row>
        <row r="169">
          <cell r="B169" t="str">
            <v>F2YDEX</v>
          </cell>
          <cell r="C169" t="str">
            <v>2YD CONT EXTRA</v>
          </cell>
          <cell r="D169">
            <v>56.14</v>
          </cell>
          <cell r="E169">
            <v>58.75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</row>
        <row r="170">
          <cell r="B170" t="str">
            <v>R2YDEX</v>
          </cell>
          <cell r="C170" t="str">
            <v>2YD CONTAINER EXTRA</v>
          </cell>
          <cell r="D170">
            <v>56.14</v>
          </cell>
          <cell r="E170">
            <v>58.75</v>
          </cell>
          <cell r="F170">
            <v>56.14</v>
          </cell>
          <cell r="G170">
            <v>56.14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112.28</v>
          </cell>
          <cell r="T170">
            <v>1</v>
          </cell>
          <cell r="U170">
            <v>1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2</v>
          </cell>
          <cell r="AG170">
            <v>0.16666666666666666</v>
          </cell>
        </row>
        <row r="171">
          <cell r="B171" t="str">
            <v>F4YDEX</v>
          </cell>
          <cell r="C171" t="str">
            <v>4YD CONT EXTRA PICKUP</v>
          </cell>
          <cell r="D171">
            <v>101.86</v>
          </cell>
          <cell r="E171">
            <v>106.56</v>
          </cell>
          <cell r="F171">
            <v>203.72</v>
          </cell>
          <cell r="G171">
            <v>407.44</v>
          </cell>
          <cell r="H171">
            <v>101.86</v>
          </cell>
          <cell r="I171">
            <v>0</v>
          </cell>
          <cell r="J171">
            <v>0</v>
          </cell>
          <cell r="K171">
            <v>101.86</v>
          </cell>
          <cell r="L171">
            <v>0</v>
          </cell>
          <cell r="M171">
            <v>101.86</v>
          </cell>
          <cell r="N171">
            <v>0</v>
          </cell>
          <cell r="O171">
            <v>101.86</v>
          </cell>
          <cell r="P171">
            <v>0</v>
          </cell>
          <cell r="Q171">
            <v>0</v>
          </cell>
          <cell r="R171">
            <v>1018.6</v>
          </cell>
          <cell r="T171">
            <v>2</v>
          </cell>
          <cell r="U171">
            <v>4</v>
          </cell>
          <cell r="V171">
            <v>1</v>
          </cell>
          <cell r="W171">
            <v>0</v>
          </cell>
          <cell r="X171">
            <v>0</v>
          </cell>
          <cell r="Y171">
            <v>1</v>
          </cell>
          <cell r="Z171">
            <v>0</v>
          </cell>
          <cell r="AA171">
            <v>1</v>
          </cell>
          <cell r="AB171">
            <v>0</v>
          </cell>
          <cell r="AC171">
            <v>0.95589339339339341</v>
          </cell>
          <cell r="AD171">
            <v>0</v>
          </cell>
          <cell r="AE171">
            <v>0</v>
          </cell>
          <cell r="AF171">
            <v>9.955893393393394</v>
          </cell>
          <cell r="AG171">
            <v>0.82965778278278279</v>
          </cell>
        </row>
        <row r="172">
          <cell r="B172" t="str">
            <v>F6YDEX</v>
          </cell>
          <cell r="C172" t="str">
            <v>6YD CONT EXTRA PICKUP</v>
          </cell>
          <cell r="D172">
            <v>144.66999999999999</v>
          </cell>
          <cell r="E172">
            <v>151.38</v>
          </cell>
          <cell r="F172">
            <v>1880.71</v>
          </cell>
          <cell r="G172">
            <v>868.02</v>
          </cell>
          <cell r="H172">
            <v>289.33999999999997</v>
          </cell>
          <cell r="I172">
            <v>0</v>
          </cell>
          <cell r="J172">
            <v>289.33999999999997</v>
          </cell>
          <cell r="K172">
            <v>289.33999999999997</v>
          </cell>
          <cell r="L172">
            <v>144.66999999999999</v>
          </cell>
          <cell r="M172">
            <v>434.01</v>
          </cell>
          <cell r="N172">
            <v>578.67999999999995</v>
          </cell>
          <cell r="O172">
            <v>447.43</v>
          </cell>
          <cell r="P172">
            <v>151.38</v>
          </cell>
          <cell r="Q172">
            <v>302.76</v>
          </cell>
          <cell r="R172">
            <v>5675.6800000000012</v>
          </cell>
          <cell r="T172">
            <v>13.000000000000002</v>
          </cell>
          <cell r="U172">
            <v>6</v>
          </cell>
          <cell r="V172">
            <v>2</v>
          </cell>
          <cell r="W172">
            <v>0</v>
          </cell>
          <cell r="X172">
            <v>2</v>
          </cell>
          <cell r="Y172">
            <v>2</v>
          </cell>
          <cell r="Z172">
            <v>1</v>
          </cell>
          <cell r="AA172">
            <v>3</v>
          </cell>
          <cell r="AB172">
            <v>4</v>
          </cell>
          <cell r="AC172">
            <v>2.9556744616197648</v>
          </cell>
          <cell r="AD172">
            <v>1</v>
          </cell>
          <cell r="AE172">
            <v>2</v>
          </cell>
          <cell r="AF172">
            <v>38.955674461619765</v>
          </cell>
          <cell r="AG172">
            <v>3.2463062051349802</v>
          </cell>
        </row>
        <row r="173">
          <cell r="B173" t="str">
            <v>ADJCOM</v>
          </cell>
          <cell r="C173" t="str">
            <v>SERVICE ADJ-COMMERCIAL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</row>
        <row r="174">
          <cell r="B174" t="str">
            <v>CCONNECT</v>
          </cell>
          <cell r="C174" t="str">
            <v>CMML CONNECT/RECONNECT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</row>
        <row r="175">
          <cell r="B175" t="str">
            <v>CDEL</v>
          </cell>
          <cell r="C175" t="str">
            <v>CONTAINER DELIVERY CHARGE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26.31</v>
          </cell>
          <cell r="Q175">
            <v>0</v>
          </cell>
          <cell r="R175">
            <v>26.31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</row>
        <row r="176">
          <cell r="B176" t="str">
            <v>CEX</v>
          </cell>
          <cell r="C176" t="str">
            <v>EXTRA CANS</v>
          </cell>
          <cell r="D176">
            <v>5.86</v>
          </cell>
          <cell r="E176">
            <v>6.14</v>
          </cell>
          <cell r="F176">
            <v>58.6</v>
          </cell>
          <cell r="G176">
            <v>140.63999999999999</v>
          </cell>
          <cell r="H176">
            <v>82.04</v>
          </cell>
          <cell r="I176">
            <v>64.459999999999994</v>
          </cell>
          <cell r="J176">
            <v>64.460000000000008</v>
          </cell>
          <cell r="K176">
            <v>82.04</v>
          </cell>
          <cell r="L176">
            <v>64.460000000000008</v>
          </cell>
          <cell r="M176">
            <v>146.5</v>
          </cell>
          <cell r="N176">
            <v>427.78</v>
          </cell>
          <cell r="O176">
            <v>177.78</v>
          </cell>
          <cell r="P176">
            <v>264.02</v>
          </cell>
          <cell r="Q176">
            <v>331.56</v>
          </cell>
          <cell r="R176">
            <v>1904.34</v>
          </cell>
          <cell r="T176">
            <v>10</v>
          </cell>
          <cell r="U176">
            <v>23.999999999999996</v>
          </cell>
          <cell r="V176">
            <v>14</v>
          </cell>
          <cell r="W176">
            <v>10.999999999999998</v>
          </cell>
          <cell r="X176">
            <v>11</v>
          </cell>
          <cell r="Y176">
            <v>14</v>
          </cell>
          <cell r="Z176">
            <v>11</v>
          </cell>
          <cell r="AA176">
            <v>25</v>
          </cell>
          <cell r="AB176">
            <v>72.999999999999986</v>
          </cell>
          <cell r="AC176">
            <v>28.954397394136809</v>
          </cell>
          <cell r="AD176">
            <v>43</v>
          </cell>
          <cell r="AE176">
            <v>54</v>
          </cell>
          <cell r="AF176">
            <v>318.95439739413678</v>
          </cell>
          <cell r="AG176">
            <v>26.579533116178066</v>
          </cell>
        </row>
        <row r="177">
          <cell r="B177" t="str">
            <v>CEXYD</v>
          </cell>
          <cell r="C177" t="str">
            <v>CMML EXTRA YARDAGE</v>
          </cell>
          <cell r="D177">
            <v>46.02</v>
          </cell>
          <cell r="E177">
            <v>48.26</v>
          </cell>
          <cell r="F177">
            <v>2162.94</v>
          </cell>
          <cell r="G177">
            <v>3497.52</v>
          </cell>
          <cell r="H177">
            <v>2093.91</v>
          </cell>
          <cell r="I177">
            <v>805.35</v>
          </cell>
          <cell r="J177">
            <v>874.38</v>
          </cell>
          <cell r="K177">
            <v>1334.58</v>
          </cell>
          <cell r="L177">
            <v>1564.68</v>
          </cell>
          <cell r="M177">
            <v>1794.78</v>
          </cell>
          <cell r="N177">
            <v>2093.91</v>
          </cell>
          <cell r="O177">
            <v>2739.62</v>
          </cell>
          <cell r="P177">
            <v>4150.3599999999997</v>
          </cell>
          <cell r="Q177">
            <v>7383.78</v>
          </cell>
          <cell r="R177">
            <v>30495.809999999998</v>
          </cell>
          <cell r="T177">
            <v>47</v>
          </cell>
          <cell r="U177">
            <v>76</v>
          </cell>
          <cell r="V177">
            <v>45.499999999999993</v>
          </cell>
          <cell r="W177">
            <v>17.5</v>
          </cell>
          <cell r="X177">
            <v>19</v>
          </cell>
          <cell r="Y177">
            <v>28.999999999999996</v>
          </cell>
          <cell r="Z177">
            <v>34</v>
          </cell>
          <cell r="AA177">
            <v>39</v>
          </cell>
          <cell r="AB177">
            <v>45.499999999999993</v>
          </cell>
          <cell r="AC177">
            <v>56.76792374637381</v>
          </cell>
          <cell r="AD177">
            <v>86</v>
          </cell>
          <cell r="AE177">
            <v>153</v>
          </cell>
          <cell r="AF177">
            <v>648.26792374637375</v>
          </cell>
          <cell r="AG177">
            <v>54.022326978864477</v>
          </cell>
        </row>
        <row r="178">
          <cell r="B178" t="str">
            <v>CLOCK</v>
          </cell>
          <cell r="C178" t="str">
            <v>LOCK CHARGE-CONTAINER</v>
          </cell>
          <cell r="D178">
            <v>4.8899999999999997</v>
          </cell>
          <cell r="E178">
            <v>5.15</v>
          </cell>
          <cell r="F178">
            <v>119.54</v>
          </cell>
          <cell r="G178">
            <v>131.76</v>
          </cell>
          <cell r="H178">
            <v>131.76</v>
          </cell>
          <cell r="I178">
            <v>134.20999999999998</v>
          </cell>
          <cell r="J178">
            <v>143.98999999999998</v>
          </cell>
          <cell r="K178">
            <v>143.37</v>
          </cell>
          <cell r="L178">
            <v>139.1</v>
          </cell>
          <cell r="M178">
            <v>127.4</v>
          </cell>
          <cell r="N178">
            <v>141.81</v>
          </cell>
          <cell r="O178">
            <v>146.77000000000001</v>
          </cell>
          <cell r="P178">
            <v>144.19999999999999</v>
          </cell>
          <cell r="Q178">
            <v>139.05000000000001</v>
          </cell>
          <cell r="R178">
            <v>1642.96</v>
          </cell>
          <cell r="T178">
            <v>24.445807770961149</v>
          </cell>
          <cell r="U178">
            <v>26.94478527607362</v>
          </cell>
          <cell r="V178">
            <v>26.94478527607362</v>
          </cell>
          <cell r="W178">
            <v>27.445807770961142</v>
          </cell>
          <cell r="X178">
            <v>29.445807770961142</v>
          </cell>
          <cell r="Y178">
            <v>29.319018404907979</v>
          </cell>
          <cell r="Z178">
            <v>28.445807770961146</v>
          </cell>
          <cell r="AA178">
            <v>26.053169734151332</v>
          </cell>
          <cell r="AB178">
            <v>29.000000000000004</v>
          </cell>
          <cell r="AC178">
            <v>28.499029126213593</v>
          </cell>
          <cell r="AD178">
            <v>27.999999999999996</v>
          </cell>
          <cell r="AE178">
            <v>27</v>
          </cell>
          <cell r="AF178">
            <v>331.54401890126474</v>
          </cell>
          <cell r="AG178">
            <v>27.628668241772061</v>
          </cell>
        </row>
        <row r="179">
          <cell r="B179" t="str">
            <v>CROLL</v>
          </cell>
          <cell r="C179" t="str">
            <v>ROLLOUT CHARGE - CMML</v>
          </cell>
          <cell r="D179">
            <v>0</v>
          </cell>
          <cell r="E179">
            <v>0</v>
          </cell>
          <cell r="F179">
            <v>78.400000000000006</v>
          </cell>
          <cell r="G179">
            <v>78.400000000000006</v>
          </cell>
          <cell r="H179">
            <v>78.400000000000006</v>
          </cell>
          <cell r="I179">
            <v>78.400000000000006</v>
          </cell>
          <cell r="J179">
            <v>78.400000000000006</v>
          </cell>
          <cell r="K179">
            <v>78.400000000000006</v>
          </cell>
          <cell r="L179">
            <v>78.400000000000006</v>
          </cell>
          <cell r="M179">
            <v>78.400000000000006</v>
          </cell>
          <cell r="N179">
            <v>78.400000000000006</v>
          </cell>
          <cell r="O179">
            <v>78.400000000000006</v>
          </cell>
          <cell r="P179">
            <v>78.400000000000006</v>
          </cell>
          <cell r="Q179">
            <v>78.400000000000006</v>
          </cell>
          <cell r="R179">
            <v>940.79999999999984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</row>
        <row r="180">
          <cell r="B180" t="str">
            <v>CTDEL</v>
          </cell>
          <cell r="C180" t="str">
            <v>TEMP CONTAINER DELIVERY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</row>
        <row r="181">
          <cell r="B181" t="str">
            <v>CTRIP</v>
          </cell>
          <cell r="C181" t="str">
            <v>RETURN TRIP CHARGE - CONT</v>
          </cell>
          <cell r="D181">
            <v>18.11</v>
          </cell>
          <cell r="E181">
            <v>19.059999999999999</v>
          </cell>
          <cell r="F181">
            <v>36.22</v>
          </cell>
          <cell r="G181">
            <v>18.11</v>
          </cell>
          <cell r="H181">
            <v>0</v>
          </cell>
          <cell r="I181">
            <v>0</v>
          </cell>
          <cell r="J181">
            <v>126.77</v>
          </cell>
          <cell r="K181">
            <v>72.44</v>
          </cell>
          <cell r="L181">
            <v>36.22</v>
          </cell>
          <cell r="M181">
            <v>18.11</v>
          </cell>
          <cell r="N181">
            <v>54.33</v>
          </cell>
          <cell r="O181">
            <v>38.119999999999997</v>
          </cell>
          <cell r="P181">
            <v>76.239999999999995</v>
          </cell>
          <cell r="Q181">
            <v>76.239999999999995</v>
          </cell>
          <cell r="R181">
            <v>552.79999999999995</v>
          </cell>
          <cell r="T181">
            <v>2</v>
          </cell>
          <cell r="U181">
            <v>1</v>
          </cell>
          <cell r="V181">
            <v>0</v>
          </cell>
          <cell r="W181">
            <v>0</v>
          </cell>
          <cell r="X181">
            <v>7</v>
          </cell>
          <cell r="Y181">
            <v>4</v>
          </cell>
          <cell r="Z181">
            <v>2</v>
          </cell>
          <cell r="AA181">
            <v>1</v>
          </cell>
          <cell r="AB181">
            <v>3</v>
          </cell>
          <cell r="AC181">
            <v>2</v>
          </cell>
          <cell r="AD181">
            <v>4</v>
          </cell>
          <cell r="AE181">
            <v>4</v>
          </cell>
          <cell r="AF181">
            <v>30</v>
          </cell>
          <cell r="AG181">
            <v>2.5</v>
          </cell>
        </row>
        <row r="182">
          <cell r="B182" t="str">
            <v>CUNLOCK</v>
          </cell>
          <cell r="C182" t="str">
            <v>COMM UNLOCK GATE OR CONT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</row>
        <row r="183">
          <cell r="B183" t="str">
            <v>DRIVEDWAY-COMM</v>
          </cell>
          <cell r="C183" t="str">
            <v>DRIVE IN DRIVEWAY - COMM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</row>
        <row r="184">
          <cell r="B184" t="str">
            <v>DRIVEPVT-COMM</v>
          </cell>
          <cell r="C184" t="str">
            <v>DRIVE IN PRIVATE RD - COMM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</row>
        <row r="185">
          <cell r="B185" t="str">
            <v>DRVNC</v>
          </cell>
          <cell r="C185" t="str">
            <v>DRIVE IN - CMML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</row>
        <row r="186">
          <cell r="B186" t="str">
            <v>TIMEC</v>
          </cell>
          <cell r="C186" t="str">
            <v>CMML TIME CHARGE</v>
          </cell>
          <cell r="D186">
            <v>104.97</v>
          </cell>
          <cell r="E186">
            <v>110.46</v>
          </cell>
          <cell r="F186">
            <v>104.97</v>
          </cell>
          <cell r="G186">
            <v>0</v>
          </cell>
          <cell r="H186">
            <v>0</v>
          </cell>
          <cell r="I186">
            <v>26.24</v>
          </cell>
          <cell r="J186">
            <v>26.24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55.24</v>
          </cell>
          <cell r="R186">
            <v>212.69000000000003</v>
          </cell>
          <cell r="T186">
            <v>1</v>
          </cell>
          <cell r="U186">
            <v>0</v>
          </cell>
          <cell r="V186">
            <v>0</v>
          </cell>
          <cell r="W186">
            <v>0.24997618367152519</v>
          </cell>
          <cell r="X186">
            <v>0.24997618367152519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0.50009053050878149</v>
          </cell>
          <cell r="AF186">
            <v>2.0000428978518321</v>
          </cell>
          <cell r="AG186">
            <v>0.16667024148765267</v>
          </cell>
        </row>
      </sheetData>
      <sheetData sheetId="14">
        <row r="10">
          <cell r="B10" t="str">
            <v>10RW1N</v>
          </cell>
          <cell r="C10" t="str">
            <v>1-10 GAL CART WKLY NON REC</v>
          </cell>
          <cell r="D10">
            <v>0</v>
          </cell>
          <cell r="E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</row>
        <row r="11">
          <cell r="B11" t="str">
            <v>10RW1R</v>
          </cell>
          <cell r="C11" t="str">
            <v>1-10 GAL CART WKLY W/ REC</v>
          </cell>
          <cell r="D11">
            <v>0</v>
          </cell>
          <cell r="E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</row>
        <row r="12">
          <cell r="B12" t="str">
            <v>20RM1</v>
          </cell>
          <cell r="C12" t="str">
            <v>1-20 GAL CART MONTHLY</v>
          </cell>
          <cell r="D12">
            <v>0</v>
          </cell>
          <cell r="E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</row>
        <row r="13">
          <cell r="B13" t="str">
            <v>20RW1</v>
          </cell>
          <cell r="C13" t="str">
            <v>1-20 GAL CAN WEEKLY</v>
          </cell>
          <cell r="D13">
            <v>0</v>
          </cell>
          <cell r="E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</row>
        <row r="14">
          <cell r="B14" t="str">
            <v>20RW1N</v>
          </cell>
          <cell r="C14" t="str">
            <v>1-20 GL CART WKLY NON REC</v>
          </cell>
          <cell r="D14">
            <v>29.69</v>
          </cell>
          <cell r="E14">
            <v>30.78</v>
          </cell>
          <cell r="G14">
            <v>29.69</v>
          </cell>
          <cell r="H14">
            <v>29.69</v>
          </cell>
          <cell r="I14">
            <v>30.78</v>
          </cell>
          <cell r="J14">
            <v>30.78</v>
          </cell>
          <cell r="K14">
            <v>30.78</v>
          </cell>
          <cell r="L14">
            <v>30.78</v>
          </cell>
          <cell r="M14">
            <v>30.78</v>
          </cell>
          <cell r="N14">
            <v>30.78</v>
          </cell>
          <cell r="O14">
            <v>30.78</v>
          </cell>
          <cell r="P14">
            <v>30.78</v>
          </cell>
          <cell r="Q14">
            <v>53.865000000000002</v>
          </cell>
          <cell r="R14">
            <v>53.865000000000002</v>
          </cell>
          <cell r="S14">
            <v>413.35</v>
          </cell>
          <cell r="U14">
            <v>1</v>
          </cell>
          <cell r="V14">
            <v>1</v>
          </cell>
          <cell r="W14">
            <v>1</v>
          </cell>
          <cell r="X14">
            <v>1</v>
          </cell>
          <cell r="Y14">
            <v>1</v>
          </cell>
          <cell r="Z14">
            <v>1</v>
          </cell>
          <cell r="AA14">
            <v>1</v>
          </cell>
          <cell r="AB14">
            <v>1</v>
          </cell>
          <cell r="AC14">
            <v>1</v>
          </cell>
          <cell r="AD14">
            <v>1</v>
          </cell>
          <cell r="AE14">
            <v>1.75</v>
          </cell>
          <cell r="AF14">
            <v>1.75</v>
          </cell>
          <cell r="AG14">
            <v>13.5</v>
          </cell>
          <cell r="AH14">
            <v>1.125</v>
          </cell>
        </row>
        <row r="15">
          <cell r="B15" t="str">
            <v>20RW1NR</v>
          </cell>
          <cell r="C15" t="str">
            <v>1-20 GAL WKLY NON REC</v>
          </cell>
          <cell r="D15">
            <v>0</v>
          </cell>
          <cell r="E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</row>
        <row r="16">
          <cell r="B16" t="str">
            <v>20RW1R</v>
          </cell>
          <cell r="C16" t="str">
            <v>1-20 GL CART WKLY W/ RECY</v>
          </cell>
          <cell r="D16">
            <v>29.69</v>
          </cell>
          <cell r="E16">
            <v>30.78</v>
          </cell>
          <cell r="G16">
            <v>352.565</v>
          </cell>
          <cell r="H16">
            <v>352.565</v>
          </cell>
          <cell r="I16">
            <v>430.92</v>
          </cell>
          <cell r="J16">
            <v>430.92</v>
          </cell>
          <cell r="K16">
            <v>461.7</v>
          </cell>
          <cell r="L16">
            <v>492.48</v>
          </cell>
          <cell r="M16">
            <v>492.48</v>
          </cell>
          <cell r="N16">
            <v>492.48</v>
          </cell>
          <cell r="O16">
            <v>509.2</v>
          </cell>
          <cell r="P16">
            <v>539.98</v>
          </cell>
          <cell r="Q16">
            <v>601.57999999999993</v>
          </cell>
          <cell r="R16">
            <v>601.57999999999993</v>
          </cell>
          <cell r="S16">
            <v>5758.45</v>
          </cell>
          <cell r="U16">
            <v>11.87487369484675</v>
          </cell>
          <cell r="V16">
            <v>11.87487369484675</v>
          </cell>
          <cell r="W16">
            <v>14</v>
          </cell>
          <cell r="X16">
            <v>14</v>
          </cell>
          <cell r="Y16">
            <v>14.999999999999998</v>
          </cell>
          <cell r="Z16">
            <v>16</v>
          </cell>
          <cell r="AA16">
            <v>16</v>
          </cell>
          <cell r="AB16">
            <v>16</v>
          </cell>
          <cell r="AC16">
            <v>16.543209876543209</v>
          </cell>
          <cell r="AD16">
            <v>17.543209876543209</v>
          </cell>
          <cell r="AE16">
            <v>19.544509421702401</v>
          </cell>
          <cell r="AF16">
            <v>19.544509421702401</v>
          </cell>
          <cell r="AG16">
            <v>187.92518598618472</v>
          </cell>
          <cell r="AH16">
            <v>15.660432165515394</v>
          </cell>
        </row>
        <row r="17">
          <cell r="B17" t="str">
            <v>24RW1N</v>
          </cell>
          <cell r="C17" t="str">
            <v>1-24 GL CART WKLY NON REC</v>
          </cell>
          <cell r="D17">
            <v>0</v>
          </cell>
          <cell r="E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</row>
        <row r="18">
          <cell r="B18" t="str">
            <v>24RW1R</v>
          </cell>
          <cell r="C18" t="str">
            <v>1-24 GL CART WKLY W/ RECY</v>
          </cell>
          <cell r="D18">
            <v>0</v>
          </cell>
          <cell r="E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</row>
        <row r="19">
          <cell r="B19" t="str">
            <v>32RE1</v>
          </cell>
          <cell r="C19" t="str">
            <v>1-32 GAL CAN EOW</v>
          </cell>
          <cell r="D19">
            <v>0</v>
          </cell>
          <cell r="E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</row>
        <row r="20">
          <cell r="B20" t="str">
            <v>32RM1</v>
          </cell>
          <cell r="C20" t="str">
            <v>1-32 GAL CAN MONTHLY</v>
          </cell>
          <cell r="D20">
            <v>0</v>
          </cell>
          <cell r="E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</row>
        <row r="21">
          <cell r="B21" t="str">
            <v>32ROCPU</v>
          </cell>
          <cell r="C21" t="str">
            <v>1-32 GAL CAN-ON CALL</v>
          </cell>
          <cell r="D21">
            <v>0</v>
          </cell>
          <cell r="E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</row>
        <row r="22">
          <cell r="B22" t="str">
            <v>32RW1</v>
          </cell>
          <cell r="C22" t="str">
            <v>1-32 GAL CAN WEEKLY</v>
          </cell>
          <cell r="D22">
            <v>0</v>
          </cell>
          <cell r="E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</row>
        <row r="23">
          <cell r="B23" t="str">
            <v>32RW1N</v>
          </cell>
          <cell r="C23" t="str">
            <v>1-32 GL CART WKLY NON REC</v>
          </cell>
          <cell r="D23">
            <v>0</v>
          </cell>
          <cell r="E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</row>
        <row r="24">
          <cell r="B24" t="str">
            <v>32RW1NR</v>
          </cell>
          <cell r="C24" t="str">
            <v>1-32 GAL WKLY NON REC</v>
          </cell>
          <cell r="D24">
            <v>0</v>
          </cell>
          <cell r="E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</row>
        <row r="25">
          <cell r="B25" t="str">
            <v>32RW1R</v>
          </cell>
          <cell r="C25" t="str">
            <v>1-32 GL CART WKLY W/ RECY</v>
          </cell>
          <cell r="D25">
            <v>0</v>
          </cell>
          <cell r="E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</row>
        <row r="26">
          <cell r="B26" t="str">
            <v>32RW2</v>
          </cell>
          <cell r="C26" t="str">
            <v>2-32 GAL CANS WEEKLY</v>
          </cell>
          <cell r="D26">
            <v>0</v>
          </cell>
          <cell r="E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</row>
        <row r="27">
          <cell r="B27" t="str">
            <v>32RW2R</v>
          </cell>
          <cell r="C27" t="str">
            <v>2-32 GL CART WKLY W/ RECY</v>
          </cell>
          <cell r="D27">
            <v>0</v>
          </cell>
          <cell r="E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</row>
        <row r="28">
          <cell r="B28" t="str">
            <v>32RW2NR</v>
          </cell>
          <cell r="C28" t="str">
            <v>2-32 GAL WKLY NON REC</v>
          </cell>
          <cell r="D28">
            <v>0</v>
          </cell>
          <cell r="E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</row>
        <row r="29">
          <cell r="B29" t="str">
            <v>32RW3</v>
          </cell>
          <cell r="C29" t="str">
            <v>3-32 GAL CANS WEEKLY</v>
          </cell>
          <cell r="D29">
            <v>0</v>
          </cell>
          <cell r="E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</row>
        <row r="30">
          <cell r="B30" t="str">
            <v>32RW3NR</v>
          </cell>
          <cell r="C30" t="str">
            <v>3-32 GAL WKLY NON REC</v>
          </cell>
          <cell r="D30">
            <v>0</v>
          </cell>
          <cell r="E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</row>
        <row r="31">
          <cell r="B31" t="str">
            <v>32RW4</v>
          </cell>
          <cell r="C31" t="str">
            <v>4-32 GAL CANS WEEKLY</v>
          </cell>
          <cell r="D31">
            <v>0</v>
          </cell>
          <cell r="E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</row>
        <row r="32">
          <cell r="B32" t="str">
            <v>32RW4NR</v>
          </cell>
          <cell r="C32" t="str">
            <v>4-32 GAL WKLY NON REC</v>
          </cell>
          <cell r="D32">
            <v>0</v>
          </cell>
          <cell r="E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</row>
        <row r="33">
          <cell r="B33" t="str">
            <v>32RW5</v>
          </cell>
          <cell r="C33" t="str">
            <v>5-32 GAL CANS WEEKLY</v>
          </cell>
          <cell r="D33">
            <v>0</v>
          </cell>
          <cell r="E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</row>
        <row r="34">
          <cell r="B34" t="str">
            <v>32RW5NR</v>
          </cell>
          <cell r="C34" t="str">
            <v>5-32 GAL WKLY NON REC</v>
          </cell>
          <cell r="D34">
            <v>0</v>
          </cell>
          <cell r="E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</row>
        <row r="35">
          <cell r="B35" t="str">
            <v>32RW6</v>
          </cell>
          <cell r="C35" t="str">
            <v>6-32 GAL CANS WEEKLY</v>
          </cell>
          <cell r="D35">
            <v>0</v>
          </cell>
          <cell r="E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</row>
        <row r="36">
          <cell r="B36" t="str">
            <v>35RM1</v>
          </cell>
          <cell r="C36" t="str">
            <v>1-35 GAL CART MONTHLY</v>
          </cell>
          <cell r="D36">
            <v>0</v>
          </cell>
          <cell r="E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</row>
        <row r="37">
          <cell r="B37" t="str">
            <v>35RW1N</v>
          </cell>
          <cell r="C37" t="str">
            <v>1-35 GAL CART WKLY NONREC</v>
          </cell>
          <cell r="D37">
            <v>34.450000000000003</v>
          </cell>
          <cell r="E37">
            <v>35.729999999999997</v>
          </cell>
          <cell r="G37">
            <v>275.60000000000002</v>
          </cell>
          <cell r="H37">
            <v>275.60000000000002</v>
          </cell>
          <cell r="I37">
            <v>285.83999999999997</v>
          </cell>
          <cell r="J37">
            <v>303.7</v>
          </cell>
          <cell r="K37">
            <v>250.11</v>
          </cell>
          <cell r="L37">
            <v>250.11</v>
          </cell>
          <cell r="M37">
            <v>250.11</v>
          </cell>
          <cell r="N37">
            <v>250.11</v>
          </cell>
          <cell r="O37">
            <v>250.11</v>
          </cell>
          <cell r="P37">
            <v>178.65000000000003</v>
          </cell>
          <cell r="Q37">
            <v>187.58</v>
          </cell>
          <cell r="R37">
            <v>187.58</v>
          </cell>
          <cell r="S37">
            <v>2945.1000000000004</v>
          </cell>
          <cell r="U37">
            <v>8</v>
          </cell>
          <cell r="V37">
            <v>8</v>
          </cell>
          <cell r="W37">
            <v>8</v>
          </cell>
          <cell r="X37">
            <v>8.4998600615729085</v>
          </cell>
          <cell r="Y37">
            <v>7.0000000000000009</v>
          </cell>
          <cell r="Z37">
            <v>7.0000000000000009</v>
          </cell>
          <cell r="AA37">
            <v>7.0000000000000009</v>
          </cell>
          <cell r="AB37">
            <v>7.0000000000000009</v>
          </cell>
          <cell r="AC37">
            <v>7.0000000000000009</v>
          </cell>
          <cell r="AD37">
            <v>5.0000000000000018</v>
          </cell>
          <cell r="AE37">
            <v>5.2499300307864551</v>
          </cell>
          <cell r="AF37">
            <v>5.2499300307864551</v>
          </cell>
          <cell r="AG37">
            <v>82.999720123145835</v>
          </cell>
          <cell r="AH37">
            <v>6.9166433435954859</v>
          </cell>
        </row>
        <row r="38">
          <cell r="B38" t="str">
            <v>35RW1R</v>
          </cell>
          <cell r="C38" t="str">
            <v>1-35 GAL CART WKLY W/REC</v>
          </cell>
          <cell r="D38">
            <v>34.450000000000003</v>
          </cell>
          <cell r="E38">
            <v>35.729999999999997</v>
          </cell>
          <cell r="G38">
            <v>7561.7750000000005</v>
          </cell>
          <cell r="H38">
            <v>7743.4449999999997</v>
          </cell>
          <cell r="I38">
            <v>7903.4849999999997</v>
          </cell>
          <cell r="J38">
            <v>7980.6949999999997</v>
          </cell>
          <cell r="K38">
            <v>7709.71</v>
          </cell>
          <cell r="L38">
            <v>7914.1900000000005</v>
          </cell>
          <cell r="M38">
            <v>7905.26</v>
          </cell>
          <cell r="N38">
            <v>7922.88</v>
          </cell>
          <cell r="O38">
            <v>7810.4349999999995</v>
          </cell>
          <cell r="P38">
            <v>7797.0349999999989</v>
          </cell>
          <cell r="Q38">
            <v>7685.4400000000005</v>
          </cell>
          <cell r="R38">
            <v>7770.3</v>
          </cell>
          <cell r="S38">
            <v>93704.650000000009</v>
          </cell>
          <cell r="U38">
            <v>219.5</v>
          </cell>
          <cell r="V38">
            <v>224.77343976777937</v>
          </cell>
          <cell r="W38">
            <v>221.20025188916878</v>
          </cell>
          <cell r="X38">
            <v>223.36118108032466</v>
          </cell>
          <cell r="Y38">
            <v>215.77693814721525</v>
          </cell>
          <cell r="Z38">
            <v>221.49986006157295</v>
          </cell>
          <cell r="AA38">
            <v>221.24993003078649</v>
          </cell>
          <cell r="AB38">
            <v>221.74307304785896</v>
          </cell>
          <cell r="AC38">
            <v>218.59599776098517</v>
          </cell>
          <cell r="AD38">
            <v>218.22096277637837</v>
          </cell>
          <cell r="AE38">
            <v>215.0976770221103</v>
          </cell>
          <cell r="AF38">
            <v>217.47271200671707</v>
          </cell>
          <cell r="AG38">
            <v>2638.4920235908976</v>
          </cell>
          <cell r="AH38">
            <v>219.87433529924147</v>
          </cell>
        </row>
        <row r="39">
          <cell r="B39" t="str">
            <v>64RW1N</v>
          </cell>
          <cell r="C39" t="str">
            <v>1-64 GAL CART WKLY NONREC</v>
          </cell>
          <cell r="D39">
            <v>0</v>
          </cell>
          <cell r="E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</row>
        <row r="40">
          <cell r="B40" t="str">
            <v>64RW1R</v>
          </cell>
          <cell r="C40" t="str">
            <v>1-64 GAL CART WKLY W/REC</v>
          </cell>
          <cell r="D40">
            <v>0</v>
          </cell>
          <cell r="E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</row>
        <row r="41">
          <cell r="B41" t="str">
            <v>65RM1</v>
          </cell>
          <cell r="C41" t="str">
            <v>1-65 GAL CART MONTHLY</v>
          </cell>
          <cell r="D41">
            <v>0</v>
          </cell>
          <cell r="E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</row>
        <row r="42">
          <cell r="B42" t="str">
            <v>65RW1N</v>
          </cell>
          <cell r="C42" t="str">
            <v>1-65 GAL CART WKLY NONREC</v>
          </cell>
          <cell r="D42">
            <v>44.84</v>
          </cell>
          <cell r="E42">
            <v>46.59</v>
          </cell>
          <cell r="G42">
            <v>44.84</v>
          </cell>
          <cell r="H42">
            <v>44.84</v>
          </cell>
          <cell r="I42">
            <v>46.59</v>
          </cell>
          <cell r="J42">
            <v>46.59</v>
          </cell>
          <cell r="K42">
            <v>46.59</v>
          </cell>
          <cell r="L42">
            <v>46.59</v>
          </cell>
          <cell r="M42">
            <v>46.59</v>
          </cell>
          <cell r="N42">
            <v>46.59</v>
          </cell>
          <cell r="O42">
            <v>46.59</v>
          </cell>
          <cell r="P42">
            <v>46.59</v>
          </cell>
          <cell r="Q42">
            <v>46.59</v>
          </cell>
          <cell r="R42">
            <v>46.59</v>
          </cell>
          <cell r="S42">
            <v>555.58000000000015</v>
          </cell>
          <cell r="U42">
            <v>1</v>
          </cell>
          <cell r="V42">
            <v>1</v>
          </cell>
          <cell r="W42">
            <v>1</v>
          </cell>
          <cell r="X42">
            <v>1</v>
          </cell>
          <cell r="Y42">
            <v>1</v>
          </cell>
          <cell r="Z42">
            <v>1</v>
          </cell>
          <cell r="AA42">
            <v>1</v>
          </cell>
          <cell r="AB42">
            <v>1</v>
          </cell>
          <cell r="AC42">
            <v>1</v>
          </cell>
          <cell r="AD42">
            <v>1</v>
          </cell>
          <cell r="AE42">
            <v>1</v>
          </cell>
          <cell r="AF42">
            <v>1</v>
          </cell>
          <cell r="AG42">
            <v>12</v>
          </cell>
          <cell r="AH42">
            <v>1</v>
          </cell>
        </row>
        <row r="43">
          <cell r="B43" t="str">
            <v>65RW1R</v>
          </cell>
          <cell r="C43" t="str">
            <v>1-65 GAL CART WKLY W/REC</v>
          </cell>
          <cell r="D43">
            <v>44.84</v>
          </cell>
          <cell r="E43">
            <v>46.59</v>
          </cell>
          <cell r="G43">
            <v>4198.1450000000004</v>
          </cell>
          <cell r="H43">
            <v>4326.9650000000001</v>
          </cell>
          <cell r="I43">
            <v>4430.7</v>
          </cell>
          <cell r="J43">
            <v>4455.17</v>
          </cell>
          <cell r="K43">
            <v>4517.8500000000004</v>
          </cell>
          <cell r="L43">
            <v>4787.1149999999998</v>
          </cell>
          <cell r="M43">
            <v>3952.6049999999996</v>
          </cell>
          <cell r="N43">
            <v>4565.82</v>
          </cell>
          <cell r="O43">
            <v>4449.34</v>
          </cell>
          <cell r="P43">
            <v>4612.4100000000008</v>
          </cell>
          <cell r="Q43">
            <v>4402.7550000000001</v>
          </cell>
          <cell r="R43">
            <v>4472.6400000000003</v>
          </cell>
          <cell r="S43">
            <v>53171.514999999992</v>
          </cell>
          <cell r="U43">
            <v>93.625</v>
          </cell>
          <cell r="V43">
            <v>96.497881355932194</v>
          </cell>
          <cell r="W43">
            <v>95.09980682549903</v>
          </cell>
          <cell r="X43">
            <v>95.625026829791793</v>
          </cell>
          <cell r="Y43">
            <v>96.9703799098519</v>
          </cell>
          <cell r="Z43">
            <v>102.74983902124919</v>
          </cell>
          <cell r="AA43">
            <v>84.838055376690264</v>
          </cell>
          <cell r="AB43">
            <v>97.999999999999986</v>
          </cell>
          <cell r="AC43">
            <v>95.499892680832787</v>
          </cell>
          <cell r="AD43">
            <v>99.000000000000014</v>
          </cell>
          <cell r="AE43">
            <v>94.5</v>
          </cell>
          <cell r="AF43">
            <v>96</v>
          </cell>
          <cell r="AG43">
            <v>1148.4058819998472</v>
          </cell>
          <cell r="AH43">
            <v>95.700490166653935</v>
          </cell>
        </row>
        <row r="44">
          <cell r="B44" t="str">
            <v>95RM1</v>
          </cell>
          <cell r="C44" t="str">
            <v>1-95 GAL CART MONTHLY</v>
          </cell>
          <cell r="D44">
            <v>0</v>
          </cell>
          <cell r="E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</row>
        <row r="45">
          <cell r="B45" t="str">
            <v>95RW1N</v>
          </cell>
          <cell r="C45" t="str">
            <v>1-95 GAL CART WKLY NONREC</v>
          </cell>
          <cell r="D45">
            <v>57.9</v>
          </cell>
          <cell r="E45">
            <v>60.2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</row>
        <row r="46">
          <cell r="B46" t="str">
            <v>95RW1R</v>
          </cell>
          <cell r="C46" t="str">
            <v>1-95 GAL CART WKLY W/REC</v>
          </cell>
          <cell r="D46">
            <v>57.9</v>
          </cell>
          <cell r="E46">
            <v>60.2</v>
          </cell>
          <cell r="G46">
            <v>115.8</v>
          </cell>
          <cell r="H46">
            <v>115.8</v>
          </cell>
          <cell r="I46">
            <v>120.4</v>
          </cell>
          <cell r="J46">
            <v>150.5</v>
          </cell>
          <cell r="K46">
            <v>60.2</v>
          </cell>
          <cell r="L46">
            <v>60.2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60.2</v>
          </cell>
          <cell r="R46">
            <v>240.8</v>
          </cell>
          <cell r="S46">
            <v>923.90000000000009</v>
          </cell>
          <cell r="U46">
            <v>2</v>
          </cell>
          <cell r="V46">
            <v>2</v>
          </cell>
          <cell r="W46">
            <v>2</v>
          </cell>
          <cell r="X46">
            <v>2.5</v>
          </cell>
          <cell r="Y46">
            <v>1</v>
          </cell>
          <cell r="Z46">
            <v>1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1</v>
          </cell>
          <cell r="AF46">
            <v>4</v>
          </cell>
          <cell r="AG46">
            <v>15.5</v>
          </cell>
          <cell r="AH46">
            <v>1.2916666666666667</v>
          </cell>
        </row>
        <row r="47">
          <cell r="B47" t="str">
            <v>96RW1N</v>
          </cell>
          <cell r="C47" t="str">
            <v>1-96 GAL CART WKLY NONREC</v>
          </cell>
          <cell r="D47">
            <v>0</v>
          </cell>
          <cell r="E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</row>
        <row r="48">
          <cell r="B48" t="str">
            <v>96RW1R</v>
          </cell>
          <cell r="C48" t="str">
            <v>1-96 GAL CART WKLY W/REC</v>
          </cell>
          <cell r="D48">
            <v>0</v>
          </cell>
          <cell r="E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</row>
        <row r="49">
          <cell r="B49" t="str">
            <v>ADJRES</v>
          </cell>
          <cell r="C49" t="str">
            <v>SERVICE ADJ-RESIDENTIAL</v>
          </cell>
          <cell r="D49">
            <v>0</v>
          </cell>
          <cell r="E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</row>
        <row r="50">
          <cell r="B50" t="str">
            <v>CARRY-RES</v>
          </cell>
          <cell r="C50" t="str">
            <v>CARRY OUT -RES</v>
          </cell>
          <cell r="D50">
            <v>0</v>
          </cell>
          <cell r="E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</row>
        <row r="51">
          <cell r="B51" t="str">
            <v>DELTOT</v>
          </cell>
          <cell r="C51" t="str">
            <v>GARB CART REDELIVERY</v>
          </cell>
          <cell r="D51">
            <v>0</v>
          </cell>
          <cell r="E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</row>
        <row r="52">
          <cell r="B52" t="str">
            <v>DRIVEPRVT-RES</v>
          </cell>
          <cell r="C52" t="str">
            <v>DRIVE IN PRIVATE RD - RES</v>
          </cell>
          <cell r="D52">
            <v>0</v>
          </cell>
          <cell r="E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</row>
        <row r="53">
          <cell r="B53" t="str">
            <v>DRVNRE1</v>
          </cell>
          <cell r="C53" t="str">
            <v>DRIVE IN UP TO 125'-EOW</v>
          </cell>
          <cell r="D53">
            <v>0</v>
          </cell>
          <cell r="E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</row>
        <row r="54">
          <cell r="B54" t="str">
            <v>DRVNRW1</v>
          </cell>
          <cell r="C54" t="str">
            <v>DRIVE IN UP TO 125'-WKLY</v>
          </cell>
          <cell r="D54">
            <v>37.94</v>
          </cell>
          <cell r="E54">
            <v>39.24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</row>
        <row r="55">
          <cell r="B55" t="str">
            <v>DRVNRW2</v>
          </cell>
          <cell r="C55" t="str">
            <v>DRIVE IN OVER 125'-WKLY</v>
          </cell>
          <cell r="D55">
            <v>0</v>
          </cell>
          <cell r="E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</row>
        <row r="56">
          <cell r="B56" t="str">
            <v>GWCR</v>
          </cell>
          <cell r="C56" t="str">
            <v>GOOD WILL CREDIT - RESI</v>
          </cell>
          <cell r="D56">
            <v>0</v>
          </cell>
          <cell r="E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-25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-25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</row>
        <row r="57">
          <cell r="B57" t="str">
            <v>IMPCNR1</v>
          </cell>
          <cell r="C57" t="str">
            <v>1 IMPROPER CAN - RESI</v>
          </cell>
          <cell r="D57">
            <v>0</v>
          </cell>
          <cell r="E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</row>
        <row r="58">
          <cell r="B58" t="str">
            <v>IMPCNR2</v>
          </cell>
          <cell r="C58" t="str">
            <v>2 IMPROPER CANS - RESI</v>
          </cell>
          <cell r="D58">
            <v>0</v>
          </cell>
          <cell r="E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</row>
        <row r="59">
          <cell r="B59" t="str">
            <v>OBSR</v>
          </cell>
          <cell r="C59" t="str">
            <v>OBSTRUCTION</v>
          </cell>
          <cell r="D59">
            <v>0</v>
          </cell>
          <cell r="E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</row>
        <row r="60">
          <cell r="B60" t="str">
            <v>OS</v>
          </cell>
          <cell r="C60" t="str">
            <v>OVERSIZE UNIT</v>
          </cell>
          <cell r="D60">
            <v>0</v>
          </cell>
          <cell r="E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</row>
        <row r="61">
          <cell r="B61" t="str">
            <v>OSOW</v>
          </cell>
          <cell r="C61" t="str">
            <v>OVERSIZE/OVERWEIGHT</v>
          </cell>
          <cell r="D61">
            <v>0</v>
          </cell>
          <cell r="E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</row>
        <row r="62">
          <cell r="B62" t="str">
            <v>OW</v>
          </cell>
          <cell r="C62" t="str">
            <v>OVERWEIGHT UNIT</v>
          </cell>
          <cell r="D62">
            <v>0</v>
          </cell>
          <cell r="E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</row>
        <row r="63">
          <cell r="B63" t="str">
            <v>PACKLC</v>
          </cell>
          <cell r="C63" t="str">
            <v>CARRY-OUT LONG DISTANCE</v>
          </cell>
          <cell r="D63">
            <v>37.94</v>
          </cell>
          <cell r="E63">
            <v>39.24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</row>
        <row r="64">
          <cell r="B64" t="str">
            <v>PACKR</v>
          </cell>
          <cell r="C64" t="str">
            <v>CARRY-OUT RESIDENTIAL</v>
          </cell>
          <cell r="D64">
            <v>0</v>
          </cell>
          <cell r="E64">
            <v>0</v>
          </cell>
          <cell r="G64">
            <v>18.97</v>
          </cell>
          <cell r="H64">
            <v>18.97</v>
          </cell>
          <cell r="I64">
            <v>18.97</v>
          </cell>
          <cell r="J64">
            <v>18.97</v>
          </cell>
          <cell r="K64">
            <v>18.97</v>
          </cell>
          <cell r="L64">
            <v>18.97</v>
          </cell>
          <cell r="M64">
            <v>18.97</v>
          </cell>
          <cell r="N64">
            <v>18.97</v>
          </cell>
          <cell r="O64">
            <v>18.97</v>
          </cell>
          <cell r="P64">
            <v>18.97</v>
          </cell>
          <cell r="Q64">
            <v>18.97</v>
          </cell>
          <cell r="R64">
            <v>18.97</v>
          </cell>
          <cell r="S64">
            <v>227.64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</row>
        <row r="65">
          <cell r="B65" t="str">
            <v>PACKSNR</v>
          </cell>
          <cell r="C65" t="str">
            <v>CARRY-OUT SENIOR SERVICE</v>
          </cell>
          <cell r="D65">
            <v>37.94</v>
          </cell>
          <cell r="E65">
            <v>39.24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</row>
        <row r="66">
          <cell r="B66" t="str">
            <v>RESTART FEE</v>
          </cell>
          <cell r="C66" t="str">
            <v>RESTART FEE</v>
          </cell>
          <cell r="D66">
            <v>25</v>
          </cell>
          <cell r="E66">
            <v>25</v>
          </cell>
          <cell r="G66">
            <v>0</v>
          </cell>
          <cell r="H66">
            <v>125</v>
          </cell>
          <cell r="I66">
            <v>50</v>
          </cell>
          <cell r="J66">
            <v>50</v>
          </cell>
          <cell r="K66">
            <v>0</v>
          </cell>
          <cell r="L66">
            <v>150</v>
          </cell>
          <cell r="M66">
            <v>0</v>
          </cell>
          <cell r="N66">
            <v>50</v>
          </cell>
          <cell r="O66">
            <v>0</v>
          </cell>
          <cell r="P66">
            <v>25</v>
          </cell>
          <cell r="Q66">
            <v>25</v>
          </cell>
          <cell r="R66">
            <v>50</v>
          </cell>
          <cell r="S66">
            <v>525</v>
          </cell>
          <cell r="U66">
            <v>0</v>
          </cell>
          <cell r="V66">
            <v>5</v>
          </cell>
          <cell r="W66">
            <v>2</v>
          </cell>
          <cell r="X66">
            <v>2</v>
          </cell>
          <cell r="Y66">
            <v>0</v>
          </cell>
          <cell r="Z66">
            <v>6</v>
          </cell>
          <cell r="AA66">
            <v>0</v>
          </cell>
          <cell r="AB66">
            <v>2</v>
          </cell>
          <cell r="AC66">
            <v>0</v>
          </cell>
          <cell r="AD66">
            <v>1</v>
          </cell>
          <cell r="AE66">
            <v>1</v>
          </cell>
          <cell r="AF66">
            <v>2</v>
          </cell>
          <cell r="AG66">
            <v>21</v>
          </cell>
          <cell r="AH66">
            <v>1.75</v>
          </cell>
        </row>
        <row r="67">
          <cell r="B67" t="str">
            <v>REXTRA</v>
          </cell>
          <cell r="C67" t="str">
            <v>EXTRA UNITS</v>
          </cell>
          <cell r="D67">
            <v>5.57</v>
          </cell>
          <cell r="E67">
            <v>5.79</v>
          </cell>
          <cell r="G67">
            <v>0</v>
          </cell>
          <cell r="H67">
            <v>-4.8600000000000003</v>
          </cell>
          <cell r="I67">
            <v>0</v>
          </cell>
          <cell r="J67">
            <v>17.37</v>
          </cell>
          <cell r="K67">
            <v>0</v>
          </cell>
          <cell r="L67">
            <v>86.85</v>
          </cell>
          <cell r="M67">
            <v>46.32</v>
          </cell>
          <cell r="N67">
            <v>17.37</v>
          </cell>
          <cell r="O67">
            <v>57.9</v>
          </cell>
          <cell r="P67">
            <v>17.369999999999997</v>
          </cell>
          <cell r="Q67">
            <v>5.79</v>
          </cell>
          <cell r="R67">
            <v>0</v>
          </cell>
          <cell r="S67">
            <v>244.11</v>
          </cell>
          <cell r="U67">
            <v>0</v>
          </cell>
          <cell r="V67">
            <v>-0.87253141831238779</v>
          </cell>
          <cell r="W67">
            <v>0</v>
          </cell>
          <cell r="X67">
            <v>3</v>
          </cell>
          <cell r="Y67">
            <v>0</v>
          </cell>
          <cell r="Z67">
            <v>14.999999999999998</v>
          </cell>
          <cell r="AA67">
            <v>8</v>
          </cell>
          <cell r="AB67">
            <v>3</v>
          </cell>
          <cell r="AC67">
            <v>10</v>
          </cell>
          <cell r="AD67">
            <v>2.9999999999999996</v>
          </cell>
          <cell r="AE67">
            <v>1</v>
          </cell>
          <cell r="AF67">
            <v>0</v>
          </cell>
          <cell r="AG67">
            <v>42.127468581687609</v>
          </cell>
          <cell r="AH67">
            <v>3.5106223818073006</v>
          </cell>
        </row>
        <row r="68">
          <cell r="B68" t="str">
            <v>SUNKENR</v>
          </cell>
          <cell r="C68" t="str">
            <v>SUNKEN CAN CHARGE - RESI</v>
          </cell>
          <cell r="D68">
            <v>0</v>
          </cell>
          <cell r="E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</row>
        <row r="69">
          <cell r="B69" t="str">
            <v>TRIPRCANS</v>
          </cell>
          <cell r="C69" t="str">
            <v>RETURN TRIP CHARGE - CANS</v>
          </cell>
          <cell r="D69">
            <v>10.61</v>
          </cell>
          <cell r="E69">
            <v>10.97</v>
          </cell>
          <cell r="G69">
            <v>0</v>
          </cell>
          <cell r="H69">
            <v>0</v>
          </cell>
          <cell r="I69">
            <v>0</v>
          </cell>
          <cell r="J69">
            <v>10.97</v>
          </cell>
          <cell r="K69">
            <v>0</v>
          </cell>
          <cell r="L69">
            <v>10.97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21.94</v>
          </cell>
          <cell r="U69">
            <v>0</v>
          </cell>
          <cell r="V69">
            <v>0</v>
          </cell>
          <cell r="W69">
            <v>0</v>
          </cell>
          <cell r="X69">
            <v>1</v>
          </cell>
          <cell r="Y69">
            <v>0</v>
          </cell>
          <cell r="Z69">
            <v>1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2</v>
          </cell>
          <cell r="AH69">
            <v>0.16666666666666666</v>
          </cell>
        </row>
        <row r="70">
          <cell r="B70" t="str">
            <v>TRIPRCARTS</v>
          </cell>
          <cell r="C70" t="str">
            <v>RESI TRIP CHARGE - CARTS</v>
          </cell>
          <cell r="D70">
            <v>10.61</v>
          </cell>
          <cell r="E70">
            <v>10.97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</row>
        <row r="103">
          <cell r="B103" t="str">
            <v>COMMERCIAL GARBAGE</v>
          </cell>
        </row>
        <row r="104">
          <cell r="B104" t="str">
            <v>20CW1</v>
          </cell>
          <cell r="C104" t="str">
            <v>1-20 GAL CART WKLY</v>
          </cell>
          <cell r="D104">
            <v>0</v>
          </cell>
          <cell r="E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</row>
        <row r="105">
          <cell r="B105" t="str">
            <v>32C2W2</v>
          </cell>
          <cell r="C105" t="str">
            <v>2-32 GAL CANS 2X WEEKLY</v>
          </cell>
          <cell r="D105">
            <v>0</v>
          </cell>
          <cell r="E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</row>
        <row r="106">
          <cell r="B106" t="str">
            <v>32CE1</v>
          </cell>
          <cell r="C106" t="str">
            <v>32 GAL CAN COMM EOW</v>
          </cell>
          <cell r="D106">
            <v>0</v>
          </cell>
          <cell r="E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</row>
        <row r="107">
          <cell r="B107" t="str">
            <v>32CW1</v>
          </cell>
          <cell r="C107" t="str">
            <v>1-32 GAL CAN WEEKLY</v>
          </cell>
          <cell r="D107">
            <v>0</v>
          </cell>
          <cell r="E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</row>
        <row r="108">
          <cell r="B108" t="str">
            <v>32CW2</v>
          </cell>
          <cell r="C108" t="str">
            <v>2-32 GAL CANS WKLY</v>
          </cell>
          <cell r="D108">
            <v>0</v>
          </cell>
          <cell r="E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</row>
        <row r="109">
          <cell r="B109" t="str">
            <v>32CW3</v>
          </cell>
          <cell r="C109" t="str">
            <v>3-32 GAL CANS WKLY</v>
          </cell>
          <cell r="D109">
            <v>0</v>
          </cell>
          <cell r="E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</row>
        <row r="110">
          <cell r="B110" t="str">
            <v>32CW4</v>
          </cell>
          <cell r="C110" t="str">
            <v>4-32 GAL CANS WKLY</v>
          </cell>
          <cell r="D110">
            <v>0</v>
          </cell>
          <cell r="E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</row>
        <row r="111">
          <cell r="B111" t="str">
            <v>35CW1</v>
          </cell>
          <cell r="C111" t="str">
            <v>1-35 GAL CART WKLY</v>
          </cell>
          <cell r="D111">
            <v>29.28</v>
          </cell>
          <cell r="E111">
            <v>30.38</v>
          </cell>
          <cell r="G111">
            <v>234.24</v>
          </cell>
          <cell r="H111">
            <v>204.96</v>
          </cell>
          <cell r="I111">
            <v>212.66</v>
          </cell>
          <cell r="J111">
            <v>212.66</v>
          </cell>
          <cell r="K111">
            <v>212.66</v>
          </cell>
          <cell r="L111">
            <v>182.28</v>
          </cell>
          <cell r="M111">
            <v>182.28</v>
          </cell>
          <cell r="N111">
            <v>151.9</v>
          </cell>
          <cell r="O111">
            <v>212.66</v>
          </cell>
          <cell r="P111">
            <v>182.28</v>
          </cell>
          <cell r="Q111">
            <v>212.66</v>
          </cell>
          <cell r="R111">
            <v>212.66</v>
          </cell>
          <cell r="S111">
            <v>2413.9</v>
          </cell>
          <cell r="U111">
            <v>8</v>
          </cell>
          <cell r="V111">
            <v>7</v>
          </cell>
          <cell r="W111">
            <v>7</v>
          </cell>
          <cell r="X111">
            <v>7</v>
          </cell>
          <cell r="Y111">
            <v>7</v>
          </cell>
          <cell r="Z111">
            <v>6</v>
          </cell>
          <cell r="AA111">
            <v>6</v>
          </cell>
          <cell r="AB111">
            <v>5</v>
          </cell>
          <cell r="AC111">
            <v>7</v>
          </cell>
          <cell r="AD111">
            <v>6</v>
          </cell>
          <cell r="AE111">
            <v>7</v>
          </cell>
          <cell r="AF111">
            <v>7</v>
          </cell>
          <cell r="AG111">
            <v>80</v>
          </cell>
          <cell r="AH111">
            <v>6.666666666666667</v>
          </cell>
        </row>
        <row r="112">
          <cell r="B112" t="str">
            <v>65CW1</v>
          </cell>
          <cell r="C112" t="str">
            <v>1-65 GAL CART WKLY</v>
          </cell>
          <cell r="D112">
            <v>36.51</v>
          </cell>
          <cell r="E112">
            <v>37.92</v>
          </cell>
          <cell r="G112">
            <v>182.55</v>
          </cell>
          <cell r="H112">
            <v>182.55</v>
          </cell>
          <cell r="I112">
            <v>189.6</v>
          </cell>
          <cell r="J112">
            <v>189.6</v>
          </cell>
          <cell r="K112">
            <v>189.6</v>
          </cell>
          <cell r="L112">
            <v>189.6</v>
          </cell>
          <cell r="M112">
            <v>189.6</v>
          </cell>
          <cell r="N112">
            <v>189.6</v>
          </cell>
          <cell r="O112">
            <v>189.6</v>
          </cell>
          <cell r="P112">
            <v>189.6</v>
          </cell>
          <cell r="Q112">
            <v>189.6</v>
          </cell>
          <cell r="R112">
            <v>189.6</v>
          </cell>
          <cell r="S112">
            <v>2261.0999999999995</v>
          </cell>
          <cell r="U112">
            <v>5.0000000000000009</v>
          </cell>
          <cell r="V112">
            <v>5.0000000000000009</v>
          </cell>
          <cell r="W112">
            <v>5</v>
          </cell>
          <cell r="X112">
            <v>5</v>
          </cell>
          <cell r="Y112">
            <v>5</v>
          </cell>
          <cell r="Z112">
            <v>5</v>
          </cell>
          <cell r="AA112">
            <v>5</v>
          </cell>
          <cell r="AB112">
            <v>5</v>
          </cell>
          <cell r="AC112">
            <v>5</v>
          </cell>
          <cell r="AD112">
            <v>5</v>
          </cell>
          <cell r="AE112">
            <v>5</v>
          </cell>
          <cell r="AF112">
            <v>5</v>
          </cell>
          <cell r="AG112">
            <v>60</v>
          </cell>
          <cell r="AH112">
            <v>5</v>
          </cell>
        </row>
        <row r="113">
          <cell r="B113" t="str">
            <v>95CW1</v>
          </cell>
          <cell r="C113" t="str">
            <v>1-95 GAL CART WKLY</v>
          </cell>
          <cell r="D113">
            <v>53.4</v>
          </cell>
          <cell r="E113">
            <v>55.46</v>
          </cell>
          <cell r="G113">
            <v>1041.3</v>
          </cell>
          <cell r="H113">
            <v>1068</v>
          </cell>
          <cell r="I113">
            <v>1109.2</v>
          </cell>
          <cell r="J113">
            <v>1109.2</v>
          </cell>
          <cell r="K113">
            <v>1109.2</v>
          </cell>
          <cell r="L113">
            <v>1053.74</v>
          </cell>
          <cell r="M113">
            <v>1053.74</v>
          </cell>
          <cell r="N113">
            <v>1053.74</v>
          </cell>
          <cell r="O113">
            <v>1053.74</v>
          </cell>
          <cell r="P113">
            <v>1053.74</v>
          </cell>
          <cell r="Q113">
            <v>1053.74</v>
          </cell>
          <cell r="R113">
            <v>998.28</v>
          </cell>
          <cell r="S113">
            <v>12757.619999999999</v>
          </cell>
          <cell r="U113">
            <v>19.5</v>
          </cell>
          <cell r="V113">
            <v>20</v>
          </cell>
          <cell r="W113">
            <v>20</v>
          </cell>
          <cell r="X113">
            <v>20</v>
          </cell>
          <cell r="Y113">
            <v>20</v>
          </cell>
          <cell r="Z113">
            <v>19</v>
          </cell>
          <cell r="AA113">
            <v>19</v>
          </cell>
          <cell r="AB113">
            <v>19</v>
          </cell>
          <cell r="AC113">
            <v>19</v>
          </cell>
          <cell r="AD113">
            <v>19</v>
          </cell>
          <cell r="AE113">
            <v>19</v>
          </cell>
          <cell r="AF113">
            <v>18</v>
          </cell>
          <cell r="AG113">
            <v>231.5</v>
          </cell>
          <cell r="AH113">
            <v>19.291666666666668</v>
          </cell>
        </row>
        <row r="114">
          <cell r="B114" t="str">
            <v>F1YD1W</v>
          </cell>
          <cell r="C114" t="str">
            <v>1YD CONT 1X WEEKLY</v>
          </cell>
          <cell r="D114">
            <v>0</v>
          </cell>
          <cell r="E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</row>
        <row r="115">
          <cell r="B115" t="str">
            <v>R1YD1W</v>
          </cell>
          <cell r="C115" t="str">
            <v>1YD CONT 1xWEEKLY</v>
          </cell>
          <cell r="D115">
            <v>161.47999999999999</v>
          </cell>
          <cell r="E115">
            <v>167.61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83.8</v>
          </cell>
          <cell r="O115">
            <v>167.61</v>
          </cell>
          <cell r="P115">
            <v>251.41</v>
          </cell>
          <cell r="Q115">
            <v>251.41</v>
          </cell>
          <cell r="R115">
            <v>167.61</v>
          </cell>
          <cell r="S115">
            <v>921.84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0.49997016884434098</v>
          </cell>
          <cell r="AC115">
            <v>1</v>
          </cell>
          <cell r="AD115">
            <v>1.499970168844341</v>
          </cell>
          <cell r="AE115">
            <v>1.499970168844341</v>
          </cell>
          <cell r="AF115">
            <v>1</v>
          </cell>
          <cell r="AG115">
            <v>5.4999105065330234</v>
          </cell>
          <cell r="AH115">
            <v>0.45832587554441861</v>
          </cell>
        </row>
        <row r="116">
          <cell r="B116" t="str">
            <v>F1YD2W</v>
          </cell>
          <cell r="C116" t="str">
            <v>1YD CONT 2X WEEKLY</v>
          </cell>
          <cell r="D116">
            <v>0</v>
          </cell>
          <cell r="E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</row>
        <row r="117">
          <cell r="B117" t="str">
            <v>R1YD2W</v>
          </cell>
          <cell r="C117" t="str">
            <v>1YD CONT 2xWEEKLY</v>
          </cell>
          <cell r="D117">
            <v>322.95999999999998</v>
          </cell>
          <cell r="E117">
            <v>335.21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</row>
        <row r="118">
          <cell r="B118" t="str">
            <v>R1YD3W</v>
          </cell>
          <cell r="C118" t="str">
            <v>1YD CONT 3xWEEKLY</v>
          </cell>
          <cell r="D118">
            <v>0</v>
          </cell>
          <cell r="E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</row>
        <row r="119">
          <cell r="B119" t="str">
            <v>R1YDEOW</v>
          </cell>
          <cell r="C119" t="str">
            <v>1YD CONT EOW</v>
          </cell>
          <cell r="D119">
            <v>0</v>
          </cell>
          <cell r="E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</row>
        <row r="120">
          <cell r="B120" t="str">
            <v>R1YDTPU</v>
          </cell>
          <cell r="C120" t="str">
            <v>1YD TEMP CONT</v>
          </cell>
          <cell r="D120">
            <v>0</v>
          </cell>
          <cell r="E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</row>
        <row r="121">
          <cell r="B121" t="str">
            <v>R1.5YD1W</v>
          </cell>
          <cell r="C121" t="str">
            <v>1.5YD CONT 1xWEEKLY</v>
          </cell>
          <cell r="D121">
            <v>224.6</v>
          </cell>
          <cell r="E121">
            <v>233.2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</row>
        <row r="122">
          <cell r="B122" t="str">
            <v>F1.5YD1W</v>
          </cell>
          <cell r="C122" t="str">
            <v>1.5YD CONT 1X WEEKLY</v>
          </cell>
          <cell r="D122">
            <v>0</v>
          </cell>
          <cell r="E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</row>
        <row r="123">
          <cell r="B123" t="str">
            <v>R1.5YD2W</v>
          </cell>
          <cell r="C123" t="str">
            <v>1.5YD CONT 2xWEEKLY</v>
          </cell>
          <cell r="D123">
            <v>449.2</v>
          </cell>
          <cell r="E123">
            <v>466.37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</row>
        <row r="124">
          <cell r="B124" t="str">
            <v>R1.5YD3W</v>
          </cell>
          <cell r="C124" t="str">
            <v>1.5YD CONT 3xWEEKLY</v>
          </cell>
          <cell r="D124">
            <v>0</v>
          </cell>
          <cell r="E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</row>
        <row r="125">
          <cell r="B125" t="str">
            <v>R1.5YDEOW</v>
          </cell>
          <cell r="C125" t="str">
            <v>1.5YD CONT EOW</v>
          </cell>
          <cell r="D125">
            <v>0</v>
          </cell>
          <cell r="E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</row>
        <row r="126">
          <cell r="B126" t="str">
            <v>R1.5YDTPU</v>
          </cell>
          <cell r="C126" t="str">
            <v>1.5YD TEMP CONTAINER</v>
          </cell>
          <cell r="D126">
            <v>0</v>
          </cell>
          <cell r="E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</row>
        <row r="127">
          <cell r="B127" t="str">
            <v>F2YD1W</v>
          </cell>
          <cell r="C127" t="str">
            <v>2YD CONT 1X WEEKLY</v>
          </cell>
          <cell r="D127">
            <v>0</v>
          </cell>
          <cell r="E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</row>
        <row r="128">
          <cell r="B128" t="str">
            <v>R2YD1W</v>
          </cell>
          <cell r="C128" t="str">
            <v>2YD CONT 1xWEEKLY</v>
          </cell>
          <cell r="D128">
            <v>271.32</v>
          </cell>
          <cell r="E128">
            <v>281.73</v>
          </cell>
          <cell r="G128">
            <v>542.64</v>
          </cell>
          <cell r="H128">
            <v>542.64</v>
          </cell>
          <cell r="I128">
            <v>704.32</v>
          </cell>
          <cell r="J128">
            <v>845.19</v>
          </cell>
          <cell r="K128">
            <v>845.19</v>
          </cell>
          <cell r="L128">
            <v>422.59</v>
          </cell>
          <cell r="M128">
            <v>281.73</v>
          </cell>
          <cell r="N128">
            <v>281.73</v>
          </cell>
          <cell r="O128">
            <v>281.73</v>
          </cell>
          <cell r="P128">
            <v>281.73</v>
          </cell>
          <cell r="Q128">
            <v>281.73</v>
          </cell>
          <cell r="R128">
            <v>281.73</v>
          </cell>
          <cell r="S128">
            <v>5592.9499999999989</v>
          </cell>
          <cell r="U128">
            <v>2</v>
          </cell>
          <cell r="V128">
            <v>2</v>
          </cell>
          <cell r="W128">
            <v>2.4999822525112698</v>
          </cell>
          <cell r="X128">
            <v>3</v>
          </cell>
          <cell r="Y128">
            <v>3</v>
          </cell>
          <cell r="Z128">
            <v>1.4999822525112694</v>
          </cell>
          <cell r="AA128">
            <v>1</v>
          </cell>
          <cell r="AB128">
            <v>1</v>
          </cell>
          <cell r="AC128">
            <v>1</v>
          </cell>
          <cell r="AD128">
            <v>1</v>
          </cell>
          <cell r="AE128">
            <v>1</v>
          </cell>
          <cell r="AF128">
            <v>1</v>
          </cell>
          <cell r="AG128">
            <v>19.99996450502254</v>
          </cell>
          <cell r="AH128">
            <v>1.6666637087518783</v>
          </cell>
        </row>
        <row r="129">
          <cell r="B129" t="str">
            <v>R2YD2W</v>
          </cell>
          <cell r="C129" t="str">
            <v>2YD CONT 2xWEEKLY</v>
          </cell>
          <cell r="D129">
            <v>542.64</v>
          </cell>
          <cell r="E129">
            <v>563.48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281.74</v>
          </cell>
          <cell r="M129">
            <v>563.48</v>
          </cell>
          <cell r="N129">
            <v>563.48</v>
          </cell>
          <cell r="O129">
            <v>563.48</v>
          </cell>
          <cell r="P129">
            <v>563.48</v>
          </cell>
          <cell r="Q129">
            <v>563.48</v>
          </cell>
          <cell r="R129">
            <v>563.48</v>
          </cell>
          <cell r="S129">
            <v>3662.62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0.5</v>
          </cell>
          <cell r="AA129">
            <v>1</v>
          </cell>
          <cell r="AB129">
            <v>1</v>
          </cell>
          <cell r="AC129">
            <v>1</v>
          </cell>
          <cell r="AD129">
            <v>1</v>
          </cell>
          <cell r="AE129">
            <v>1</v>
          </cell>
          <cell r="AF129">
            <v>1</v>
          </cell>
          <cell r="AG129">
            <v>6.5</v>
          </cell>
          <cell r="AH129">
            <v>0.54166666666666663</v>
          </cell>
        </row>
        <row r="130">
          <cell r="B130" t="str">
            <v>F2YD2W</v>
          </cell>
          <cell r="C130" t="str">
            <v>2YD CONT 2X WEEKLY</v>
          </cell>
          <cell r="D130">
            <v>0</v>
          </cell>
          <cell r="E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</row>
        <row r="131">
          <cell r="B131" t="str">
            <v>F2YD3W</v>
          </cell>
          <cell r="C131" t="str">
            <v>2YD CONT 3X WEEKLY</v>
          </cell>
          <cell r="D131">
            <v>0</v>
          </cell>
          <cell r="E131">
            <v>845.21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1560.36</v>
          </cell>
          <cell r="L131">
            <v>2535.63</v>
          </cell>
          <cell r="M131">
            <v>2535.63</v>
          </cell>
          <cell r="N131">
            <v>2535.63</v>
          </cell>
          <cell r="O131">
            <v>2535.63</v>
          </cell>
          <cell r="P131">
            <v>2535.63</v>
          </cell>
          <cell r="Q131">
            <v>2535.63</v>
          </cell>
          <cell r="R131">
            <v>2535.63</v>
          </cell>
          <cell r="S131">
            <v>19309.770000000004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1.8461210823345675</v>
          </cell>
          <cell r="Z131">
            <v>3</v>
          </cell>
          <cell r="AA131">
            <v>3</v>
          </cell>
          <cell r="AB131">
            <v>3</v>
          </cell>
          <cell r="AC131">
            <v>3</v>
          </cell>
          <cell r="AD131">
            <v>3</v>
          </cell>
          <cell r="AE131">
            <v>3</v>
          </cell>
          <cell r="AF131">
            <v>3</v>
          </cell>
          <cell r="AG131">
            <v>22.84612108233457</v>
          </cell>
          <cell r="AH131">
            <v>1.9038434235278807</v>
          </cell>
        </row>
        <row r="132">
          <cell r="B132" t="str">
            <v>R2YD3W</v>
          </cell>
          <cell r="C132" t="str">
            <v>2YD CONT 3xWEEKLY</v>
          </cell>
          <cell r="D132">
            <v>813.96</v>
          </cell>
          <cell r="E132">
            <v>845.21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</row>
        <row r="133">
          <cell r="B133" t="str">
            <v>R2YD4W</v>
          </cell>
          <cell r="C133" t="str">
            <v>2YD CONT 4xWEEKLY</v>
          </cell>
          <cell r="D133">
            <v>0</v>
          </cell>
          <cell r="E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</row>
        <row r="134">
          <cell r="B134" t="str">
            <v>R2YD5W</v>
          </cell>
          <cell r="C134" t="str">
            <v>2YD CONT 5xWEEKLY</v>
          </cell>
          <cell r="D134">
            <v>0</v>
          </cell>
          <cell r="E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</row>
        <row r="135">
          <cell r="B135" t="str">
            <v>R2YDEOW</v>
          </cell>
          <cell r="C135" t="str">
            <v>2YD CONT EOW</v>
          </cell>
          <cell r="D135">
            <v>0</v>
          </cell>
          <cell r="E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</row>
        <row r="136">
          <cell r="B136" t="str">
            <v>R2YDTPU</v>
          </cell>
          <cell r="C136" t="str">
            <v>2YD TEMP CONTAINER</v>
          </cell>
          <cell r="D136">
            <v>0</v>
          </cell>
          <cell r="E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</row>
        <row r="137">
          <cell r="B137" t="str">
            <v>F4YD1W</v>
          </cell>
          <cell r="C137" t="str">
            <v>4YD CONT 1X WEEKLY</v>
          </cell>
          <cell r="D137">
            <v>473.1</v>
          </cell>
          <cell r="E137">
            <v>491.48</v>
          </cell>
          <cell r="G137">
            <v>946.2</v>
          </cell>
          <cell r="H137">
            <v>946.2</v>
          </cell>
          <cell r="I137">
            <v>982.96</v>
          </cell>
          <cell r="J137">
            <v>982.96</v>
          </cell>
          <cell r="K137">
            <v>982.96</v>
          </cell>
          <cell r="L137">
            <v>860.09</v>
          </cell>
          <cell r="M137">
            <v>982.96</v>
          </cell>
          <cell r="N137">
            <v>982.96</v>
          </cell>
          <cell r="O137">
            <v>982.96</v>
          </cell>
          <cell r="P137">
            <v>982.96</v>
          </cell>
          <cell r="Q137">
            <v>982.96</v>
          </cell>
          <cell r="R137">
            <v>737.22000000000025</v>
          </cell>
          <cell r="S137">
            <v>11353.39</v>
          </cell>
          <cell r="U137">
            <v>2</v>
          </cell>
          <cell r="V137">
            <v>2</v>
          </cell>
          <cell r="W137">
            <v>2</v>
          </cell>
          <cell r="X137">
            <v>2</v>
          </cell>
          <cell r="Y137">
            <v>2</v>
          </cell>
          <cell r="Z137">
            <v>1.75</v>
          </cell>
          <cell r="AA137">
            <v>2</v>
          </cell>
          <cell r="AB137">
            <v>2</v>
          </cell>
          <cell r="AC137">
            <v>2</v>
          </cell>
          <cell r="AD137">
            <v>2</v>
          </cell>
          <cell r="AE137">
            <v>2</v>
          </cell>
          <cell r="AF137">
            <v>1.5000000000000004</v>
          </cell>
          <cell r="AG137">
            <v>23.25</v>
          </cell>
          <cell r="AH137">
            <v>1.9375</v>
          </cell>
        </row>
        <row r="138">
          <cell r="B138" t="str">
            <v>F4YD2W</v>
          </cell>
          <cell r="C138" t="str">
            <v>4YD CONT 2X WEEKLY</v>
          </cell>
          <cell r="D138">
            <v>946.2</v>
          </cell>
          <cell r="E138">
            <v>982.94</v>
          </cell>
          <cell r="G138">
            <v>946.2</v>
          </cell>
          <cell r="H138">
            <v>946.2</v>
          </cell>
          <cell r="I138">
            <v>982.94</v>
          </cell>
          <cell r="J138">
            <v>982.94</v>
          </cell>
          <cell r="K138">
            <v>982.94</v>
          </cell>
          <cell r="L138">
            <v>982.94</v>
          </cell>
          <cell r="M138">
            <v>982.94</v>
          </cell>
          <cell r="N138">
            <v>982.94</v>
          </cell>
          <cell r="O138">
            <v>982.94</v>
          </cell>
          <cell r="P138">
            <v>982.94</v>
          </cell>
          <cell r="Q138">
            <v>982.94</v>
          </cell>
          <cell r="R138">
            <v>982.94</v>
          </cell>
          <cell r="S138">
            <v>11721.800000000003</v>
          </cell>
          <cell r="U138">
            <v>1</v>
          </cell>
          <cell r="V138">
            <v>1</v>
          </cell>
          <cell r="W138">
            <v>1</v>
          </cell>
          <cell r="X138">
            <v>1</v>
          </cell>
          <cell r="Y138">
            <v>1</v>
          </cell>
          <cell r="Z138">
            <v>1</v>
          </cell>
          <cell r="AA138">
            <v>1</v>
          </cell>
          <cell r="AB138">
            <v>1</v>
          </cell>
          <cell r="AC138">
            <v>1</v>
          </cell>
          <cell r="AD138">
            <v>1</v>
          </cell>
          <cell r="AE138">
            <v>1</v>
          </cell>
          <cell r="AF138">
            <v>1</v>
          </cell>
          <cell r="AG138">
            <v>12</v>
          </cell>
          <cell r="AH138">
            <v>1</v>
          </cell>
        </row>
        <row r="139">
          <cell r="B139" t="str">
            <v>F4YD3W</v>
          </cell>
          <cell r="C139" t="str">
            <v>4YD CONT 3X WEEKLY</v>
          </cell>
          <cell r="D139">
            <v>1419.3</v>
          </cell>
          <cell r="E139">
            <v>1474.41</v>
          </cell>
          <cell r="G139">
            <v>1419.3</v>
          </cell>
          <cell r="H139">
            <v>1419.3</v>
          </cell>
          <cell r="I139">
            <v>1474.41</v>
          </cell>
          <cell r="J139">
            <v>1474.41</v>
          </cell>
          <cell r="K139">
            <v>1474.41</v>
          </cell>
          <cell r="L139">
            <v>1474.41</v>
          </cell>
          <cell r="M139">
            <v>1474.41</v>
          </cell>
          <cell r="N139">
            <v>1474.41</v>
          </cell>
          <cell r="O139">
            <v>1474.41</v>
          </cell>
          <cell r="P139">
            <v>1474.41</v>
          </cell>
          <cell r="Q139">
            <v>1474.41</v>
          </cell>
          <cell r="R139">
            <v>1474.41</v>
          </cell>
          <cell r="S139">
            <v>17582.7</v>
          </cell>
          <cell r="U139">
            <v>1</v>
          </cell>
          <cell r="V139">
            <v>1</v>
          </cell>
          <cell r="W139">
            <v>1</v>
          </cell>
          <cell r="X139">
            <v>1</v>
          </cell>
          <cell r="Y139">
            <v>1</v>
          </cell>
          <cell r="Z139">
            <v>1</v>
          </cell>
          <cell r="AA139">
            <v>1</v>
          </cell>
          <cell r="AB139">
            <v>1</v>
          </cell>
          <cell r="AC139">
            <v>1</v>
          </cell>
          <cell r="AD139">
            <v>1</v>
          </cell>
          <cell r="AE139">
            <v>1</v>
          </cell>
          <cell r="AF139">
            <v>1</v>
          </cell>
          <cell r="AG139">
            <v>12</v>
          </cell>
          <cell r="AH139">
            <v>1</v>
          </cell>
        </row>
        <row r="140">
          <cell r="B140" t="str">
            <v>F4YD4W</v>
          </cell>
          <cell r="C140" t="str">
            <v>4YD CONT 4X WEEKLY SVC</v>
          </cell>
          <cell r="D140">
            <v>0</v>
          </cell>
          <cell r="E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</row>
        <row r="141">
          <cell r="B141" t="str">
            <v>F6YD1W</v>
          </cell>
          <cell r="C141" t="str">
            <v>6YD CONT 1X WEEKLY</v>
          </cell>
          <cell r="D141">
            <v>669.29</v>
          </cell>
          <cell r="E141">
            <v>695.18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521.38</v>
          </cell>
          <cell r="L141">
            <v>695.18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1216.56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0.74999280761817089</v>
          </cell>
          <cell r="Z141">
            <v>1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1.7499928076181708</v>
          </cell>
          <cell r="AH141">
            <v>0.14583273396818089</v>
          </cell>
        </row>
        <row r="142">
          <cell r="B142" t="str">
            <v>F6YD2W</v>
          </cell>
          <cell r="C142" t="str">
            <v>6YD CONT 2X WEEKLY</v>
          </cell>
          <cell r="D142">
            <v>1338.58</v>
          </cell>
          <cell r="E142">
            <v>1390.34</v>
          </cell>
          <cell r="G142">
            <v>836.61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836.61</v>
          </cell>
          <cell r="U142">
            <v>0.62499813234920587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0.62499813234920587</v>
          </cell>
          <cell r="AH142">
            <v>5.2083177695767154E-2</v>
          </cell>
        </row>
        <row r="143">
          <cell r="B143" t="str">
            <v>F6YD3W</v>
          </cell>
          <cell r="C143" t="str">
            <v>6YD CONT 3X WEEKLY</v>
          </cell>
          <cell r="D143">
            <v>2007.87</v>
          </cell>
          <cell r="E143">
            <v>2085.5300000000002</v>
          </cell>
          <cell r="G143">
            <v>836.61</v>
          </cell>
          <cell r="H143">
            <v>2007.87</v>
          </cell>
          <cell r="I143">
            <v>2085.5300000000002</v>
          </cell>
          <cell r="J143">
            <v>1764.67</v>
          </cell>
          <cell r="K143">
            <v>1122.97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7817.6500000000005</v>
          </cell>
          <cell r="U143">
            <v>0.41666542156613728</v>
          </cell>
          <cell r="V143">
            <v>1</v>
          </cell>
          <cell r="W143">
            <v>1</v>
          </cell>
          <cell r="X143">
            <v>0.84614942005149762</v>
          </cell>
          <cell r="Y143">
            <v>0.53845785004291469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3.8012726916605493</v>
          </cell>
          <cell r="AH143">
            <v>0.31677272430504577</v>
          </cell>
        </row>
        <row r="144">
          <cell r="B144" t="str">
            <v>F6YD4W</v>
          </cell>
          <cell r="C144" t="str">
            <v>6YD CONT 4X WEEKLY</v>
          </cell>
          <cell r="D144">
            <v>0</v>
          </cell>
          <cell r="E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</row>
        <row r="145">
          <cell r="B145" t="str">
            <v>F6YD5W</v>
          </cell>
          <cell r="C145" t="str">
            <v>6YD CONT 5X WEEKLY</v>
          </cell>
          <cell r="D145">
            <v>3346.45</v>
          </cell>
          <cell r="E145">
            <v>1737.9349999999999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</row>
        <row r="146">
          <cell r="B146" t="str">
            <v>F8YD2W</v>
          </cell>
          <cell r="C146" t="str">
            <v>8 YD CONT 2X WKLY</v>
          </cell>
          <cell r="D146">
            <v>0</v>
          </cell>
          <cell r="E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</row>
        <row r="147">
          <cell r="B147" t="str">
            <v>FCP2YD1W2.25-1</v>
          </cell>
          <cell r="C147" t="str">
            <v>2 YD 2.25-1 COMP 1X WK</v>
          </cell>
          <cell r="D147">
            <v>0</v>
          </cell>
          <cell r="E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</row>
        <row r="148">
          <cell r="B148" t="str">
            <v>FCP2YD1W4-1</v>
          </cell>
          <cell r="C148" t="str">
            <v>2 YD 4-1 COMP 1X WK</v>
          </cell>
          <cell r="D148">
            <v>0</v>
          </cell>
          <cell r="E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</row>
        <row r="149">
          <cell r="B149" t="str">
            <v>FCP2YD2W</v>
          </cell>
          <cell r="C149" t="str">
            <v>2 YD COMPACTOR 2X WKLY</v>
          </cell>
          <cell r="D149">
            <v>2294.04</v>
          </cell>
          <cell r="E149">
            <v>2383.4299999999998</v>
          </cell>
          <cell r="G149">
            <v>2294.04</v>
          </cell>
          <cell r="H149">
            <v>-2294.04</v>
          </cell>
          <cell r="I149">
            <v>6090.96</v>
          </cell>
          <cell r="J149">
            <v>7944.8</v>
          </cell>
          <cell r="K149">
            <v>7150.29</v>
          </cell>
          <cell r="L149">
            <v>7150.29</v>
          </cell>
          <cell r="M149">
            <v>7150.29</v>
          </cell>
          <cell r="N149">
            <v>7150.29</v>
          </cell>
          <cell r="O149">
            <v>7150.29</v>
          </cell>
          <cell r="P149">
            <v>7150.29</v>
          </cell>
          <cell r="Q149">
            <v>7150.29</v>
          </cell>
          <cell r="R149">
            <v>7150.29</v>
          </cell>
          <cell r="S149">
            <v>71238.080000000002</v>
          </cell>
          <cell r="U149">
            <v>1</v>
          </cell>
          <cell r="V149">
            <v>-1</v>
          </cell>
          <cell r="W149">
            <v>2.5555439010166023</v>
          </cell>
          <cell r="X149">
            <v>3.3333473187800777</v>
          </cell>
          <cell r="Y149">
            <v>3</v>
          </cell>
          <cell r="Z149">
            <v>3</v>
          </cell>
          <cell r="AA149">
            <v>3</v>
          </cell>
          <cell r="AB149">
            <v>3</v>
          </cell>
          <cell r="AC149">
            <v>3</v>
          </cell>
          <cell r="AD149">
            <v>3</v>
          </cell>
          <cell r="AE149">
            <v>3</v>
          </cell>
          <cell r="AF149">
            <v>3</v>
          </cell>
          <cell r="AG149">
            <v>29.88889121979668</v>
          </cell>
          <cell r="AH149">
            <v>2.4907409349830565</v>
          </cell>
        </row>
        <row r="150">
          <cell r="B150" t="str">
            <v>FCP4YD1W2.25-1</v>
          </cell>
          <cell r="C150" t="str">
            <v>4 YD 2.25-1 COMP 1X WK</v>
          </cell>
          <cell r="D150">
            <v>0</v>
          </cell>
          <cell r="E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</row>
        <row r="151">
          <cell r="B151" t="str">
            <v>FCP4YD1W4-1</v>
          </cell>
          <cell r="C151" t="str">
            <v>4YD 4-1 COMP 1X WK</v>
          </cell>
          <cell r="D151">
            <v>0</v>
          </cell>
          <cell r="E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</row>
        <row r="152">
          <cell r="B152" t="str">
            <v>FCP4YD1W5-1</v>
          </cell>
          <cell r="C152" t="str">
            <v>4 YD 5-1 COMP 1X WK</v>
          </cell>
          <cell r="D152">
            <v>0</v>
          </cell>
          <cell r="E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</row>
        <row r="153">
          <cell r="B153" t="str">
            <v>FCP4YDEOW5-1</v>
          </cell>
          <cell r="C153" t="str">
            <v>4 YD 5-1 COMP EOW</v>
          </cell>
          <cell r="D153">
            <v>0</v>
          </cell>
          <cell r="E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</row>
        <row r="154">
          <cell r="B154" t="str">
            <v>FCP4YDOC5-1</v>
          </cell>
          <cell r="C154" t="str">
            <v>4 YD 5-1 COMP ON CALL</v>
          </cell>
          <cell r="D154">
            <v>0</v>
          </cell>
          <cell r="E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</row>
        <row r="155">
          <cell r="B155" t="str">
            <v>FCP6YD2W</v>
          </cell>
          <cell r="C155" t="str">
            <v>6YD COMPACTOR 2X WKLY</v>
          </cell>
          <cell r="D155">
            <v>0</v>
          </cell>
          <cell r="E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</row>
        <row r="156">
          <cell r="B156" t="str">
            <v>FCP6YD2W3-1</v>
          </cell>
          <cell r="C156" t="str">
            <v>6 YD 3-1 COMP 2X WK</v>
          </cell>
          <cell r="D156">
            <v>0</v>
          </cell>
          <cell r="E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</row>
        <row r="157">
          <cell r="B157" t="str">
            <v>FCP6YD2W4-1</v>
          </cell>
          <cell r="C157" t="str">
            <v>6 YD 4-1 COMP 2X WK</v>
          </cell>
          <cell r="D157">
            <v>0</v>
          </cell>
          <cell r="E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</row>
        <row r="158">
          <cell r="B158" t="str">
            <v>IMPCNC</v>
          </cell>
          <cell r="C158" t="str">
            <v>1 IMPROPER CAN - CMML</v>
          </cell>
          <cell r="D158">
            <v>0</v>
          </cell>
          <cell r="E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</row>
        <row r="159">
          <cell r="B159" t="str">
            <v>PACKC</v>
          </cell>
          <cell r="C159" t="str">
            <v>CARRY-OUT COMMERCIAL</v>
          </cell>
          <cell r="D159">
            <v>0</v>
          </cell>
          <cell r="E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</row>
        <row r="160">
          <cell r="B160" t="str">
            <v>F1YDEX</v>
          </cell>
          <cell r="C160" t="str">
            <v>1YD CONT EXTRA</v>
          </cell>
          <cell r="D160">
            <v>0</v>
          </cell>
          <cell r="E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</row>
        <row r="161">
          <cell r="B161" t="str">
            <v>R1YDEX</v>
          </cell>
          <cell r="C161" t="str">
            <v>1YD CONTAINER EXTRA</v>
          </cell>
          <cell r="D161">
            <v>30.45</v>
          </cell>
          <cell r="E161">
            <v>31.63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</row>
        <row r="162">
          <cell r="B162" t="str">
            <v>R1.5YDEX</v>
          </cell>
          <cell r="C162" t="str">
            <v>1.5YD CONTAINER EXTRA</v>
          </cell>
          <cell r="D162">
            <v>40.29</v>
          </cell>
          <cell r="E162">
            <v>41.87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</row>
        <row r="163">
          <cell r="B163" t="str">
            <v>F2YDEX</v>
          </cell>
          <cell r="C163" t="str">
            <v>2YD CONT EXTRA</v>
          </cell>
          <cell r="D163">
            <v>53.79</v>
          </cell>
          <cell r="E163">
            <v>55.9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</row>
        <row r="164">
          <cell r="B164" t="str">
            <v>R2YDEX</v>
          </cell>
          <cell r="C164" t="str">
            <v>2YD CONTAINER EXTRA</v>
          </cell>
          <cell r="D164">
            <v>53.79</v>
          </cell>
          <cell r="E164">
            <v>55.9</v>
          </cell>
          <cell r="G164">
            <v>0</v>
          </cell>
          <cell r="H164">
            <v>0</v>
          </cell>
          <cell r="I164">
            <v>0</v>
          </cell>
          <cell r="J164">
            <v>223.6</v>
          </cell>
          <cell r="K164">
            <v>111.8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335.4</v>
          </cell>
          <cell r="U164">
            <v>0</v>
          </cell>
          <cell r="V164">
            <v>0</v>
          </cell>
          <cell r="W164">
            <v>0</v>
          </cell>
          <cell r="X164">
            <v>4</v>
          </cell>
          <cell r="Y164">
            <v>2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6</v>
          </cell>
          <cell r="AH164">
            <v>0.5</v>
          </cell>
        </row>
        <row r="165">
          <cell r="B165" t="str">
            <v>F4YDEX</v>
          </cell>
          <cell r="C165" t="str">
            <v>4YD CONT EXTRA PICKUP</v>
          </cell>
          <cell r="D165">
            <v>101.12</v>
          </cell>
          <cell r="E165">
            <v>105.09</v>
          </cell>
          <cell r="G165">
            <v>101.12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101.12</v>
          </cell>
          <cell r="U165">
            <v>1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1</v>
          </cell>
          <cell r="AH165">
            <v>8.3333333333333329E-2</v>
          </cell>
        </row>
        <row r="166">
          <cell r="B166" t="str">
            <v>F6YDEX</v>
          </cell>
          <cell r="C166" t="str">
            <v>6YD CONT EXTRA PICKUP</v>
          </cell>
          <cell r="D166">
            <v>144.28</v>
          </cell>
          <cell r="E166">
            <v>149.91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</row>
        <row r="167">
          <cell r="B167" t="str">
            <v>ADJCOM</v>
          </cell>
          <cell r="C167" t="str">
            <v>SERVICE ADJ-COMMERCIAL</v>
          </cell>
          <cell r="D167">
            <v>0</v>
          </cell>
          <cell r="E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</row>
        <row r="168">
          <cell r="B168" t="str">
            <v>CCONNECT</v>
          </cell>
          <cell r="C168" t="str">
            <v>CMML CONNECT/RECONNECT</v>
          </cell>
          <cell r="D168">
            <v>0</v>
          </cell>
          <cell r="E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</row>
        <row r="169">
          <cell r="B169" t="str">
            <v>CDEL</v>
          </cell>
          <cell r="C169" t="str">
            <v>CONTAINER DELIVERY CHARGE</v>
          </cell>
          <cell r="D169">
            <v>0</v>
          </cell>
          <cell r="E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</row>
        <row r="170">
          <cell r="B170" t="str">
            <v>CEX</v>
          </cell>
          <cell r="C170" t="str">
            <v>EXTRA CANS</v>
          </cell>
          <cell r="D170">
            <v>5.57</v>
          </cell>
          <cell r="E170">
            <v>5.79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46.32</v>
          </cell>
          <cell r="M170">
            <v>0</v>
          </cell>
          <cell r="N170">
            <v>5.79</v>
          </cell>
          <cell r="O170">
            <v>0</v>
          </cell>
          <cell r="P170">
            <v>28.95</v>
          </cell>
          <cell r="Q170">
            <v>23.16</v>
          </cell>
          <cell r="R170">
            <v>17.37</v>
          </cell>
          <cell r="S170">
            <v>121.59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8</v>
          </cell>
          <cell r="AA170">
            <v>0</v>
          </cell>
          <cell r="AB170">
            <v>1</v>
          </cell>
          <cell r="AC170">
            <v>0</v>
          </cell>
          <cell r="AD170">
            <v>5</v>
          </cell>
          <cell r="AE170">
            <v>4</v>
          </cell>
          <cell r="AF170">
            <v>3</v>
          </cell>
          <cell r="AG170">
            <v>21</v>
          </cell>
          <cell r="AH170">
            <v>1.75</v>
          </cell>
        </row>
        <row r="171">
          <cell r="B171" t="str">
            <v>CEXYD</v>
          </cell>
          <cell r="C171" t="str">
            <v>CMML EXTRA YARDAGE</v>
          </cell>
          <cell r="D171">
            <v>47.69</v>
          </cell>
          <cell r="E171">
            <v>49.46</v>
          </cell>
          <cell r="G171">
            <v>95.38</v>
          </cell>
          <cell r="H171">
            <v>381.52</v>
          </cell>
          <cell r="I171">
            <v>985.66</v>
          </cell>
          <cell r="J171">
            <v>-98.920000000000073</v>
          </cell>
          <cell r="K171">
            <v>1236.5</v>
          </cell>
          <cell r="L171">
            <v>45.269999999999982</v>
          </cell>
          <cell r="M171">
            <v>-494.6</v>
          </cell>
          <cell r="N171">
            <v>0</v>
          </cell>
          <cell r="O171">
            <v>0</v>
          </cell>
          <cell r="P171">
            <v>0</v>
          </cell>
          <cell r="Q171">
            <v>148.38</v>
          </cell>
          <cell r="R171">
            <v>890.28</v>
          </cell>
          <cell r="S171">
            <v>3189.4700000000003</v>
          </cell>
          <cell r="U171">
            <v>2</v>
          </cell>
          <cell r="V171">
            <v>8</v>
          </cell>
          <cell r="W171">
            <v>19.928427011726647</v>
          </cell>
          <cell r="X171">
            <v>-2.0000000000000013</v>
          </cell>
          <cell r="Y171">
            <v>25</v>
          </cell>
          <cell r="Z171">
            <v>0.91528507885159682</v>
          </cell>
          <cell r="AA171">
            <v>-10</v>
          </cell>
          <cell r="AB171">
            <v>0</v>
          </cell>
          <cell r="AC171">
            <v>0</v>
          </cell>
          <cell r="AD171">
            <v>0</v>
          </cell>
          <cell r="AE171">
            <v>3</v>
          </cell>
          <cell r="AF171">
            <v>18</v>
          </cell>
          <cell r="AG171">
            <v>64.843712090578236</v>
          </cell>
          <cell r="AH171">
            <v>5.4036426742148533</v>
          </cell>
        </row>
        <row r="172">
          <cell r="B172" t="str">
            <v>CLOCK</v>
          </cell>
          <cell r="C172" t="str">
            <v>LOCK CHARGE-CONTAINER</v>
          </cell>
          <cell r="D172">
            <v>5</v>
          </cell>
          <cell r="E172">
            <v>5.17</v>
          </cell>
          <cell r="G172">
            <v>10</v>
          </cell>
          <cell r="H172">
            <v>10</v>
          </cell>
          <cell r="I172">
            <v>10.34</v>
          </cell>
          <cell r="J172">
            <v>10.34</v>
          </cell>
          <cell r="K172">
            <v>10.34</v>
          </cell>
          <cell r="L172">
            <v>10.34</v>
          </cell>
          <cell r="M172">
            <v>10.34</v>
          </cell>
          <cell r="N172">
            <v>10.34</v>
          </cell>
          <cell r="O172">
            <v>15.51</v>
          </cell>
          <cell r="P172">
            <v>15.51</v>
          </cell>
          <cell r="Q172">
            <v>15.51</v>
          </cell>
          <cell r="R172">
            <v>15.51</v>
          </cell>
          <cell r="S172">
            <v>144.08000000000001</v>
          </cell>
          <cell r="U172">
            <v>2</v>
          </cell>
          <cell r="V172">
            <v>2</v>
          </cell>
          <cell r="W172">
            <v>2</v>
          </cell>
          <cell r="X172">
            <v>2</v>
          </cell>
          <cell r="Y172">
            <v>2</v>
          </cell>
          <cell r="Z172">
            <v>2</v>
          </cell>
          <cell r="AA172">
            <v>2</v>
          </cell>
          <cell r="AB172">
            <v>2</v>
          </cell>
          <cell r="AC172">
            <v>3</v>
          </cell>
          <cell r="AD172">
            <v>3</v>
          </cell>
          <cell r="AE172">
            <v>3</v>
          </cell>
          <cell r="AF172">
            <v>3</v>
          </cell>
          <cell r="AG172">
            <v>28</v>
          </cell>
          <cell r="AH172">
            <v>2.3333333333333335</v>
          </cell>
        </row>
        <row r="173">
          <cell r="B173" t="str">
            <v>CROLL</v>
          </cell>
          <cell r="C173" t="str">
            <v>ROLLOUT CHARGE - CMML</v>
          </cell>
          <cell r="D173">
            <v>0</v>
          </cell>
          <cell r="E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</row>
        <row r="174">
          <cell r="B174" t="str">
            <v>CTDEL</v>
          </cell>
          <cell r="C174" t="str">
            <v>TEMP CONTAINER DELIVERY</v>
          </cell>
          <cell r="D174">
            <v>0</v>
          </cell>
          <cell r="E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</row>
        <row r="175">
          <cell r="B175" t="str">
            <v>CTRIP</v>
          </cell>
          <cell r="C175" t="str">
            <v>RETURN TRIP CHARGE - CONT</v>
          </cell>
          <cell r="D175">
            <v>20.86</v>
          </cell>
          <cell r="E175">
            <v>21.58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21.58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21.58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1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1</v>
          </cell>
          <cell r="AH175">
            <v>8.3333333333333329E-2</v>
          </cell>
        </row>
        <row r="176">
          <cell r="B176" t="str">
            <v>CUNLOCK</v>
          </cell>
          <cell r="C176" t="str">
            <v>COMM UNLOCK GATE OR CONT</v>
          </cell>
          <cell r="D176">
            <v>0</v>
          </cell>
          <cell r="E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</row>
        <row r="177">
          <cell r="B177" t="str">
            <v>DRIVEDWAY-COMM</v>
          </cell>
          <cell r="C177" t="str">
            <v>DRIVE IN DRIVEWAY - COMM</v>
          </cell>
          <cell r="D177">
            <v>0</v>
          </cell>
          <cell r="E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</row>
        <row r="178">
          <cell r="B178" t="str">
            <v>DRIVEPVT-COMM</v>
          </cell>
          <cell r="C178" t="str">
            <v>DRIVE IN PRIVATE RD - COMM</v>
          </cell>
          <cell r="D178">
            <v>0</v>
          </cell>
          <cell r="E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</row>
        <row r="179">
          <cell r="B179" t="str">
            <v>DRVNC</v>
          </cell>
          <cell r="C179" t="str">
            <v>DRIVE IN - CMML</v>
          </cell>
          <cell r="D179">
            <v>0</v>
          </cell>
          <cell r="E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</row>
        <row r="180">
          <cell r="B180" t="str">
            <v>TIMEC</v>
          </cell>
          <cell r="C180" t="str">
            <v>CMML TIME CHARGE</v>
          </cell>
          <cell r="D180">
            <v>160</v>
          </cell>
          <cell r="E180">
            <v>165.5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41.38</v>
          </cell>
          <cell r="S180">
            <v>41.38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0.25003021148036253</v>
          </cell>
          <cell r="AG180">
            <v>0.25003021148036253</v>
          </cell>
          <cell r="AH180">
            <v>2.0835850956696877E-2</v>
          </cell>
        </row>
        <row r="181">
          <cell r="B181" t="str">
            <v>RESTART FEE-COM</v>
          </cell>
          <cell r="C181" t="str">
            <v>RESTART FEE</v>
          </cell>
          <cell r="D181">
            <v>25</v>
          </cell>
          <cell r="E181">
            <v>25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25</v>
          </cell>
          <cell r="O181">
            <v>0</v>
          </cell>
          <cell r="P181">
            <v>0</v>
          </cell>
          <cell r="Q181">
            <v>50</v>
          </cell>
          <cell r="R181">
            <v>-25</v>
          </cell>
          <cell r="S181">
            <v>50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1</v>
          </cell>
          <cell r="AC181">
            <v>0</v>
          </cell>
          <cell r="AD181">
            <v>0</v>
          </cell>
          <cell r="AE181">
            <v>2</v>
          </cell>
          <cell r="AF181">
            <v>-1</v>
          </cell>
          <cell r="AG181">
            <v>2</v>
          </cell>
          <cell r="AH181">
            <v>0.16666666666666666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ferences"/>
      <sheetName val="Reg-Vashon"/>
      <sheetName val="Mur MSW Codes"/>
      <sheetName val="Vash MSW Codes"/>
      <sheetName val="Non Reg Codes"/>
      <sheetName val="Recy-Other Codes"/>
      <sheetName val="Disp-JE"/>
    </sheetNames>
    <sheetDataSet>
      <sheetData sheetId="0">
        <row r="4">
          <cell r="C4">
            <v>21.65</v>
          </cell>
        </row>
        <row r="5">
          <cell r="C5">
            <v>17.32</v>
          </cell>
        </row>
        <row r="6">
          <cell r="C6">
            <v>12.99</v>
          </cell>
        </row>
        <row r="7">
          <cell r="C7">
            <v>8.66</v>
          </cell>
        </row>
        <row r="8">
          <cell r="C8">
            <v>4.33</v>
          </cell>
        </row>
        <row r="9">
          <cell r="C9">
            <v>2.17</v>
          </cell>
        </row>
        <row r="10">
          <cell r="C10">
            <v>1</v>
          </cell>
        </row>
        <row r="14">
          <cell r="C14">
            <v>20</v>
          </cell>
        </row>
        <row r="15">
          <cell r="C15">
            <v>34</v>
          </cell>
        </row>
        <row r="17">
          <cell r="H17">
            <v>2000</v>
          </cell>
        </row>
        <row r="22">
          <cell r="C22">
            <v>40</v>
          </cell>
        </row>
        <row r="24">
          <cell r="C24">
            <v>51</v>
          </cell>
        </row>
        <row r="26">
          <cell r="C26">
            <v>77</v>
          </cell>
        </row>
        <row r="31">
          <cell r="C31">
            <v>125</v>
          </cell>
        </row>
        <row r="32">
          <cell r="C32">
            <v>175</v>
          </cell>
        </row>
        <row r="33">
          <cell r="C33">
            <v>250</v>
          </cell>
        </row>
        <row r="34">
          <cell r="C34">
            <v>324</v>
          </cell>
        </row>
        <row r="36">
          <cell r="C36">
            <v>613</v>
          </cell>
        </row>
        <row r="38">
          <cell r="C38">
            <v>840</v>
          </cell>
        </row>
        <row r="39">
          <cell r="C39">
            <v>980</v>
          </cell>
        </row>
        <row r="51">
          <cell r="C51">
            <v>1296</v>
          </cell>
        </row>
        <row r="53">
          <cell r="C53">
            <v>2452</v>
          </cell>
        </row>
        <row r="54">
          <cell r="C54">
            <v>3360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6">
          <cell r="D6">
            <v>10000</v>
          </cell>
        </row>
        <row r="12">
          <cell r="I12" t="str">
            <v>2020-07</v>
          </cell>
        </row>
        <row r="13">
          <cell r="I13" t="str">
            <v>2021-06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"/>
      <sheetName val="Instructions"/>
      <sheetName val="User"/>
      <sheetName val="Settings"/>
      <sheetName val="Orientation"/>
      <sheetName val="Delivery"/>
      <sheetName val="RptClose"/>
      <sheetName val="Hidden"/>
    </sheetNames>
    <sheetDataSet>
      <sheetData sheetId="0"/>
      <sheetData sheetId="1"/>
      <sheetData sheetId="2" refreshError="1"/>
      <sheetData sheetId="3">
        <row r="5">
          <cell r="D5">
            <v>10.71</v>
          </cell>
        </row>
      </sheetData>
      <sheetData sheetId="4">
        <row r="6">
          <cell r="F6" t="str">
            <v>Time Series</v>
          </cell>
        </row>
      </sheetData>
      <sheetData sheetId="5">
        <row r="4">
          <cell r="B4" t="str">
            <v>P&amp;L Trend</v>
          </cell>
          <cell r="D4" t="str">
            <v>(no extension)</v>
          </cell>
          <cell r="AA4" t="str">
            <v>XLS</v>
          </cell>
        </row>
        <row r="5">
          <cell r="B5" t="str">
            <v>Ereports</v>
          </cell>
          <cell r="AA5" t="str">
            <v>XLS5</v>
          </cell>
        </row>
        <row r="6">
          <cell r="B6" t="str">
            <v>Ereports</v>
          </cell>
          <cell r="D6" t="str">
            <v>(XLS file format only)</v>
          </cell>
          <cell r="AA6" t="str">
            <v>CSV</v>
          </cell>
        </row>
        <row r="7">
          <cell r="AA7" t="str">
            <v>PRN</v>
          </cell>
        </row>
        <row r="8">
          <cell r="D8" t="str">
            <v>Source Tab Name:</v>
          </cell>
          <cell r="AA8" t="str">
            <v>WK1</v>
          </cell>
        </row>
        <row r="9">
          <cell r="B9" t="b">
            <v>1</v>
          </cell>
          <cell r="D9" t="str">
            <v>Target Tab Name:</v>
          </cell>
          <cell r="AA9" t="str">
            <v>WK4</v>
          </cell>
        </row>
        <row r="10">
          <cell r="B10" t="b">
            <v>0</v>
          </cell>
          <cell r="D10" t="str">
            <v>Retain Excel Formulas:</v>
          </cell>
          <cell r="AA10" t="str">
            <v>HTML</v>
          </cell>
        </row>
        <row r="11">
          <cell r="B11" t="b">
            <v>0</v>
          </cell>
          <cell r="D11" t="str">
            <v>Protect with Password:</v>
          </cell>
        </row>
        <row r="12">
          <cell r="D12" t="str">
            <v>Password:</v>
          </cell>
        </row>
        <row r="13">
          <cell r="D13" t="str">
            <v>Top Left Cell to Lock:</v>
          </cell>
        </row>
        <row r="14">
          <cell r="D14" t="str">
            <v>Bottom Right Cell to Lock:</v>
          </cell>
        </row>
        <row r="17">
          <cell r="D17" t="str">
            <v>Column with Delete Chars:</v>
          </cell>
        </row>
        <row r="18">
          <cell r="B18" t="str">
            <v>brentd@wcnx.org</v>
          </cell>
        </row>
        <row r="19">
          <cell r="B19" t="b">
            <v>1</v>
          </cell>
        </row>
        <row r="20">
          <cell r="B20" t="b">
            <v>0</v>
          </cell>
          <cell r="D20" t="str">
            <v>Columns to Delete:</v>
          </cell>
        </row>
        <row r="26">
          <cell r="B26" t="str">
            <v>C</v>
          </cell>
        </row>
        <row r="31">
          <cell r="D31" t="str">
            <v>Rows to Delete:</v>
          </cell>
        </row>
      </sheetData>
      <sheetData sheetId="6" refreshError="1"/>
      <sheetData sheetId="7">
        <row r="11">
          <cell r="D11">
            <v>47001</v>
          </cell>
          <cell r="F11">
            <v>1843.92</v>
          </cell>
          <cell r="G11">
            <v>5768.4</v>
          </cell>
          <cell r="H11">
            <v>6357.6</v>
          </cell>
          <cell r="I11">
            <v>4940.2700000000004</v>
          </cell>
          <cell r="J11">
            <v>4133.1400000000003</v>
          </cell>
          <cell r="K11">
            <v>434.11</v>
          </cell>
          <cell r="L11">
            <v>2232.0700000000002</v>
          </cell>
          <cell r="M11">
            <v>3534.05</v>
          </cell>
          <cell r="N11">
            <v>14494.59</v>
          </cell>
          <cell r="O11">
            <v>13165.37</v>
          </cell>
          <cell r="P11">
            <v>8843.58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0800-10899"/>
    </sheetNames>
    <sheetDataSet>
      <sheetData sheetId="0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"/>
      <sheetName val="Instructions"/>
      <sheetName val="User"/>
      <sheetName val="Settings"/>
      <sheetName val="Orientation"/>
      <sheetName val="Delivery"/>
      <sheetName val="RptClose"/>
      <sheetName val="Hidde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'l Priceout"/>
      <sheetName val="Com'l Priceout"/>
      <sheetName val="Roll Off Priceout"/>
      <sheetName val="Roll Off Productivity"/>
      <sheetName val="TB -LOB"/>
      <sheetName val="Comm'l TB-120"/>
      <sheetName val="Com'l Rec. TB-160"/>
      <sheetName val="Resi TB-190"/>
      <sheetName val="230 &amp; 220"/>
      <sheetName val="YW TB-220"/>
      <sheetName val="RO TB-260"/>
      <sheetName val="Industrial LOB"/>
      <sheetName val="TS TB-300"/>
      <sheetName val="POL TB-750"/>
      <sheetName val="Revenue Reconciliation"/>
      <sheetName val="Billed Revenue Summary"/>
      <sheetName val="Disposal Summary"/>
      <sheetName val="Payroll Register"/>
      <sheetName val="Balance Sheet"/>
      <sheetName val="Monthly IS"/>
      <sheetName val="DEPN"/>
      <sheetName val="Fixed Asset Summary"/>
      <sheetName val="Fixed Asset Detail"/>
      <sheetName val="Fuel"/>
      <sheetName val="WTB"/>
      <sheetName val="OH Analysis (2008)"/>
      <sheetName val="Corp. Office OH 2008"/>
      <sheetName val="OH Analysis"/>
      <sheetName val="Corp. Office OH"/>
      <sheetName val="2008 Group Office TB"/>
      <sheetName val="MA Office OH"/>
      <sheetName val="MA Stats"/>
      <sheetName val="2008 Group Office IS"/>
      <sheetName val="2008 West Group IS"/>
      <sheetName val="Legal"/>
      <sheetName val="Lurito 25 bpi"/>
      <sheetName val="Lurito 25 bpi (Rolloff)"/>
      <sheetName val="70000"/>
      <sheetName val="502500"/>
      <sheetName val="509000"/>
      <sheetName val="509500"/>
      <sheetName val="570800"/>
      <sheetName val="518000"/>
      <sheetName val="568100"/>
      <sheetName val="67800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8">
          <cell r="AD8" t="str">
            <v>#N/A</v>
          </cell>
        </row>
      </sheetData>
      <sheetData sheetId="19"/>
      <sheetData sheetId="20"/>
      <sheetData sheetId="21"/>
      <sheetData sheetId="22"/>
      <sheetData sheetId="23"/>
      <sheetData sheetId="24">
        <row r="4">
          <cell r="DE4" t="str">
            <v>01815</v>
          </cell>
        </row>
        <row r="5">
          <cell r="DC5" t="str">
            <v>12</v>
          </cell>
          <cell r="DD5" t="str">
            <v>WM of Ellensburg</v>
          </cell>
          <cell r="DE5" t="str">
            <v>01815</v>
          </cell>
        </row>
        <row r="8">
          <cell r="DC8">
            <v>12</v>
          </cell>
        </row>
      </sheetData>
      <sheetData sheetId="25"/>
      <sheetData sheetId="26"/>
      <sheetData sheetId="27"/>
      <sheetData sheetId="28"/>
      <sheetData sheetId="29"/>
      <sheetData sheetId="30"/>
      <sheetData sheetId="31"/>
      <sheetData sheetId="32">
        <row r="4">
          <cell r="AK4" t="str">
            <v>01500</v>
          </cell>
        </row>
        <row r="5">
          <cell r="AI5" t="str">
            <v>12</v>
          </cell>
          <cell r="AJ5" t="str">
            <v>Western Area Office</v>
          </cell>
          <cell r="AK5" t="str">
            <v>01500</v>
          </cell>
        </row>
        <row r="8">
          <cell r="AH8">
            <v>0</v>
          </cell>
        </row>
        <row r="9">
          <cell r="AM9" t="str">
            <v>USD</v>
          </cell>
        </row>
      </sheetData>
      <sheetData sheetId="33">
        <row r="4">
          <cell r="AK4" t="str">
            <v>G00006</v>
          </cell>
        </row>
        <row r="5">
          <cell r="AI5" t="str">
            <v>12</v>
          </cell>
          <cell r="AJ5" t="str">
            <v>Error</v>
          </cell>
          <cell r="AK5" t="str">
            <v>Western</v>
          </cell>
        </row>
        <row r="8">
          <cell r="AH8">
            <v>0</v>
          </cell>
        </row>
        <row r="9">
          <cell r="AM9" t="str">
            <v>USD</v>
          </cell>
        </row>
      </sheetData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7" tint="0.39997558519241921"/>
    <pageSetUpPr fitToPage="1"/>
  </sheetPr>
  <dimension ref="A1:J75"/>
  <sheetViews>
    <sheetView showGridLines="0" view="pageBreakPreview" topLeftCell="A52" zoomScale="90" zoomScaleNormal="85" zoomScaleSheetLayoutView="90" workbookViewId="0">
      <selection activeCell="C10" sqref="C10"/>
    </sheetView>
  </sheetViews>
  <sheetFormatPr defaultRowHeight="15"/>
  <cols>
    <col min="1" max="1" width="31.28515625" customWidth="1"/>
    <col min="2" max="2" width="7" customWidth="1"/>
    <col min="3" max="3" width="19" bestFit="1" customWidth="1"/>
    <col min="4" max="4" width="16" bestFit="1" customWidth="1"/>
    <col min="5" max="5" width="10.5703125" bestFit="1" customWidth="1"/>
    <col min="6" max="6" width="9.85546875" customWidth="1"/>
    <col min="7" max="7" width="11.42578125" bestFit="1" customWidth="1"/>
    <col min="8" max="8" width="13.28515625" customWidth="1"/>
    <col min="9" max="9" width="10.42578125" customWidth="1"/>
    <col min="10" max="10" width="15.85546875" bestFit="1" customWidth="1"/>
    <col min="11" max="11" width="14.5703125" customWidth="1"/>
  </cols>
  <sheetData>
    <row r="1" spans="1:10">
      <c r="A1" s="2" t="s">
        <v>87</v>
      </c>
    </row>
    <row r="2" spans="1:10">
      <c r="A2" s="2" t="s">
        <v>166</v>
      </c>
      <c r="J2" s="143" t="s">
        <v>596</v>
      </c>
    </row>
    <row r="5" spans="1:10">
      <c r="A5" s="465" t="s">
        <v>15</v>
      </c>
      <c r="B5" s="465"/>
      <c r="C5" s="465"/>
      <c r="D5" s="465"/>
      <c r="E5" s="465"/>
      <c r="F5" s="465"/>
      <c r="G5" s="465"/>
      <c r="H5" s="465"/>
      <c r="I5" s="465"/>
    </row>
    <row r="6" spans="1:10">
      <c r="A6" t="s">
        <v>49</v>
      </c>
      <c r="C6" s="9" t="s">
        <v>36</v>
      </c>
      <c r="D6" s="9" t="s">
        <v>37</v>
      </c>
      <c r="E6" s="9" t="s">
        <v>38</v>
      </c>
      <c r="F6" s="9" t="s">
        <v>40</v>
      </c>
      <c r="G6" s="9" t="s">
        <v>41</v>
      </c>
      <c r="H6" s="9" t="s">
        <v>42</v>
      </c>
      <c r="I6" s="9" t="s">
        <v>45</v>
      </c>
    </row>
    <row r="7" spans="1:10">
      <c r="A7" t="s">
        <v>46</v>
      </c>
      <c r="C7" s="1">
        <f>52*5/12</f>
        <v>21.666666666666668</v>
      </c>
      <c r="D7" s="10">
        <f>$C$7*2</f>
        <v>43.333333333333336</v>
      </c>
      <c r="E7" s="10">
        <f>$C$7*3</f>
        <v>65</v>
      </c>
      <c r="F7" s="10">
        <f>$C$7*4</f>
        <v>86.666666666666671</v>
      </c>
      <c r="G7" s="10">
        <f>$C$7*5</f>
        <v>108.33333333333334</v>
      </c>
      <c r="H7" s="10">
        <f>$C$7*6</f>
        <v>130</v>
      </c>
      <c r="I7" s="10">
        <f>$C$7*7</f>
        <v>151.66666666666669</v>
      </c>
    </row>
    <row r="8" spans="1:10">
      <c r="A8" t="s">
        <v>81</v>
      </c>
      <c r="C8" s="1">
        <f>52*4/12</f>
        <v>17.333333333333332</v>
      </c>
      <c r="D8" s="10">
        <f>$C$8*2</f>
        <v>34.666666666666664</v>
      </c>
      <c r="E8" s="10">
        <f>$C$8*3</f>
        <v>52</v>
      </c>
      <c r="F8" s="10">
        <f>$C$8*4</f>
        <v>69.333333333333329</v>
      </c>
      <c r="G8" s="10">
        <f>$C$8*5</f>
        <v>86.666666666666657</v>
      </c>
      <c r="H8" s="10">
        <f>$C$8*6</f>
        <v>104</v>
      </c>
      <c r="I8" s="10">
        <f>$C$8*7</f>
        <v>121.33333333333333</v>
      </c>
    </row>
    <row r="9" spans="1:10">
      <c r="A9" t="s">
        <v>47</v>
      </c>
      <c r="C9" s="1">
        <f>52*3/12</f>
        <v>13</v>
      </c>
      <c r="D9" s="10">
        <f>$C$9*2</f>
        <v>26</v>
      </c>
      <c r="E9" s="10">
        <f>$C$9*3</f>
        <v>39</v>
      </c>
      <c r="F9" s="10">
        <f>$C$9*4</f>
        <v>52</v>
      </c>
      <c r="G9" s="10">
        <f>$C$9*5</f>
        <v>65</v>
      </c>
      <c r="H9" s="10">
        <f>$C$9*6</f>
        <v>78</v>
      </c>
      <c r="I9" s="10">
        <f>$C$9*7</f>
        <v>91</v>
      </c>
    </row>
    <row r="10" spans="1:10">
      <c r="A10" t="s">
        <v>48</v>
      </c>
      <c r="C10" s="1">
        <f>52*2/12</f>
        <v>8.6666666666666661</v>
      </c>
      <c r="D10" s="11">
        <f>$C$10*2</f>
        <v>17.333333333333332</v>
      </c>
      <c r="E10" s="11">
        <f>$C$10*3</f>
        <v>26</v>
      </c>
      <c r="F10" s="11">
        <f>$C$10*4</f>
        <v>34.666666666666664</v>
      </c>
      <c r="G10" s="11">
        <f>$C$10*5</f>
        <v>43.333333333333329</v>
      </c>
      <c r="H10" s="11">
        <f>$C$10*6</f>
        <v>52</v>
      </c>
      <c r="I10" s="11">
        <f>$C$10*7</f>
        <v>60.666666666666664</v>
      </c>
    </row>
    <row r="11" spans="1:10">
      <c r="A11" t="s">
        <v>18</v>
      </c>
      <c r="C11" s="458">
        <f>52/12</f>
        <v>4.333333333333333</v>
      </c>
      <c r="D11" s="11">
        <f>$C$11*2</f>
        <v>8.6666666666666661</v>
      </c>
      <c r="E11" s="11">
        <f>$C$11*3</f>
        <v>13</v>
      </c>
      <c r="F11" s="11">
        <f>$C$11*4</f>
        <v>17.333333333333332</v>
      </c>
      <c r="G11" s="11">
        <f>$C$11*5</f>
        <v>21.666666666666664</v>
      </c>
      <c r="H11" s="11">
        <f>$C$11*6</f>
        <v>26</v>
      </c>
      <c r="I11" s="11">
        <f>$C$11*7</f>
        <v>30.333333333333332</v>
      </c>
    </row>
    <row r="12" spans="1:10">
      <c r="A12" t="s">
        <v>20</v>
      </c>
      <c r="C12" s="1">
        <f>26/12</f>
        <v>2.1666666666666665</v>
      </c>
      <c r="D12" s="11">
        <f>$C$12*2</f>
        <v>4.333333333333333</v>
      </c>
      <c r="E12" s="11">
        <f>$C$12*3</f>
        <v>6.5</v>
      </c>
      <c r="F12" s="11">
        <f>$C$12*4</f>
        <v>8.6666666666666661</v>
      </c>
      <c r="G12" s="11">
        <f>$C$12*5</f>
        <v>10.833333333333332</v>
      </c>
      <c r="H12" s="11">
        <f>$C$12*6</f>
        <v>13</v>
      </c>
      <c r="I12" s="11">
        <f>$C$12*7</f>
        <v>15.166666666666666</v>
      </c>
    </row>
    <row r="13" spans="1:10">
      <c r="A13" t="s">
        <v>19</v>
      </c>
      <c r="C13" s="1">
        <f>12/12</f>
        <v>1</v>
      </c>
      <c r="D13" s="11">
        <f>$C$13*2</f>
        <v>2</v>
      </c>
      <c r="E13" s="11">
        <f>$C$13*3</f>
        <v>3</v>
      </c>
      <c r="F13" s="11">
        <f>$C$13*4</f>
        <v>4</v>
      </c>
      <c r="G13" s="11">
        <f>$C$13*5</f>
        <v>5</v>
      </c>
      <c r="H13" s="11">
        <f>$C$13*6</f>
        <v>6</v>
      </c>
      <c r="I13" s="11">
        <f>$C$13*7</f>
        <v>7</v>
      </c>
    </row>
    <row r="14" spans="1:10">
      <c r="A14" t="s">
        <v>91</v>
      </c>
      <c r="C14" s="1">
        <v>1</v>
      </c>
      <c r="D14" s="11"/>
      <c r="E14" s="11"/>
      <c r="F14" s="11"/>
      <c r="G14" s="11"/>
      <c r="H14" s="11"/>
      <c r="I14" s="11"/>
    </row>
    <row r="15" spans="1:10">
      <c r="A15" s="465" t="s">
        <v>9</v>
      </c>
      <c r="B15" s="465"/>
      <c r="C15" s="465"/>
      <c r="D15" s="11"/>
      <c r="E15" s="11"/>
      <c r="F15" s="11"/>
      <c r="G15" s="11"/>
      <c r="H15" s="11"/>
      <c r="I15" s="11"/>
    </row>
    <row r="16" spans="1:10">
      <c r="A16" s="2" t="s">
        <v>44</v>
      </c>
      <c r="B16" s="2"/>
      <c r="C16" s="21" t="s">
        <v>73</v>
      </c>
      <c r="D16" s="11"/>
      <c r="E16" s="11"/>
      <c r="F16" s="11"/>
      <c r="G16" s="11"/>
      <c r="H16" s="11"/>
      <c r="I16" s="11"/>
    </row>
    <row r="17" spans="1:9">
      <c r="A17" s="12" t="s">
        <v>74</v>
      </c>
      <c r="B17" s="12"/>
      <c r="C17" s="6">
        <v>20</v>
      </c>
      <c r="D17" s="11"/>
      <c r="E17" s="11"/>
      <c r="F17" s="11"/>
      <c r="G17" s="11"/>
      <c r="H17" s="11"/>
      <c r="I17" s="11"/>
    </row>
    <row r="18" spans="1:9">
      <c r="A18" s="12" t="s">
        <v>50</v>
      </c>
      <c r="B18" s="12"/>
      <c r="C18" s="6">
        <v>34</v>
      </c>
      <c r="D18" s="11"/>
      <c r="E18" s="11"/>
      <c r="F18" s="11"/>
      <c r="G18" s="11"/>
      <c r="H18" s="11"/>
      <c r="I18" s="11"/>
    </row>
    <row r="19" spans="1:9">
      <c r="A19" s="12" t="s">
        <v>51</v>
      </c>
      <c r="B19" s="12"/>
      <c r="C19" s="6">
        <v>51</v>
      </c>
      <c r="D19" s="11"/>
      <c r="E19" s="11"/>
      <c r="F19" s="11"/>
      <c r="G19" s="11"/>
      <c r="H19" s="11"/>
      <c r="I19" s="11"/>
    </row>
    <row r="20" spans="1:9">
      <c r="A20" s="12" t="s">
        <v>52</v>
      </c>
      <c r="B20" s="12"/>
      <c r="C20" s="6">
        <v>77</v>
      </c>
      <c r="D20" s="11"/>
      <c r="E20" s="11"/>
      <c r="F20" s="11"/>
      <c r="G20" t="s">
        <v>16</v>
      </c>
      <c r="H20" s="6">
        <v>2000</v>
      </c>
      <c r="I20" s="11"/>
    </row>
    <row r="21" spans="1:9">
      <c r="A21" s="12" t="s">
        <v>53</v>
      </c>
      <c r="B21" s="12"/>
      <c r="C21" s="6">
        <v>97</v>
      </c>
      <c r="D21" s="11"/>
      <c r="E21" s="11"/>
      <c r="F21" s="11"/>
      <c r="G21" t="s">
        <v>17</v>
      </c>
      <c r="H21" s="13" t="s">
        <v>39</v>
      </c>
      <c r="I21" s="11"/>
    </row>
    <row r="22" spans="1:9">
      <c r="A22" s="12" t="s">
        <v>54</v>
      </c>
      <c r="B22" s="12"/>
      <c r="C22" s="6">
        <v>117</v>
      </c>
      <c r="D22" s="11"/>
      <c r="E22" s="11"/>
      <c r="F22" s="11"/>
      <c r="I22" s="11"/>
    </row>
    <row r="23" spans="1:9">
      <c r="A23" s="12" t="s">
        <v>55</v>
      </c>
      <c r="B23" s="12"/>
      <c r="C23" s="6">
        <v>137</v>
      </c>
      <c r="D23" s="11"/>
      <c r="E23" s="11"/>
      <c r="F23" s="11"/>
      <c r="G23" s="48" t="s">
        <v>76</v>
      </c>
      <c r="H23" s="58">
        <v>12</v>
      </c>
      <c r="I23" s="11"/>
    </row>
    <row r="24" spans="1:9">
      <c r="A24" s="12" t="s">
        <v>145</v>
      </c>
      <c r="B24" s="12"/>
      <c r="C24" s="6">
        <v>40</v>
      </c>
      <c r="D24" s="11" t="s">
        <v>75</v>
      </c>
      <c r="E24" s="11"/>
      <c r="F24" s="11"/>
      <c r="G24" s="7"/>
      <c r="H24" s="8"/>
      <c r="I24" s="11"/>
    </row>
    <row r="25" spans="1:9">
      <c r="A25" s="12" t="s">
        <v>56</v>
      </c>
      <c r="B25" s="12"/>
      <c r="C25" s="6">
        <v>47</v>
      </c>
      <c r="D25" s="11"/>
      <c r="E25" s="11"/>
      <c r="F25" s="11"/>
      <c r="G25" s="11"/>
      <c r="H25" s="11"/>
      <c r="I25" s="11"/>
    </row>
    <row r="26" spans="1:9">
      <c r="A26" s="12" t="s">
        <v>57</v>
      </c>
      <c r="B26" s="12"/>
      <c r="C26" s="6">
        <v>68</v>
      </c>
      <c r="D26" s="11"/>
      <c r="E26" s="11"/>
      <c r="F26" s="11"/>
      <c r="G26" s="11"/>
      <c r="H26" s="11"/>
      <c r="I26" s="11"/>
    </row>
    <row r="27" spans="1:9">
      <c r="A27" s="12" t="s">
        <v>58</v>
      </c>
      <c r="B27" s="12"/>
      <c r="C27" s="6">
        <v>34</v>
      </c>
      <c r="D27" s="11"/>
      <c r="E27" s="11"/>
      <c r="F27" s="11"/>
      <c r="G27" s="11"/>
      <c r="H27" s="11"/>
      <c r="I27" s="11"/>
    </row>
    <row r="28" spans="1:9">
      <c r="A28" s="12" t="s">
        <v>28</v>
      </c>
      <c r="B28" s="12"/>
      <c r="C28" s="6">
        <v>34</v>
      </c>
      <c r="D28" s="11"/>
      <c r="E28" s="11"/>
      <c r="F28" s="11"/>
      <c r="G28" s="11"/>
      <c r="H28" s="11"/>
      <c r="I28" s="11"/>
    </row>
    <row r="29" spans="1:9">
      <c r="A29" s="2" t="s">
        <v>59</v>
      </c>
      <c r="B29" s="2"/>
      <c r="C29" s="6"/>
      <c r="D29" s="11"/>
      <c r="E29" s="11"/>
      <c r="F29" s="11"/>
      <c r="G29" s="11"/>
      <c r="H29" s="11"/>
      <c r="I29" s="11"/>
    </row>
    <row r="30" spans="1:9">
      <c r="A30" s="12" t="s">
        <v>60</v>
      </c>
      <c r="B30" s="12"/>
      <c r="C30" s="6">
        <v>29</v>
      </c>
      <c r="D30" s="11"/>
      <c r="E30" s="11"/>
      <c r="F30" s="11"/>
      <c r="G30" s="11"/>
      <c r="H30" s="11"/>
      <c r="I30" s="11"/>
    </row>
    <row r="31" spans="1:9">
      <c r="A31" s="12" t="s">
        <v>72</v>
      </c>
      <c r="B31" s="12"/>
      <c r="C31" s="6">
        <v>125</v>
      </c>
      <c r="D31" s="11"/>
      <c r="E31" s="11"/>
      <c r="F31" s="11"/>
      <c r="G31" s="11"/>
      <c r="H31" s="11"/>
      <c r="I31" s="11"/>
    </row>
    <row r="32" spans="1:9">
      <c r="A32" s="12" t="s">
        <v>61</v>
      </c>
      <c r="B32" s="12"/>
      <c r="C32" s="6">
        <v>175</v>
      </c>
      <c r="D32" s="11"/>
      <c r="E32" s="11"/>
      <c r="F32" s="11"/>
      <c r="G32" s="11"/>
      <c r="H32" s="11"/>
      <c r="I32" s="11"/>
    </row>
    <row r="33" spans="1:9">
      <c r="A33" s="12" t="s">
        <v>62</v>
      </c>
      <c r="B33" s="12"/>
      <c r="C33" s="77">
        <v>250</v>
      </c>
      <c r="D33" s="11"/>
      <c r="E33" s="11"/>
      <c r="F33" s="11"/>
      <c r="G33" s="11"/>
      <c r="H33" s="11"/>
      <c r="I33" s="11"/>
    </row>
    <row r="34" spans="1:9">
      <c r="A34" s="12" t="s">
        <v>63</v>
      </c>
      <c r="B34" s="12"/>
      <c r="C34" s="77">
        <v>324</v>
      </c>
      <c r="D34" s="11"/>
      <c r="E34" s="11"/>
      <c r="F34" s="11"/>
      <c r="G34" s="11"/>
      <c r="H34" s="11"/>
      <c r="I34" s="11"/>
    </row>
    <row r="35" spans="1:9">
      <c r="A35" s="12" t="s">
        <v>64</v>
      </c>
      <c r="B35" s="12"/>
      <c r="C35" s="77">
        <v>473</v>
      </c>
      <c r="D35" s="11"/>
      <c r="E35" s="11"/>
      <c r="F35" s="11"/>
      <c r="G35" s="11"/>
      <c r="H35" s="11"/>
      <c r="I35" s="11"/>
    </row>
    <row r="36" spans="1:9">
      <c r="A36" s="12" t="s">
        <v>65</v>
      </c>
      <c r="B36" s="12"/>
      <c r="C36" s="77">
        <v>613</v>
      </c>
      <c r="D36" s="11"/>
      <c r="E36" s="11"/>
      <c r="F36" s="11"/>
      <c r="G36" s="11"/>
      <c r="H36" s="11"/>
      <c r="I36" s="11"/>
    </row>
    <row r="37" spans="1:9">
      <c r="A37" s="12" t="s">
        <v>66</v>
      </c>
      <c r="B37" s="12"/>
      <c r="C37" s="77">
        <v>840</v>
      </c>
      <c r="D37" s="11"/>
      <c r="E37" s="11"/>
      <c r="F37" s="11"/>
      <c r="G37" s="11"/>
      <c r="H37" s="11"/>
      <c r="I37" s="11"/>
    </row>
    <row r="38" spans="1:9">
      <c r="A38" s="12" t="s">
        <v>67</v>
      </c>
      <c r="B38" s="12"/>
      <c r="C38" s="77">
        <v>980</v>
      </c>
      <c r="D38" s="54"/>
      <c r="E38" s="11"/>
      <c r="F38" s="11"/>
      <c r="G38" s="11"/>
      <c r="H38" s="11"/>
      <c r="I38" s="11"/>
    </row>
    <row r="39" spans="1:9">
      <c r="A39" s="55" t="s">
        <v>141</v>
      </c>
      <c r="B39" s="55">
        <v>2.25</v>
      </c>
      <c r="C39" s="6"/>
      <c r="D39" s="54"/>
      <c r="E39" s="11"/>
      <c r="F39" s="11"/>
      <c r="G39" s="11"/>
      <c r="H39" s="11"/>
      <c r="I39" s="11"/>
    </row>
    <row r="40" spans="1:9">
      <c r="A40" s="12" t="s">
        <v>69</v>
      </c>
      <c r="B40" s="12"/>
      <c r="C40" s="6">
        <f>C34*$B$39</f>
        <v>729</v>
      </c>
      <c r="D40" s="11" t="s">
        <v>75</v>
      </c>
      <c r="E40" s="11"/>
      <c r="F40" s="11"/>
      <c r="G40" s="11"/>
      <c r="H40" s="11"/>
      <c r="I40" s="11"/>
    </row>
    <row r="41" spans="1:9">
      <c r="A41" s="12" t="s">
        <v>70</v>
      </c>
      <c r="B41" s="12"/>
      <c r="C41" s="6">
        <f>C36*$B$39</f>
        <v>1379.25</v>
      </c>
      <c r="D41" s="11" t="s">
        <v>75</v>
      </c>
      <c r="E41" s="11"/>
      <c r="F41" s="11"/>
      <c r="G41" s="11"/>
      <c r="H41" s="11"/>
      <c r="I41" s="11"/>
    </row>
    <row r="42" spans="1:9">
      <c r="A42" s="12" t="s">
        <v>71</v>
      </c>
      <c r="B42" s="12"/>
      <c r="C42" s="6">
        <f>C37*$B$39</f>
        <v>1890</v>
      </c>
      <c r="D42" s="11" t="s">
        <v>75</v>
      </c>
      <c r="E42" s="11"/>
      <c r="F42" s="11"/>
      <c r="G42" s="11"/>
      <c r="H42" s="11"/>
      <c r="I42" s="11"/>
    </row>
    <row r="43" spans="1:9">
      <c r="A43" s="55" t="s">
        <v>140</v>
      </c>
      <c r="B43" s="55">
        <v>3</v>
      </c>
      <c r="C43" s="6"/>
      <c r="D43" s="11"/>
      <c r="E43" s="11"/>
      <c r="F43" s="11"/>
      <c r="G43" s="11"/>
      <c r="H43" s="11"/>
      <c r="I43" s="11"/>
    </row>
    <row r="44" spans="1:9">
      <c r="A44" s="12" t="s">
        <v>69</v>
      </c>
      <c r="B44" s="12"/>
      <c r="C44" s="57">
        <f>C34*$B$43</f>
        <v>972</v>
      </c>
      <c r="D44" s="11" t="s">
        <v>75</v>
      </c>
      <c r="E44" s="11"/>
      <c r="F44" s="11"/>
      <c r="G44" s="11"/>
      <c r="H44" s="11"/>
      <c r="I44" s="11"/>
    </row>
    <row r="45" spans="1:9">
      <c r="A45" s="12" t="s">
        <v>68</v>
      </c>
      <c r="B45" s="12"/>
      <c r="C45" s="57">
        <f t="shared" ref="C45:C47" si="0">C35*$B$43</f>
        <v>1419</v>
      </c>
      <c r="D45" s="11" t="s">
        <v>75</v>
      </c>
      <c r="E45" s="11"/>
      <c r="F45" s="11"/>
      <c r="G45" s="11"/>
      <c r="H45" s="11"/>
      <c r="I45" s="11"/>
    </row>
    <row r="46" spans="1:9">
      <c r="A46" s="12" t="s">
        <v>70</v>
      </c>
      <c r="B46" s="12"/>
      <c r="C46" s="57">
        <f t="shared" si="0"/>
        <v>1839</v>
      </c>
      <c r="D46" s="11" t="s">
        <v>75</v>
      </c>
      <c r="E46" s="11"/>
      <c r="F46" s="11"/>
      <c r="G46" s="11"/>
      <c r="H46" s="11"/>
      <c r="I46" s="11"/>
    </row>
    <row r="47" spans="1:9">
      <c r="A47" s="12" t="s">
        <v>71</v>
      </c>
      <c r="B47" s="12"/>
      <c r="C47" s="57">
        <f t="shared" si="0"/>
        <v>2520</v>
      </c>
      <c r="D47" s="11" t="s">
        <v>75</v>
      </c>
      <c r="E47" s="11"/>
      <c r="F47" s="11"/>
      <c r="G47" s="11"/>
      <c r="H47" s="11"/>
      <c r="I47" s="11"/>
    </row>
    <row r="48" spans="1:9">
      <c r="A48" s="55" t="s">
        <v>142</v>
      </c>
      <c r="B48" s="55">
        <v>4</v>
      </c>
      <c r="C48" s="6"/>
      <c r="D48" s="11"/>
      <c r="E48" s="11"/>
      <c r="F48" s="11"/>
      <c r="G48" s="11"/>
      <c r="H48" s="11"/>
      <c r="I48" s="11"/>
    </row>
    <row r="49" spans="1:10">
      <c r="A49" s="12" t="s">
        <v>68</v>
      </c>
      <c r="B49" s="12"/>
      <c r="C49" s="57">
        <f t="shared" ref="C49:C51" si="1">C35*$B$48</f>
        <v>1892</v>
      </c>
      <c r="D49" s="11" t="s">
        <v>75</v>
      </c>
      <c r="E49" s="11"/>
      <c r="F49" s="11"/>
      <c r="G49" s="11"/>
      <c r="H49" s="11"/>
      <c r="I49" s="11"/>
    </row>
    <row r="50" spans="1:10">
      <c r="A50" s="12" t="s">
        <v>70</v>
      </c>
      <c r="B50" s="12"/>
      <c r="C50" s="57">
        <f t="shared" si="1"/>
        <v>2452</v>
      </c>
      <c r="D50" s="11" t="s">
        <v>75</v>
      </c>
      <c r="E50" s="11"/>
      <c r="F50" s="11"/>
      <c r="G50" s="11"/>
      <c r="H50" s="11"/>
      <c r="I50" s="11"/>
    </row>
    <row r="51" spans="1:10">
      <c r="A51" s="12" t="s">
        <v>71</v>
      </c>
      <c r="B51" s="12"/>
      <c r="C51" s="57">
        <f t="shared" si="1"/>
        <v>3360</v>
      </c>
      <c r="D51" s="11" t="s">
        <v>75</v>
      </c>
      <c r="E51" s="11"/>
      <c r="F51" s="11"/>
      <c r="G51" s="11"/>
      <c r="H51" s="11"/>
      <c r="I51" s="11"/>
    </row>
    <row r="52" spans="1:10">
      <c r="A52" s="55" t="s">
        <v>143</v>
      </c>
      <c r="B52" s="55">
        <v>5</v>
      </c>
      <c r="C52" s="6"/>
      <c r="D52" s="11"/>
      <c r="E52" s="11"/>
      <c r="F52" s="11"/>
      <c r="G52" s="11"/>
      <c r="H52" s="11"/>
      <c r="I52" s="11"/>
    </row>
    <row r="53" spans="1:10">
      <c r="A53" s="12" t="s">
        <v>70</v>
      </c>
      <c r="B53" s="12"/>
      <c r="C53" s="57">
        <f>C36*$B$52</f>
        <v>3065</v>
      </c>
      <c r="D53" s="11" t="s">
        <v>75</v>
      </c>
      <c r="E53" s="11"/>
      <c r="F53" s="11"/>
      <c r="G53" s="11"/>
      <c r="H53" s="11"/>
      <c r="I53" s="11"/>
    </row>
    <row r="54" spans="1:10">
      <c r="A54" s="12" t="s">
        <v>71</v>
      </c>
      <c r="B54" s="12"/>
      <c r="C54" s="57">
        <f>C37*$B$52</f>
        <v>4200</v>
      </c>
      <c r="D54" s="11" t="s">
        <v>75</v>
      </c>
      <c r="E54" s="11"/>
      <c r="F54" s="11"/>
      <c r="G54" s="11"/>
      <c r="H54" s="11"/>
      <c r="I54" s="11"/>
    </row>
    <row r="55" spans="1:10">
      <c r="C55" s="467" t="s">
        <v>149</v>
      </c>
      <c r="D55" s="467"/>
    </row>
    <row r="56" spans="1:10">
      <c r="C56" t="s">
        <v>150</v>
      </c>
    </row>
    <row r="58" spans="1:10">
      <c r="A58" s="20" t="s">
        <v>139</v>
      </c>
      <c r="B58" s="20"/>
      <c r="C58" s="18" t="s">
        <v>4</v>
      </c>
      <c r="D58" s="18" t="s">
        <v>5</v>
      </c>
      <c r="G58" s="466" t="s">
        <v>23</v>
      </c>
      <c r="H58" s="466"/>
    </row>
    <row r="59" spans="1:10">
      <c r="A59" s="14" t="s">
        <v>6</v>
      </c>
      <c r="B59" s="14"/>
      <c r="C59" s="211">
        <v>166.45</v>
      </c>
      <c r="D59" s="51">
        <f>C59/2000</f>
        <v>8.3224999999999993E-2</v>
      </c>
      <c r="G59" t="s">
        <v>24</v>
      </c>
      <c r="H59" s="3">
        <v>1.7500000000000002E-2</v>
      </c>
    </row>
    <row r="60" spans="1:10">
      <c r="A60" s="14" t="s">
        <v>7</v>
      </c>
      <c r="B60" s="14"/>
      <c r="C60" s="213">
        <v>171.23</v>
      </c>
      <c r="D60" s="52">
        <f>C60/2000</f>
        <v>8.5614999999999997E-2</v>
      </c>
      <c r="G60" t="s">
        <v>25</v>
      </c>
      <c r="H60" s="4">
        <f>0.0051</f>
        <v>5.1000000000000004E-3</v>
      </c>
    </row>
    <row r="61" spans="1:10">
      <c r="A61" s="12" t="s">
        <v>8</v>
      </c>
      <c r="B61" s="12"/>
      <c r="C61" s="50">
        <f>C60-C59</f>
        <v>4.7800000000000011</v>
      </c>
      <c r="D61" s="53">
        <f>D60-D59</f>
        <v>2.3900000000000032E-3</v>
      </c>
      <c r="E61" s="49">
        <f>C61/C59</f>
        <v>2.871733253229199E-2</v>
      </c>
      <c r="G61" t="s">
        <v>43</v>
      </c>
      <c r="H61" s="5"/>
    </row>
    <row r="62" spans="1:10">
      <c r="D62" s="47"/>
      <c r="G62" t="s">
        <v>14</v>
      </c>
      <c r="H62" s="15">
        <f>SUM(H59:H61)</f>
        <v>2.2600000000000002E-2</v>
      </c>
      <c r="J62" s="46"/>
    </row>
    <row r="63" spans="1:10">
      <c r="C63" s="19" t="s">
        <v>82</v>
      </c>
    </row>
    <row r="64" spans="1:10">
      <c r="A64" t="s">
        <v>2</v>
      </c>
      <c r="C64" s="16">
        <f>C61</f>
        <v>4.7800000000000011</v>
      </c>
      <c r="D64" s="47"/>
      <c r="G64" t="s">
        <v>26</v>
      </c>
      <c r="H64" s="17">
        <f>1-H62</f>
        <v>0.97740000000000005</v>
      </c>
    </row>
    <row r="65" spans="1:5">
      <c r="A65" t="s">
        <v>22</v>
      </c>
      <c r="C65" s="16">
        <f>C64/$H$64</f>
        <v>4.8905258850010238</v>
      </c>
      <c r="D65" s="47"/>
    </row>
    <row r="66" spans="1:5">
      <c r="A66" t="s">
        <v>21</v>
      </c>
      <c r="C66" s="141">
        <f ca="1">'DF Calculation'!D86</f>
        <v>80996.988252706593</v>
      </c>
      <c r="D66" s="16"/>
      <c r="E66" s="38"/>
    </row>
    <row r="67" spans="1:5">
      <c r="A67" s="2" t="s">
        <v>27</v>
      </c>
      <c r="B67" s="2"/>
      <c r="C67" s="62">
        <f ca="1">C65*C66</f>
        <v>396117.86765698541</v>
      </c>
      <c r="E67" s="38"/>
    </row>
    <row r="70" spans="1:5" ht="15.75" thickBot="1"/>
    <row r="71" spans="1:5">
      <c r="A71" s="39" t="s">
        <v>79</v>
      </c>
      <c r="B71" s="56"/>
      <c r="C71" s="59" t="s">
        <v>77</v>
      </c>
      <c r="E71" s="16"/>
    </row>
    <row r="72" spans="1:5">
      <c r="A72" s="40" t="s">
        <v>78</v>
      </c>
      <c r="C72" s="140">
        <f ca="1">'DF Calculation'!J89-'DF Calculation'!G89</f>
        <v>395768.14361595362</v>
      </c>
    </row>
    <row r="73" spans="1:5">
      <c r="A73" s="40" t="s">
        <v>11</v>
      </c>
      <c r="C73" s="140">
        <f ca="1">C67-C72</f>
        <v>349.72404103178997</v>
      </c>
      <c r="D73" s="142" t="s">
        <v>597</v>
      </c>
    </row>
    <row r="74" spans="1:5" ht="15.75" thickBot="1">
      <c r="A74" s="63"/>
      <c r="B74" s="65"/>
      <c r="C74" s="66"/>
    </row>
    <row r="75" spans="1:5">
      <c r="B75" s="2"/>
      <c r="C75" s="64"/>
    </row>
  </sheetData>
  <mergeCells count="4">
    <mergeCell ref="A5:I5"/>
    <mergeCell ref="G58:H58"/>
    <mergeCell ref="A15:C15"/>
    <mergeCell ref="C55:D55"/>
  </mergeCells>
  <conditionalFormatting sqref="C73">
    <cfRule type="cellIs" dxfId="4" priority="1" operator="lessThan">
      <formula>-10</formula>
    </cfRule>
    <cfRule type="cellIs" dxfId="3" priority="2" operator="greaterThan">
      <formula>10</formula>
    </cfRule>
  </conditionalFormatting>
  <pageMargins left="0.7" right="0.7" top="0.75" bottom="0.75" header="0.3" footer="0.3"/>
  <pageSetup scale="62" orientation="portrait" r:id="rId1"/>
  <headerFooter>
    <oddFooter>&amp;L&amp;F - &amp;A&amp;R&amp;P of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6" tint="0.39997558519241921"/>
    <pageSetUpPr fitToPage="1"/>
  </sheetPr>
  <dimension ref="A1:R171"/>
  <sheetViews>
    <sheetView showGridLines="0" zoomScaleNormal="100" zoomScaleSheetLayoutView="85" zoomScalePageLayoutView="85" workbookViewId="0">
      <pane xSplit="4" ySplit="6" topLeftCell="E7" activePane="bottomRight" state="frozen"/>
      <selection activeCell="A2" sqref="A2"/>
      <selection pane="topRight" activeCell="A2" sqref="A2"/>
      <selection pane="bottomLeft" activeCell="A2" sqref="A2"/>
      <selection pane="bottomRight" activeCell="B1" sqref="B1:B1048576"/>
    </sheetView>
  </sheetViews>
  <sheetFormatPr defaultColWidth="8.85546875" defaultRowHeight="15"/>
  <cols>
    <col min="1" max="1" width="5.85546875" style="2" customWidth="1"/>
    <col min="2" max="2" width="7.5703125" style="37" customWidth="1"/>
    <col min="3" max="3" width="29.7109375" style="37" customWidth="1"/>
    <col min="4" max="4" width="33.7109375" customWidth="1"/>
    <col min="5" max="5" width="54.7109375" style="35" customWidth="1"/>
    <col min="6" max="7" width="12.85546875" customWidth="1"/>
    <col min="8" max="8" width="12.85546875" style="34" customWidth="1"/>
    <col min="9" max="15" width="12.85546875" customWidth="1"/>
    <col min="16" max="16" width="12.85546875" style="43" customWidth="1"/>
    <col min="17" max="17" width="9.42578125" customWidth="1"/>
    <col min="18" max="18" width="12.42578125" style="22" customWidth="1"/>
    <col min="20" max="20" width="12.140625" customWidth="1"/>
  </cols>
  <sheetData>
    <row r="1" spans="1:18">
      <c r="A1" s="2" t="s">
        <v>87</v>
      </c>
      <c r="D1" s="164" t="s">
        <v>104</v>
      </c>
      <c r="G1" s="78"/>
    </row>
    <row r="2" spans="1:18">
      <c r="A2" s="2" t="s">
        <v>167</v>
      </c>
      <c r="D2" s="165" t="s">
        <v>237</v>
      </c>
      <c r="G2" s="78"/>
      <c r="H2" s="23"/>
    </row>
    <row r="3" spans="1:18">
      <c r="A3" s="2" t="s">
        <v>743</v>
      </c>
      <c r="D3" s="166" t="s">
        <v>144</v>
      </c>
      <c r="G3" s="78"/>
      <c r="L3" s="23"/>
      <c r="M3" s="23"/>
    </row>
    <row r="4" spans="1:18">
      <c r="D4" s="143" t="s">
        <v>596</v>
      </c>
      <c r="E4" s="26"/>
      <c r="F4" s="210"/>
      <c r="H4" s="23"/>
      <c r="L4" s="200"/>
      <c r="M4" s="200"/>
    </row>
    <row r="5" spans="1:18">
      <c r="D5" s="180" t="s">
        <v>611</v>
      </c>
      <c r="E5" s="73"/>
      <c r="F5" s="72"/>
      <c r="G5" s="73"/>
      <c r="H5" s="72"/>
      <c r="I5" s="73"/>
      <c r="J5" s="72"/>
      <c r="K5" s="72"/>
      <c r="L5" s="72"/>
      <c r="M5" s="72"/>
    </row>
    <row r="6" spans="1:18" s="189" customFormat="1" ht="45">
      <c r="A6" s="158"/>
      <c r="B6" s="81" t="s">
        <v>13</v>
      </c>
      <c r="C6" s="81" t="s">
        <v>181</v>
      </c>
      <c r="D6" s="81" t="s">
        <v>292</v>
      </c>
      <c r="E6" s="81" t="s">
        <v>293</v>
      </c>
      <c r="F6" s="81" t="s">
        <v>9</v>
      </c>
      <c r="G6" s="81" t="s">
        <v>31</v>
      </c>
      <c r="H6" s="82" t="s">
        <v>32</v>
      </c>
      <c r="I6" s="81" t="s">
        <v>8</v>
      </c>
      <c r="J6" s="81" t="s">
        <v>0</v>
      </c>
      <c r="K6" s="169" t="s">
        <v>631</v>
      </c>
      <c r="L6" s="81" t="s">
        <v>34</v>
      </c>
      <c r="M6" s="168" t="s">
        <v>632</v>
      </c>
      <c r="N6" s="81" t="s">
        <v>33</v>
      </c>
      <c r="O6" s="81" t="s">
        <v>146</v>
      </c>
      <c r="P6" s="83" t="s">
        <v>35</v>
      </c>
      <c r="Q6" s="179" t="s">
        <v>591</v>
      </c>
      <c r="R6" s="188"/>
    </row>
    <row r="7" spans="1:18">
      <c r="A7" s="473"/>
      <c r="B7" s="29">
        <v>23</v>
      </c>
      <c r="C7" s="78" t="s">
        <v>183</v>
      </c>
      <c r="D7" s="41" t="str">
        <f>VLOOKUP(C7,Mapping!$C$2:$H$158,6,FALSE)</f>
        <v>20 Gallon Cart WG-NR</v>
      </c>
      <c r="E7" s="75">
        <f>IFERROR(SUMIFS(Mapping!M:M,Mapping!A:A,"Residential",Mapping!D:D,'DF Calculation'!C7),0)</f>
        <v>2015.5534137078253</v>
      </c>
      <c r="F7" s="75">
        <f>VLOOKUP(C7,Mapping!D:L,7,FALSE)</f>
        <v>20</v>
      </c>
      <c r="G7" s="75">
        <f>E7*F7</f>
        <v>40311.068274156503</v>
      </c>
      <c r="H7" s="333">
        <f t="shared" ref="H7:H21" ca="1" si="0">$D$89*G7</f>
        <v>31603.561482246012</v>
      </c>
      <c r="I7" s="75">
        <f ca="1">(References!$D$61*H7)</f>
        <v>75.532511942568064</v>
      </c>
      <c r="J7" s="75">
        <f ca="1">I7/References!$H$64</f>
        <v>77.279017743572808</v>
      </c>
      <c r="K7" s="211">
        <v>17.8</v>
      </c>
      <c r="L7" s="38">
        <f ca="1">IFERROR((J7/E7),0)*References!$C$11</f>
        <v>0.16614580456066533</v>
      </c>
      <c r="M7" s="167">
        <f t="shared" ref="M7:M21" ca="1" si="1">+K7+L7</f>
        <v>17.966145804560664</v>
      </c>
      <c r="N7" s="80">
        <f>(E7/References!$C$11)*'DF Calculation'!K7</f>
        <v>8279.2732532306072</v>
      </c>
      <c r="O7" s="80">
        <f ca="1">(E7/References!$C$11)*'DF Calculation'!M7</f>
        <v>8356.5522709741781</v>
      </c>
      <c r="P7" s="80">
        <f t="shared" ref="P7:P16" ca="1" si="2">O7-N7</f>
        <v>77.279017743570876</v>
      </c>
      <c r="Q7" s="16">
        <f ca="1">(((F7*$D$89)*(References!$D$61/References!$H$64))*References!$C$11)-L7</f>
        <v>0</v>
      </c>
      <c r="R7" s="201" t="s">
        <v>613</v>
      </c>
    </row>
    <row r="8" spans="1:18">
      <c r="A8" s="473"/>
      <c r="B8" s="29">
        <v>23</v>
      </c>
      <c r="C8" s="78" t="s">
        <v>184</v>
      </c>
      <c r="D8" s="41" t="str">
        <f>VLOOKUP(C8,Mapping!$C$2:$H$158,6,FALSE)</f>
        <v>20 Gallon Cart WG-R</v>
      </c>
      <c r="E8" s="75">
        <f>IFERROR(SUMIFS(Mapping!M:M,Mapping!A:A,"Residential",Mapping!D:D,'DF Calculation'!C8),0)</f>
        <v>174110.49998974564</v>
      </c>
      <c r="F8" s="75">
        <f>VLOOKUP(C8,Mapping!D:L,7,FALSE)</f>
        <v>20</v>
      </c>
      <c r="G8" s="75">
        <f t="shared" ref="G8:G21" si="3">E8*F8</f>
        <v>3482209.999794913</v>
      </c>
      <c r="H8" s="28">
        <f t="shared" ca="1" si="0"/>
        <v>2730025.3388016461</v>
      </c>
      <c r="I8" s="75">
        <f ca="1">(References!$D$61*H8)</f>
        <v>6524.7605597359434</v>
      </c>
      <c r="J8" s="75">
        <f ca="1">I8/References!$H$64</f>
        <v>6675.6297930590781</v>
      </c>
      <c r="K8" s="211">
        <v>16.8</v>
      </c>
      <c r="L8" s="38">
        <f ca="1">IFERROR((J8/E8),0)*References!$C$11</f>
        <v>0.16614580456066533</v>
      </c>
      <c r="M8" s="167">
        <f t="shared" ca="1" si="1"/>
        <v>16.966145804560664</v>
      </c>
      <c r="N8" s="80">
        <f>(E8/References!$C$11)*'DF Calculation'!K8</f>
        <v>675013.01534486015</v>
      </c>
      <c r="O8" s="80">
        <f ca="1">(E8/References!$C$11)*'DF Calculation'!M8</f>
        <v>681688.64513791911</v>
      </c>
      <c r="P8" s="80">
        <f t="shared" ca="1" si="2"/>
        <v>6675.6297930589644</v>
      </c>
      <c r="Q8" s="16">
        <f ca="1">(((F8*$D$89)*(References!$D$61/References!$H$64))*References!$C$11)-L8</f>
        <v>0</v>
      </c>
      <c r="R8" s="201" t="s">
        <v>613</v>
      </c>
    </row>
    <row r="9" spans="1:18">
      <c r="A9" s="473"/>
      <c r="B9" s="29">
        <v>23</v>
      </c>
      <c r="C9" s="78" t="s">
        <v>186</v>
      </c>
      <c r="D9" s="41" t="str">
        <f>VLOOKUP(C9,Mapping!$C$2:$H$158,6,FALSE)</f>
        <v>35 Gallon Cart WG-NR</v>
      </c>
      <c r="E9" s="75">
        <f>IFERROR(SUMIFS(Mapping!M:M,Mapping!A:A,"Residential",Mapping!D:D,'DF Calculation'!C9),0)</f>
        <v>16248.640239056882</v>
      </c>
      <c r="F9" s="75">
        <f>VLOOKUP(C9,Mapping!D:L,7,FALSE)</f>
        <v>34</v>
      </c>
      <c r="G9" s="75">
        <f t="shared" si="3"/>
        <v>552453.76812793396</v>
      </c>
      <c r="H9" s="28">
        <f t="shared" ca="1" si="0"/>
        <v>433119.42289366131</v>
      </c>
      <c r="I9" s="75">
        <f ca="1">(References!$D$61*H9)</f>
        <v>1035.155420715852</v>
      </c>
      <c r="J9" s="75">
        <f ca="1">I9/References!$H$64</f>
        <v>1059.090874479079</v>
      </c>
      <c r="K9" s="211">
        <v>22.39</v>
      </c>
      <c r="L9" s="38">
        <f ca="1">IFERROR((J9/E9),0)*References!$C$11</f>
        <v>0.28244786775313108</v>
      </c>
      <c r="M9" s="167">
        <f t="shared" ca="1" si="1"/>
        <v>22.672447867753132</v>
      </c>
      <c r="N9" s="80">
        <f>(E9/References!$C$11)*'DF Calculation'!K9</f>
        <v>83955.474219803902</v>
      </c>
      <c r="O9" s="80">
        <f ca="1">(E9/References!$C$11)*'DF Calculation'!M9</f>
        <v>85014.565094282982</v>
      </c>
      <c r="P9" s="80">
        <f t="shared" ca="1" si="2"/>
        <v>1059.0908744790795</v>
      </c>
      <c r="Q9" s="16">
        <f ca="1">(((F9*$D$89)*(References!$D$61/References!$H$64))*References!$C$11)-L9</f>
        <v>0</v>
      </c>
      <c r="R9" s="201" t="s">
        <v>613</v>
      </c>
    </row>
    <row r="10" spans="1:18">
      <c r="A10" s="473"/>
      <c r="B10" s="29">
        <v>23</v>
      </c>
      <c r="C10" s="78" t="s">
        <v>187</v>
      </c>
      <c r="D10" s="41" t="str">
        <f>VLOOKUP(C10,Mapping!$C$2:$H$158,6,FALSE)</f>
        <v>35 Gallon Cart WG-R</v>
      </c>
      <c r="E10" s="75">
        <f>IFERROR(SUMIFS(Mapping!M:M,Mapping!A:A,"Residential",Mapping!D:D,'DF Calculation'!C10),0)</f>
        <v>1572715.1670469334</v>
      </c>
      <c r="F10" s="75">
        <f>VLOOKUP(C10,Mapping!D:L,7,FALSE)</f>
        <v>34</v>
      </c>
      <c r="G10" s="75">
        <f t="shared" si="3"/>
        <v>53472315.679595739</v>
      </c>
      <c r="H10" s="28">
        <f t="shared" ca="1" si="0"/>
        <v>41921876.26199872</v>
      </c>
      <c r="I10" s="75">
        <f ca="1">(References!$D$61*H10)</f>
        <v>100193.28426617708</v>
      </c>
      <c r="J10" s="75">
        <f ca="1">I10/References!$H$64</f>
        <v>102510.01050355748</v>
      </c>
      <c r="K10" s="211">
        <v>21.39</v>
      </c>
      <c r="L10" s="38">
        <f ca="1">IFERROR((J10/E10),0)*References!$C$11</f>
        <v>0.28244786775313108</v>
      </c>
      <c r="M10" s="167">
        <f t="shared" ca="1" si="1"/>
        <v>21.672447867753132</v>
      </c>
      <c r="N10" s="80">
        <f>(E10/References!$C$11)*'DF Calculation'!K10</f>
        <v>7763164.0207232097</v>
      </c>
      <c r="O10" s="80">
        <f ca="1">(E10/References!$C$11)*'DF Calculation'!M10</f>
        <v>7865674.0312267672</v>
      </c>
      <c r="P10" s="80">
        <f t="shared" ca="1" si="2"/>
        <v>102510.01050355751</v>
      </c>
      <c r="Q10" s="16">
        <f ca="1">(((F10*$D$89)*(References!$D$61/References!$H$64))*References!$C$11)-L10</f>
        <v>0</v>
      </c>
      <c r="R10" s="201" t="s">
        <v>613</v>
      </c>
    </row>
    <row r="11" spans="1:18">
      <c r="A11" s="473"/>
      <c r="B11" s="29">
        <v>24</v>
      </c>
      <c r="C11" s="78" t="s">
        <v>272</v>
      </c>
      <c r="D11" s="41" t="str">
        <f>VLOOKUP(C11,Mapping!$C$2:$H$158,6,FALSE)</f>
        <v>35 Gallon Cart On Call</v>
      </c>
      <c r="E11" s="75">
        <f>IFERROR(SUMIFS(Mapping!M:M,Mapping!A:A,"Residential",Mapping!D:D,'DF Calculation'!C11),0)</f>
        <v>1</v>
      </c>
      <c r="F11" s="75">
        <f>VLOOKUP(C11,Mapping!D:L,7,FALSE)</f>
        <v>34</v>
      </c>
      <c r="G11" s="75">
        <f>E11*F11</f>
        <v>34</v>
      </c>
      <c r="H11" s="28">
        <f t="shared" ca="1" si="0"/>
        <v>26.655733435009008</v>
      </c>
      <c r="I11" s="75">
        <f ca="1">(References!$D$61*H11)</f>
        <v>6.370720290967162E-2</v>
      </c>
      <c r="J11" s="75">
        <f ca="1">I11/References!$H$64</f>
        <v>6.5180277173799483E-2</v>
      </c>
      <c r="K11" s="212">
        <v>14.11</v>
      </c>
      <c r="L11" s="38">
        <f ca="1">IFERROR((J11/E11),0)</f>
        <v>6.5180277173799483E-2</v>
      </c>
      <c r="M11" s="167">
        <f t="shared" ca="1" si="1"/>
        <v>14.1751802771738</v>
      </c>
      <c r="N11" s="80">
        <f>(E11/References!$C$11)*'DF Calculation'!K11</f>
        <v>3.2561538461538464</v>
      </c>
      <c r="O11" s="80">
        <f ca="1">(E11/References!$C$11)*'DF Calculation'!M11</f>
        <v>3.2711954485785695</v>
      </c>
      <c r="P11" s="80">
        <f t="shared" ca="1" si="2"/>
        <v>1.5041602424723077E-2</v>
      </c>
      <c r="Q11" s="16">
        <f ca="1">((F11*$D$89)*(References!$D$61/References!$H$64))-L11</f>
        <v>0</v>
      </c>
      <c r="R11" s="201"/>
    </row>
    <row r="12" spans="1:18">
      <c r="A12" s="473"/>
      <c r="B12" s="29">
        <v>23</v>
      </c>
      <c r="C12" s="78" t="s">
        <v>189</v>
      </c>
      <c r="D12" s="41" t="str">
        <f>VLOOKUP(C12,Mapping!$C$2:$H$158,6,FALSE)</f>
        <v>65 Gallon Cart WG-NR</v>
      </c>
      <c r="E12" s="75">
        <f>IFERROR(SUMIFS(Mapping!M:M,Mapping!A:A,"Residential",Mapping!D:D,'DF Calculation'!C12),0)</f>
        <v>9412.7456770008102</v>
      </c>
      <c r="F12" s="75">
        <f>VLOOKUP(C12,Mapping!D:L,7,FALSE)</f>
        <v>47</v>
      </c>
      <c r="G12" s="75">
        <f t="shared" si="3"/>
        <v>442399.04681903811</v>
      </c>
      <c r="H12" s="28">
        <f t="shared" ca="1" si="0"/>
        <v>346837.38423265732</v>
      </c>
      <c r="I12" s="75">
        <f ca="1">(References!$D$61*H12)</f>
        <v>828.94134831605209</v>
      </c>
      <c r="J12" s="75">
        <f ca="1">I12/References!$H$64</f>
        <v>848.10860273792923</v>
      </c>
      <c r="K12" s="211">
        <v>33.39</v>
      </c>
      <c r="L12" s="38">
        <f ca="1">IFERROR((J12/E12),0)*References!$C$11</f>
        <v>0.39044264071756352</v>
      </c>
      <c r="M12" s="167">
        <f t="shared" ca="1" si="1"/>
        <v>33.780442640717567</v>
      </c>
      <c r="N12" s="80">
        <f>(E12/References!$C$11)*'DF Calculation'!K12</f>
        <v>72528.825728090087</v>
      </c>
      <c r="O12" s="80">
        <f ca="1">(E12/References!$C$11)*'DF Calculation'!M12</f>
        <v>73376.934330828022</v>
      </c>
      <c r="P12" s="80">
        <f t="shared" ca="1" si="2"/>
        <v>848.10860273793514</v>
      </c>
      <c r="Q12" s="16">
        <f ca="1">(((F12*$D$89)*(References!$D$61/References!$H$64))*References!$C$11)-L12</f>
        <v>0</v>
      </c>
      <c r="R12" s="201" t="s">
        <v>613</v>
      </c>
    </row>
    <row r="13" spans="1:18">
      <c r="A13" s="473"/>
      <c r="B13" s="29">
        <v>23</v>
      </c>
      <c r="C13" s="78" t="s">
        <v>190</v>
      </c>
      <c r="D13" s="41" t="str">
        <f>VLOOKUP(C13,Mapping!$C$2:$H$158,6,FALSE)</f>
        <v>65 Gallon Cart WG-R</v>
      </c>
      <c r="E13" s="75">
        <f>IFERROR(SUMIFS(Mapping!M:M,Mapping!A:A,"Residential",Mapping!D:D,'DF Calculation'!C13),0)</f>
        <v>1176918.2537772271</v>
      </c>
      <c r="F13" s="75">
        <f>VLOOKUP(C13,Mapping!D:L,7,FALSE)</f>
        <v>47</v>
      </c>
      <c r="G13" s="75">
        <f t="shared" si="3"/>
        <v>55315157.927529678</v>
      </c>
      <c r="H13" s="28">
        <f t="shared" ca="1" si="0"/>
        <v>43366650.136225186</v>
      </c>
      <c r="I13" s="75">
        <f ca="1">(References!$D$61*H13)</f>
        <v>103646.29382557834</v>
      </c>
      <c r="J13" s="75">
        <f ca="1">I13/References!$H$64</f>
        <v>106042.86251849635</v>
      </c>
      <c r="K13" s="211">
        <v>31.39</v>
      </c>
      <c r="L13" s="38">
        <f ca="1">IFERROR((J13/E13),0)*References!$C$11</f>
        <v>0.39044264071756352</v>
      </c>
      <c r="M13" s="167">
        <f t="shared" ca="1" si="1"/>
        <v>31.780442640717563</v>
      </c>
      <c r="N13" s="80">
        <f>(E13/References!$C$11)*'DF Calculation'!K13</f>
        <v>8525414.7660154998</v>
      </c>
      <c r="O13" s="80">
        <f ca="1">(E13/References!$C$11)*'DF Calculation'!M13</f>
        <v>8631457.6285339948</v>
      </c>
      <c r="P13" s="80">
        <f ca="1">O13-N13</f>
        <v>106042.86251849495</v>
      </c>
      <c r="Q13" s="16">
        <f ca="1">(((F13*$D$89)*(References!$D$61/References!$H$64))*References!$C$11)-L13</f>
        <v>0</v>
      </c>
      <c r="R13" s="201" t="s">
        <v>613</v>
      </c>
    </row>
    <row r="14" spans="1:18">
      <c r="A14" s="473"/>
      <c r="B14" s="29">
        <v>24</v>
      </c>
      <c r="C14" s="78" t="s">
        <v>274</v>
      </c>
      <c r="D14" s="41" t="str">
        <f>VLOOKUP(C14,Mapping!$C$2:$H$158,6,FALSE)</f>
        <v>65 Gallon Cart On Call</v>
      </c>
      <c r="E14" s="75">
        <f>IFERROR(SUMIFS(Mapping!M:M,Mapping!A:A,"Residential",Mapping!D:D,'DF Calculation'!C14),0)</f>
        <v>3</v>
      </c>
      <c r="F14" s="75">
        <f>VLOOKUP(C14,Mapping!D:L,7,FALSE)</f>
        <v>47</v>
      </c>
      <c r="G14" s="75">
        <f>E14*F14</f>
        <v>141</v>
      </c>
      <c r="H14" s="28">
        <f t="shared" ca="1" si="0"/>
        <v>110.54289453930207</v>
      </c>
      <c r="I14" s="75">
        <f ca="1">(References!$D$61*H14)</f>
        <v>0.26419751794893231</v>
      </c>
      <c r="J14" s="75">
        <f ca="1">I14/References!$H$64</f>
        <v>0.27030644357369787</v>
      </c>
      <c r="K14" s="212">
        <v>21.09</v>
      </c>
      <c r="L14" s="38">
        <f ca="1">IFERROR((J14/E14),0)</f>
        <v>9.0102147857899287E-2</v>
      </c>
      <c r="M14" s="167">
        <f t="shared" ca="1" si="1"/>
        <v>21.180102147857898</v>
      </c>
      <c r="N14" s="80">
        <f>(E14/References!$C$11)*'DF Calculation'!K14</f>
        <v>14.600769230769233</v>
      </c>
      <c r="O14" s="80">
        <f ca="1">(E14/References!$C$11)*'DF Calculation'!M14</f>
        <v>14.6631476408247</v>
      </c>
      <c r="P14" s="80">
        <f t="shared" ref="P14" ca="1" si="4">O14-N14</f>
        <v>6.2378410055467626E-2</v>
      </c>
      <c r="Q14" s="16">
        <f ca="1">((F14*$D$89)*(References!$D$61/References!$H$64))-L14</f>
        <v>0</v>
      </c>
      <c r="R14" s="201"/>
    </row>
    <row r="15" spans="1:18">
      <c r="A15" s="473"/>
      <c r="B15" s="29">
        <v>23</v>
      </c>
      <c r="C15" s="78" t="s">
        <v>192</v>
      </c>
      <c r="D15" s="41" t="str">
        <f>VLOOKUP(C15,Mapping!$C$2:$H$158,6,FALSE)</f>
        <v>95 Gallon Cart WG-NR</v>
      </c>
      <c r="E15" s="75">
        <f>IFERROR(SUMIFS(Mapping!M:M,Mapping!A:A,"Residential",Mapping!D:D,'DF Calculation'!C15),0)</f>
        <v>1879.5885725732496</v>
      </c>
      <c r="F15" s="75">
        <f>VLOOKUP(C15,Mapping!D:L,7,FALSE)</f>
        <v>68</v>
      </c>
      <c r="G15" s="75">
        <f t="shared" si="3"/>
        <v>127812.02293498098</v>
      </c>
      <c r="H15" s="28">
        <f t="shared" ca="1" si="0"/>
        <v>100203.62391600326</v>
      </c>
      <c r="I15" s="75">
        <f ca="1">(References!$D$61*H15)</f>
        <v>239.48666115924811</v>
      </c>
      <c r="J15" s="75">
        <f ca="1">I15/References!$H$64</f>
        <v>245.02420826606109</v>
      </c>
      <c r="K15" s="211">
        <v>46.74</v>
      </c>
      <c r="L15" s="38">
        <f ca="1">IFERROR((J15/E15),0)*References!$C$11</f>
        <v>0.56489573550626215</v>
      </c>
      <c r="M15" s="167">
        <f t="shared" ca="1" si="1"/>
        <v>47.304895735506264</v>
      </c>
      <c r="N15" s="80">
        <f>(E15/References!$C$11)*'DF Calculation'!K15</f>
        <v>20273.531511247777</v>
      </c>
      <c r="O15" s="80">
        <f ca="1">(E15/References!$C$11)*'DF Calculation'!M15</f>
        <v>20518.555719513839</v>
      </c>
      <c r="P15" s="80">
        <f t="shared" ca="1" si="2"/>
        <v>245.02420826606249</v>
      </c>
      <c r="Q15" s="16">
        <f ca="1">(((F15*$D$89)*(References!$D$61/References!$H$64))*References!$C$11)-L15</f>
        <v>0</v>
      </c>
      <c r="R15" s="201" t="s">
        <v>613</v>
      </c>
    </row>
    <row r="16" spans="1:18">
      <c r="A16" s="473"/>
      <c r="B16" s="29">
        <v>23</v>
      </c>
      <c r="C16" s="78" t="s">
        <v>193</v>
      </c>
      <c r="D16" s="41" t="str">
        <f>VLOOKUP(C16,Mapping!$C$2:$H$158,6,FALSE)</f>
        <v>95 Gallon Cart WG-R</v>
      </c>
      <c r="E16" s="75">
        <f>IFERROR(SUMIFS(Mapping!M:M,Mapping!A:A,"Residential",Mapping!D:D,'DF Calculation'!C16),0)</f>
        <v>321035.0449574957</v>
      </c>
      <c r="F16" s="75">
        <f>VLOOKUP(C16,Mapping!D:L,7,FALSE)</f>
        <v>68</v>
      </c>
      <c r="G16" s="75">
        <f t="shared" si="3"/>
        <v>21830383.057109706</v>
      </c>
      <c r="H16" s="28">
        <f t="shared" ca="1" si="0"/>
        <v>17114849.163366277</v>
      </c>
      <c r="I16" s="75">
        <f ca="1">(References!$D$61*H16)</f>
        <v>40904.489500445459</v>
      </c>
      <c r="J16" s="75">
        <f ca="1">I16/References!$H$64</f>
        <v>41850.306425665498</v>
      </c>
      <c r="K16" s="211">
        <v>43.74</v>
      </c>
      <c r="L16" s="38">
        <f ca="1">IFERROR((J16/E16),0)*References!$C$11</f>
        <v>0.56489573550626215</v>
      </c>
      <c r="M16" s="167">
        <f t="shared" ca="1" si="1"/>
        <v>44.304895735506264</v>
      </c>
      <c r="N16" s="80">
        <f>(E16/References!$C$11)*'DF Calculation'!K16</f>
        <v>3240478.3537940453</v>
      </c>
      <c r="O16" s="80">
        <f ca="1">(E16/References!$C$11)*'DF Calculation'!M16</f>
        <v>3282328.6602197108</v>
      </c>
      <c r="P16" s="80">
        <f t="shared" ca="1" si="2"/>
        <v>41850.306425665505</v>
      </c>
      <c r="Q16" s="16">
        <f ca="1">(((F16*$D$89)*(References!$D$61/References!$H$64))*References!$C$11)-L16</f>
        <v>0</v>
      </c>
      <c r="R16" s="201" t="s">
        <v>613</v>
      </c>
    </row>
    <row r="17" spans="1:18" ht="15" customHeight="1">
      <c r="A17" s="473"/>
      <c r="B17" s="29">
        <v>23</v>
      </c>
      <c r="C17" s="78" t="s">
        <v>182</v>
      </c>
      <c r="D17" s="41" t="str">
        <f>VLOOKUP(C17,Mapping!$C$2:$H$158,6,FALSE)</f>
        <v>20 Gallon Cart MG</v>
      </c>
      <c r="E17" s="75">
        <f>IFERROR(SUMIFS(Mapping!M:M,Mapping!A:A,"Residential",Mapping!D:D,'DF Calculation'!C17),0)</f>
        <v>1143.4977471439706</v>
      </c>
      <c r="F17" s="75">
        <f>VLOOKUP(C17,Mapping!D:L,7,FALSE)</f>
        <v>20</v>
      </c>
      <c r="G17" s="75">
        <f>E17*F17</f>
        <v>22869.954942879413</v>
      </c>
      <c r="H17" s="28">
        <f t="shared" ca="1" si="0"/>
        <v>17929.86537141354</v>
      </c>
      <c r="I17" s="75">
        <f ca="1">(References!$D$61*H17)</f>
        <v>42.852378237678415</v>
      </c>
      <c r="J17" s="75">
        <f ca="1">I17/References!$H$64</f>
        <v>43.843235356740756</v>
      </c>
      <c r="K17" s="211">
        <v>10.16</v>
      </c>
      <c r="L17" s="38">
        <f ca="1">IFERROR((J17/E17),0)</f>
        <v>3.8341339513999699E-2</v>
      </c>
      <c r="M17" s="167">
        <f t="shared" ca="1" si="1"/>
        <v>10.198341339514</v>
      </c>
      <c r="N17" s="80">
        <f>E17*'DF Calculation'!K17</f>
        <v>11617.937110982743</v>
      </c>
      <c r="O17" s="80">
        <f ca="1">(E17*'DF Calculation'!M17)</f>
        <v>11661.780346339483</v>
      </c>
      <c r="P17" s="80">
        <f t="shared" ref="P17:P21" ca="1" si="5">O17-N17</f>
        <v>43.843235356740479</v>
      </c>
      <c r="Q17" s="16">
        <f ca="1">(((F17*$D$89)*(References!$D$61/References!$H$64)))-L17</f>
        <v>0</v>
      </c>
      <c r="R17" s="60"/>
    </row>
    <row r="18" spans="1:18">
      <c r="A18" s="473"/>
      <c r="B18" s="29">
        <v>23</v>
      </c>
      <c r="C18" s="78" t="s">
        <v>185</v>
      </c>
      <c r="D18" s="41" t="str">
        <f>VLOOKUP(C18,Mapping!$C$2:$H$158,6,FALSE)</f>
        <v>35 Gallon Cart MG</v>
      </c>
      <c r="E18" s="75">
        <f>IFERROR(SUMIFS(Mapping!M:M,Mapping!A:A,"Residential",Mapping!D:D,'DF Calculation'!C18),0)</f>
        <v>5775.714173335512</v>
      </c>
      <c r="F18" s="75">
        <f>VLOOKUP(C18,Mapping!D:L,7,FALSE)</f>
        <v>34</v>
      </c>
      <c r="G18" s="75">
        <f>E18*F18</f>
        <v>196374.2818934074</v>
      </c>
      <c r="H18" s="28">
        <f t="shared" ca="1" si="0"/>
        <v>153955.89740123483</v>
      </c>
      <c r="I18" s="75">
        <f ca="1">(References!$D$61*H18)</f>
        <v>367.95459478895174</v>
      </c>
      <c r="J18" s="75">
        <f ca="1">I18/References!$H$64</f>
        <v>376.46265069465085</v>
      </c>
      <c r="K18" s="211">
        <v>12.68</v>
      </c>
      <c r="L18" s="38">
        <f ca="1">IFERROR((J18/E18),0)</f>
        <v>6.5180277173799483E-2</v>
      </c>
      <c r="M18" s="167">
        <f t="shared" ca="1" si="1"/>
        <v>12.7451802771738</v>
      </c>
      <c r="N18" s="80">
        <f>E18*'DF Calculation'!K18</f>
        <v>73236.055717894284</v>
      </c>
      <c r="O18" s="80">
        <f ca="1">(E18*'DF Calculation'!M18)</f>
        <v>73612.51836858895</v>
      </c>
      <c r="P18" s="80">
        <f t="shared" ca="1" si="5"/>
        <v>376.46265069466608</v>
      </c>
      <c r="Q18" s="16">
        <f ca="1">(((F18*$D$89)*(References!$D$61/References!$H$64)))-L18</f>
        <v>0</v>
      </c>
      <c r="R18" s="60"/>
    </row>
    <row r="19" spans="1:18">
      <c r="A19" s="473"/>
      <c r="B19" s="29">
        <v>23</v>
      </c>
      <c r="C19" s="78" t="s">
        <v>188</v>
      </c>
      <c r="D19" s="41" t="str">
        <f>VLOOKUP(C19,Mapping!$C$2:$H$158,6,FALSE)</f>
        <v>65 Gallon Cart  MG</v>
      </c>
      <c r="E19" s="75">
        <f>IFERROR(SUMIFS(Mapping!M:M,Mapping!A:A,"Residential",Mapping!D:D,'DF Calculation'!C19),0)</f>
        <v>1114.7562622787127</v>
      </c>
      <c r="F19" s="75">
        <f>VLOOKUP(C19,Mapping!D:L,7,FALSE)</f>
        <v>47</v>
      </c>
      <c r="G19" s="75">
        <f>E19*F19</f>
        <v>52393.544327099495</v>
      </c>
      <c r="H19" s="28">
        <f t="shared" ca="1" si="0"/>
        <v>41076.127979367426</v>
      </c>
      <c r="I19" s="75">
        <f ca="1">(References!$D$61*H19)</f>
        <v>98.171945870688276</v>
      </c>
      <c r="J19" s="75">
        <f ca="1">I19/References!$H$64</f>
        <v>100.44193356935571</v>
      </c>
      <c r="K19" s="211">
        <v>18.95</v>
      </c>
      <c r="L19" s="38">
        <f ca="1">IFERROR((J19/E19),0)</f>
        <v>9.0102147857899273E-2</v>
      </c>
      <c r="M19" s="167">
        <f t="shared" ca="1" si="1"/>
        <v>19.040102147857898</v>
      </c>
      <c r="N19" s="80">
        <f>E19*'DF Calculation'!K19</f>
        <v>21124.631170181605</v>
      </c>
      <c r="O19" s="80">
        <f ca="1">(E19*'DF Calculation'!M19)</f>
        <v>21225.073103750961</v>
      </c>
      <c r="P19" s="80">
        <f t="shared" ca="1" si="5"/>
        <v>100.44193356935648</v>
      </c>
      <c r="Q19" s="16">
        <f ca="1">(((F19*$D$89)*(References!$D$61/References!$H$64)))-L19</f>
        <v>0</v>
      </c>
      <c r="R19" s="60"/>
    </row>
    <row r="20" spans="1:18">
      <c r="A20" s="473"/>
      <c r="B20" s="29">
        <v>23</v>
      </c>
      <c r="C20" s="78" t="s">
        <v>191</v>
      </c>
      <c r="D20" s="41" t="str">
        <f>VLOOKUP(C20,Mapping!$C$2:$H$158,6,FALSE)</f>
        <v>95 Gallon Cart MG</v>
      </c>
      <c r="E20" s="75">
        <f>IFERROR(SUMIFS(Mapping!M:M,Mapping!A:A,"Residential",Mapping!D:D,'DF Calculation'!C20),0)</f>
        <v>211.49330073400685</v>
      </c>
      <c r="F20" s="75">
        <f>VLOOKUP(C20,Mapping!D:L,7,FALSE)</f>
        <v>68</v>
      </c>
      <c r="G20" s="75">
        <f>E20*F20</f>
        <v>14381.544449912466</v>
      </c>
      <c r="H20" s="28">
        <f t="shared" ca="1" si="0"/>
        <v>11275.018095311763</v>
      </c>
      <c r="I20" s="75">
        <f ca="1">(References!$D$61*H20)</f>
        <v>26.947293247795152</v>
      </c>
      <c r="J20" s="75">
        <f ca="1">I20/References!$H$64</f>
        <v>27.570383924488592</v>
      </c>
      <c r="K20" s="211">
        <v>26.58</v>
      </c>
      <c r="L20" s="38">
        <f ca="1">IFERROR((J20/E20),0)</f>
        <v>0.13036055434759897</v>
      </c>
      <c r="M20" s="167">
        <f t="shared" ca="1" si="1"/>
        <v>26.710360554347599</v>
      </c>
      <c r="N20" s="80">
        <f>E20*'DF Calculation'!K20</f>
        <v>5621.4919335099021</v>
      </c>
      <c r="O20" s="80">
        <f ca="1">(E20*'DF Calculation'!M20)</f>
        <v>5649.0623174343909</v>
      </c>
      <c r="P20" s="80">
        <f t="shared" ca="1" si="5"/>
        <v>27.570383924488851</v>
      </c>
      <c r="Q20" s="16">
        <f ca="1">(((F20*$D$89)*(References!$D$61/References!$H$64)))-L20</f>
        <v>0</v>
      </c>
      <c r="R20" s="60"/>
    </row>
    <row r="21" spans="1:18" ht="16.5" customHeight="1" thickBot="1">
      <c r="A21" s="472"/>
      <c r="B21" s="29">
        <v>24</v>
      </c>
      <c r="C21" s="78" t="s">
        <v>105</v>
      </c>
      <c r="D21" s="41" t="str">
        <f>VLOOKUP(C21,Mapping!$C$2:$H$158,6,FALSE)</f>
        <v>Extra Units Extra</v>
      </c>
      <c r="E21" s="75">
        <f>IFERROR(SUMIFS(Mapping!M:M,Mapping!A:A,"Residential",Mapping!D:D,'DF Calculation'!C21),0)</f>
        <v>35975.800598140529</v>
      </c>
      <c r="F21" s="75">
        <f>VLOOKUP(C21,Mapping!D:L,7,FALSE)</f>
        <v>34</v>
      </c>
      <c r="G21" s="75">
        <f t="shared" si="3"/>
        <v>1223177.2203367781</v>
      </c>
      <c r="H21" s="28">
        <f t="shared" ca="1" si="0"/>
        <v>958961.35085507168</v>
      </c>
      <c r="I21" s="75">
        <f ca="1">(References!$D$61*H21)</f>
        <v>2291.9176285436242</v>
      </c>
      <c r="J21" s="75">
        <f ca="1">I21/References!$H$64</f>
        <v>2344.912654536141</v>
      </c>
      <c r="K21" s="211">
        <v>5.59</v>
      </c>
      <c r="L21" s="38">
        <f ca="1">IFERROR((J21/E21),0)</f>
        <v>6.5180277173799483E-2</v>
      </c>
      <c r="M21" s="167">
        <f t="shared" ca="1" si="1"/>
        <v>5.6551802771737991</v>
      </c>
      <c r="N21" s="80">
        <f>E21*'DF Calculation'!K21</f>
        <v>201104.72534360556</v>
      </c>
      <c r="O21" s="80">
        <f ca="1">(E21*'DF Calculation'!M21)</f>
        <v>203449.6379981417</v>
      </c>
      <c r="P21" s="80">
        <f t="shared" ca="1" si="5"/>
        <v>2344.912654536136</v>
      </c>
      <c r="Q21" s="16">
        <f ca="1">(((F21*$D$89)*(References!$D$61/References!$H$64)))-L21</f>
        <v>0</v>
      </c>
      <c r="R21" s="60"/>
    </row>
    <row r="22" spans="1:18" ht="15.75" thickBot="1">
      <c r="A22" s="90"/>
      <c r="B22" s="67"/>
      <c r="C22" s="76"/>
      <c r="D22" s="68" t="s">
        <v>14</v>
      </c>
      <c r="E22" s="61">
        <f>SUM(E7:E21)</f>
        <v>3318560.7557553737</v>
      </c>
      <c r="F22" s="69"/>
      <c r="G22" s="134">
        <f>SUM(G7:G21)</f>
        <v>136772414.11613622</v>
      </c>
      <c r="H22" s="134">
        <f ca="1">SUM(H7:H21)</f>
        <v>107228500.35124677</v>
      </c>
      <c r="I22" s="134">
        <f ca="1">SUM(I7:I21)</f>
        <v>256276.11583948013</v>
      </c>
      <c r="J22" s="134">
        <f ca="1">SUM(J7:J21)</f>
        <v>262201.87828880717</v>
      </c>
      <c r="K22" s="153"/>
      <c r="L22" s="61"/>
      <c r="M22" s="151"/>
      <c r="N22" s="61">
        <f>SUM(N7:N21)</f>
        <v>20701829.958789237</v>
      </c>
      <c r="O22" s="61">
        <f ca="1">SUM(O7:O21)</f>
        <v>20964031.579011336</v>
      </c>
      <c r="P22" s="148">
        <f ca="1">SUM(P7:P21)</f>
        <v>262201.62022209744</v>
      </c>
      <c r="Q22" s="60">
        <f ca="1">P22/N22</f>
        <v>1.2665625248785133E-2</v>
      </c>
      <c r="R22" s="177"/>
    </row>
    <row r="23" spans="1:18" ht="14.45" customHeight="1">
      <c r="A23" s="479" t="s">
        <v>609</v>
      </c>
      <c r="B23" s="29">
        <v>27</v>
      </c>
      <c r="C23" s="78" t="s">
        <v>244</v>
      </c>
      <c r="D23" s="41" t="str">
        <f>VLOOKUP(C23,Mapping!$C$2:$H$158,6,FALSE)</f>
        <v>20 Gallon Cart WG-R</v>
      </c>
      <c r="E23" s="75">
        <f>IFERROR(SUMIFS(Mapping!M:M,Mapping!A:A,"Multi Family",Mapping!D:D,'DF Calculation'!C23),0)</f>
        <v>1041.0833333333335</v>
      </c>
      <c r="F23" s="75">
        <f>VLOOKUP(C23,Mapping!D:L,7,FALSE)</f>
        <v>20</v>
      </c>
      <c r="G23" s="75">
        <f t="shared" ref="G23" si="6">E23*F23</f>
        <v>20821.666666666672</v>
      </c>
      <c r="H23" s="28">
        <f t="shared" ref="H23:H47" ca="1" si="7">$D$89*G23</f>
        <v>16324.023421743512</v>
      </c>
      <c r="I23" s="75">
        <f ca="1">(References!$D$61*H23)</f>
        <v>39.014415977967047</v>
      </c>
      <c r="J23" s="75">
        <f ca="1">I23/References!$H$64</f>
        <v>39.916529545699859</v>
      </c>
      <c r="K23" s="211">
        <v>18.22</v>
      </c>
      <c r="L23" s="38">
        <f ca="1">IFERROR((J23/E23),0)*References!$C$11</f>
        <v>0.16614580456066536</v>
      </c>
      <c r="M23" s="167">
        <f t="shared" ref="M23:M47" ca="1" si="8">+K23+L23</f>
        <v>18.386145804560662</v>
      </c>
      <c r="N23" s="80">
        <f>(E23/References!$C$11)*'DF Calculation'!K23</f>
        <v>4377.3550000000005</v>
      </c>
      <c r="O23" s="80">
        <f ca="1">(E23/References!$C$11)*'DF Calculation'!M23</f>
        <v>4417.2715295457001</v>
      </c>
      <c r="P23" s="80">
        <f t="shared" ref="P23" ca="1" si="9">O23-N23</f>
        <v>39.916529545699632</v>
      </c>
      <c r="Q23" s="16">
        <f ca="1">(((F23*$D$89)*(References!$D$61/References!$H$64))*References!$C$11)-L23</f>
        <v>0</v>
      </c>
      <c r="R23" s="201" t="s">
        <v>613</v>
      </c>
    </row>
    <row r="24" spans="1:18" ht="15" customHeight="1">
      <c r="A24" s="477"/>
      <c r="B24" s="29">
        <v>27</v>
      </c>
      <c r="C24" s="78" t="s">
        <v>218</v>
      </c>
      <c r="D24" s="41" t="str">
        <f>VLOOKUP(C24,Mapping!$C$2:$H$158,6,FALSE)</f>
        <v>35 Gallon Cart WG-R</v>
      </c>
      <c r="E24" s="75">
        <f>IFERROR(SUMIFS(Mapping!M:M,Mapping!A:A,"Multi Family",Mapping!D:D,'DF Calculation'!C24),0)</f>
        <v>36937.638555744998</v>
      </c>
      <c r="F24" s="75">
        <f>VLOOKUP(C24,Mapping!D:L,7,FALSE)</f>
        <v>34</v>
      </c>
      <c r="G24" s="75">
        <f t="shared" ref="G24:G32" si="10">E24*F24</f>
        <v>1255879.7108953299</v>
      </c>
      <c r="H24" s="28">
        <f t="shared" ca="1" si="7"/>
        <v>984599.84706064977</v>
      </c>
      <c r="I24" s="75">
        <f ca="1">(References!$D$61*H24)</f>
        <v>2353.1936344749561</v>
      </c>
      <c r="J24" s="75">
        <f ca="1">I24/References!$H$64</f>
        <v>2407.6055192090812</v>
      </c>
      <c r="K24" s="211">
        <v>23.17</v>
      </c>
      <c r="L24" s="38">
        <f ca="1">IFERROR((J24/E24),0)*References!$C$11</f>
        <v>0.28244786775313108</v>
      </c>
      <c r="M24" s="167">
        <f t="shared" ca="1" si="8"/>
        <v>23.452447867753133</v>
      </c>
      <c r="N24" s="80">
        <f>(E24/References!$C$11)*'DF Calculation'!K24</f>
        <v>197502.71200075655</v>
      </c>
      <c r="O24" s="80">
        <f ca="1">(E24/References!$C$11)*'DF Calculation'!M24</f>
        <v>199910.31751996564</v>
      </c>
      <c r="P24" s="80">
        <f t="shared" ref="P24:P32" ca="1" si="11">O24-N24</f>
        <v>2407.6055192090862</v>
      </c>
      <c r="Q24" s="16">
        <f ca="1">(((F24*$D$89)*(References!$D$61/References!$H$64))*References!$C$11)-L24</f>
        <v>0</v>
      </c>
      <c r="R24" s="201" t="s">
        <v>613</v>
      </c>
    </row>
    <row r="25" spans="1:18">
      <c r="A25" s="477"/>
      <c r="B25" s="29">
        <v>27</v>
      </c>
      <c r="C25" s="78" t="s">
        <v>219</v>
      </c>
      <c r="D25" s="41" t="str">
        <f>VLOOKUP(C25,Mapping!$C$2:$H$158,6,FALSE)</f>
        <v>35 Gallon Cart WG-NR</v>
      </c>
      <c r="E25" s="75">
        <f>IFERROR(SUMIFS(Mapping!M:M,Mapping!A:A,"Multi Family",Mapping!D:D,'DF Calculation'!C25),0)</f>
        <v>176.58196606366567</v>
      </c>
      <c r="F25" s="75">
        <f>VLOOKUP(C25,Mapping!D:L,7,FALSE)</f>
        <v>34</v>
      </c>
      <c r="G25" s="75">
        <f t="shared" si="10"/>
        <v>6003.7868461646331</v>
      </c>
      <c r="H25" s="28">
        <f t="shared" ca="1" si="7"/>
        <v>4706.921816822879</v>
      </c>
      <c r="I25" s="75">
        <f ca="1">(References!$D$61*H25)</f>
        <v>11.249543142206695</v>
      </c>
      <c r="J25" s="75">
        <f ca="1">I25/References!$H$64</f>
        <v>11.509661491924181</v>
      </c>
      <c r="K25" s="211">
        <v>23.92</v>
      </c>
      <c r="L25" s="38">
        <f ca="1">IFERROR((J25/E25),0)*References!$C$11</f>
        <v>0.28244786775313102</v>
      </c>
      <c r="M25" s="167">
        <f t="shared" ca="1" si="8"/>
        <v>24.202447867753133</v>
      </c>
      <c r="N25" s="80">
        <f>(E25/References!$C$11)*'DF Calculation'!K25</f>
        <v>974.73245267143466</v>
      </c>
      <c r="O25" s="80">
        <f ca="1">(E25/References!$C$11)*'DF Calculation'!M25</f>
        <v>986.24211416335879</v>
      </c>
      <c r="P25" s="80">
        <f t="shared" ca="1" si="11"/>
        <v>11.509661491924135</v>
      </c>
      <c r="Q25" s="16">
        <f ca="1">(((F25*$D$89)*(References!$D$61/References!$H$64))*References!$C$11)-L25</f>
        <v>0</v>
      </c>
      <c r="R25" s="201" t="s">
        <v>613</v>
      </c>
    </row>
    <row r="26" spans="1:18">
      <c r="A26" s="477"/>
      <c r="B26" s="29">
        <v>27</v>
      </c>
      <c r="C26" s="78" t="s">
        <v>220</v>
      </c>
      <c r="D26" s="41" t="str">
        <f>VLOOKUP(C26,Mapping!$C$2:$H$158,6,FALSE)</f>
        <v>65 Gallon Cart WG-R</v>
      </c>
      <c r="E26" s="75">
        <f>IFERROR(SUMIFS(Mapping!M:M,Mapping!A:A,"Multi Family",Mapping!D:D,'DF Calculation'!C26),0)</f>
        <v>19580.096821559859</v>
      </c>
      <c r="F26" s="75">
        <f>VLOOKUP(C26,Mapping!D:L,7,FALSE)</f>
        <v>47</v>
      </c>
      <c r="G26" s="75">
        <f t="shared" si="10"/>
        <v>920264.55061331333</v>
      </c>
      <c r="H26" s="28">
        <f t="shared" ca="1" si="7"/>
        <v>721480.19267167163</v>
      </c>
      <c r="I26" s="75">
        <f ca="1">(References!$D$61*H26)</f>
        <v>1724.3376604852974</v>
      </c>
      <c r="J26" s="75">
        <f ca="1">I26/References!$H$64</f>
        <v>1764.2087788881699</v>
      </c>
      <c r="K26" s="211">
        <v>36.22</v>
      </c>
      <c r="L26" s="38">
        <f ca="1">IFERROR((J26/E26),0)*References!$C$11</f>
        <v>0.39044264071756352</v>
      </c>
      <c r="M26" s="167">
        <f t="shared" ca="1" si="8"/>
        <v>36.610442640717565</v>
      </c>
      <c r="N26" s="80">
        <f>(E26/References!$C$11)*'DF Calculation'!K26</f>
        <v>163659.48620236109</v>
      </c>
      <c r="O26" s="80">
        <f ca="1">(E26/References!$C$11)*'DF Calculation'!M26</f>
        <v>165423.69498124928</v>
      </c>
      <c r="P26" s="80">
        <f t="shared" ca="1" si="11"/>
        <v>1764.2087788881909</v>
      </c>
      <c r="Q26" s="16">
        <f ca="1">(((F26*$D$89)*(References!$D$61/References!$H$64))*References!$C$11)-L26</f>
        <v>0</v>
      </c>
      <c r="R26" s="201" t="s">
        <v>613</v>
      </c>
    </row>
    <row r="27" spans="1:18">
      <c r="A27" s="477"/>
      <c r="B27" s="29">
        <v>27</v>
      </c>
      <c r="C27" s="78" t="s">
        <v>222</v>
      </c>
      <c r="D27" s="41" t="str">
        <f>VLOOKUP(C27,Mapping!$C$2:$H$158,6,FALSE)</f>
        <v>95 Gallon Cart WG-R</v>
      </c>
      <c r="E27" s="75">
        <f>IFERROR(SUMIFS(Mapping!M:M,Mapping!A:A,"Multi Family",Mapping!D:D,'DF Calculation'!C27),0)</f>
        <v>15152.492504619402</v>
      </c>
      <c r="F27" s="75">
        <f>VLOOKUP(C27,Mapping!D:L,7,FALSE)</f>
        <v>68</v>
      </c>
      <c r="G27" s="75">
        <f t="shared" si="10"/>
        <v>1030369.4903141194</v>
      </c>
      <c r="H27" s="28">
        <f t="shared" ca="1" si="7"/>
        <v>807801.60215821362</v>
      </c>
      <c r="I27" s="75">
        <f ca="1">(References!$D$61*H27)</f>
        <v>1930.6458291581332</v>
      </c>
      <c r="J27" s="75">
        <f ca="1">I27/References!$H$64</f>
        <v>1975.2873226500237</v>
      </c>
      <c r="K27" s="211">
        <v>53.32</v>
      </c>
      <c r="L27" s="38">
        <f ca="1">IFERROR((J27/E27),0)*References!$C$11</f>
        <v>0.56489573550626215</v>
      </c>
      <c r="M27" s="167">
        <f t="shared" ca="1" si="8"/>
        <v>53.884895735506262</v>
      </c>
      <c r="N27" s="80">
        <f>(E27/References!$C$11)*'DF Calculation'!K27</f>
        <v>186445.59238760921</v>
      </c>
      <c r="O27" s="80">
        <f ca="1">(E27/References!$C$11)*'DF Calculation'!M27</f>
        <v>188420.87971025924</v>
      </c>
      <c r="P27" s="80">
        <f t="shared" ca="1" si="11"/>
        <v>1975.2873226500233</v>
      </c>
      <c r="Q27" s="16">
        <f ca="1">(((F27*$D$89)*(References!$D$61/References!$H$64))*References!$C$11)-L27</f>
        <v>0</v>
      </c>
      <c r="R27" s="201" t="s">
        <v>613</v>
      </c>
    </row>
    <row r="28" spans="1:18">
      <c r="A28" s="477"/>
      <c r="B28" s="29">
        <v>27</v>
      </c>
      <c r="C28" s="78" t="s">
        <v>223</v>
      </c>
      <c r="D28" s="41" t="str">
        <f>VLOOKUP(C28,Mapping!$C$2:$H$158,6,FALSE)</f>
        <v>95 Gallon Cart WG-NR</v>
      </c>
      <c r="E28" s="75">
        <f>IFERROR(SUMIFS(Mapping!M:M,Mapping!A:A,"Multi Family",Mapping!D:D,'DF Calculation'!C28),0)</f>
        <v>132.16666666666666</v>
      </c>
      <c r="F28" s="75">
        <f>VLOOKUP(C28,Mapping!D:L,7,FALSE)</f>
        <v>68</v>
      </c>
      <c r="G28" s="75">
        <f t="shared" si="10"/>
        <v>8987.3333333333321</v>
      </c>
      <c r="H28" s="28">
        <f t="shared" ca="1" si="7"/>
        <v>7045.998871320714</v>
      </c>
      <c r="I28" s="75">
        <f ca="1">(References!$D$61*H28)</f>
        <v>16.83993730245653</v>
      </c>
      <c r="J28" s="75">
        <f ca="1">I28/References!$H$64</f>
        <v>17.229319932940996</v>
      </c>
      <c r="K28" s="211">
        <v>54.07</v>
      </c>
      <c r="L28" s="38">
        <f ca="1">IFERROR((J28/E28),0)*References!$C$11</f>
        <v>0.56489573550626215</v>
      </c>
      <c r="M28" s="167">
        <f t="shared" ca="1" si="8"/>
        <v>54.634895735506262</v>
      </c>
      <c r="N28" s="80">
        <f>(E28/References!$C$11)*'DF Calculation'!K28</f>
        <v>1649.135</v>
      </c>
      <c r="O28" s="80">
        <f ca="1">(E28/References!$C$11)*'DF Calculation'!M28</f>
        <v>1666.364319932941</v>
      </c>
      <c r="P28" s="80">
        <f t="shared" ca="1" si="11"/>
        <v>17.229319932941053</v>
      </c>
      <c r="Q28" s="16">
        <f ca="1">(((F28*$D$89)*(References!$D$61/References!$H$64))*References!$C$11)-L28</f>
        <v>0</v>
      </c>
      <c r="R28" s="201" t="s">
        <v>613</v>
      </c>
    </row>
    <row r="29" spans="1:18">
      <c r="A29" s="477"/>
      <c r="B29" s="29">
        <v>27</v>
      </c>
      <c r="C29" s="78" t="s">
        <v>221</v>
      </c>
      <c r="D29" s="41" t="str">
        <f>VLOOKUP(C29,Mapping!$C$2:$H$158,6,FALSE)</f>
        <v>65 Gallon Cart WG-NR</v>
      </c>
      <c r="E29" s="75">
        <f>IFERROR(SUMIFS(Mapping!M:M,Mapping!A:A,"Multi Family",Mapping!D:D,'DF Calculation'!C29),0)</f>
        <v>13</v>
      </c>
      <c r="F29" s="75">
        <f>VLOOKUP(C29,Mapping!D:L,7,FALSE)</f>
        <v>47</v>
      </c>
      <c r="G29" s="75">
        <f t="shared" si="10"/>
        <v>611</v>
      </c>
      <c r="H29" s="28">
        <f t="shared" ca="1" si="7"/>
        <v>479.01920967030895</v>
      </c>
      <c r="I29" s="75">
        <f ca="1">(References!$D$61*H29)</f>
        <v>1.14485591111204</v>
      </c>
      <c r="J29" s="75">
        <f ca="1">I29/References!$H$64</f>
        <v>1.1713279221526907</v>
      </c>
      <c r="K29" s="212">
        <v>36.97</v>
      </c>
      <c r="L29" s="38">
        <f ca="1">IFERROR((J29/E29),0)*References!$C$11</f>
        <v>0.39044264071756357</v>
      </c>
      <c r="M29" s="167">
        <f t="shared" ca="1" si="8"/>
        <v>37.360442640717565</v>
      </c>
      <c r="N29" s="80">
        <f>(E29/References!$C$11)*'DF Calculation'!K29</f>
        <v>110.91</v>
      </c>
      <c r="O29" s="80">
        <f ca="1">(E29/References!$C$11)*'DF Calculation'!M29</f>
        <v>112.0813279221527</v>
      </c>
      <c r="P29" s="80">
        <f t="shared" ca="1" si="11"/>
        <v>1.1713279221526989</v>
      </c>
      <c r="Q29" s="16">
        <f ca="1">(((F29*$D$89)*(References!$D$61/References!$H$64))*References!$C$11)-L29</f>
        <v>0</v>
      </c>
      <c r="R29" s="201"/>
    </row>
    <row r="30" spans="1:18">
      <c r="A30" s="477"/>
      <c r="B30" s="29">
        <v>28</v>
      </c>
      <c r="C30" s="78" t="s">
        <v>233</v>
      </c>
      <c r="D30" s="41" t="str">
        <f>VLOOKUP(C30,Mapping!$C$2:$H$158,6,FALSE)</f>
        <v>Extra Units Extra</v>
      </c>
      <c r="E30" s="75">
        <f>IFERROR(SUMIFS(Mapping!M:M,Mapping!A:A,"Multi Family",Mapping!D:D,'DF Calculation'!C30),0)</f>
        <v>2594.0562475937886</v>
      </c>
      <c r="F30" s="75">
        <f>VLOOKUP(C30,Mapping!D:L,7,FALSE)</f>
        <v>29</v>
      </c>
      <c r="G30" s="75">
        <f t="shared" si="10"/>
        <v>75227.631180219876</v>
      </c>
      <c r="H30" s="28">
        <f t="shared" ca="1" si="7"/>
        <v>58977.873049620976</v>
      </c>
      <c r="I30" s="75">
        <f ca="1">(References!$D$61*H30)</f>
        <v>140.95711658859432</v>
      </c>
      <c r="J30" s="75">
        <f ca="1">I30/References!$H$64</f>
        <v>144.216407395738</v>
      </c>
      <c r="K30" s="211">
        <v>4.8600000000000003</v>
      </c>
      <c r="L30" s="38">
        <f t="shared" ref="L30:L47" ca="1" si="12">IFERROR((J30/E30),0)</f>
        <v>5.5594942295299564E-2</v>
      </c>
      <c r="M30" s="167">
        <f t="shared" ca="1" si="8"/>
        <v>4.9155949422953</v>
      </c>
      <c r="N30" s="80">
        <f>E30*'DF Calculation'!K30</f>
        <v>12607.113363305814</v>
      </c>
      <c r="O30" s="80">
        <f ca="1">(E30*'DF Calculation'!M30)</f>
        <v>12751.329770701552</v>
      </c>
      <c r="P30" s="80">
        <f t="shared" ca="1" si="11"/>
        <v>144.21640739573741</v>
      </c>
      <c r="Q30" s="16">
        <f ca="1">((F30*$D$89)*(References!$D$61/References!$H$64))-L30</f>
        <v>0</v>
      </c>
      <c r="R30" s="75"/>
    </row>
    <row r="31" spans="1:18" ht="15.75" customHeight="1">
      <c r="A31" s="477"/>
      <c r="B31" s="29">
        <v>29</v>
      </c>
      <c r="C31" s="78" t="s">
        <v>230</v>
      </c>
      <c r="D31" s="41" t="str">
        <f>VLOOKUP(C31,Mapping!$C$2:$H$158,6,FALSE)</f>
        <v>35 Gallon Cart Count Regular</v>
      </c>
      <c r="E31" s="75">
        <f>IFERROR(SUMIFS(Mapping!M:M,Mapping!A:A,"Multi Family",Mapping!D:D,'DF Calculation'!C31),0)</f>
        <v>50188.240138583744</v>
      </c>
      <c r="F31" s="75">
        <f>VLOOKUP(C31,Mapping!D:L,7,FALSE)</f>
        <v>34</v>
      </c>
      <c r="G31" s="75">
        <f t="shared" si="10"/>
        <v>1706400.1647118472</v>
      </c>
      <c r="H31" s="28">
        <f t="shared" ca="1" si="7"/>
        <v>1337804.3507063077</v>
      </c>
      <c r="I31" s="75">
        <f ca="1">(References!$D$61*H31)</f>
        <v>3197.3523981880799</v>
      </c>
      <c r="J31" s="75">
        <f ca="1">I31/References!$H$64</f>
        <v>3271.2834030980966</v>
      </c>
      <c r="K31" s="211">
        <v>4.8899999999999997</v>
      </c>
      <c r="L31" s="38">
        <f t="shared" ca="1" si="12"/>
        <v>6.518027717379947E-2</v>
      </c>
      <c r="M31" s="167">
        <f t="shared" ca="1" si="8"/>
        <v>4.9551802771737989</v>
      </c>
      <c r="N31" s="80">
        <f>E31*'DF Calculation'!K31</f>
        <v>245420.4942776745</v>
      </c>
      <c r="O31" s="80">
        <f ca="1">(E31*'DF Calculation'!M31)</f>
        <v>248691.77768077259</v>
      </c>
      <c r="P31" s="80">
        <f t="shared" ca="1" si="11"/>
        <v>3271.2834030980885</v>
      </c>
      <c r="Q31" s="16">
        <f ca="1">((F31*$D$89)*(References!$D$61/References!$H$64))-L31</f>
        <v>0</v>
      </c>
      <c r="R31" s="75"/>
    </row>
    <row r="32" spans="1:18">
      <c r="A32" s="477"/>
      <c r="B32" s="29">
        <v>29</v>
      </c>
      <c r="C32" s="78" t="s">
        <v>231</v>
      </c>
      <c r="D32" s="41" t="str">
        <f>VLOOKUP(C32,Mapping!$C$2:$H$158,6,FALSE)</f>
        <v>65 Gallon Cart Count Regular</v>
      </c>
      <c r="E32" s="75">
        <f>IFERROR(SUMIFS(Mapping!M:M,Mapping!A:A,"Multi Family",Mapping!D:D,'DF Calculation'!C32),0)</f>
        <v>1104.6763793265966</v>
      </c>
      <c r="F32" s="75">
        <f>VLOOKUP(C32,Mapping!D:L,7,FALSE)</f>
        <v>47</v>
      </c>
      <c r="G32" s="75">
        <f t="shared" si="10"/>
        <v>51919.78982835004</v>
      </c>
      <c r="H32" s="28">
        <f t="shared" ca="1" si="7"/>
        <v>40704.708166652672</v>
      </c>
      <c r="I32" s="75">
        <f ca="1">(References!$D$61*H32)</f>
        <v>97.284252518300022</v>
      </c>
      <c r="J32" s="75">
        <f ca="1">I32/References!$H$64</f>
        <v>99.533714465213848</v>
      </c>
      <c r="K32" s="211">
        <v>7.25</v>
      </c>
      <c r="L32" s="38">
        <f t="shared" ca="1" si="12"/>
        <v>9.0102147857899287E-2</v>
      </c>
      <c r="M32" s="167">
        <f t="shared" ca="1" si="8"/>
        <v>7.3401021478578992</v>
      </c>
      <c r="N32" s="80">
        <f>E32*'DF Calculation'!K32</f>
        <v>8008.9037501178254</v>
      </c>
      <c r="O32" s="80">
        <f ca="1">(E32*'DF Calculation'!M32)</f>
        <v>8108.4374645830394</v>
      </c>
      <c r="P32" s="80">
        <f t="shared" ca="1" si="11"/>
        <v>99.533714465213961</v>
      </c>
      <c r="Q32" s="16">
        <f ca="1">((F32*$D$89)*(References!$D$61/References!$H$64))-L32</f>
        <v>0</v>
      </c>
      <c r="R32" s="75"/>
    </row>
    <row r="33" spans="1:18">
      <c r="A33" s="477"/>
      <c r="B33" s="29">
        <v>30</v>
      </c>
      <c r="C33" s="78" t="s">
        <v>106</v>
      </c>
      <c r="D33" s="41" t="str">
        <f>VLOOKUP(C33,Mapping!$C$2:$H$158,6,FALSE)</f>
        <v>1 yard Regular</v>
      </c>
      <c r="E33" s="75">
        <f>IFERROR(SUMIFS(Mapping!M:M,Mapping!A:A,"Multi Family",Mapping!D:D,'DF Calculation'!C33),0)</f>
        <v>16042.617786294835</v>
      </c>
      <c r="F33" s="75">
        <f>VLOOKUP(C33,Mapping!D:L,7,FALSE)</f>
        <v>175</v>
      </c>
      <c r="G33" s="75">
        <f>E33*F33</f>
        <v>2807458.1126015964</v>
      </c>
      <c r="H33" s="28">
        <f t="shared" ca="1" si="7"/>
        <v>2201025.149395931</v>
      </c>
      <c r="I33" s="75">
        <f ca="1">(References!$D$61*H33)</f>
        <v>5260.4501070562819</v>
      </c>
      <c r="J33" s="75">
        <f ca="1">I33/References!$H$64</f>
        <v>5382.0852333295288</v>
      </c>
      <c r="K33" s="211">
        <v>29.88</v>
      </c>
      <c r="L33" s="38">
        <f t="shared" ca="1" si="12"/>
        <v>0.3354867207474973</v>
      </c>
      <c r="M33" s="167">
        <f t="shared" ca="1" si="8"/>
        <v>30.215486720747496</v>
      </c>
      <c r="N33" s="80">
        <f>E33*'DF Calculation'!K33</f>
        <v>479353.41945448966</v>
      </c>
      <c r="O33" s="80">
        <f ca="1">(E33*'DF Calculation'!M33)</f>
        <v>484735.50468781916</v>
      </c>
      <c r="P33" s="80">
        <f ca="1">O33-N33</f>
        <v>5382.0852333295043</v>
      </c>
      <c r="Q33" s="16">
        <f ca="1">((F33*$D$89)*(References!$D$61/References!$H$64))-L33</f>
        <v>0</v>
      </c>
      <c r="R33" s="75"/>
    </row>
    <row r="34" spans="1:18" ht="15.75" customHeight="1">
      <c r="A34" s="477"/>
      <c r="B34" s="29">
        <v>30</v>
      </c>
      <c r="C34" s="78" t="s">
        <v>117</v>
      </c>
      <c r="D34" s="41" t="str">
        <f>VLOOKUP(C34,Mapping!$C$2:$H$158,6,FALSE)</f>
        <v>1 yard Temp</v>
      </c>
      <c r="E34" s="75">
        <f>IFERROR(SUMIFS(Mapping!M:M,Mapping!A:A,"Multi Family",Mapping!D:D,'DF Calculation'!C34),0)</f>
        <v>4.3300685602350635</v>
      </c>
      <c r="F34" s="75">
        <f>VLOOKUP(C34,Mapping!D:L,7,FALSE)</f>
        <v>175</v>
      </c>
      <c r="G34" s="75">
        <f>E34*F34</f>
        <v>757.76199804113605</v>
      </c>
      <c r="H34" s="28">
        <f t="shared" ca="1" si="7"/>
        <v>594.07946549895121</v>
      </c>
      <c r="I34" s="75">
        <f ca="1">(References!$D$61*H34)</f>
        <v>1.4198499225424952</v>
      </c>
      <c r="J34" s="75">
        <f ca="1">I34/References!$H$64</f>
        <v>1.4526805018850983</v>
      </c>
      <c r="K34" s="211">
        <v>32.08</v>
      </c>
      <c r="L34" s="38">
        <f t="shared" ca="1" si="12"/>
        <v>0.3354867207474973</v>
      </c>
      <c r="M34" s="167">
        <f t="shared" ca="1" si="8"/>
        <v>32.415486720747495</v>
      </c>
      <c r="N34" s="80">
        <f>E34*'DF Calculation'!K34</f>
        <v>138.90859941234083</v>
      </c>
      <c r="O34" s="80">
        <f ca="1">(E34*'DF Calculation'!M34)</f>
        <v>140.36127991422592</v>
      </c>
      <c r="P34" s="80">
        <f ca="1">O34-N34</f>
        <v>1.4526805018850837</v>
      </c>
      <c r="Q34" s="16">
        <f ca="1">((F34*$D$89)*(References!$D$61/References!$H$64))-L34</f>
        <v>0</v>
      </c>
      <c r="R34" s="75"/>
    </row>
    <row r="35" spans="1:18" ht="15.75" customHeight="1">
      <c r="A35" s="477"/>
      <c r="B35" s="29">
        <v>30</v>
      </c>
      <c r="C35" s="78" t="s">
        <v>226</v>
      </c>
      <c r="D35" s="41" t="str">
        <f>VLOOKUP(C35,Mapping!$C$2:$H$158,6,FALSE)</f>
        <v>1 yard Extra</v>
      </c>
      <c r="E35" s="75">
        <f>IFERROR(SUMIFS(Mapping!M:M,Mapping!A:A,"Multi Family",Mapping!D:D,'DF Calculation'!C35),0)</f>
        <v>2</v>
      </c>
      <c r="F35" s="75">
        <f>VLOOKUP(C35,Mapping!D:L,7,FALSE)</f>
        <v>175</v>
      </c>
      <c r="G35" s="75">
        <f t="shared" ref="G35:G47" si="13">E35*F35</f>
        <v>350</v>
      </c>
      <c r="H35" s="28">
        <f t="shared" ca="1" si="7"/>
        <v>274.39725594862216</v>
      </c>
      <c r="I35" s="75">
        <f ca="1">(References!$D$61*H35)</f>
        <v>0.6558094417172079</v>
      </c>
      <c r="J35" s="75">
        <f ca="1">I35/References!$H$64</f>
        <v>0.67097344149499472</v>
      </c>
      <c r="K35" s="211">
        <v>29.88</v>
      </c>
      <c r="L35" s="38">
        <f t="shared" ca="1" si="12"/>
        <v>0.33548672074749736</v>
      </c>
      <c r="M35" s="167">
        <f t="shared" ca="1" si="8"/>
        <v>30.215486720747496</v>
      </c>
      <c r="N35" s="80">
        <f>E35*'DF Calculation'!K35</f>
        <v>59.76</v>
      </c>
      <c r="O35" s="80">
        <f ca="1">(E35*'DF Calculation'!M35)</f>
        <v>60.430973441494992</v>
      </c>
      <c r="P35" s="80">
        <f t="shared" ref="P35:P47" ca="1" si="14">O35-N35</f>
        <v>0.67097344149499349</v>
      </c>
      <c r="Q35" s="16">
        <f ca="1">((F35*$D$89)*(References!$D$61/References!$H$64))-L35</f>
        <v>0</v>
      </c>
      <c r="R35" s="75"/>
    </row>
    <row r="36" spans="1:18">
      <c r="A36" s="477"/>
      <c r="B36" s="29">
        <v>30</v>
      </c>
      <c r="C36" s="78" t="s">
        <v>107</v>
      </c>
      <c r="D36" s="41" t="str">
        <f>VLOOKUP(C36,Mapping!$C$2:$H$158,6,FALSE)</f>
        <v>1.5 yard Regular</v>
      </c>
      <c r="E36" s="75">
        <f>IFERROR(SUMIFS(Mapping!M:M,Mapping!A:A,"Multi Family",Mapping!D:D,'DF Calculation'!C36),0)</f>
        <v>4036.6641242402588</v>
      </c>
      <c r="F36" s="75">
        <f>VLOOKUP(C36,Mapping!D:L,7,FALSE)</f>
        <v>250</v>
      </c>
      <c r="G36" s="75">
        <f t="shared" si="13"/>
        <v>1009166.0310600647</v>
      </c>
      <c r="H36" s="28">
        <f t="shared" ca="1" si="7"/>
        <v>791178.25634126784</v>
      </c>
      <c r="I36" s="75">
        <f ca="1">(References!$D$61*H36)</f>
        <v>1890.9160326556328</v>
      </c>
      <c r="J36" s="75">
        <f ca="1">I36/References!$H$64</f>
        <v>1934.6388711434752</v>
      </c>
      <c r="K36" s="211">
        <v>42.03</v>
      </c>
      <c r="L36" s="38">
        <f t="shared" ca="1" si="12"/>
        <v>0.47926674392499619</v>
      </c>
      <c r="M36" s="167">
        <f t="shared" ca="1" si="8"/>
        <v>42.509266743924996</v>
      </c>
      <c r="N36" s="80">
        <f>E36*'DF Calculation'!K36</f>
        <v>169660.99314181809</v>
      </c>
      <c r="O36" s="80">
        <f ca="1">(E36*'DF Calculation'!M36)</f>
        <v>171595.63201296155</v>
      </c>
      <c r="P36" s="80">
        <f t="shared" ca="1" si="14"/>
        <v>1934.6388711434556</v>
      </c>
      <c r="Q36" s="16">
        <f ca="1">((F36*$D$89)*(References!$D$61/References!$H$64))-L36</f>
        <v>0</v>
      </c>
      <c r="R36" s="75"/>
    </row>
    <row r="37" spans="1:18">
      <c r="A37" s="477"/>
      <c r="B37" s="29">
        <v>30</v>
      </c>
      <c r="C37" s="78" t="s">
        <v>118</v>
      </c>
      <c r="D37" s="41" t="str">
        <f>VLOOKUP(C37,Mapping!$C$2:$H$158,6,FALSE)</f>
        <v>1.5 yard Temp</v>
      </c>
      <c r="E37" s="75">
        <f>IFERROR(SUMIFS(Mapping!M:M,Mapping!A:A,"Multi Family",Mapping!D:D,'DF Calculation'!C37),0)</f>
        <v>1.0824032296366659</v>
      </c>
      <c r="F37" s="75">
        <f>VLOOKUP(C37,Mapping!D:L,7,FALSE)</f>
        <v>250</v>
      </c>
      <c r="G37" s="75">
        <f t="shared" si="13"/>
        <v>270.60080740916646</v>
      </c>
      <c r="H37" s="28">
        <f t="shared" ca="1" si="7"/>
        <v>212.14891145873389</v>
      </c>
      <c r="I37" s="75">
        <f ca="1">(References!$D$61*H37)</f>
        <v>0.50703589838637464</v>
      </c>
      <c r="J37" s="75">
        <f ca="1">I37/References!$H$64</f>
        <v>0.51875987148186475</v>
      </c>
      <c r="K37" s="212">
        <v>44.25</v>
      </c>
      <c r="L37" s="38">
        <f t="shared" ca="1" si="12"/>
        <v>0.47926674392499613</v>
      </c>
      <c r="M37" s="167">
        <f t="shared" ca="1" si="8"/>
        <v>44.729266743924995</v>
      </c>
      <c r="N37" s="80">
        <f>(E37/References!$C$11)*'DF Calculation'!K37</f>
        <v>11.053002210328263</v>
      </c>
      <c r="O37" s="80">
        <f ca="1">(E37/References!$C$11)*'DF Calculation'!M37</f>
        <v>11.172716026824077</v>
      </c>
      <c r="P37" s="80">
        <f t="shared" ca="1" si="14"/>
        <v>0.11971381649581403</v>
      </c>
      <c r="Q37" s="16">
        <f ca="1">((F37*$D$89)*(References!$D$61/References!$H$64))-L37</f>
        <v>0</v>
      </c>
      <c r="R37" s="75"/>
    </row>
    <row r="38" spans="1:18">
      <c r="A38" s="477"/>
      <c r="B38" s="29">
        <v>30</v>
      </c>
      <c r="C38" s="78" t="s">
        <v>109</v>
      </c>
      <c r="D38" s="41" t="str">
        <f>VLOOKUP(C38,Mapping!$C$2:$H$158,6,FALSE)</f>
        <v>2 yard Regular</v>
      </c>
      <c r="E38" s="75">
        <f>IFERROR(SUMIFS(Mapping!M:M,Mapping!A:A,"Multi Family",Mapping!D:D,'DF Calculation'!C38),0)</f>
        <v>9937.7585059357771</v>
      </c>
      <c r="F38" s="75">
        <f>VLOOKUP(C38,Mapping!D:L,7,FALSE)</f>
        <v>324</v>
      </c>
      <c r="G38" s="75">
        <f t="shared" si="13"/>
        <v>3219833.7559231916</v>
      </c>
      <c r="H38" s="28">
        <f t="shared" ca="1" si="7"/>
        <v>2524324.4206744838</v>
      </c>
      <c r="I38" s="75">
        <f ca="1">(References!$D$61*H38)</f>
        <v>6033.1353654120239</v>
      </c>
      <c r="J38" s="75">
        <f ca="1">I38/References!$H$64</f>
        <v>6172.6369607243951</v>
      </c>
      <c r="K38" s="211">
        <v>53.19</v>
      </c>
      <c r="L38" s="38">
        <f t="shared" ca="1" si="12"/>
        <v>0.62112970012679491</v>
      </c>
      <c r="M38" s="167">
        <f t="shared" ca="1" si="8"/>
        <v>53.811129700126791</v>
      </c>
      <c r="N38" s="80">
        <f>E38*'DF Calculation'!K38</f>
        <v>528589.37493072392</v>
      </c>
      <c r="O38" s="80">
        <f ca="1">(E38*'DF Calculation'!M38)</f>
        <v>534762.01189144829</v>
      </c>
      <c r="P38" s="80">
        <f t="shared" ca="1" si="14"/>
        <v>6172.6369607243687</v>
      </c>
      <c r="Q38" s="16">
        <f ca="1">((F38*$D$89)*(References!$D$61/References!$H$64))-L38</f>
        <v>0</v>
      </c>
      <c r="R38" s="75"/>
    </row>
    <row r="39" spans="1:18">
      <c r="A39" s="477"/>
      <c r="B39" s="29">
        <v>30</v>
      </c>
      <c r="C39" s="78" t="s">
        <v>119</v>
      </c>
      <c r="D39" s="41" t="str">
        <f>VLOOKUP(C39,Mapping!$C$2:$H$158,6,FALSE)</f>
        <v>2 yard Temp</v>
      </c>
      <c r="E39" s="75">
        <f>IFERROR(SUMIFS(Mapping!M:M,Mapping!A:A,"Multi Family",Mapping!D:D,'DF Calculation'!C39),0)</f>
        <v>57.381547637588646</v>
      </c>
      <c r="F39" s="75">
        <f>VLOOKUP(C39,Mapping!D:L,7,FALSE)</f>
        <v>324</v>
      </c>
      <c r="G39" s="75">
        <f t="shared" si="13"/>
        <v>18591.621434578723</v>
      </c>
      <c r="H39" s="28">
        <f t="shared" ca="1" si="7"/>
        <v>14575.685443668535</v>
      </c>
      <c r="I39" s="75">
        <f ca="1">(References!$D$61*H39)</f>
        <v>34.835888210367848</v>
      </c>
      <c r="J39" s="75">
        <f ca="1">I39/References!$H$64</f>
        <v>35.641383476946842</v>
      </c>
      <c r="K39" s="211">
        <v>55.4</v>
      </c>
      <c r="L39" s="38">
        <f t="shared" ca="1" si="12"/>
        <v>0.62112970012679503</v>
      </c>
      <c r="M39" s="167">
        <f t="shared" ca="1" si="8"/>
        <v>56.021129700126792</v>
      </c>
      <c r="N39" s="80">
        <f>E39*'DF Calculation'!K39</f>
        <v>3178.9377391224111</v>
      </c>
      <c r="O39" s="80">
        <f ca="1">(E39*'DF Calculation'!M39)</f>
        <v>3214.5791225993576</v>
      </c>
      <c r="P39" s="80">
        <f t="shared" ca="1" si="14"/>
        <v>35.64138347694643</v>
      </c>
      <c r="Q39" s="16">
        <f ca="1">((F39*$D$89)*(References!$D$61/References!$H$64))-L39</f>
        <v>0</v>
      </c>
      <c r="R39" s="75"/>
    </row>
    <row r="40" spans="1:18">
      <c r="A40" s="477"/>
      <c r="B40" s="29">
        <v>30</v>
      </c>
      <c r="C40" s="78" t="s">
        <v>227</v>
      </c>
      <c r="D40" s="41" t="str">
        <f>VLOOKUP(C40,Mapping!$C$2:$H$158,6,FALSE)</f>
        <v>2 yard Extra</v>
      </c>
      <c r="E40" s="75">
        <f>IFERROR(SUMIFS(Mapping!M:M,Mapping!A:A,"Multi Family",Mapping!D:D,'DF Calculation'!C40),0)</f>
        <v>4</v>
      </c>
      <c r="F40" s="75">
        <f>VLOOKUP(C40,Mapping!D:L,7,FALSE)</f>
        <v>324</v>
      </c>
      <c r="G40" s="75">
        <f t="shared" si="13"/>
        <v>1296</v>
      </c>
      <c r="H40" s="28">
        <f t="shared" ca="1" si="7"/>
        <v>1016.0538391697552</v>
      </c>
      <c r="I40" s="75">
        <f ca="1">(References!$D$61*H40)</f>
        <v>2.4283686756157183</v>
      </c>
      <c r="J40" s="75">
        <f ca="1">I40/References!$H$64</f>
        <v>2.4845188005071805</v>
      </c>
      <c r="K40" s="211">
        <v>53.19</v>
      </c>
      <c r="L40" s="38">
        <f t="shared" ca="1" si="12"/>
        <v>0.62112970012679514</v>
      </c>
      <c r="M40" s="167">
        <f t="shared" ca="1" si="8"/>
        <v>53.811129700126791</v>
      </c>
      <c r="N40" s="80">
        <f>E40*'DF Calculation'!K40</f>
        <v>212.76</v>
      </c>
      <c r="O40" s="80">
        <f ca="1">(E40*'DF Calculation'!M40)</f>
        <v>215.24451880050717</v>
      </c>
      <c r="P40" s="80">
        <f t="shared" ca="1" si="14"/>
        <v>2.4845188005071748</v>
      </c>
      <c r="Q40" s="16">
        <f ca="1">((F40*$D$89)*(References!$D$61/References!$H$64))-L40</f>
        <v>0</v>
      </c>
      <c r="R40" s="75"/>
    </row>
    <row r="41" spans="1:18">
      <c r="A41" s="477"/>
      <c r="B41" s="29">
        <v>30</v>
      </c>
      <c r="C41" s="78" t="s">
        <v>112</v>
      </c>
      <c r="D41" s="41" t="str">
        <f>VLOOKUP(C41,Mapping!$C$2:$H$158,6,FALSE)</f>
        <v>4 yard Regular</v>
      </c>
      <c r="E41" s="75">
        <f>IFERROR(SUMIFS(Mapping!M:M,Mapping!A:A,"Multi Family",Mapping!D:D,'DF Calculation'!C41),0)</f>
        <v>1342.3368538978966</v>
      </c>
      <c r="F41" s="75">
        <f>VLOOKUP(C41,Mapping!D:L,7,FALSE)</f>
        <v>613</v>
      </c>
      <c r="G41" s="75">
        <f t="shared" si="13"/>
        <v>822852.4914394106</v>
      </c>
      <c r="H41" s="28">
        <f t="shared" ca="1" si="7"/>
        <v>645109.90200417535</v>
      </c>
      <c r="I41" s="75">
        <f ca="1">(References!$D$61*H41)</f>
        <v>1541.8126657899811</v>
      </c>
      <c r="J41" s="75">
        <f ca="1">I41/References!$H$64</f>
        <v>1577.4633372109486</v>
      </c>
      <c r="K41" s="211">
        <v>101.36</v>
      </c>
      <c r="L41" s="38">
        <f t="shared" ca="1" si="12"/>
        <v>1.1751620561040907</v>
      </c>
      <c r="M41" s="167">
        <f t="shared" ca="1" si="8"/>
        <v>102.53516205610408</v>
      </c>
      <c r="N41" s="80">
        <f>E41*'DF Calculation'!K41</f>
        <v>136059.2635110908</v>
      </c>
      <c r="O41" s="80">
        <f ca="1">(E41*'DF Calculation'!M41)</f>
        <v>137636.72684830174</v>
      </c>
      <c r="P41" s="80">
        <f t="shared" ca="1" si="14"/>
        <v>1577.4633372109383</v>
      </c>
      <c r="Q41" s="16">
        <f ca="1">((F41*$D$89)*(References!$D$61/References!$H$64))-L41</f>
        <v>0</v>
      </c>
      <c r="R41" s="75"/>
    </row>
    <row r="42" spans="1:18">
      <c r="A42" s="477"/>
      <c r="B42" s="29">
        <v>30</v>
      </c>
      <c r="C42" s="157" t="s">
        <v>228</v>
      </c>
      <c r="D42" s="41" t="str">
        <f>VLOOKUP(C42,Mapping!$C$2:$H$158,6,FALSE)</f>
        <v>4 yard Extra</v>
      </c>
      <c r="E42" s="75">
        <f>IFERROR(SUMIFS(Mapping!M:M,Mapping!A:A,"Multi Family",Mapping!D:D,'DF Calculation'!C42),0)</f>
        <v>1</v>
      </c>
      <c r="F42" s="75">
        <f>VLOOKUP(C42,Mapping!D:L,7,FALSE)</f>
        <v>613</v>
      </c>
      <c r="G42" s="75">
        <f t="shared" si="13"/>
        <v>613</v>
      </c>
      <c r="H42" s="28">
        <f t="shared" ca="1" si="7"/>
        <v>480.58719399001535</v>
      </c>
      <c r="I42" s="75">
        <f ca="1">(References!$D$61*H42)</f>
        <v>1.1486033936361382</v>
      </c>
      <c r="J42" s="75">
        <f ca="1">I42/References!$H$64</f>
        <v>1.1751620561040905</v>
      </c>
      <c r="K42" s="212">
        <v>101.36</v>
      </c>
      <c r="L42" s="38">
        <f t="shared" ca="1" si="12"/>
        <v>1.1751620561040905</v>
      </c>
      <c r="M42" s="167">
        <f t="shared" ca="1" si="8"/>
        <v>102.53516205610408</v>
      </c>
      <c r="N42" s="80">
        <f>(E42/References!$C$11)*'DF Calculation'!K42</f>
        <v>23.390769230769234</v>
      </c>
      <c r="O42" s="80">
        <f ca="1">(E42/References!$C$11)*'DF Calculation'!M42</f>
        <v>23.661960474485561</v>
      </c>
      <c r="P42" s="80">
        <f t="shared" ca="1" si="14"/>
        <v>0.27119124371632708</v>
      </c>
      <c r="Q42" s="16">
        <f ca="1">((F42*$D$89)*(References!$D$61/References!$H$64))-L42</f>
        <v>0</v>
      </c>
      <c r="R42" s="75"/>
    </row>
    <row r="43" spans="1:18">
      <c r="A43" s="477"/>
      <c r="B43" s="29">
        <v>30</v>
      </c>
      <c r="C43" s="78" t="s">
        <v>114</v>
      </c>
      <c r="D43" s="41" t="str">
        <f>VLOOKUP(C43,Mapping!$C$2:$H$158,6,FALSE)</f>
        <v>6 yard Regular</v>
      </c>
      <c r="E43" s="75">
        <f>IFERROR(SUMIFS(Mapping!M:M,Mapping!A:A,"Multi Family",Mapping!D:D,'DF Calculation'!C43),0)</f>
        <v>5592.2263940451912</v>
      </c>
      <c r="F43" s="75">
        <f>VLOOKUP(C43,Mapping!D:L,7,FALSE)</f>
        <v>840</v>
      </c>
      <c r="G43" s="75">
        <f t="shared" si="13"/>
        <v>4697470.1709979605</v>
      </c>
      <c r="H43" s="28">
        <f t="shared" ca="1" si="7"/>
        <v>3682779.7852067007</v>
      </c>
      <c r="I43" s="75">
        <f ca="1">(References!$D$61*H43)</f>
        <v>8801.8436866440261</v>
      </c>
      <c r="J43" s="75">
        <f ca="1">I43/References!$H$64</f>
        <v>9005.3649341559503</v>
      </c>
      <c r="K43" s="211">
        <v>142.80000000000001</v>
      </c>
      <c r="L43" s="38">
        <f t="shared" ca="1" si="12"/>
        <v>1.6103362595879871</v>
      </c>
      <c r="M43" s="167">
        <f t="shared" ca="1" si="8"/>
        <v>144.41033625958801</v>
      </c>
      <c r="N43" s="80">
        <f>E43*'DF Calculation'!K43</f>
        <v>798569.92906965339</v>
      </c>
      <c r="O43" s="80">
        <f ca="1">(E43*'DF Calculation'!M43)</f>
        <v>807575.29400380934</v>
      </c>
      <c r="P43" s="80">
        <f t="shared" ca="1" si="14"/>
        <v>9005.3649341559503</v>
      </c>
      <c r="Q43" s="16">
        <f ca="1">((F43*$D$89)*(References!$D$61/References!$H$64))-L43</f>
        <v>0</v>
      </c>
      <c r="R43" s="75"/>
    </row>
    <row r="44" spans="1:18">
      <c r="A44" s="477"/>
      <c r="B44" s="29">
        <v>30</v>
      </c>
      <c r="C44" s="78" t="s">
        <v>229</v>
      </c>
      <c r="D44" s="41" t="str">
        <f>VLOOKUP(C44,Mapping!$C$2:$H$158,6,FALSE)</f>
        <v>6 yard Extra</v>
      </c>
      <c r="E44" s="75">
        <f>IFERROR(SUMIFS(Mapping!M:M,Mapping!A:A,"Multi Family",Mapping!D:D,'DF Calculation'!C44),0)</f>
        <v>4</v>
      </c>
      <c r="F44" s="75">
        <f>VLOOKUP(C44,Mapping!D:L,7,FALSE)</f>
        <v>840</v>
      </c>
      <c r="G44" s="75">
        <f t="shared" si="13"/>
        <v>3360</v>
      </c>
      <c r="H44" s="28">
        <f t="shared" ca="1" si="7"/>
        <v>2634.2136571067726</v>
      </c>
      <c r="I44" s="75">
        <f ca="1">(References!$D$61*H44)</f>
        <v>6.2957706404851947</v>
      </c>
      <c r="J44" s="75">
        <f ca="1">I44/References!$H$64</f>
        <v>6.4413450383519484</v>
      </c>
      <c r="K44" s="211">
        <v>142.80000000000001</v>
      </c>
      <c r="L44" s="38">
        <f t="shared" ca="1" si="12"/>
        <v>1.6103362595879871</v>
      </c>
      <c r="M44" s="167">
        <f t="shared" ca="1" si="8"/>
        <v>144.41033625958801</v>
      </c>
      <c r="N44" s="80">
        <f>E44*'DF Calculation'!K44</f>
        <v>571.20000000000005</v>
      </c>
      <c r="O44" s="80">
        <f ca="1">(E44*'DF Calculation'!M44)</f>
        <v>577.64134503835203</v>
      </c>
      <c r="P44" s="80">
        <f t="shared" ca="1" si="14"/>
        <v>6.441345038351983</v>
      </c>
      <c r="Q44" s="16">
        <f ca="1">((F44*$D$89)*(References!$D$61/References!$H$64))-L44</f>
        <v>0</v>
      </c>
      <c r="R44" s="75"/>
    </row>
    <row r="45" spans="1:18">
      <c r="A45" s="477"/>
      <c r="B45" s="29">
        <v>48</v>
      </c>
      <c r="C45" s="157" t="s">
        <v>203</v>
      </c>
      <c r="D45" s="41" t="str">
        <f>VLOOKUP(C45,Mapping!$C$2:$H$158,6,FALSE)</f>
        <v>2 yard Regular</v>
      </c>
      <c r="E45" s="75">
        <f>IFERROR(SUMIFS(Mapping!M:M,Mapping!A:A,"Multi Family",Mapping!D:D,'DF Calculation'!C45),0)</f>
        <v>52</v>
      </c>
      <c r="F45" s="75">
        <f>VLOOKUP(C45,Mapping!D:L,7,FALSE)</f>
        <v>729</v>
      </c>
      <c r="G45" s="75">
        <f t="shared" si="13"/>
        <v>37908</v>
      </c>
      <c r="H45" s="28">
        <f t="shared" ca="1" si="7"/>
        <v>29719.57479571534</v>
      </c>
      <c r="I45" s="75">
        <f ca="1">(References!$D$61*H45)</f>
        <v>71.029783761759759</v>
      </c>
      <c r="J45" s="75">
        <f ca="1">I45/References!$H$64</f>
        <v>72.672174914835026</v>
      </c>
      <c r="K45" s="212">
        <v>107.35</v>
      </c>
      <c r="L45" s="38">
        <f t="shared" ca="1" si="12"/>
        <v>1.3975418252852889</v>
      </c>
      <c r="M45" s="167">
        <f t="shared" ca="1" si="8"/>
        <v>108.74754182528528</v>
      </c>
      <c r="N45" s="80">
        <f>(E45/References!$C$11)*'DF Calculation'!K45</f>
        <v>1288.1999999999998</v>
      </c>
      <c r="O45" s="80">
        <f ca="1">(E45/References!$C$11)*'DF Calculation'!M45</f>
        <v>1304.9705019034234</v>
      </c>
      <c r="P45" s="80">
        <f t="shared" ca="1" si="14"/>
        <v>16.770501903423565</v>
      </c>
      <c r="Q45" s="16">
        <f ca="1">((F45*$D$89)*(References!$D$61/References!$H$64))-L45</f>
        <v>0</v>
      </c>
      <c r="R45" s="75"/>
    </row>
    <row r="46" spans="1:18">
      <c r="A46" s="477"/>
      <c r="B46" s="29">
        <v>51</v>
      </c>
      <c r="C46" s="41" t="s">
        <v>206</v>
      </c>
      <c r="D46" s="41" t="str">
        <f>VLOOKUP(C46,Mapping!$C$2:$H$158,6,FALSE)</f>
        <v>4 yard Regular</v>
      </c>
      <c r="E46" s="75">
        <f>IFERROR(SUMIFS(Mapping!M:M,Mapping!A:A,"Multi Family",Mapping!D:D,'DF Calculation'!C46),0)</f>
        <v>52</v>
      </c>
      <c r="F46" s="75">
        <f>VLOOKUP(C46,Mapping!D:L,7,FALSE)</f>
        <v>3065</v>
      </c>
      <c r="G46" s="75">
        <f t="shared" si="13"/>
        <v>159380</v>
      </c>
      <c r="H46" s="28">
        <f t="shared" ca="1" si="7"/>
        <v>124952.670437404</v>
      </c>
      <c r="I46" s="75">
        <f ca="1">(References!$D$61*H46)</f>
        <v>298.63688234539597</v>
      </c>
      <c r="J46" s="75">
        <f ca="1">I46/References!$H$64</f>
        <v>305.54213458706357</v>
      </c>
      <c r="K46" s="212">
        <v>359.6</v>
      </c>
      <c r="L46" s="38">
        <f t="shared" ca="1" si="12"/>
        <v>5.8758102805204535</v>
      </c>
      <c r="M46" s="167">
        <f t="shared" ca="1" si="8"/>
        <v>365.47581028052048</v>
      </c>
      <c r="N46" s="80">
        <f>(E46/References!$C$11)*'DF Calculation'!K46</f>
        <v>4315.2000000000007</v>
      </c>
      <c r="O46" s="80">
        <f ca="1">(E46/References!$C$11)*'DF Calculation'!M46</f>
        <v>4385.7097233662462</v>
      </c>
      <c r="P46" s="80">
        <f t="shared" ca="1" si="14"/>
        <v>70.509723366245453</v>
      </c>
      <c r="Q46" s="16">
        <f ca="1">((F46*$D$89)*(References!$D$61/References!$H$64))-L46</f>
        <v>0</v>
      </c>
      <c r="R46" s="75"/>
    </row>
    <row r="47" spans="1:18" ht="15.75" thickBot="1">
      <c r="A47" s="478"/>
      <c r="B47" s="29">
        <v>51</v>
      </c>
      <c r="C47" s="41" t="s">
        <v>208</v>
      </c>
      <c r="D47" s="41" t="str">
        <f>VLOOKUP(C47,Mapping!$C$2:$H$158,6,FALSE)</f>
        <v>4 yard Special and Temporary</v>
      </c>
      <c r="E47" s="75">
        <f>IFERROR(SUMIFS(Mapping!M:M,Mapping!A:A,"Multi Family",Mapping!D:D,'DF Calculation'!C47),0)</f>
        <v>12</v>
      </c>
      <c r="F47" s="75">
        <f>VLOOKUP(C47,Mapping!D:L,7,FALSE)</f>
        <v>3065</v>
      </c>
      <c r="G47" s="75">
        <f t="shared" si="13"/>
        <v>36780</v>
      </c>
      <c r="H47" s="28">
        <f t="shared" ca="1" si="7"/>
        <v>28835.231639400921</v>
      </c>
      <c r="I47" s="75">
        <f ca="1">(References!$D$61*H47)</f>
        <v>68.916203618168296</v>
      </c>
      <c r="J47" s="75">
        <f ca="1">I47/References!$H$64</f>
        <v>70.509723366245439</v>
      </c>
      <c r="K47" s="212">
        <v>366.23</v>
      </c>
      <c r="L47" s="38">
        <f t="shared" ca="1" si="12"/>
        <v>5.8758102805204535</v>
      </c>
      <c r="M47" s="167">
        <f t="shared" ca="1" si="8"/>
        <v>372.10581028052047</v>
      </c>
      <c r="N47" s="80">
        <f>(E47/References!$C$11)*'DF Calculation'!K47</f>
        <v>1014.1753846153848</v>
      </c>
      <c r="O47" s="80">
        <f ca="1">(E47/References!$C$11)*'DF Calculation'!M47</f>
        <v>1030.4468592383646</v>
      </c>
      <c r="P47" s="80">
        <f t="shared" ca="1" si="14"/>
        <v>16.271474622979781</v>
      </c>
      <c r="Q47" s="16">
        <f ca="1">((F47*$D$89)*(References!$D$61/References!$H$64))-L47</f>
        <v>0</v>
      </c>
      <c r="R47" s="75"/>
    </row>
    <row r="48" spans="1:18" ht="15.75" thickBot="1">
      <c r="A48" s="90"/>
      <c r="B48" s="67"/>
      <c r="C48" s="76"/>
      <c r="D48" s="68" t="s">
        <v>14</v>
      </c>
      <c r="E48" s="134">
        <f>SUM(E23:E47)</f>
        <v>164061.43029733346</v>
      </c>
      <c r="F48" s="69"/>
      <c r="G48" s="134">
        <f>SUM(G23:G47)</f>
        <v>17892572.6706516</v>
      </c>
      <c r="H48" s="134">
        <f ca="1">SUM(H23:H47)</f>
        <v>14027636.693394592</v>
      </c>
      <c r="I48" s="134">
        <f ca="1">SUM(I23:I47)</f>
        <v>33526.051697213123</v>
      </c>
      <c r="J48" s="134">
        <f ca="1">SUM(J23:J47)</f>
        <v>34301.260177218253</v>
      </c>
      <c r="K48" s="153"/>
      <c r="L48" s="61"/>
      <c r="M48" s="151"/>
      <c r="N48" s="134">
        <f>SUM(N23:N47)</f>
        <v>2943803.0000368645</v>
      </c>
      <c r="O48" s="134">
        <f ca="1">SUM(O23:O47)</f>
        <v>2977757.7848642399</v>
      </c>
      <c r="P48" s="134">
        <f ca="1">SUM(P23:P47)</f>
        <v>33954.784827375319</v>
      </c>
      <c r="Q48" s="60">
        <f ca="1">P48/N48</f>
        <v>1.1534326456950452E-2</v>
      </c>
      <c r="R48" s="75"/>
    </row>
    <row r="49" spans="1:18" ht="15" customHeight="1">
      <c r="A49" s="468" t="s">
        <v>12</v>
      </c>
      <c r="B49" s="29">
        <v>34</v>
      </c>
      <c r="C49" s="78" t="s">
        <v>217</v>
      </c>
      <c r="D49" s="41" t="str">
        <f>VLOOKUP(C49,Mapping!$C$2:$H$158,6,FALSE)</f>
        <v>Extra Yardage Extra</v>
      </c>
      <c r="E49" s="75">
        <f>IFERROR(SUMIFS(Mapping!M:M,Mapping!A:A,"Commercial",Mapping!D:D,'DF Calculation'!C49),0)</f>
        <v>4278.4010871826877</v>
      </c>
      <c r="F49" s="75">
        <f>VLOOKUP(C49,Mapping!D:L,7,FALSE)</f>
        <v>125</v>
      </c>
      <c r="G49" s="75">
        <f t="shared" ref="G49" si="15">E49*F49</f>
        <v>534800.13589783595</v>
      </c>
      <c r="H49" s="28">
        <f t="shared" ref="H49:H78" ca="1" si="16">$D$89*G49</f>
        <v>419279.11363233259</v>
      </c>
      <c r="I49" s="75">
        <f ca="1">(References!$D$61*H49)</f>
        <v>1002.0770815812763</v>
      </c>
      <c r="J49" s="75">
        <f ca="1">I49/References!$H$64</f>
        <v>1025.2476791296053</v>
      </c>
      <c r="K49" s="211">
        <v>26</v>
      </c>
      <c r="L49" s="38">
        <f t="shared" ref="L49:L62" ca="1" si="17">IFERROR((J49/E49),0)</f>
        <v>0.23963337196249812</v>
      </c>
      <c r="M49" s="167">
        <f t="shared" ref="M49:M78" ca="1" si="18">+K49+L49</f>
        <v>26.239633371962498</v>
      </c>
      <c r="N49" s="80">
        <f>E49*'DF Calculation'!K49</f>
        <v>111238.42826674988</v>
      </c>
      <c r="O49" s="80">
        <f ca="1">(E49*'DF Calculation'!M49)</f>
        <v>112263.67594587948</v>
      </c>
      <c r="P49" s="80">
        <f t="shared" ref="P49" ca="1" si="19">O49-N49</f>
        <v>1025.2476791296067</v>
      </c>
      <c r="Q49" s="16">
        <f ca="1">((F49*$D$89)*(References!$D$61/References!$H$64))-L49</f>
        <v>0</v>
      </c>
      <c r="R49" s="75"/>
    </row>
    <row r="50" spans="1:18">
      <c r="A50" s="469"/>
      <c r="B50" s="29">
        <v>41</v>
      </c>
      <c r="C50" s="78" t="s">
        <v>83</v>
      </c>
      <c r="D50" s="41" t="str">
        <f>VLOOKUP(C50,Mapping!$C$2:$H$158,6,FALSE)</f>
        <v>1 yard Regular</v>
      </c>
      <c r="E50" s="232">
        <f>IFERROR(SUMIFS(Mapping!M:M,Mapping!A:A,"Commercial",Mapping!D:D,'DF Calculation'!C50)+Mapping!M69,0)</f>
        <v>20096.489886668242</v>
      </c>
      <c r="F50" s="75">
        <f>VLOOKUP(C50,Mapping!D:L,7,FALSE)</f>
        <v>175</v>
      </c>
      <c r="G50" s="75">
        <f>E50*F50</f>
        <v>3516885.7301669423</v>
      </c>
      <c r="H50" s="28">
        <f t="shared" ca="1" si="16"/>
        <v>2757210.8395505012</v>
      </c>
      <c r="I50" s="75">
        <f ca="1">(References!$D$61*H50)</f>
        <v>6589.7339065257065</v>
      </c>
      <c r="J50" s="75">
        <f ca="1">I50/References!$H$64</f>
        <v>6742.1054906135732</v>
      </c>
      <c r="K50" s="211">
        <v>24.06</v>
      </c>
      <c r="L50" s="38">
        <f t="shared" ca="1" si="17"/>
        <v>0.33548672074749736</v>
      </c>
      <c r="M50" s="167">
        <f t="shared" ca="1" si="18"/>
        <v>24.395486720747495</v>
      </c>
      <c r="N50" s="80">
        <f>E50*'DF Calculation'!K50</f>
        <v>483521.54667323787</v>
      </c>
      <c r="O50" s="80">
        <f ca="1">(E50*'DF Calculation'!M50)</f>
        <v>490263.65216385142</v>
      </c>
      <c r="P50" s="80">
        <f ca="1">O50-N50</f>
        <v>6742.1054906135541</v>
      </c>
      <c r="Q50" s="16">
        <f ca="1">((F50*$D$89)*(References!$D$61/References!$H$64))-L50</f>
        <v>0</v>
      </c>
      <c r="R50" s="22">
        <f ca="1">Q50*(References!D61/References!H64)</f>
        <v>0</v>
      </c>
    </row>
    <row r="51" spans="1:18">
      <c r="A51" s="469"/>
      <c r="B51" s="29">
        <v>41</v>
      </c>
      <c r="C51" s="78" t="s">
        <v>214</v>
      </c>
      <c r="D51" s="41" t="str">
        <f>VLOOKUP(C51,Mapping!$C$2:$H$158,6,FALSE)</f>
        <v>1 yard Temp</v>
      </c>
      <c r="E51" s="75">
        <f>IFERROR(SUMIFS(Mapping!M:M,Mapping!A:A,"Commercial",Mapping!D:D,'DF Calculation'!C51),0)</f>
        <v>102.61670452981089</v>
      </c>
      <c r="F51" s="75">
        <f>VLOOKUP(C51,Mapping!D:L,7,FALSE)</f>
        <v>175</v>
      </c>
      <c r="G51" s="75">
        <f>E51*F51</f>
        <v>17957.923292716907</v>
      </c>
      <c r="H51" s="28">
        <f t="shared" ca="1" si="16"/>
        <v>14078.871068735327</v>
      </c>
      <c r="I51" s="75">
        <f ca="1">(References!$D$61*H51)</f>
        <v>33.648501854277477</v>
      </c>
      <c r="J51" s="75">
        <f ca="1">I51/References!$H$64</f>
        <v>34.426541696621115</v>
      </c>
      <c r="K51" s="211">
        <v>26.26</v>
      </c>
      <c r="L51" s="38">
        <f t="shared" ca="1" si="17"/>
        <v>0.33548672074749736</v>
      </c>
      <c r="M51" s="167">
        <f t="shared" ca="1" si="18"/>
        <v>26.595486720747498</v>
      </c>
      <c r="N51" s="80">
        <f>E51*'DF Calculation'!K51</f>
        <v>2694.714660952834</v>
      </c>
      <c r="O51" s="80">
        <f ca="1">(E51*'DF Calculation'!M51)</f>
        <v>2729.141202649455</v>
      </c>
      <c r="P51" s="80">
        <f ca="1">O51-N51</f>
        <v>34.426541696620916</v>
      </c>
      <c r="Q51" s="16">
        <f ca="1">((F51*$D$89)*(References!$D$61/References!$H$64))-L51</f>
        <v>0</v>
      </c>
      <c r="R51" s="75"/>
    </row>
    <row r="52" spans="1:18">
      <c r="A52" s="469"/>
      <c r="B52" s="29">
        <v>41</v>
      </c>
      <c r="C52" s="78" t="s">
        <v>198</v>
      </c>
      <c r="D52" s="41" t="str">
        <f>VLOOKUP(C52,Mapping!$C$2:$H$158,6,FALSE)</f>
        <v>1 yard Extra</v>
      </c>
      <c r="E52" s="75">
        <f>IFERROR(SUMIFS(Mapping!M:M,Mapping!A:A,"Commercial",Mapping!D:D,'DF Calculation'!C52),0)</f>
        <v>19</v>
      </c>
      <c r="F52" s="75">
        <f>VLOOKUP(C52,Mapping!D:L,7,FALSE)</f>
        <v>175</v>
      </c>
      <c r="G52" s="75">
        <f>E52*F52</f>
        <v>3325</v>
      </c>
      <c r="H52" s="28">
        <f t="shared" ca="1" si="16"/>
        <v>2606.7739315119106</v>
      </c>
      <c r="I52" s="75">
        <f ca="1">(References!$D$61*H52)</f>
        <v>6.2301896963134746</v>
      </c>
      <c r="J52" s="75">
        <f ca="1">I52/References!$H$64</f>
        <v>6.3742476942024497</v>
      </c>
      <c r="K52" s="211">
        <v>24.06</v>
      </c>
      <c r="L52" s="38">
        <f t="shared" ca="1" si="17"/>
        <v>0.33548672074749736</v>
      </c>
      <c r="M52" s="167">
        <f t="shared" ca="1" si="18"/>
        <v>24.395486720747495</v>
      </c>
      <c r="N52" s="80">
        <f>E52*'DF Calculation'!K52</f>
        <v>457.14</v>
      </c>
      <c r="O52" s="80">
        <f ca="1">(E52*'DF Calculation'!M52)</f>
        <v>463.51424769420242</v>
      </c>
      <c r="P52" s="80">
        <f ca="1">O52-N52</f>
        <v>6.3742476942024382</v>
      </c>
      <c r="Q52" s="16">
        <f ca="1">((F52*$D$89)*(References!$D$61/References!$H$64))-L52</f>
        <v>0</v>
      </c>
      <c r="R52" s="75"/>
    </row>
    <row r="53" spans="1:18">
      <c r="A53" s="469"/>
      <c r="B53" s="29">
        <v>41</v>
      </c>
      <c r="C53" s="78" t="s">
        <v>84</v>
      </c>
      <c r="D53" s="41" t="str">
        <f>VLOOKUP(C53,Mapping!$C$2:$H$158,6,FALSE)</f>
        <v>1.5 yard Regular</v>
      </c>
      <c r="E53" s="232">
        <f>IFERROR(SUMIFS(Mapping!M:M,Mapping!A:A,"Commercial",Mapping!D:D,'DF Calculation'!C53)+Mapping!M63,0)</f>
        <v>5105.034718091737</v>
      </c>
      <c r="F53" s="75">
        <f>VLOOKUP(C53,Mapping!D:L,7,FALSE)</f>
        <v>250</v>
      </c>
      <c r="G53" s="75">
        <f t="shared" ref="G53:G62" si="20">E53*F53</f>
        <v>1276258.6795229341</v>
      </c>
      <c r="H53" s="28">
        <f t="shared" ca="1" si="16"/>
        <v>1000576.798690586</v>
      </c>
      <c r="I53" s="75">
        <f ca="1">(References!$D$61*H53)</f>
        <v>2391.3785488705039</v>
      </c>
      <c r="J53" s="75">
        <f ca="1">I53/References!$H$64</f>
        <v>2446.6733669638875</v>
      </c>
      <c r="K53" s="211">
        <v>33.28</v>
      </c>
      <c r="L53" s="38">
        <f t="shared" ca="1" si="17"/>
        <v>0.47926674392499619</v>
      </c>
      <c r="M53" s="167">
        <f t="shared" ca="1" si="18"/>
        <v>33.759266743924996</v>
      </c>
      <c r="N53" s="80">
        <f>E53*'DF Calculation'!K53</f>
        <v>169895.55541809302</v>
      </c>
      <c r="O53" s="80">
        <f ca="1">(E53*'DF Calculation'!M53)</f>
        <v>172342.22878505688</v>
      </c>
      <c r="P53" s="80">
        <f t="shared" ref="P53:P64" ca="1" si="21">O53-N53</f>
        <v>2446.6733669638634</v>
      </c>
      <c r="Q53" s="16">
        <f ca="1">((F53*$D$89)*(References!$D$61/References!$H$64))-L53</f>
        <v>0</v>
      </c>
      <c r="R53" s="75"/>
    </row>
    <row r="54" spans="1:18">
      <c r="A54" s="469"/>
      <c r="B54" s="29">
        <v>41</v>
      </c>
      <c r="C54" s="78" t="s">
        <v>137</v>
      </c>
      <c r="D54" s="41" t="str">
        <f>VLOOKUP(C54,Mapping!$C$2:$H$158,6,FALSE)</f>
        <v>1.5 yard Temp</v>
      </c>
      <c r="E54" s="75">
        <f>IFERROR(SUMIFS(Mapping!M:M,Mapping!A:A,"Commercial",Mapping!D:D,'DF Calculation'!C54),0)</f>
        <v>50.879949422375276</v>
      </c>
      <c r="F54" s="75">
        <f>VLOOKUP(C54,Mapping!D:L,7,FALSE)</f>
        <v>250</v>
      </c>
      <c r="G54" s="75">
        <f t="shared" si="20"/>
        <v>12719.987355593819</v>
      </c>
      <c r="H54" s="28">
        <f t="shared" ca="1" si="16"/>
        <v>9972.3703602174701</v>
      </c>
      <c r="I54" s="75">
        <f ca="1">(References!$D$61*H54)</f>
        <v>23.833965160919785</v>
      </c>
      <c r="J54" s="75">
        <f ca="1">I54/References!$H$64</f>
        <v>24.385067690730288</v>
      </c>
      <c r="K54" s="211">
        <v>35.5</v>
      </c>
      <c r="L54" s="38">
        <f t="shared" ca="1" si="17"/>
        <v>0.47926674392499619</v>
      </c>
      <c r="M54" s="167">
        <f t="shared" ca="1" si="18"/>
        <v>35.979266743924995</v>
      </c>
      <c r="N54" s="80">
        <f>E54*'DF Calculation'!K54</f>
        <v>1806.2382044943222</v>
      </c>
      <c r="O54" s="80">
        <f ca="1">(E54*'DF Calculation'!M54)</f>
        <v>1830.6232721850527</v>
      </c>
      <c r="P54" s="80">
        <f t="shared" ca="1" si="21"/>
        <v>24.385067690730466</v>
      </c>
      <c r="Q54" s="16">
        <f ca="1">((F54*$D$89)*(References!$D$61/References!$H$64))-L54</f>
        <v>0</v>
      </c>
      <c r="R54" s="75"/>
    </row>
    <row r="55" spans="1:18">
      <c r="A55" s="469"/>
      <c r="B55" s="29">
        <v>41</v>
      </c>
      <c r="C55" s="78" t="s">
        <v>212</v>
      </c>
      <c r="D55" s="41" t="str">
        <f>VLOOKUP(C55,Mapping!$C$2:$H$158,6,FALSE)</f>
        <v>1.5 yard Extra</v>
      </c>
      <c r="E55" s="75">
        <f>IFERROR(SUMIFS(Mapping!M:M,Mapping!A:A,"Commercial",Mapping!D:D,'DF Calculation'!C55),0)</f>
        <v>5.193822612638141</v>
      </c>
      <c r="F55" s="75">
        <f>VLOOKUP(C55,Mapping!D:L,7,FALSE)</f>
        <v>250</v>
      </c>
      <c r="G55" s="75">
        <f t="shared" si="20"/>
        <v>1298.4556531595354</v>
      </c>
      <c r="H55" s="28">
        <f t="shared" ca="1" si="16"/>
        <v>1017.9790519941496</v>
      </c>
      <c r="I55" s="75">
        <f ca="1">(References!$D$61*H55)</f>
        <v>2.4329699342660209</v>
      </c>
      <c r="J55" s="75">
        <f ca="1">I55/References!$H$64</f>
        <v>2.4892264520830989</v>
      </c>
      <c r="K55" s="211">
        <v>33.28</v>
      </c>
      <c r="L55" s="38">
        <f t="shared" ca="1" si="17"/>
        <v>0.47926674392499624</v>
      </c>
      <c r="M55" s="167">
        <f t="shared" ca="1" si="18"/>
        <v>33.759266743924996</v>
      </c>
      <c r="N55" s="80">
        <f>E55*'DF Calculation'!K55</f>
        <v>172.85041654859734</v>
      </c>
      <c r="O55" s="80">
        <f ca="1">(E55*'DF Calculation'!M55)</f>
        <v>175.33964300068044</v>
      </c>
      <c r="P55" s="80">
        <f t="shared" ca="1" si="21"/>
        <v>2.489226452083102</v>
      </c>
      <c r="Q55" s="16">
        <f ca="1">((F55*$D$89)*(References!$D$61/References!$H$64))-L55</f>
        <v>0</v>
      </c>
      <c r="R55" s="75"/>
    </row>
    <row r="56" spans="1:18">
      <c r="A56" s="469"/>
      <c r="B56" s="29">
        <v>41</v>
      </c>
      <c r="C56" s="78" t="s">
        <v>85</v>
      </c>
      <c r="D56" s="41" t="str">
        <f>VLOOKUP(C56,Mapping!$C$2:$H$158,6,FALSE)</f>
        <v>2 yard Regular</v>
      </c>
      <c r="E56" s="75">
        <f>IFERROR(SUMIFS(Mapping!M:M,Mapping!A:A,"Commercial",Mapping!D:D,'DF Calculation'!C56),0)</f>
        <v>40313.905501110436</v>
      </c>
      <c r="F56" s="75">
        <f>VLOOKUP(C56,Mapping!D:L,7,FALSE)</f>
        <v>324</v>
      </c>
      <c r="G56" s="75">
        <f t="shared" si="20"/>
        <v>13061705.38235978</v>
      </c>
      <c r="H56" s="28">
        <f t="shared" ca="1" si="16"/>
        <v>10240274.614082491</v>
      </c>
      <c r="I56" s="75">
        <f ca="1">(References!$D$61*H56)</f>
        <v>24474.256327657185</v>
      </c>
      <c r="J56" s="75">
        <f ca="1">I56/References!$H$64</f>
        <v>25040.164034844674</v>
      </c>
      <c r="K56" s="211">
        <v>41.53</v>
      </c>
      <c r="L56" s="38">
        <f t="shared" ca="1" si="17"/>
        <v>0.62112970012679491</v>
      </c>
      <c r="M56" s="167">
        <f t="shared" ca="1" si="18"/>
        <v>42.151129700126795</v>
      </c>
      <c r="N56" s="80">
        <f>E56*'DF Calculation'!K56</f>
        <v>1674236.4954611165</v>
      </c>
      <c r="O56" s="80">
        <f ca="1">(E56*'DF Calculation'!M56)</f>
        <v>1699276.6594959612</v>
      </c>
      <c r="P56" s="80">
        <f t="shared" ca="1" si="21"/>
        <v>25040.164034844609</v>
      </c>
      <c r="Q56" s="16">
        <f ca="1">((F56*$D$89)*(References!$D$61/References!$H$64))-L56</f>
        <v>0</v>
      </c>
      <c r="R56" s="75"/>
    </row>
    <row r="57" spans="1:18" ht="13.5" customHeight="1">
      <c r="A57" s="469"/>
      <c r="B57" s="29">
        <v>41</v>
      </c>
      <c r="C57" s="78" t="s">
        <v>138</v>
      </c>
      <c r="D57" s="41" t="str">
        <f>VLOOKUP(C57,Mapping!$C$2:$H$158,6,FALSE)</f>
        <v>2 yard Temp</v>
      </c>
      <c r="E57" s="75">
        <f>IFERROR(SUMIFS(Mapping!M:M,Mapping!A:A,"Commercial",Mapping!D:D,'DF Calculation'!C57),0)</f>
        <v>545.30045169832681</v>
      </c>
      <c r="F57" s="75">
        <f>VLOOKUP(C57,Mapping!D:L,7,FALSE)</f>
        <v>324</v>
      </c>
      <c r="G57" s="75">
        <f t="shared" si="20"/>
        <v>176677.3463502579</v>
      </c>
      <c r="H57" s="28">
        <f t="shared" ca="1" si="16"/>
        <v>138513.65436227166</v>
      </c>
      <c r="I57" s="75">
        <f ca="1">(References!$D$61*H57)</f>
        <v>331.0476339258297</v>
      </c>
      <c r="J57" s="75">
        <f ca="1">I57/References!$H$64</f>
        <v>338.70230604238765</v>
      </c>
      <c r="K57" s="211">
        <v>43.74</v>
      </c>
      <c r="L57" s="38">
        <f t="shared" ca="1" si="17"/>
        <v>0.62112970012679514</v>
      </c>
      <c r="M57" s="167">
        <f t="shared" ca="1" si="18"/>
        <v>44.361129700126796</v>
      </c>
      <c r="N57" s="80">
        <f>E57*'DF Calculation'!K57</f>
        <v>23851.441757284814</v>
      </c>
      <c r="O57" s="80">
        <f ca="1">(E57*'DF Calculation'!M57)</f>
        <v>24190.144063327203</v>
      </c>
      <c r="P57" s="80">
        <f t="shared" ca="1" si="21"/>
        <v>338.70230604238895</v>
      </c>
      <c r="Q57" s="16">
        <f ca="1">((F57*$D$89)*(References!$D$61/References!$H$64))-L57</f>
        <v>0</v>
      </c>
      <c r="R57" s="75"/>
    </row>
    <row r="58" spans="1:18" ht="13.5" customHeight="1">
      <c r="A58" s="469"/>
      <c r="B58" s="29">
        <v>41</v>
      </c>
      <c r="C58" s="78" t="s">
        <v>199</v>
      </c>
      <c r="D58" s="41" t="str">
        <f>VLOOKUP(C58,Mapping!$C$2:$H$158,6,FALSE)</f>
        <v>2 yard Extra</v>
      </c>
      <c r="E58" s="75">
        <f>IFERROR(SUMIFS(Mapping!M:M,Mapping!A:A,"Commercial",Mapping!D:D,'DF Calculation'!C58),0)</f>
        <v>75.005989403363287</v>
      </c>
      <c r="F58" s="75">
        <f>VLOOKUP(C58,Mapping!D:L,7,FALSE)</f>
        <v>324</v>
      </c>
      <c r="G58" s="75">
        <f t="shared" si="20"/>
        <v>24301.940566689704</v>
      </c>
      <c r="H58" s="28">
        <f t="shared" ca="1" si="16"/>
        <v>19052.53087350331</v>
      </c>
      <c r="I58" s="75">
        <f ca="1">(References!$D$61*H58)</f>
        <v>45.535548787672973</v>
      </c>
      <c r="J58" s="75">
        <f ca="1">I58/References!$H$64</f>
        <v>46.588447705824606</v>
      </c>
      <c r="K58" s="211">
        <v>41.53</v>
      </c>
      <c r="L58" s="38">
        <f t="shared" ca="1" si="17"/>
        <v>0.62112970012679503</v>
      </c>
      <c r="M58" s="167">
        <f t="shared" ca="1" si="18"/>
        <v>42.151129700126795</v>
      </c>
      <c r="N58" s="80">
        <f>E58*'DF Calculation'!K58</f>
        <v>3114.9987399216775</v>
      </c>
      <c r="O58" s="80">
        <f ca="1">(E58*'DF Calculation'!M58)</f>
        <v>3161.5871876275019</v>
      </c>
      <c r="P58" s="80">
        <f t="shared" ca="1" si="21"/>
        <v>46.588447705824365</v>
      </c>
      <c r="Q58" s="16">
        <f ca="1">((F58*$D$89)*(References!$D$61/References!$H$64))-L58</f>
        <v>0</v>
      </c>
      <c r="R58" s="75"/>
    </row>
    <row r="59" spans="1:18">
      <c r="A59" s="469"/>
      <c r="B59" s="29">
        <v>41</v>
      </c>
      <c r="C59" s="78" t="s">
        <v>121</v>
      </c>
      <c r="D59" s="41" t="str">
        <f>VLOOKUP(C59,Mapping!$C$2:$H$158,6,FALSE)</f>
        <v>4 yard Regular</v>
      </c>
      <c r="E59" s="75">
        <f>IFERROR(SUMIFS(Mapping!M:M,Mapping!A:A,"Commercial",Mapping!D:D,'DF Calculation'!C59),0)</f>
        <v>13189.224923230004</v>
      </c>
      <c r="F59" s="75">
        <f>VLOOKUP(C59,Mapping!D:L,7,FALSE)</f>
        <v>613</v>
      </c>
      <c r="G59" s="75">
        <f t="shared" si="20"/>
        <v>8084994.8779399926</v>
      </c>
      <c r="H59" s="28">
        <f t="shared" ca="1" si="16"/>
        <v>6338572.5967582837</v>
      </c>
      <c r="I59" s="75">
        <f ca="1">(References!$D$61*H59)</f>
        <v>15149.188506252318</v>
      </c>
      <c r="J59" s="75">
        <f ca="1">I59/References!$H$64</f>
        <v>15499.476679202289</v>
      </c>
      <c r="K59" s="211">
        <v>78.3</v>
      </c>
      <c r="L59" s="38">
        <f t="shared" ca="1" si="17"/>
        <v>1.1751620561040907</v>
      </c>
      <c r="M59" s="167">
        <f t="shared" ca="1" si="18"/>
        <v>79.475162056104082</v>
      </c>
      <c r="N59" s="80">
        <f>E59*'DF Calculation'!K59</f>
        <v>1032716.3114889093</v>
      </c>
      <c r="O59" s="80">
        <f ca="1">(E59*'DF Calculation'!M59)</f>
        <v>1048215.7881681115</v>
      </c>
      <c r="P59" s="80">
        <f t="shared" ca="1" si="21"/>
        <v>15499.476679202169</v>
      </c>
      <c r="Q59" s="16">
        <f ca="1">((F59*$D$89)*(References!$D$61/References!$H$64))-L59</f>
        <v>0</v>
      </c>
      <c r="R59" s="75"/>
    </row>
    <row r="60" spans="1:18">
      <c r="A60" s="469"/>
      <c r="B60" s="29">
        <v>41</v>
      </c>
      <c r="C60" s="78" t="s">
        <v>201</v>
      </c>
      <c r="D60" s="41" t="str">
        <f>VLOOKUP(C60,Mapping!$C$2:$H$158,6,FALSE)</f>
        <v>4 yard Extra</v>
      </c>
      <c r="E60" s="75">
        <f>IFERROR(SUMIFS(Mapping!M:M,Mapping!A:A,"Commercial",Mapping!D:D,'DF Calculation'!C60),0)</f>
        <v>72.995384807284523</v>
      </c>
      <c r="F60" s="75">
        <f>VLOOKUP(C60,Mapping!D:L,7,FALSE)</f>
        <v>613</v>
      </c>
      <c r="G60" s="75">
        <f t="shared" si="20"/>
        <v>44746.17088686541</v>
      </c>
      <c r="H60" s="28">
        <f t="shared" ca="1" si="16"/>
        <v>35080.647158754262</v>
      </c>
      <c r="I60" s="75">
        <f ca="1">(References!$D$61*H60)</f>
        <v>83.842746709422798</v>
      </c>
      <c r="J60" s="75">
        <f ca="1">I60/References!$H$64</f>
        <v>85.781406496237764</v>
      </c>
      <c r="K60" s="211">
        <v>78.03</v>
      </c>
      <c r="L60" s="38">
        <f t="shared" ca="1" si="17"/>
        <v>1.1751620561040905</v>
      </c>
      <c r="M60" s="167">
        <f t="shared" ca="1" si="18"/>
        <v>79.205162056104086</v>
      </c>
      <c r="N60" s="80">
        <f>E60*'DF Calculation'!K60</f>
        <v>5695.8298765124118</v>
      </c>
      <c r="O60" s="80">
        <f ca="1">(E60*'DF Calculation'!M60)</f>
        <v>5781.6112830086486</v>
      </c>
      <c r="P60" s="80">
        <f t="shared" ca="1" si="21"/>
        <v>85.781406496236741</v>
      </c>
      <c r="Q60" s="16">
        <f ca="1">((F60*$D$89)*(References!$D$61/References!$H$64))-L60</f>
        <v>0</v>
      </c>
      <c r="R60" s="75"/>
    </row>
    <row r="61" spans="1:18">
      <c r="A61" s="469"/>
      <c r="B61" s="29">
        <v>41</v>
      </c>
      <c r="C61" s="78" t="s">
        <v>124</v>
      </c>
      <c r="D61" s="41" t="str">
        <f>VLOOKUP(C61,Mapping!$C$2:$H$158,6,FALSE)</f>
        <v>6 yard Regular</v>
      </c>
      <c r="E61" s="75">
        <f>IFERROR(SUMIFS(Mapping!M:M,Mapping!A:A,"Commercial",Mapping!D:D,'DF Calculation'!C61),0)</f>
        <v>27423.729577207876</v>
      </c>
      <c r="F61" s="75">
        <f>VLOOKUP(C61,Mapping!D:L,7,FALSE)</f>
        <v>840</v>
      </c>
      <c r="G61" s="75">
        <f t="shared" si="20"/>
        <v>23035932.844854616</v>
      </c>
      <c r="H61" s="28">
        <f t="shared" ca="1" si="16"/>
        <v>18059990.745270982</v>
      </c>
      <c r="I61" s="75">
        <f ca="1">(References!$D$61*H61)</f>
        <v>43163.377881197703</v>
      </c>
      <c r="J61" s="75">
        <f ca="1">I61/References!$H$64</f>
        <v>44161.426111313383</v>
      </c>
      <c r="K61" s="211">
        <v>107.83</v>
      </c>
      <c r="L61" s="38">
        <f t="shared" ca="1" si="17"/>
        <v>1.6103362595879871</v>
      </c>
      <c r="M61" s="167">
        <f t="shared" ca="1" si="18"/>
        <v>109.44033625958798</v>
      </c>
      <c r="N61" s="80">
        <f>E61*'DF Calculation'!K61</f>
        <v>2957100.7603103253</v>
      </c>
      <c r="O61" s="80">
        <f ca="1">(E61*'DF Calculation'!M61)</f>
        <v>3001262.1864216384</v>
      </c>
      <c r="P61" s="80">
        <f t="shared" ca="1" si="21"/>
        <v>44161.426111313049</v>
      </c>
      <c r="Q61" s="16">
        <f ca="1">((F61*$D$89)*(References!$D$61/References!$H$64))-L61</f>
        <v>0</v>
      </c>
      <c r="R61" s="75"/>
    </row>
    <row r="62" spans="1:18">
      <c r="A62" s="469"/>
      <c r="B62" s="29">
        <v>41</v>
      </c>
      <c r="C62" s="78" t="s">
        <v>202</v>
      </c>
      <c r="D62" s="41" t="str">
        <f>VLOOKUP(C62,Mapping!$C$2:$H$158,6,FALSE)</f>
        <v>6 yard Extra</v>
      </c>
      <c r="E62" s="75">
        <f>IFERROR(SUMIFS(Mapping!M:M,Mapping!A:A,"Commercial",Mapping!D:D,'DF Calculation'!C62),0)</f>
        <v>188.39677016046397</v>
      </c>
      <c r="F62" s="75">
        <f>VLOOKUP(C62,Mapping!D:L,7,FALSE)</f>
        <v>840</v>
      </c>
      <c r="G62" s="75">
        <f t="shared" si="20"/>
        <v>158253.28693478974</v>
      </c>
      <c r="H62" s="28">
        <f t="shared" ca="1" si="16"/>
        <v>124069.33622787497</v>
      </c>
      <c r="I62" s="75">
        <f ca="1">(References!$D$61*H62)</f>
        <v>296.5257135846216</v>
      </c>
      <c r="J62" s="75">
        <f ca="1">I62/References!$H$64</f>
        <v>303.38215017865929</v>
      </c>
      <c r="K62" s="211">
        <v>107.83</v>
      </c>
      <c r="L62" s="38">
        <f t="shared" ca="1" si="17"/>
        <v>1.6103362595879873</v>
      </c>
      <c r="M62" s="167">
        <f t="shared" ca="1" si="18"/>
        <v>109.44033625958798</v>
      </c>
      <c r="N62" s="80">
        <f>E62*'DF Calculation'!K62</f>
        <v>20314.823726402828</v>
      </c>
      <c r="O62" s="80">
        <f ca="1">(E62*'DF Calculation'!M62)</f>
        <v>20618.205876581487</v>
      </c>
      <c r="P62" s="80">
        <f t="shared" ca="1" si="21"/>
        <v>303.38215017865878</v>
      </c>
      <c r="Q62" s="16">
        <f ca="1">((F62*$D$89)*(References!$D$61/References!$H$64))-L62</f>
        <v>0</v>
      </c>
      <c r="R62" s="75"/>
    </row>
    <row r="63" spans="1:18">
      <c r="A63" s="469"/>
      <c r="B63" s="29">
        <v>42</v>
      </c>
      <c r="C63" s="78" t="s">
        <v>194</v>
      </c>
      <c r="D63" s="209" t="str">
        <f>Mapping!H100</f>
        <v>20 Gallon Cart Minimum</v>
      </c>
      <c r="E63" s="75">
        <f>IFERROR(SUMIFS(Mapping!M:M,Mapping!A:A,"Commercial",Mapping!D:D,'DF Calculation'!C63),0)</f>
        <v>285.48352713178292</v>
      </c>
      <c r="F63" s="75">
        <f>VLOOKUP(C63,Mapping!D:L,7,FALSE)</f>
        <v>20</v>
      </c>
      <c r="G63" s="75">
        <f>E63*F63</f>
        <v>5709.6705426356584</v>
      </c>
      <c r="H63" s="28">
        <f t="shared" ca="1" si="16"/>
        <v>4476.3369407711571</v>
      </c>
      <c r="I63" s="75">
        <f ca="1">(References!$D$61*H63)</f>
        <v>10.698445288443081</v>
      </c>
      <c r="J63" s="75">
        <f ca="1">I63/References!$H$64</f>
        <v>10.945820839413832</v>
      </c>
      <c r="K63" s="211">
        <v>17.25</v>
      </c>
      <c r="L63" s="38">
        <f ca="1">IFERROR((J63/E63),0)*References!$C$11</f>
        <v>0.16614580456066533</v>
      </c>
      <c r="M63" s="167">
        <f t="shared" ca="1" si="18"/>
        <v>17.416145804560664</v>
      </c>
      <c r="N63" s="80">
        <f>(E63/References!$C$11)*'DF Calculation'!K63</f>
        <v>1136.4440406976744</v>
      </c>
      <c r="O63" s="80">
        <f ca="1">(E63/References!$C$11)*'DF Calculation'!M63</f>
        <v>1147.3898615370881</v>
      </c>
      <c r="P63" s="80">
        <f t="shared" ca="1" si="21"/>
        <v>10.945820839413727</v>
      </c>
      <c r="Q63" s="16">
        <f ca="1">(((F63*$D$89)*(References!$D$61/References!$H$64))*References!$C$11)-L63</f>
        <v>0</v>
      </c>
      <c r="R63" s="201" t="s">
        <v>613</v>
      </c>
    </row>
    <row r="64" spans="1:18">
      <c r="A64" s="469"/>
      <c r="B64" s="29">
        <v>42</v>
      </c>
      <c r="C64" s="78" t="s">
        <v>605</v>
      </c>
      <c r="D64" s="41" t="str">
        <f>VLOOKUP(C64,Mapping!$D$2:$H$158,5,FALSE)</f>
        <v>20 Gallon Cart per PU</v>
      </c>
      <c r="E64" s="75">
        <f>IFERROR(SUMIFS(Mapping!M:M,Mapping!A:A,"Commercial",Mapping!D:D,'DF Calculation'!C64),0)</f>
        <v>12</v>
      </c>
      <c r="F64" s="75">
        <f>VLOOKUP(C64,Mapping!D:L,7,FALSE)</f>
        <v>20</v>
      </c>
      <c r="G64" s="75">
        <f t="shared" ref="G64" si="22">E64*F64</f>
        <v>240</v>
      </c>
      <c r="H64" s="28">
        <f t="shared" ca="1" si="16"/>
        <v>188.15811836476948</v>
      </c>
      <c r="I64" s="75">
        <f ca="1">(References!$D$61*H64)</f>
        <v>0.44969790289179967</v>
      </c>
      <c r="J64" s="75">
        <f ca="1">I64/References!$H$64</f>
        <v>0.46009607416799636</v>
      </c>
      <c r="K64" s="212">
        <v>3.98</v>
      </c>
      <c r="L64" s="38">
        <f ca="1">IFERROR((J64/E64),0)</f>
        <v>3.8341339513999699E-2</v>
      </c>
      <c r="M64" s="167">
        <f t="shared" ca="1" si="18"/>
        <v>4.0183413395139995</v>
      </c>
      <c r="N64" s="80">
        <f>(E64/References!$C$11)*'DF Calculation'!K64</f>
        <v>11.021538461538462</v>
      </c>
      <c r="O64" s="80">
        <f ca="1">(E64/References!$C$11)*'DF Calculation'!M64</f>
        <v>11.127714478654154</v>
      </c>
      <c r="P64" s="80">
        <f t="shared" ca="1" si="21"/>
        <v>0.10617601711569158</v>
      </c>
      <c r="Q64" s="16">
        <f ca="1">((F64*$D$89)*(References!$D$61/References!$H$64))-L64</f>
        <v>0</v>
      </c>
      <c r="R64" s="201"/>
    </row>
    <row r="65" spans="1:18">
      <c r="A65" s="469"/>
      <c r="B65" s="29">
        <v>42</v>
      </c>
      <c r="C65" s="78" t="s">
        <v>195</v>
      </c>
      <c r="D65" s="209" t="str">
        <f>Mapping!H102</f>
        <v>35 Gallon Cart Minimum</v>
      </c>
      <c r="E65" s="75">
        <f>IFERROR(SUMIFS(Mapping!M:M,Mapping!A:A,"Commercial",Mapping!D:D,'DF Calculation'!C65),0)</f>
        <v>3378.0171635195206</v>
      </c>
      <c r="F65" s="75">
        <f>VLOOKUP(C65,Mapping!D:L,7,FALSE)</f>
        <v>34</v>
      </c>
      <c r="G65" s="75">
        <f t="shared" ref="G65:G70" si="23">E65*F65</f>
        <v>114852.5835596637</v>
      </c>
      <c r="H65" s="28">
        <f t="shared" ca="1" si="16"/>
        <v>90043.525049661577</v>
      </c>
      <c r="I65" s="75">
        <f ca="1">(References!$D$61*H65)</f>
        <v>215.20402486869145</v>
      </c>
      <c r="J65" s="75">
        <f ca="1">I65/References!$H$64</f>
        <v>220.18009501605425</v>
      </c>
      <c r="K65" s="211">
        <v>21.67</v>
      </c>
      <c r="L65" s="38">
        <f ca="1">IFERROR((J65/E65),0)*References!$C$11</f>
        <v>0.28244786775313102</v>
      </c>
      <c r="M65" s="167">
        <f t="shared" ca="1" si="18"/>
        <v>21.952447867753133</v>
      </c>
      <c r="N65" s="80">
        <f>(E65/References!$C$11)*'DF Calculation'!K65</f>
        <v>16892.684292338774</v>
      </c>
      <c r="O65" s="80">
        <f ca="1">(E65/References!$C$11)*'DF Calculation'!M65</f>
        <v>17112.864387354828</v>
      </c>
      <c r="P65" s="80">
        <f t="shared" ref="P65:P70" ca="1" si="24">O65-N65</f>
        <v>220.18009501605411</v>
      </c>
      <c r="Q65" s="16">
        <f ca="1">(((F65*$D$89)*(References!$D$61/References!$H$64))*References!$C$11)-L65</f>
        <v>0</v>
      </c>
      <c r="R65" s="201" t="s">
        <v>613</v>
      </c>
    </row>
    <row r="66" spans="1:18">
      <c r="A66" s="469"/>
      <c r="B66" s="29">
        <v>42</v>
      </c>
      <c r="C66" s="78" t="s">
        <v>606</v>
      </c>
      <c r="D66" s="41" t="str">
        <f>VLOOKUP(C66,Mapping!$D$2:$H$158,5,FALSE)</f>
        <v>35 Gallon Cart per PU</v>
      </c>
      <c r="E66" s="75">
        <f>IFERROR(SUMIFS(Mapping!M:M,Mapping!A:A,"Commercial",Mapping!D:D,'DF Calculation'!C66),0)</f>
        <v>12</v>
      </c>
      <c r="F66" s="75">
        <f>VLOOKUP(C66,Mapping!D:L,7,FALSE)</f>
        <v>34</v>
      </c>
      <c r="G66" s="75">
        <f t="shared" si="23"/>
        <v>408</v>
      </c>
      <c r="H66" s="28">
        <f t="shared" ca="1" si="16"/>
        <v>319.86880122010808</v>
      </c>
      <c r="I66" s="75">
        <f ca="1">(References!$D$61*H66)</f>
        <v>0.76448643491605939</v>
      </c>
      <c r="J66" s="75">
        <f ca="1">I66/References!$H$64</f>
        <v>0.7821633260855938</v>
      </c>
      <c r="K66" s="212">
        <v>5</v>
      </c>
      <c r="L66" s="38">
        <f ca="1">IFERROR((J66/E66),0)</f>
        <v>6.5180277173799483E-2</v>
      </c>
      <c r="M66" s="167">
        <f t="shared" ca="1" si="18"/>
        <v>5.0651802771737993</v>
      </c>
      <c r="N66" s="80">
        <f>(E66/References!$C$11)*'DF Calculation'!K66</f>
        <v>13.846153846153848</v>
      </c>
      <c r="O66" s="80">
        <f ca="1">(E66/References!$C$11)*'DF Calculation'!M66</f>
        <v>14.026653075250524</v>
      </c>
      <c r="P66" s="80">
        <f t="shared" ca="1" si="24"/>
        <v>0.18049922909667515</v>
      </c>
      <c r="Q66" s="16">
        <f ca="1">((F66*$D$89)*(References!$D$61/References!$H$64))-L66</f>
        <v>0</v>
      </c>
      <c r="R66" s="201"/>
    </row>
    <row r="67" spans="1:18">
      <c r="A67" s="469"/>
      <c r="B67" s="29">
        <v>42</v>
      </c>
      <c r="C67" s="78" t="s">
        <v>196</v>
      </c>
      <c r="D67" s="209" t="str">
        <f>Mapping!H104</f>
        <v>65 Gallon Cart Minimum</v>
      </c>
      <c r="E67" s="75">
        <f>IFERROR(SUMIFS(Mapping!M:M,Mapping!A:A,"Commercial",Mapping!D:D,'DF Calculation'!C67),0)</f>
        <v>3733.8223431217425</v>
      </c>
      <c r="F67" s="75">
        <f>VLOOKUP(C67,Mapping!D:L,7,FALSE)</f>
        <v>47</v>
      </c>
      <c r="G67" s="75">
        <f t="shared" si="23"/>
        <v>175489.65012672188</v>
      </c>
      <c r="H67" s="28">
        <f t="shared" ca="1" si="16"/>
        <v>137582.50983473216</v>
      </c>
      <c r="I67" s="75">
        <f ca="1">(References!$D$61*H67)</f>
        <v>328.82219850501031</v>
      </c>
      <c r="J67" s="75">
        <f ca="1">I67/References!$H$64</f>
        <v>336.42541283508319</v>
      </c>
      <c r="K67" s="211">
        <v>32.369999999999997</v>
      </c>
      <c r="L67" s="38">
        <f ca="1">IFERROR((J67/E67),0)*References!$C$11</f>
        <v>0.39044264071756357</v>
      </c>
      <c r="M67" s="167">
        <f t="shared" ca="1" si="18"/>
        <v>32.760442640717564</v>
      </c>
      <c r="N67" s="80">
        <f>(E67/References!$C$11)*'DF Calculation'!K67</f>
        <v>27891.652903119415</v>
      </c>
      <c r="O67" s="80">
        <f ca="1">(E67/References!$C$11)*'DF Calculation'!M67</f>
        <v>28228.078315954499</v>
      </c>
      <c r="P67" s="80">
        <f t="shared" ca="1" si="24"/>
        <v>336.42541283508399</v>
      </c>
      <c r="Q67" s="16">
        <f ca="1">(((F67*$D$89)*(References!$D$61/References!$H$64))*References!$C$11)-L67</f>
        <v>0</v>
      </c>
      <c r="R67" s="201" t="s">
        <v>613</v>
      </c>
    </row>
    <row r="68" spans="1:18">
      <c r="A68" s="469"/>
      <c r="B68" s="29">
        <v>42</v>
      </c>
      <c r="C68" s="78" t="s">
        <v>607</v>
      </c>
      <c r="D68" s="41" t="str">
        <f>VLOOKUP(C68,Mapping!$D$2:$H$158,5,FALSE)</f>
        <v>65 Gallon Cart per PU</v>
      </c>
      <c r="E68" s="75">
        <f>IFERROR(SUMIFS(Mapping!M:M,Mapping!A:A,"Commercial",Mapping!D:D,'DF Calculation'!C68),0)</f>
        <v>12</v>
      </c>
      <c r="F68" s="75">
        <f>VLOOKUP(C68,Mapping!D:L,7,FALSE)</f>
        <v>47</v>
      </c>
      <c r="G68" s="75">
        <f t="shared" si="23"/>
        <v>564</v>
      </c>
      <c r="H68" s="28">
        <f t="shared" ca="1" si="16"/>
        <v>442.17157815720827</v>
      </c>
      <c r="I68" s="75">
        <f ca="1">(References!$D$61*H68)</f>
        <v>1.0567900717957293</v>
      </c>
      <c r="J68" s="75">
        <f ca="1">I68/References!$H$64</f>
        <v>1.0812257742947915</v>
      </c>
      <c r="K68" s="212">
        <v>7.46</v>
      </c>
      <c r="L68" s="38">
        <f ca="1">IFERROR((J68/E68),0)</f>
        <v>9.0102147857899287E-2</v>
      </c>
      <c r="M68" s="167">
        <f t="shared" ca="1" si="18"/>
        <v>7.5501021478578991</v>
      </c>
      <c r="N68" s="80">
        <f>(E68/References!$C$11)*'DF Calculation'!K68</f>
        <v>20.658461538461541</v>
      </c>
      <c r="O68" s="80">
        <f ca="1">(E68/References!$C$11)*'DF Calculation'!M68</f>
        <v>20.907975178683415</v>
      </c>
      <c r="P68" s="80">
        <f t="shared" ca="1" si="24"/>
        <v>0.24951364022187406</v>
      </c>
      <c r="Q68" s="16">
        <f ca="1">((F68*$D$89)*(References!$D$61/References!$H$64))-L68</f>
        <v>0</v>
      </c>
      <c r="R68" s="201"/>
    </row>
    <row r="69" spans="1:18">
      <c r="A69" s="469"/>
      <c r="B69" s="29">
        <v>42</v>
      </c>
      <c r="C69" s="78" t="s">
        <v>197</v>
      </c>
      <c r="D69" s="209" t="str">
        <f>Mapping!H106</f>
        <v>95 Gallon Cart Minimum</v>
      </c>
      <c r="E69" s="75">
        <f>IFERROR(SUMIFS(Mapping!M:M,Mapping!A:A,"Commercial",Mapping!D:D,'DF Calculation'!C69),0)</f>
        <v>4343.0670188177683</v>
      </c>
      <c r="F69" s="75">
        <f>VLOOKUP(C69,Mapping!D:L,7,FALSE)</f>
        <v>68</v>
      </c>
      <c r="G69" s="75">
        <f t="shared" si="23"/>
        <v>295328.55727960821</v>
      </c>
      <c r="H69" s="28">
        <f t="shared" ca="1" si="16"/>
        <v>231535.27348797134</v>
      </c>
      <c r="I69" s="75">
        <f ca="1">(References!$D$61*H69)</f>
        <v>553.3693036362522</v>
      </c>
      <c r="J69" s="75">
        <f ca="1">I69/References!$H$64</f>
        <v>566.16462414185821</v>
      </c>
      <c r="K69" s="211">
        <v>45.34</v>
      </c>
      <c r="L69" s="38">
        <f ca="1">IFERROR((J69/E69),0)*References!$C$11</f>
        <v>0.56489573550626204</v>
      </c>
      <c r="M69" s="167">
        <f t="shared" ca="1" si="18"/>
        <v>45.904895735506265</v>
      </c>
      <c r="N69" s="80">
        <f>(E69/References!$C$11)*'DF Calculation'!K69</f>
        <v>45441.844299968689</v>
      </c>
      <c r="O69" s="80">
        <f ca="1">(E69/References!$C$11)*'DF Calculation'!M69</f>
        <v>46008.008924110545</v>
      </c>
      <c r="P69" s="80">
        <f t="shared" ca="1" si="24"/>
        <v>566.16462414185662</v>
      </c>
      <c r="Q69" s="16">
        <f ca="1">(((F69*$D$89)*(References!$D$61/References!$H$64))*References!$C$11)-L69</f>
        <v>0</v>
      </c>
      <c r="R69" s="201" t="s">
        <v>613</v>
      </c>
    </row>
    <row r="70" spans="1:18">
      <c r="A70" s="469"/>
      <c r="B70" s="29">
        <v>42</v>
      </c>
      <c r="C70" s="78" t="s">
        <v>608</v>
      </c>
      <c r="D70" s="41" t="str">
        <f>VLOOKUP(C70,Mapping!$D$2:$H$158,5,FALSE)</f>
        <v>95 Gallon Cart per PU</v>
      </c>
      <c r="E70" s="75">
        <f>IFERROR(SUMIFS(Mapping!M:M,Mapping!A:A,"Commercial",Mapping!D:D,'DF Calculation'!C70),0)</f>
        <v>12</v>
      </c>
      <c r="F70" s="75">
        <f>VLOOKUP(C70,Mapping!D:L,7,FALSE)</f>
        <v>68</v>
      </c>
      <c r="G70" s="75">
        <f t="shared" si="23"/>
        <v>816</v>
      </c>
      <c r="H70" s="28">
        <f t="shared" ca="1" si="16"/>
        <v>639.73760244021616</v>
      </c>
      <c r="I70" s="75">
        <f ca="1">(References!$D$61*H70)</f>
        <v>1.5289728698321188</v>
      </c>
      <c r="J70" s="75">
        <f ca="1">I70/References!$H$64</f>
        <v>1.5643266521711876</v>
      </c>
      <c r="K70" s="212">
        <v>10.46</v>
      </c>
      <c r="L70" s="38">
        <f t="shared" ref="L70:L78" ca="1" si="25">IFERROR((J70/E70),0)</f>
        <v>0.13036055434759897</v>
      </c>
      <c r="M70" s="167">
        <f t="shared" ca="1" si="18"/>
        <v>10.590360554347599</v>
      </c>
      <c r="N70" s="80">
        <f>(E70/References!$C$11)*'DF Calculation'!K70</f>
        <v>28.966153846153851</v>
      </c>
      <c r="O70" s="80">
        <f ca="1">(E70/References!$C$11)*'DF Calculation'!M70</f>
        <v>29.327152304347202</v>
      </c>
      <c r="P70" s="80">
        <f t="shared" ca="1" si="24"/>
        <v>0.3609984581933503</v>
      </c>
      <c r="Q70" s="16">
        <f ca="1">((F70*$D$89)*(References!$D$61/References!$H$64))-L70</f>
        <v>0</v>
      </c>
      <c r="R70" s="201"/>
    </row>
    <row r="71" spans="1:18">
      <c r="A71" s="469"/>
      <c r="B71" s="29">
        <v>42</v>
      </c>
      <c r="C71" s="78" t="s">
        <v>216</v>
      </c>
      <c r="D71" s="41" t="str">
        <f>VLOOKUP(C71,Mapping!$C$2:$H$158,6,FALSE)</f>
        <v>Can Extra</v>
      </c>
      <c r="E71" s="75">
        <f>IFERROR(SUMIFS(Mapping!M:M,Mapping!A:A,"Commercial",Mapping!D:D,'DF Calculation'!C71),0)</f>
        <v>1337.9503633953864</v>
      </c>
      <c r="F71" s="75">
        <f>VLOOKUP(C71,Mapping!D:L,7,FALSE)</f>
        <v>29</v>
      </c>
      <c r="G71" s="75">
        <f t="shared" ref="G71:G78" si="26">E71*F71</f>
        <v>38800.560538466205</v>
      </c>
      <c r="H71" s="28">
        <f t="shared" ca="1" si="16"/>
        <v>30419.335260067201</v>
      </c>
      <c r="I71" s="75">
        <f ca="1">(References!$D$61*H71)</f>
        <v>72.702211271560714</v>
      </c>
      <c r="J71" s="75">
        <f ca="1">I71/References!$H$64</f>
        <v>74.383273246941584</v>
      </c>
      <c r="K71" s="211">
        <v>4.83</v>
      </c>
      <c r="L71" s="38">
        <f t="shared" ca="1" si="25"/>
        <v>5.5594942295299564E-2</v>
      </c>
      <c r="M71" s="167">
        <f t="shared" ca="1" si="18"/>
        <v>4.8855949422952998</v>
      </c>
      <c r="N71" s="80">
        <f>E71*'DF Calculation'!K71</f>
        <v>6462.300255199716</v>
      </c>
      <c r="O71" s="80">
        <f ca="1">(E71*'DF Calculation'!M71)</f>
        <v>6536.6835284466579</v>
      </c>
      <c r="P71" s="80">
        <f t="shared" ref="P71:P78" ca="1" si="27">O71-N71</f>
        <v>74.383273246941826</v>
      </c>
      <c r="Q71" s="16">
        <f ca="1">((F71*$D$89)*(References!$D$61/References!$H$64))-L71</f>
        <v>0</v>
      </c>
      <c r="R71" s="75"/>
    </row>
    <row r="72" spans="1:18">
      <c r="A72" s="469"/>
      <c r="B72" s="29">
        <v>44</v>
      </c>
      <c r="C72" s="78" t="s">
        <v>203</v>
      </c>
      <c r="D72" s="41" t="str">
        <f>VLOOKUP(C72,Mapping!$C$2:$H$158,6,FALSE)</f>
        <v>2 yard Regular</v>
      </c>
      <c r="E72" s="75">
        <f>IFERROR(SUMIFS(Mapping!M:M,Mapping!A:A,"Commercial",Mapping!D:D,'DF Calculation'!C72),0)</f>
        <v>52</v>
      </c>
      <c r="F72" s="75">
        <f>VLOOKUP(C72,Mapping!D:L,7,FALSE)</f>
        <v>729</v>
      </c>
      <c r="G72" s="75">
        <f t="shared" si="26"/>
        <v>37908</v>
      </c>
      <c r="H72" s="28">
        <f t="shared" ca="1" si="16"/>
        <v>29719.57479571534</v>
      </c>
      <c r="I72" s="75">
        <f ca="1">(References!$D$61*H72)</f>
        <v>71.029783761759759</v>
      </c>
      <c r="J72" s="75">
        <f ca="1">I72/References!$H$64</f>
        <v>72.672174914835026</v>
      </c>
      <c r="K72" s="211">
        <v>88.66</v>
      </c>
      <c r="L72" s="38">
        <f t="shared" ca="1" si="25"/>
        <v>1.3975418252852889</v>
      </c>
      <c r="M72" s="167">
        <f t="shared" ca="1" si="18"/>
        <v>90.057541825285284</v>
      </c>
      <c r="N72" s="80">
        <f>E72*'DF Calculation'!K72</f>
        <v>4610.32</v>
      </c>
      <c r="O72" s="80">
        <f ca="1">(E72*'DF Calculation'!M72)</f>
        <v>4682.9921749148343</v>
      </c>
      <c r="P72" s="80">
        <f t="shared" ca="1" si="27"/>
        <v>72.672174914834613</v>
      </c>
      <c r="Q72" s="16">
        <f ca="1">((F72*$D$89)*(References!$D$61/References!$H$64))-L72</f>
        <v>0</v>
      </c>
      <c r="R72" s="75"/>
    </row>
    <row r="73" spans="1:18">
      <c r="A73" s="469"/>
      <c r="B73" s="29">
        <v>45</v>
      </c>
      <c r="C73" s="78" t="s">
        <v>241</v>
      </c>
      <c r="D73" s="41" t="str">
        <f>VLOOKUP(C73,Mapping!$C$2:$H$158,6,FALSE)</f>
        <v>6 yard Regular</v>
      </c>
      <c r="E73" s="75">
        <f>IFERROR(SUMIFS(Mapping!M:M,Mapping!A:A,"Commercial",Mapping!D:D,'DF Calculation'!C73),0)</f>
        <v>156</v>
      </c>
      <c r="F73" s="75">
        <f>VLOOKUP(C73,Mapping!D:L,7,FALSE)</f>
        <v>2520</v>
      </c>
      <c r="G73" s="75">
        <f>E73*F73</f>
        <v>393120</v>
      </c>
      <c r="H73" s="28">
        <f t="shared" ca="1" si="16"/>
        <v>308202.99788149243</v>
      </c>
      <c r="I73" s="75">
        <f ca="1">(References!$D$61*H73)</f>
        <v>736.60516493676789</v>
      </c>
      <c r="J73" s="75">
        <f ca="1">I73/References!$H$64</f>
        <v>753.63736948717803</v>
      </c>
      <c r="K73" s="211">
        <v>284.94</v>
      </c>
      <c r="L73" s="38">
        <f t="shared" ca="1" si="25"/>
        <v>4.8310087787639615</v>
      </c>
      <c r="M73" s="167">
        <f t="shared" ca="1" si="18"/>
        <v>289.77100877876398</v>
      </c>
      <c r="N73" s="80">
        <f>E73*'DF Calculation'!K73</f>
        <v>44450.64</v>
      </c>
      <c r="O73" s="80">
        <f ca="1">(E73*'DF Calculation'!M73)</f>
        <v>45204.277369487179</v>
      </c>
      <c r="P73" s="80">
        <f ca="1">O73-N73</f>
        <v>753.63736948717997</v>
      </c>
      <c r="Q73" s="16">
        <f ca="1">((F73*$D$89)*(References!$D$61/References!$H$64))-L73</f>
        <v>0</v>
      </c>
      <c r="R73" s="75"/>
    </row>
    <row r="74" spans="1:18">
      <c r="A74" s="469"/>
      <c r="B74" s="29">
        <v>46</v>
      </c>
      <c r="C74" s="78" t="s">
        <v>205</v>
      </c>
      <c r="D74" s="41" t="str">
        <f>VLOOKUP(C74,Mapping!$C$2:$H$158,6,FALSE)</f>
        <v>4 yard Regular</v>
      </c>
      <c r="E74" s="75">
        <f>IFERROR(SUMIFS(Mapping!M:M,Mapping!A:A,"Commercial",Mapping!D:D,'DF Calculation'!C74),0)</f>
        <v>52</v>
      </c>
      <c r="F74" s="75">
        <f>VLOOKUP(C74,Mapping!D:L,7,FALSE)</f>
        <v>2452</v>
      </c>
      <c r="G74" s="75">
        <f t="shared" si="26"/>
        <v>127504</v>
      </c>
      <c r="H74" s="28">
        <f t="shared" ca="1" si="16"/>
        <v>99962.136349923196</v>
      </c>
      <c r="I74" s="75">
        <f ca="1">(References!$D$61*H74)</f>
        <v>238.90950587631676</v>
      </c>
      <c r="J74" s="75">
        <f ca="1">I74/References!$H$64</f>
        <v>244.43370766965086</v>
      </c>
      <c r="K74" s="211">
        <v>258.33999999999997</v>
      </c>
      <c r="L74" s="38">
        <f t="shared" ca="1" si="25"/>
        <v>4.700648224416363</v>
      </c>
      <c r="M74" s="167">
        <f t="shared" ca="1" si="18"/>
        <v>263.04064822441632</v>
      </c>
      <c r="N74" s="80">
        <f>E74*'DF Calculation'!K74</f>
        <v>13433.679999999998</v>
      </c>
      <c r="O74" s="80">
        <f ca="1">(E74*'DF Calculation'!M74)</f>
        <v>13678.113707669649</v>
      </c>
      <c r="P74" s="80">
        <f t="shared" ca="1" si="27"/>
        <v>244.43370766965018</v>
      </c>
      <c r="Q74" s="16">
        <f ca="1">((F74*$D$89)*(References!$D$61/References!$H$64))-L74</f>
        <v>0</v>
      </c>
      <c r="R74" s="75"/>
    </row>
    <row r="75" spans="1:18">
      <c r="A75" s="469"/>
      <c r="B75" s="29">
        <v>46</v>
      </c>
      <c r="C75" s="78" t="s">
        <v>239</v>
      </c>
      <c r="D75" s="41" t="str">
        <f>VLOOKUP(C75,Mapping!$C$2:$H$158,6,FALSE)</f>
        <v>6 yard Regular</v>
      </c>
      <c r="E75" s="75">
        <f>IFERROR(SUMIFS(Mapping!M:M,Mapping!A:A,"Commercial",Mapping!D:D,'DF Calculation'!C75),0)</f>
        <v>156</v>
      </c>
      <c r="F75" s="75">
        <f>VLOOKUP(C75,Mapping!D:L,7,FALSE)</f>
        <v>3360</v>
      </c>
      <c r="G75" s="75">
        <f>E75*F75</f>
        <v>524160</v>
      </c>
      <c r="H75" s="28">
        <f t="shared" ca="1" si="16"/>
        <v>410937.33050865651</v>
      </c>
      <c r="I75" s="75">
        <f ca="1">(References!$D$61*H75)</f>
        <v>982.14021991569041</v>
      </c>
      <c r="J75" s="75">
        <f ca="1">I75/References!$H$64</f>
        <v>1004.849825982904</v>
      </c>
      <c r="K75" s="211">
        <v>367.48</v>
      </c>
      <c r="L75" s="38">
        <f t="shared" ca="1" si="25"/>
        <v>6.4413450383519484</v>
      </c>
      <c r="M75" s="167">
        <f t="shared" ca="1" si="18"/>
        <v>373.92134503835194</v>
      </c>
      <c r="N75" s="80">
        <f>E75*'DF Calculation'!K75</f>
        <v>57326.880000000005</v>
      </c>
      <c r="O75" s="80">
        <f ca="1">(E75*'DF Calculation'!M75)</f>
        <v>58331.729825982904</v>
      </c>
      <c r="P75" s="80">
        <f ca="1">O75-N75</f>
        <v>1004.8498259828993</v>
      </c>
      <c r="Q75" s="16">
        <f ca="1">((F75*$D$89)*(References!$D$61/References!$H$64))-L75</f>
        <v>0</v>
      </c>
      <c r="R75" s="75"/>
    </row>
    <row r="76" spans="1:18">
      <c r="A76" s="469"/>
      <c r="B76" s="29">
        <v>47</v>
      </c>
      <c r="C76" s="78" t="s">
        <v>206</v>
      </c>
      <c r="D76" s="41" t="str">
        <f>VLOOKUP(C76,Mapping!$C$2:$H$158,6,FALSE)</f>
        <v>4 yard Regular</v>
      </c>
      <c r="E76" s="75">
        <f>IFERROR(SUMIFS(Mapping!M:M,Mapping!A:A,"Commercial",Mapping!D:D,'DF Calculation'!C76),0)</f>
        <v>52</v>
      </c>
      <c r="F76" s="75">
        <f>VLOOKUP(C76,Mapping!D:L,7,FALSE)</f>
        <v>3065</v>
      </c>
      <c r="G76" s="75">
        <f t="shared" si="26"/>
        <v>159380</v>
      </c>
      <c r="H76" s="28">
        <f t="shared" ca="1" si="16"/>
        <v>124952.670437404</v>
      </c>
      <c r="I76" s="75">
        <f ca="1">(References!$D$61*H76)</f>
        <v>298.63688234539597</v>
      </c>
      <c r="J76" s="75">
        <f ca="1">I76/References!$H$64</f>
        <v>305.54213458706357</v>
      </c>
      <c r="K76" s="211">
        <v>292.33999999999997</v>
      </c>
      <c r="L76" s="38">
        <f t="shared" ca="1" si="25"/>
        <v>5.8758102805204535</v>
      </c>
      <c r="M76" s="167">
        <f t="shared" ca="1" si="18"/>
        <v>298.21581028052043</v>
      </c>
      <c r="N76" s="80">
        <f>E76*'DF Calculation'!K76</f>
        <v>15201.679999999998</v>
      </c>
      <c r="O76" s="80">
        <f ca="1">(E76*'DF Calculation'!M76)</f>
        <v>15507.222134587062</v>
      </c>
      <c r="P76" s="80">
        <f t="shared" ca="1" si="27"/>
        <v>305.54213458706363</v>
      </c>
      <c r="Q76" s="16">
        <f ca="1">((F76*$D$89)*(References!$D$61/References!$H$64))-L76</f>
        <v>0</v>
      </c>
      <c r="R76" s="75"/>
    </row>
    <row r="77" spans="1:18">
      <c r="A77" s="469"/>
      <c r="B77" s="29">
        <v>47</v>
      </c>
      <c r="C77" s="78" t="s">
        <v>207</v>
      </c>
      <c r="D77" s="41" t="str">
        <f>VLOOKUP(C77,Mapping!$C$2:$H$158,6,FALSE)</f>
        <v>4 yard Regular</v>
      </c>
      <c r="E77" s="75">
        <f>IFERROR(SUMIFS(Mapping!M:M,Mapping!A:A,"Commercial",Mapping!D:D,'DF Calculation'!C77),0)</f>
        <v>26</v>
      </c>
      <c r="F77" s="75">
        <f>VLOOKUP(C77,Mapping!D:L,7,FALSE)</f>
        <v>3065</v>
      </c>
      <c r="G77" s="75">
        <f t="shared" ref="G77" si="28">E77*F77</f>
        <v>79690</v>
      </c>
      <c r="H77" s="28">
        <f t="shared" ca="1" si="16"/>
        <v>62476.335218701999</v>
      </c>
      <c r="I77" s="75">
        <f ca="1">(References!$D$61*H77)</f>
        <v>149.31844117269799</v>
      </c>
      <c r="J77" s="75">
        <f ca="1">I77/References!$H$64</f>
        <v>152.77106729353179</v>
      </c>
      <c r="K77" s="211">
        <v>292.33999999999997</v>
      </c>
      <c r="L77" s="38">
        <f t="shared" ca="1" si="25"/>
        <v>5.8758102805204535</v>
      </c>
      <c r="M77" s="167">
        <f t="shared" ca="1" si="18"/>
        <v>298.21581028052043</v>
      </c>
      <c r="N77" s="80">
        <f>E77*'DF Calculation'!K77</f>
        <v>7600.8399999999992</v>
      </c>
      <c r="O77" s="80">
        <f ca="1">(E77*'DF Calculation'!M77)</f>
        <v>7753.6110672935311</v>
      </c>
      <c r="P77" s="80">
        <f t="shared" ref="P77" ca="1" si="29">O77-N77</f>
        <v>152.77106729353181</v>
      </c>
      <c r="Q77" s="16">
        <f ca="1">((F77*$D$89)*(References!$D$61/References!$H$64))-L77</f>
        <v>0</v>
      </c>
      <c r="R77" s="75"/>
    </row>
    <row r="78" spans="1:18" ht="15.75" thickBot="1">
      <c r="A78" s="470"/>
      <c r="B78" s="29">
        <v>47</v>
      </c>
      <c r="C78" s="78" t="s">
        <v>208</v>
      </c>
      <c r="D78" s="41" t="str">
        <f>VLOOKUP(C78,Mapping!$C$2:$H$158,6,FALSE)</f>
        <v>4 yard Special and Temporary</v>
      </c>
      <c r="E78" s="75">
        <f>IFERROR(SUMIFS(Mapping!M:M,Mapping!A:A,"Commercial",Mapping!D:D,'DF Calculation'!C78),0)</f>
        <v>18.995357536488427</v>
      </c>
      <c r="F78" s="75">
        <f>VLOOKUP(C78,Mapping!D:L,7,FALSE)</f>
        <v>3065</v>
      </c>
      <c r="G78" s="75">
        <f t="shared" si="26"/>
        <v>58220.77084933703</v>
      </c>
      <c r="H78" s="28">
        <f t="shared" ca="1" si="16"/>
        <v>45644.627886490322</v>
      </c>
      <c r="I78" s="75">
        <f ca="1">(References!$D$61*H78)</f>
        <v>109.09066064871202</v>
      </c>
      <c r="J78" s="75">
        <f ca="1">I78/References!$H$64</f>
        <v>111.61311709506037</v>
      </c>
      <c r="K78" s="211">
        <v>298.95</v>
      </c>
      <c r="L78" s="38">
        <f t="shared" ca="1" si="25"/>
        <v>5.8758102805204535</v>
      </c>
      <c r="M78" s="167">
        <f t="shared" ca="1" si="18"/>
        <v>304.82581028052044</v>
      </c>
      <c r="N78" s="80">
        <f>E78*'DF Calculation'!K78</f>
        <v>5678.6621355332154</v>
      </c>
      <c r="O78" s="80">
        <f ca="1">(E78*'DF Calculation'!M78)</f>
        <v>5790.2752526282757</v>
      </c>
      <c r="P78" s="80">
        <f t="shared" ca="1" si="27"/>
        <v>111.61311709506026</v>
      </c>
      <c r="Q78" s="16">
        <f ca="1">((F78*$D$89)*(References!$D$61/References!$H$64))-L78</f>
        <v>0</v>
      </c>
      <c r="R78" s="75"/>
    </row>
    <row r="79" spans="1:18">
      <c r="A79" s="91"/>
      <c r="B79" s="149"/>
      <c r="C79" s="149"/>
      <c r="D79" s="150" t="s">
        <v>14</v>
      </c>
      <c r="E79" s="153">
        <f>SUM(E49:E78)</f>
        <v>125105.51053964796</v>
      </c>
      <c r="F79" s="152"/>
      <c r="G79" s="153">
        <f>SUM(G49:G78)</f>
        <v>51962049.554678611</v>
      </c>
      <c r="H79" s="153">
        <f ca="1">SUM(H49:H78)</f>
        <v>40737839.460771821</v>
      </c>
      <c r="I79" s="153">
        <f ca="1">SUM(I49:I78)</f>
        <v>97363.436311244761</v>
      </c>
      <c r="J79" s="153">
        <f ca="1">SUM(J49:J78)</f>
        <v>99614.729190960468</v>
      </c>
      <c r="K79" s="153"/>
      <c r="L79" s="151"/>
      <c r="M79" s="151"/>
      <c r="N79" s="153">
        <f>SUM(N49:N78)</f>
        <v>6733019.2552350974</v>
      </c>
      <c r="O79" s="153">
        <f ca="1">SUM(O49:O78)</f>
        <v>6832630.993801577</v>
      </c>
      <c r="P79" s="153">
        <f ca="1">SUM(P49:P78)</f>
        <v>99611.738566477841</v>
      </c>
      <c r="Q79" s="60">
        <f ca="1">P79/N79</f>
        <v>1.4794512653298463E-2</v>
      </c>
    </row>
    <row r="80" spans="1:18">
      <c r="A80" s="91"/>
      <c r="B80" s="18"/>
      <c r="C80" s="18"/>
      <c r="D80" s="30" t="s">
        <v>1</v>
      </c>
      <c r="E80" s="31">
        <f>E79+E48+E22</f>
        <v>3607727.6965923551</v>
      </c>
      <c r="F80" s="32"/>
      <c r="G80" s="135">
        <f>G79+G48+G22</f>
        <v>206627036.34146643</v>
      </c>
      <c r="H80" s="135">
        <f ca="1">H79+H48+H22</f>
        <v>161993976.50541317</v>
      </c>
      <c r="I80" s="135">
        <f ca="1">I79+I48+I22</f>
        <v>387165.60384793801</v>
      </c>
      <c r="J80" s="135">
        <f ca="1">J79+J48+J22</f>
        <v>396117.86765698588</v>
      </c>
      <c r="K80" s="135"/>
      <c r="L80" s="31"/>
      <c r="M80" s="31"/>
      <c r="N80" s="31">
        <f>N79+N48+N22</f>
        <v>30378652.214061201</v>
      </c>
      <c r="O80" s="31">
        <f ca="1">O79+O48+O22</f>
        <v>30774420.357677154</v>
      </c>
      <c r="P80" s="153">
        <f ca="1">P79+P48+P22</f>
        <v>395768.1436159506</v>
      </c>
      <c r="Q80" s="60">
        <f ca="1">P80/N80</f>
        <v>1.3027837470444576E-2</v>
      </c>
    </row>
    <row r="81" spans="1:18" ht="18.75" customHeight="1">
      <c r="E81" s="26"/>
      <c r="G81" s="43"/>
      <c r="I81" s="33"/>
      <c r="J81" s="16"/>
      <c r="K81" s="16"/>
    </row>
    <row r="82" spans="1:18">
      <c r="E82" s="45"/>
      <c r="I82" s="33"/>
      <c r="N82" s="16"/>
      <c r="O82" s="16"/>
    </row>
    <row r="83" spans="1:18">
      <c r="A83" s="92"/>
      <c r="B83" s="29"/>
      <c r="C83" s="29"/>
      <c r="D83" s="41"/>
      <c r="E83" s="43"/>
      <c r="F83" s="42"/>
      <c r="G83" s="42"/>
      <c r="H83" s="28"/>
      <c r="I83" s="38"/>
      <c r="J83" s="38"/>
      <c r="K83" s="38"/>
      <c r="L83" s="38"/>
      <c r="M83" s="38"/>
    </row>
    <row r="84" spans="1:18" ht="15" customHeight="1">
      <c r="B84" s="474" t="s">
        <v>80</v>
      </c>
      <c r="C84" s="475"/>
      <c r="D84" s="476"/>
      <c r="E84"/>
      <c r="F84" s="75"/>
      <c r="G84" s="235" t="s">
        <v>592</v>
      </c>
      <c r="H84" s="236"/>
      <c r="I84" s="236"/>
      <c r="J84" s="237"/>
      <c r="N84" s="38"/>
      <c r="O84" s="38"/>
      <c r="P84" s="44"/>
    </row>
    <row r="85" spans="1:18" s="170" customFormat="1" ht="25.5" customHeight="1">
      <c r="A85" s="89"/>
      <c r="D85" s="88" t="s">
        <v>14</v>
      </c>
      <c r="E85" s="89"/>
      <c r="F85" s="171"/>
      <c r="G85" s="176" t="s">
        <v>593</v>
      </c>
      <c r="H85" s="175" t="s">
        <v>8</v>
      </c>
      <c r="I85" s="175"/>
      <c r="J85" s="175" t="s">
        <v>146</v>
      </c>
      <c r="N85" s="172"/>
      <c r="O85" s="172"/>
      <c r="P85" s="173"/>
      <c r="R85" s="174"/>
    </row>
    <row r="86" spans="1:18">
      <c r="B86" t="s">
        <v>29</v>
      </c>
      <c r="C86"/>
      <c r="D86" s="221">
        <f ca="1">+Disposal!C41</f>
        <v>80996.988252706593</v>
      </c>
      <c r="E86" s="71" t="s">
        <v>742</v>
      </c>
      <c r="F86" s="137" t="s">
        <v>246</v>
      </c>
      <c r="G86" s="80">
        <f>N22</f>
        <v>20701829.958789237</v>
      </c>
      <c r="H86" s="136">
        <f ca="1">(J86-G86)/G86</f>
        <v>1.2665625248785214E-2</v>
      </c>
      <c r="I86" s="136"/>
      <c r="J86" s="80">
        <f ca="1">O22</f>
        <v>20964031.579011336</v>
      </c>
      <c r="K86" s="210">
        <f ca="1">J86-G86</f>
        <v>262201.62022209913</v>
      </c>
      <c r="N86" s="38"/>
      <c r="O86" s="38"/>
      <c r="P86" s="44"/>
    </row>
    <row r="87" spans="1:18">
      <c r="B87" t="s">
        <v>30</v>
      </c>
      <c r="C87"/>
      <c r="D87" s="26">
        <f ca="1">D86*References!$H$20</f>
        <v>161993976.50541317</v>
      </c>
      <c r="E87" s="26"/>
      <c r="F87" s="137" t="s">
        <v>594</v>
      </c>
      <c r="G87" s="80">
        <f>N48</f>
        <v>2943803.0000368645</v>
      </c>
      <c r="H87" s="136">
        <f ca="1">(J87-G87)/G87</f>
        <v>1.1534326456950452E-2</v>
      </c>
      <c r="I87" s="136"/>
      <c r="J87" s="80">
        <f ca="1">O48</f>
        <v>2977757.7848642399</v>
      </c>
      <c r="K87" s="210">
        <f ca="1">J87-G87</f>
        <v>33954.784827375319</v>
      </c>
      <c r="N87" s="38"/>
      <c r="O87" s="38"/>
      <c r="P87" s="44"/>
    </row>
    <row r="88" spans="1:18">
      <c r="B88" t="s">
        <v>3</v>
      </c>
      <c r="C88"/>
      <c r="D88" s="137">
        <f>E80</f>
        <v>3607727.6965923551</v>
      </c>
      <c r="E88" s="34"/>
      <c r="F88" s="137" t="s">
        <v>595</v>
      </c>
      <c r="G88" s="80">
        <f>N79</f>
        <v>6733019.2552350974</v>
      </c>
      <c r="H88" s="136">
        <f ca="1">(J88-G88)/G88</f>
        <v>1.479451265329873E-2</v>
      </c>
      <c r="I88" s="136"/>
      <c r="J88" s="80">
        <f ca="1">O79</f>
        <v>6832630.993801577</v>
      </c>
      <c r="K88" s="210">
        <f ca="1">J88-G88</f>
        <v>99611.738566479646</v>
      </c>
      <c r="N88" s="38"/>
      <c r="O88" s="38"/>
      <c r="P88" s="44"/>
    </row>
    <row r="89" spans="1:18">
      <c r="B89" s="14" t="s">
        <v>10</v>
      </c>
      <c r="C89" s="14"/>
      <c r="D89" s="354">
        <f ca="1">D87/$G$80</f>
        <v>0.78399215985320614</v>
      </c>
      <c r="E89" s="25"/>
      <c r="F89" s="137" t="s">
        <v>14</v>
      </c>
      <c r="G89" s="138">
        <f>SUM(G86:G88)</f>
        <v>30378652.214061201</v>
      </c>
      <c r="H89" s="60">
        <f ca="1">(J89-G89)/G89</f>
        <v>1.3027837470444677E-2</v>
      </c>
      <c r="I89" s="60"/>
      <c r="J89" s="138">
        <f ca="1">SUM(J86:J88)</f>
        <v>30774420.357677154</v>
      </c>
      <c r="K89" s="210">
        <f ca="1">J89-G89</f>
        <v>395768.14361595362</v>
      </c>
      <c r="M89" s="210"/>
      <c r="N89" s="38"/>
      <c r="O89" s="38"/>
      <c r="P89" s="44"/>
    </row>
    <row r="90" spans="1:18">
      <c r="F90" s="75"/>
      <c r="G90" s="11"/>
      <c r="H90"/>
      <c r="J90" s="16"/>
      <c r="L90" s="210">
        <v>386217.46250235895</v>
      </c>
      <c r="N90" s="38"/>
      <c r="O90" s="38"/>
      <c r="P90" s="44"/>
    </row>
    <row r="91" spans="1:18" ht="15" customHeight="1">
      <c r="E91" s="24"/>
      <c r="F91" s="137" t="s">
        <v>148</v>
      </c>
      <c r="G91" s="222">
        <f>+Disposal!C62</f>
        <v>31516.956675987571</v>
      </c>
      <c r="H91" s="2" t="s">
        <v>742</v>
      </c>
      <c r="I91" s="2"/>
      <c r="J91" s="139"/>
      <c r="N91" s="38"/>
      <c r="O91" s="38"/>
      <c r="P91" s="44"/>
    </row>
    <row r="92" spans="1:18">
      <c r="E92" s="24"/>
      <c r="F92" s="34"/>
      <c r="G92" s="11"/>
      <c r="H92"/>
      <c r="J92" s="16"/>
      <c r="N92" s="38"/>
      <c r="O92" s="38"/>
      <c r="P92" s="44"/>
    </row>
    <row r="93" spans="1:18">
      <c r="E93"/>
      <c r="F93" s="137" t="s">
        <v>602</v>
      </c>
      <c r="G93" s="159">
        <f>G91*References!C61</f>
        <v>150651.05291122061</v>
      </c>
      <c r="H93"/>
      <c r="N93" s="38"/>
      <c r="O93" s="38"/>
      <c r="P93" s="44"/>
    </row>
    <row r="94" spans="1:18" ht="15.75">
      <c r="B94" s="197" t="s">
        <v>612</v>
      </c>
      <c r="E94"/>
      <c r="H94"/>
      <c r="N94" s="38"/>
      <c r="O94" s="38"/>
      <c r="P94" s="44"/>
    </row>
    <row r="95" spans="1:18" ht="70.5" customHeight="1" thickBot="1">
      <c r="A95" s="158"/>
      <c r="B95" s="81" t="s">
        <v>13</v>
      </c>
      <c r="C95" s="81" t="s">
        <v>181</v>
      </c>
      <c r="D95" s="81" t="s">
        <v>292</v>
      </c>
      <c r="E95" s="81" t="s">
        <v>293</v>
      </c>
      <c r="F95" s="81" t="s">
        <v>9</v>
      </c>
      <c r="G95" s="81" t="s">
        <v>31</v>
      </c>
      <c r="H95" s="82" t="s">
        <v>32</v>
      </c>
      <c r="I95" s="81" t="s">
        <v>8</v>
      </c>
      <c r="J95" s="81" t="s">
        <v>0</v>
      </c>
      <c r="K95" s="81" t="str">
        <f>+K6</f>
        <v xml:space="preserve">Company Current Tariff </v>
      </c>
      <c r="L95" s="81" t="s">
        <v>34</v>
      </c>
      <c r="M95" s="81" t="s">
        <v>621</v>
      </c>
      <c r="N95" s="81" t="s">
        <v>33</v>
      </c>
      <c r="O95" s="81" t="s">
        <v>146</v>
      </c>
      <c r="P95" s="83" t="s">
        <v>35</v>
      </c>
    </row>
    <row r="96" spans="1:18">
      <c r="A96" s="471" t="s">
        <v>246</v>
      </c>
      <c r="B96" s="29">
        <v>24</v>
      </c>
      <c r="C96" s="78" t="s">
        <v>273</v>
      </c>
      <c r="D96" s="41" t="str">
        <f>VLOOKUP(C96,Mapping!$C$2:$H$158,6,FALSE)</f>
        <v>20 Gallon Cart  On Call</v>
      </c>
      <c r="E96" s="75">
        <f>IFERROR(SUMIFS(Mapping!M:M,Mapping!A:A,"Residential",Mapping!D:D,'DF Calculation'!C96),0)</f>
        <v>12</v>
      </c>
      <c r="F96" s="75">
        <f>References!C17</f>
        <v>20</v>
      </c>
      <c r="G96" s="75">
        <f>E96*F96</f>
        <v>240</v>
      </c>
      <c r="H96" s="28">
        <f ca="1">$D$89*G96</f>
        <v>188.15811836476948</v>
      </c>
      <c r="I96" s="75">
        <f ca="1">(References!$D$61*H96)</f>
        <v>0.44969790289179967</v>
      </c>
      <c r="J96" s="75">
        <f ca="1">I96/References!$H$64</f>
        <v>0.46009607416799636</v>
      </c>
      <c r="K96" s="212">
        <v>11.35</v>
      </c>
      <c r="L96" s="38">
        <f ca="1">IFERROR((J96/E96),0)</f>
        <v>3.8341339513999699E-2</v>
      </c>
      <c r="M96" s="167">
        <f ca="1">+K96+L96</f>
        <v>11.388341339514</v>
      </c>
      <c r="N96" s="80">
        <f>(E96/References!$C$11)*'DF Calculation'!K96</f>
        <v>31.430769230769233</v>
      </c>
      <c r="O96" s="80">
        <f ca="1">(E96/References!$C$11)*'DF Calculation'!M96</f>
        <v>31.536945247884926</v>
      </c>
      <c r="P96" s="80">
        <f ca="1">O96-N96</f>
        <v>0.10617601711569336</v>
      </c>
      <c r="Q96" s="16">
        <f ca="1">((F96*$D$89)*(References!$D$61/References!$H$64))-L96</f>
        <v>0</v>
      </c>
      <c r="R96" s="75"/>
    </row>
    <row r="97" spans="1:18" ht="15.75" thickBot="1">
      <c r="A97" s="472"/>
      <c r="B97" s="29">
        <v>24</v>
      </c>
      <c r="C97" s="78" t="s">
        <v>275</v>
      </c>
      <c r="D97" s="41" t="str">
        <f>VLOOKUP(C97,Mapping!$C$2:$H$158,6,FALSE)</f>
        <v>95 Gallon Cart On Call</v>
      </c>
      <c r="E97" s="75">
        <f>IFERROR(SUMIFS(Mapping!M:M,Mapping!A:A,"Residential",Mapping!D:D,'DF Calculation'!C97),0)</f>
        <v>12</v>
      </c>
      <c r="F97" s="75">
        <f>References!C26</f>
        <v>68</v>
      </c>
      <c r="G97" s="75">
        <f>E97*F97</f>
        <v>816</v>
      </c>
      <c r="H97" s="28">
        <f ca="1">$D$89*G97</f>
        <v>639.73760244021616</v>
      </c>
      <c r="I97" s="75">
        <f ca="1">(References!$D$61*H97)</f>
        <v>1.5289728698321188</v>
      </c>
      <c r="J97" s="75">
        <f ca="1">I97/References!$H$64</f>
        <v>1.5643266521711876</v>
      </c>
      <c r="K97" s="212">
        <v>29.51</v>
      </c>
      <c r="L97" s="38">
        <f ca="1">IFERROR((J97/E97),0)</f>
        <v>0.13036055434759897</v>
      </c>
      <c r="M97" s="167">
        <f ca="1">+K97+L97</f>
        <v>29.640360554347602</v>
      </c>
      <c r="N97" s="80">
        <f>(E97/References!$C$11)*'DF Calculation'!K97</f>
        <v>81.720000000000013</v>
      </c>
      <c r="O97" s="80">
        <f ca="1">(E97/References!$C$11)*'DF Calculation'!M97</f>
        <v>82.080998458193363</v>
      </c>
      <c r="P97" s="80">
        <f t="shared" ref="P97" ca="1" si="30">O97-N97</f>
        <v>0.3609984581933503</v>
      </c>
      <c r="Q97" s="16">
        <f ca="1">((F97*$D$89)*(References!$D$61/References!$H$64))-L97</f>
        <v>0</v>
      </c>
      <c r="R97" s="75"/>
    </row>
    <row r="98" spans="1:18">
      <c r="A98" s="90"/>
      <c r="B98" s="67"/>
      <c r="C98" s="76"/>
      <c r="D98" s="68" t="s">
        <v>14</v>
      </c>
      <c r="E98" s="61">
        <f>SUM(E96:E97)</f>
        <v>24</v>
      </c>
      <c r="F98" s="69"/>
      <c r="G98" s="61">
        <f>SUM(G96:G97)</f>
        <v>1056</v>
      </c>
      <c r="H98" s="61">
        <f ca="1">SUM(H96:H97)</f>
        <v>827.89572080498567</v>
      </c>
      <c r="I98" s="61">
        <f ca="1">SUM(I96:I97)</f>
        <v>1.9786707727239183</v>
      </c>
      <c r="J98" s="61">
        <f ca="1">SUM(J96:J97)</f>
        <v>2.0244227263391839</v>
      </c>
      <c r="K98" s="151"/>
      <c r="L98" s="61"/>
      <c r="M98" s="151"/>
      <c r="N98" s="61">
        <f>SUM(N96:N97)</f>
        <v>113.15076923076924</v>
      </c>
      <c r="O98" s="61">
        <f ca="1">SUM(O96:O97)</f>
        <v>113.61794370607829</v>
      </c>
      <c r="P98" s="61">
        <f ca="1">SUM(P96:P97)</f>
        <v>0.46717447530904366</v>
      </c>
      <c r="Q98" s="60">
        <f ca="1">P98/N98</f>
        <v>4.1287786065002221E-3</v>
      </c>
      <c r="R98" s="75"/>
    </row>
    <row r="99" spans="1:18">
      <c r="A99" s="477"/>
      <c r="B99" s="29">
        <v>27</v>
      </c>
      <c r="C99" s="78" t="s">
        <v>245</v>
      </c>
      <c r="D99" s="41" t="str">
        <f>VLOOKUP(C99,Mapping!$C$2:$H$158,6,FALSE)</f>
        <v>20 Gallon Cart WG-NR</v>
      </c>
      <c r="E99" s="75">
        <f>IFERROR(SUMIFS(Mapping!M:M,Mapping!A:A,"Multi Family",Mapping!D:D,'DF Calculation'!C99),0)</f>
        <v>52</v>
      </c>
      <c r="F99" s="75">
        <f>VLOOKUP(C99,Mapping!D:L,7,FALSE)</f>
        <v>20</v>
      </c>
      <c r="G99" s="75">
        <f t="shared" ref="G99:G121" si="31">E99*F99</f>
        <v>1040</v>
      </c>
      <c r="H99" s="28">
        <f t="shared" ref="H99:H129" ca="1" si="32">$D$89*G99</f>
        <v>815.35184624733438</v>
      </c>
      <c r="I99" s="75">
        <f ca="1">(References!$D$61*H99)</f>
        <v>1.9486909125311318</v>
      </c>
      <c r="J99" s="75">
        <f ca="1">I99/References!$H$64</f>
        <v>1.993749654727984</v>
      </c>
      <c r="K99" s="212">
        <v>18.97</v>
      </c>
      <c r="L99" s="38">
        <f ca="1">IFERROR((J99/E99),0)*References!$C$11</f>
        <v>0.16614580456066533</v>
      </c>
      <c r="M99" s="167">
        <f t="shared" ref="M99:M129" ca="1" si="33">+K99+L99</f>
        <v>19.136145804560662</v>
      </c>
      <c r="N99" s="80">
        <f>(E99/References!$C$11)*'DF Calculation'!K99</f>
        <v>227.64</v>
      </c>
      <c r="O99" s="80">
        <f ca="1">(E99/References!$C$11)*'DF Calculation'!M99</f>
        <v>229.63374965472795</v>
      </c>
      <c r="P99" s="80">
        <f t="shared" ref="P99:P129" ca="1" si="34">O99-N99</f>
        <v>1.9937496547279636</v>
      </c>
      <c r="Q99" s="16">
        <f ca="1">(((F99*$D$89)*(References!$D$61/References!$H$64))*References!$C$11)-L99</f>
        <v>0</v>
      </c>
      <c r="R99" s="201" t="s">
        <v>613</v>
      </c>
    </row>
    <row r="100" spans="1:18">
      <c r="A100" s="477"/>
      <c r="B100" s="29">
        <v>28</v>
      </c>
      <c r="C100" s="78" t="s">
        <v>173</v>
      </c>
      <c r="D100" s="41" t="str">
        <f>VLOOKUP(C100,Mapping!$C$2:$H$158,6,FALSE)</f>
        <v>20 Gallon Cart  On Call</v>
      </c>
      <c r="E100" s="75">
        <f>IFERROR(SUMIFS(Mapping!M:M,Mapping!A:A,"Multi Family",Mapping!D:D,'DF Calculation'!C100),0)</f>
        <v>12</v>
      </c>
      <c r="F100" s="75">
        <f>VLOOKUP(C100,Mapping!D:L,7,FALSE)</f>
        <v>20</v>
      </c>
      <c r="G100" s="75">
        <f t="shared" si="31"/>
        <v>240</v>
      </c>
      <c r="H100" s="28">
        <f t="shared" ca="1" si="32"/>
        <v>188.15811836476948</v>
      </c>
      <c r="I100" s="75">
        <f ca="1">(References!$D$61*H100)</f>
        <v>0.44969790289179967</v>
      </c>
      <c r="J100" s="75">
        <f ca="1">I100/References!$H$64</f>
        <v>0.46009607416799636</v>
      </c>
      <c r="K100" s="212">
        <v>16.010000000000002</v>
      </c>
      <c r="L100" s="38">
        <f t="shared" ref="L100:L129" ca="1" si="35">IFERROR((J100/E100),0)</f>
        <v>3.8341339513999699E-2</v>
      </c>
      <c r="M100" s="167">
        <f t="shared" ca="1" si="33"/>
        <v>16.048341339514</v>
      </c>
      <c r="N100" s="80">
        <f>(E100/References!$C$11)*'DF Calculation'!K100</f>
        <v>44.335384615384626</v>
      </c>
      <c r="O100" s="80">
        <f ca="1">(E100/References!$C$11)*'DF Calculation'!M100</f>
        <v>44.441560632500313</v>
      </c>
      <c r="P100" s="80">
        <f t="shared" ca="1" si="34"/>
        <v>0.10617601711568625</v>
      </c>
      <c r="Q100" s="16">
        <f ca="1">((F100*$D$89)*(References!$D$61/References!$H$64))-L100</f>
        <v>0</v>
      </c>
      <c r="R100" s="75"/>
    </row>
    <row r="101" spans="1:18">
      <c r="A101" s="477"/>
      <c r="B101" s="29">
        <v>28</v>
      </c>
      <c r="C101" s="78" t="s">
        <v>175</v>
      </c>
      <c r="D101" s="41" t="str">
        <f>VLOOKUP(C101,Mapping!$C$2:$H$158,6,FALSE)</f>
        <v>35 Gallon Cart On Call</v>
      </c>
      <c r="E101" s="75">
        <f>IFERROR(SUMIFS(Mapping!M:M,Mapping!A:A,"Multi Family",Mapping!D:D,'DF Calculation'!C101),0)</f>
        <v>12</v>
      </c>
      <c r="F101" s="75">
        <f>VLOOKUP(C101,Mapping!D:L,7,FALSE)</f>
        <v>34</v>
      </c>
      <c r="G101" s="75">
        <f t="shared" si="31"/>
        <v>408</v>
      </c>
      <c r="H101" s="28">
        <f t="shared" ca="1" si="32"/>
        <v>319.86880122010808</v>
      </c>
      <c r="I101" s="75">
        <f ca="1">(References!$D$61*H101)</f>
        <v>0.76448643491605939</v>
      </c>
      <c r="J101" s="75">
        <f ca="1">I101/References!$H$64</f>
        <v>0.7821633260855938</v>
      </c>
      <c r="K101" s="212">
        <v>19.96</v>
      </c>
      <c r="L101" s="38">
        <f t="shared" ca="1" si="35"/>
        <v>6.5180277173799483E-2</v>
      </c>
      <c r="M101" s="167">
        <f t="shared" ca="1" si="33"/>
        <v>20.025180277173799</v>
      </c>
      <c r="N101" s="80">
        <f>(E101/References!$C$11)*'DF Calculation'!K101</f>
        <v>55.273846153846165</v>
      </c>
      <c r="O101" s="80">
        <f ca="1">(E101/References!$C$11)*'DF Calculation'!M101</f>
        <v>55.454345382942833</v>
      </c>
      <c r="P101" s="80">
        <f t="shared" ca="1" si="34"/>
        <v>0.18049922909666805</v>
      </c>
      <c r="Q101" s="16">
        <f ca="1">((F101*$D$89)*(References!$D$61/References!$H$64))-L101</f>
        <v>0</v>
      </c>
      <c r="R101" s="75"/>
    </row>
    <row r="102" spans="1:18">
      <c r="A102" s="477"/>
      <c r="B102" s="29">
        <v>28</v>
      </c>
      <c r="C102" s="78" t="s">
        <v>174</v>
      </c>
      <c r="D102" s="41" t="str">
        <f>VLOOKUP(C102,Mapping!$C$2:$H$158,6,FALSE)</f>
        <v>65 Gallon Cart On Call</v>
      </c>
      <c r="E102" s="75">
        <f>IFERROR(SUMIFS(Mapping!M:M,Mapping!A:A,"Multi Family",Mapping!D:D,'DF Calculation'!C102),0)</f>
        <v>12</v>
      </c>
      <c r="F102" s="75">
        <f>VLOOKUP(C102,Mapping!D:L,7,FALSE)</f>
        <v>47</v>
      </c>
      <c r="G102" s="75">
        <f t="shared" si="31"/>
        <v>564</v>
      </c>
      <c r="H102" s="28">
        <f t="shared" ca="1" si="32"/>
        <v>442.17157815720827</v>
      </c>
      <c r="I102" s="75">
        <f ca="1">(References!$D$61*H102)</f>
        <v>1.0567900717957293</v>
      </c>
      <c r="J102" s="75">
        <f ca="1">I102/References!$H$64</f>
        <v>1.0812257742947915</v>
      </c>
      <c r="K102" s="212">
        <v>29.87</v>
      </c>
      <c r="L102" s="38">
        <f t="shared" ca="1" si="35"/>
        <v>9.0102147857899287E-2</v>
      </c>
      <c r="M102" s="167">
        <f t="shared" ca="1" si="33"/>
        <v>29.960102147857899</v>
      </c>
      <c r="N102" s="80">
        <f>(E102/References!$C$11)*'DF Calculation'!K102</f>
        <v>82.716923076923095</v>
      </c>
      <c r="O102" s="80">
        <f ca="1">(E102/References!$C$11)*'DF Calculation'!M102</f>
        <v>82.966436717144958</v>
      </c>
      <c r="P102" s="80">
        <f t="shared" ca="1" si="34"/>
        <v>0.2495136402218634</v>
      </c>
      <c r="Q102" s="16">
        <f ca="1">((F102*$D$89)*(References!$D$61/References!$H$64))-L102</f>
        <v>0</v>
      </c>
      <c r="R102" s="75"/>
    </row>
    <row r="103" spans="1:18">
      <c r="A103" s="477"/>
      <c r="B103" s="29">
        <v>28</v>
      </c>
      <c r="C103" s="78" t="s">
        <v>176</v>
      </c>
      <c r="D103" s="41" t="str">
        <f>VLOOKUP(C103,Mapping!$C$2:$H$158,6,FALSE)</f>
        <v>95 Gallon Cart On Call</v>
      </c>
      <c r="E103" s="75">
        <f>IFERROR(SUMIFS(Mapping!M:M,Mapping!A:A,"Multi Family",Mapping!D:D,'DF Calculation'!C103),0)</f>
        <v>12</v>
      </c>
      <c r="F103" s="75">
        <f>VLOOKUP(C103,Mapping!D:L,7,FALSE)</f>
        <v>68</v>
      </c>
      <c r="G103" s="75">
        <f t="shared" si="31"/>
        <v>816</v>
      </c>
      <c r="H103" s="28">
        <f t="shared" ca="1" si="32"/>
        <v>639.73760244021616</v>
      </c>
      <c r="I103" s="75">
        <f ca="1">(References!$D$61*H103)</f>
        <v>1.5289728698321188</v>
      </c>
      <c r="J103" s="75">
        <f ca="1">I103/References!$H$64</f>
        <v>1.5643266521711876</v>
      </c>
      <c r="K103" s="212">
        <v>41.81</v>
      </c>
      <c r="L103" s="38">
        <f t="shared" ca="1" si="35"/>
        <v>0.13036055434759897</v>
      </c>
      <c r="M103" s="167">
        <f t="shared" ca="1" si="33"/>
        <v>41.940360554347599</v>
      </c>
      <c r="N103" s="80">
        <f>(E103/References!$C$11)*'DF Calculation'!K103</f>
        <v>115.78153846153849</v>
      </c>
      <c r="O103" s="80">
        <f ca="1">(E103/References!$C$11)*'DF Calculation'!M103</f>
        <v>116.14253691973182</v>
      </c>
      <c r="P103" s="80">
        <f t="shared" ca="1" si="34"/>
        <v>0.36099845819333609</v>
      </c>
      <c r="Q103" s="16">
        <f ca="1">((F103*$D$89)*(References!$D$61/References!$H$64))-L103</f>
        <v>0</v>
      </c>
      <c r="R103" s="75"/>
    </row>
    <row r="104" spans="1:18" ht="14.25" customHeight="1">
      <c r="A104" s="477"/>
      <c r="B104" s="29">
        <v>29</v>
      </c>
      <c r="C104" s="78" t="s">
        <v>236</v>
      </c>
      <c r="D104" s="41" t="str">
        <f>VLOOKUP(C104,Mapping!$C$2:$H$158,6,FALSE)</f>
        <v>20 Gallon Cart Count Regular</v>
      </c>
      <c r="E104" s="75">
        <f>IFERROR(SUMIFS(Mapping!M:M,Mapping!A:A,"Multi Family",Mapping!D:D,'DF Calculation'!C104),0)</f>
        <v>12</v>
      </c>
      <c r="F104" s="75">
        <f>VLOOKUP(C104,Mapping!D:L,7,FALSE)</f>
        <v>20</v>
      </c>
      <c r="G104" s="75">
        <f t="shared" si="31"/>
        <v>240</v>
      </c>
      <c r="H104" s="28">
        <f t="shared" ca="1" si="32"/>
        <v>188.15811836476948</v>
      </c>
      <c r="I104" s="75">
        <f ca="1">(References!$D$61*H104)</f>
        <v>0.44969790289179967</v>
      </c>
      <c r="J104" s="75">
        <f ca="1">I104/References!$H$64</f>
        <v>0.46009607416799636</v>
      </c>
      <c r="K104" s="212">
        <v>3.91</v>
      </c>
      <c r="L104" s="38">
        <f t="shared" ca="1" si="35"/>
        <v>3.8341339513999699E-2</v>
      </c>
      <c r="M104" s="167">
        <f t="shared" ca="1" si="33"/>
        <v>3.9483413395139997</v>
      </c>
      <c r="N104" s="80">
        <f>(E104/References!$C$11)*'DF Calculation'!K104</f>
        <v>10.82769230769231</v>
      </c>
      <c r="O104" s="80">
        <f ca="1">(E104/References!$C$11)*'DF Calculation'!M104</f>
        <v>10.933868324808001</v>
      </c>
      <c r="P104" s="80">
        <f t="shared" ca="1" si="34"/>
        <v>0.10617601711569158</v>
      </c>
      <c r="Q104" s="16">
        <f ca="1">((F104*$D$89)*(References!$D$61/References!$H$64))-L104</f>
        <v>0</v>
      </c>
      <c r="R104" s="75"/>
    </row>
    <row r="105" spans="1:18" ht="14.25" customHeight="1">
      <c r="A105" s="477"/>
      <c r="B105" s="29">
        <v>29</v>
      </c>
      <c r="C105" s="78" t="s">
        <v>232</v>
      </c>
      <c r="D105" s="41" t="str">
        <f>VLOOKUP(C105,Mapping!$C$2:$H$158,6,FALSE)</f>
        <v>95 Gallon Cart Count Regular</v>
      </c>
      <c r="E105" s="75">
        <f>IFERROR(SUMIFS(Mapping!M:M,Mapping!A:A,"Multi Family",Mapping!D:D,'DF Calculation'!C105),0)</f>
        <v>12</v>
      </c>
      <c r="F105" s="75">
        <f>VLOOKUP(C105,Mapping!D:L,7,FALSE)</f>
        <v>68</v>
      </c>
      <c r="G105" s="75">
        <f t="shared" si="31"/>
        <v>816</v>
      </c>
      <c r="H105" s="28">
        <f t="shared" ca="1" si="32"/>
        <v>639.73760244021616</v>
      </c>
      <c r="I105" s="75">
        <f ca="1">(References!$D$61*H105)</f>
        <v>1.5289728698321188</v>
      </c>
      <c r="J105" s="75">
        <f ca="1">I105/References!$H$64</f>
        <v>1.5643266521711876</v>
      </c>
      <c r="K105" s="211">
        <v>10.119999999999999</v>
      </c>
      <c r="L105" s="38">
        <f t="shared" ca="1" si="35"/>
        <v>0.13036055434759897</v>
      </c>
      <c r="M105" s="167">
        <f t="shared" ca="1" si="33"/>
        <v>10.250360554347598</v>
      </c>
      <c r="N105" s="80">
        <f>E105*'DF Calculation'!K105</f>
        <v>121.44</v>
      </c>
      <c r="O105" s="80">
        <f ca="1">(E105*'DF Calculation'!M105)</f>
        <v>123.00432665217117</v>
      </c>
      <c r="P105" s="80">
        <f t="shared" ca="1" si="34"/>
        <v>1.5643266521711752</v>
      </c>
      <c r="Q105" s="16">
        <f ca="1">((F105*$D$89)*(References!$D$61/References!$H$64))-L105</f>
        <v>0</v>
      </c>
      <c r="R105" s="75"/>
    </row>
    <row r="106" spans="1:18" ht="14.25" customHeight="1">
      <c r="A106" s="477"/>
      <c r="B106" s="29">
        <v>30</v>
      </c>
      <c r="C106" s="78" t="s">
        <v>224</v>
      </c>
      <c r="D106" s="41" t="str">
        <f>VLOOKUP(C106,Mapping!$C$2:$H$158,6,FALSE)</f>
        <v>1.5 yard Extra</v>
      </c>
      <c r="E106" s="75">
        <f>IFERROR(SUMIFS(Mapping!M:M,Mapping!A:A,"Multi Family",Mapping!D:D,'DF Calculation'!C106),0)</f>
        <v>12</v>
      </c>
      <c r="F106" s="75">
        <f>VLOOKUP(C106,Mapping!D:L,7,FALSE)</f>
        <v>250</v>
      </c>
      <c r="G106" s="75">
        <f t="shared" si="31"/>
        <v>3000</v>
      </c>
      <c r="H106" s="28">
        <f t="shared" ca="1" si="32"/>
        <v>2351.9764795596184</v>
      </c>
      <c r="I106" s="75">
        <f ca="1">(References!$D$61*H106)</f>
        <v>5.6212237861474952</v>
      </c>
      <c r="J106" s="75">
        <f ca="1">I106/References!$H$64</f>
        <v>5.751200927099954</v>
      </c>
      <c r="K106" s="211">
        <v>42.03</v>
      </c>
      <c r="L106" s="38">
        <f t="shared" ca="1" si="35"/>
        <v>0.47926674392499619</v>
      </c>
      <c r="M106" s="167">
        <f t="shared" ca="1" si="33"/>
        <v>42.509266743924996</v>
      </c>
      <c r="N106" s="80">
        <f>E106*'DF Calculation'!K106</f>
        <v>504.36</v>
      </c>
      <c r="O106" s="80">
        <f ca="1">(E106*'DF Calculation'!M106)</f>
        <v>510.11120092709996</v>
      </c>
      <c r="P106" s="80">
        <f t="shared" ca="1" si="34"/>
        <v>5.7512009270999442</v>
      </c>
      <c r="Q106" s="16">
        <f ca="1">((F106*$D$89)*(References!$D$61/References!$H$64))-L106</f>
        <v>0</v>
      </c>
      <c r="R106" s="75"/>
    </row>
    <row r="107" spans="1:18">
      <c r="A107" s="477"/>
      <c r="B107" s="29">
        <v>30</v>
      </c>
      <c r="C107" s="78" t="s">
        <v>234</v>
      </c>
      <c r="D107" s="41" t="str">
        <f>VLOOKUP(C107,Mapping!$C$2:$H$158,6,FALSE)</f>
        <v>4 yard Temp</v>
      </c>
      <c r="E107" s="75">
        <f>IFERROR(SUMIFS(Mapping!M:M,Mapping!A:A,"Multi Family",Mapping!D:D,'DF Calculation'!C107),0)</f>
        <v>12</v>
      </c>
      <c r="F107" s="75">
        <f>VLOOKUP(C107,Mapping!D:L,7,FALSE)</f>
        <v>613</v>
      </c>
      <c r="G107" s="75">
        <f t="shared" si="31"/>
        <v>7356</v>
      </c>
      <c r="H107" s="28">
        <f t="shared" ca="1" si="32"/>
        <v>5767.0463278801844</v>
      </c>
      <c r="I107" s="75">
        <f ca="1">(References!$D$61*H107)</f>
        <v>13.783240723633659</v>
      </c>
      <c r="J107" s="75">
        <f ca="1">I107/References!$H$64</f>
        <v>14.101944673249088</v>
      </c>
      <c r="K107" s="212">
        <v>103.53</v>
      </c>
      <c r="L107" s="38">
        <f t="shared" ca="1" si="35"/>
        <v>1.1751620561040907</v>
      </c>
      <c r="M107" s="167">
        <f t="shared" ca="1" si="33"/>
        <v>104.70516205610409</v>
      </c>
      <c r="N107" s="80">
        <f>(E107/References!$C$11)*'DF Calculation'!K107</f>
        <v>286.69846153846157</v>
      </c>
      <c r="O107" s="80">
        <f ca="1">(E107/References!$C$11)*'DF Calculation'!M107</f>
        <v>289.95275646305748</v>
      </c>
      <c r="P107" s="80">
        <f t="shared" ca="1" si="34"/>
        <v>3.2542949245959107</v>
      </c>
      <c r="Q107" s="16">
        <f ca="1">((F107*$D$89)*(References!$D$61/References!$H$64))-L107</f>
        <v>0</v>
      </c>
      <c r="R107" s="75"/>
    </row>
    <row r="108" spans="1:18">
      <c r="A108" s="477"/>
      <c r="B108" s="29">
        <v>30</v>
      </c>
      <c r="C108" s="157" t="s">
        <v>235</v>
      </c>
      <c r="D108" s="41" t="str">
        <f>VLOOKUP(C108,Mapping!$C$2:$H$158,6,FALSE)</f>
        <v>6 yard Temp</v>
      </c>
      <c r="E108" s="75">
        <f>IFERROR(SUMIFS(Mapping!M:M,Mapping!A:A,"Multi Family",Mapping!D:D,'DF Calculation'!C108),0)</f>
        <v>12</v>
      </c>
      <c r="F108" s="75">
        <f>VLOOKUP(C108,Mapping!D:L,7,FALSE)</f>
        <v>840</v>
      </c>
      <c r="G108" s="75">
        <f t="shared" si="31"/>
        <v>10080</v>
      </c>
      <c r="H108" s="28">
        <f t="shared" ca="1" si="32"/>
        <v>7902.6409713203175</v>
      </c>
      <c r="I108" s="75">
        <f ca="1">(References!$D$61*H108)</f>
        <v>18.887311921455584</v>
      </c>
      <c r="J108" s="75">
        <f ca="1">I108/References!$H$64</f>
        <v>19.324035115055846</v>
      </c>
      <c r="K108" s="212">
        <v>145.02000000000001</v>
      </c>
      <c r="L108" s="38">
        <f t="shared" ca="1" si="35"/>
        <v>1.6103362595879871</v>
      </c>
      <c r="M108" s="167">
        <f t="shared" ca="1" si="33"/>
        <v>146.63033625958801</v>
      </c>
      <c r="N108" s="80">
        <f>(E108/References!$C$11)*'DF Calculation'!K108</f>
        <v>401.59384615384624</v>
      </c>
      <c r="O108" s="80">
        <f ca="1">(E108/References!$C$11)*'DF Calculation'!M108</f>
        <v>406.05323887270532</v>
      </c>
      <c r="P108" s="80">
        <f t="shared" ca="1" si="34"/>
        <v>4.4593927188590783</v>
      </c>
      <c r="Q108" s="16">
        <f ca="1">((F108*$D$89)*(References!$D$61/References!$H$64))-L108</f>
        <v>0</v>
      </c>
      <c r="R108" s="75"/>
    </row>
    <row r="109" spans="1:18">
      <c r="A109" s="477"/>
      <c r="B109" s="29">
        <v>48</v>
      </c>
      <c r="C109" s="157" t="s">
        <v>280</v>
      </c>
      <c r="D109" s="41" t="str">
        <f>VLOOKUP(C109,Mapping!$C$2:$H$158,6,FALSE)</f>
        <v>2 yard Special and Temporary</v>
      </c>
      <c r="E109" s="75">
        <f>IFERROR(SUMIFS(Mapping!M:M,Mapping!A:A,"Multi Family",Mapping!D:D,'DF Calculation'!C109),0)</f>
        <v>12</v>
      </c>
      <c r="F109" s="75">
        <f>VLOOKUP(C109,Mapping!D:L,7,FALSE)</f>
        <v>729</v>
      </c>
      <c r="G109" s="75">
        <f t="shared" si="31"/>
        <v>8748</v>
      </c>
      <c r="H109" s="28">
        <f t="shared" ca="1" si="32"/>
        <v>6858.363414395847</v>
      </c>
      <c r="I109" s="75">
        <f ca="1">(References!$D$61*H109)</f>
        <v>16.391488560406096</v>
      </c>
      <c r="J109" s="75">
        <f ca="1">I109/References!$H$64</f>
        <v>16.770501903423465</v>
      </c>
      <c r="K109" s="212">
        <v>113.97</v>
      </c>
      <c r="L109" s="38">
        <f t="shared" ca="1" si="35"/>
        <v>1.3975418252852887</v>
      </c>
      <c r="M109" s="167">
        <f t="shared" ca="1" si="33"/>
        <v>115.36754182528529</v>
      </c>
      <c r="N109" s="80">
        <f>(E109/References!$C$11)*'DF Calculation'!K109</f>
        <v>315.60923076923081</v>
      </c>
      <c r="O109" s="80">
        <f ca="1">(E109/References!$C$11)*'DF Calculation'!M109</f>
        <v>319.47934659309777</v>
      </c>
      <c r="P109" s="80">
        <f t="shared" ca="1" si="34"/>
        <v>3.8701158238669677</v>
      </c>
      <c r="Q109" s="16">
        <f ca="1">((F109*$D$89)*(References!$D$61/References!$H$64))-L109</f>
        <v>0</v>
      </c>
      <c r="R109" s="75"/>
    </row>
    <row r="110" spans="1:18">
      <c r="A110" s="477"/>
      <c r="B110" s="29">
        <v>48</v>
      </c>
      <c r="C110" s="157" t="s">
        <v>278</v>
      </c>
      <c r="D110" s="41" t="str">
        <f>VLOOKUP(C110,Mapping!$C$2:$H$158,6,FALSE)</f>
        <v>4 yard Special and Temporary</v>
      </c>
      <c r="E110" s="75">
        <f>IFERROR(SUMIFS(Mapping!M:M,Mapping!A:A,"Multi Family",Mapping!D:D,'DF Calculation'!C110),0)</f>
        <v>12</v>
      </c>
      <c r="F110" s="75">
        <f>VLOOKUP(C110,Mapping!D:L,7,FALSE)</f>
        <v>1379.25</v>
      </c>
      <c r="G110" s="75">
        <f t="shared" si="31"/>
        <v>16551</v>
      </c>
      <c r="H110" s="28">
        <f t="shared" ca="1" si="32"/>
        <v>12975.854237730415</v>
      </c>
      <c r="I110" s="75">
        <f ca="1">(References!$D$61*H110)</f>
        <v>31.012291628175735</v>
      </c>
      <c r="J110" s="75">
        <f ca="1">I110/References!$H$64</f>
        <v>31.729375514810449</v>
      </c>
      <c r="K110" s="212">
        <v>205.04</v>
      </c>
      <c r="L110" s="38">
        <f t="shared" ca="1" si="35"/>
        <v>2.6441146262342041</v>
      </c>
      <c r="M110" s="167">
        <f t="shared" ca="1" si="33"/>
        <v>207.68411462623419</v>
      </c>
      <c r="N110" s="80">
        <f>(E110/References!$C$11)*'DF Calculation'!K110</f>
        <v>567.80307692307701</v>
      </c>
      <c r="O110" s="80">
        <f ca="1">(E110/References!$C$11)*'DF Calculation'!M110</f>
        <v>575.12524050341779</v>
      </c>
      <c r="P110" s="80">
        <f t="shared" ca="1" si="34"/>
        <v>7.3221635803407707</v>
      </c>
      <c r="Q110" s="16">
        <f ca="1">((F110*$D$89)*(References!$D$61/References!$H$64))-L110</f>
        <v>0</v>
      </c>
      <c r="R110" s="75"/>
    </row>
    <row r="111" spans="1:18">
      <c r="A111" s="477"/>
      <c r="B111" s="29">
        <v>48</v>
      </c>
      <c r="C111" s="157" t="s">
        <v>238</v>
      </c>
      <c r="D111" s="41" t="str">
        <f>VLOOKUP(C111,Mapping!$C$2:$H$158,6,FALSE)</f>
        <v>6 yard Regular</v>
      </c>
      <c r="E111" s="75">
        <f>IFERROR(SUMIFS(Mapping!M:M,Mapping!A:A,"Multi Family",Mapping!D:D,'DF Calculation'!C111),0)</f>
        <v>52</v>
      </c>
      <c r="F111" s="75">
        <f>VLOOKUP(C111,Mapping!D:L,7,FALSE)</f>
        <v>1890</v>
      </c>
      <c r="G111" s="75">
        <f t="shared" si="31"/>
        <v>98280</v>
      </c>
      <c r="H111" s="28">
        <f t="shared" ca="1" si="32"/>
        <v>77050.749470373106</v>
      </c>
      <c r="I111" s="75">
        <f ca="1">(References!$D$61*H111)</f>
        <v>184.15129123419197</v>
      </c>
      <c r="J111" s="75">
        <f ca="1">I111/References!$H$64</f>
        <v>188.40934237179451</v>
      </c>
      <c r="K111" s="212">
        <v>282.31</v>
      </c>
      <c r="L111" s="38">
        <f t="shared" ca="1" si="35"/>
        <v>3.6232565840729714</v>
      </c>
      <c r="M111" s="167">
        <f t="shared" ca="1" si="33"/>
        <v>285.93325658407298</v>
      </c>
      <c r="N111" s="80">
        <f>(E111/References!$C$11)*'DF Calculation'!K111</f>
        <v>3387.7200000000003</v>
      </c>
      <c r="O111" s="80">
        <f ca="1">(E111/References!$C$11)*'DF Calculation'!M111</f>
        <v>3431.1990790088757</v>
      </c>
      <c r="P111" s="80">
        <f t="shared" ca="1" si="34"/>
        <v>43.479079008875487</v>
      </c>
      <c r="Q111" s="16">
        <f ca="1">((F111*$D$89)*(References!$D$61/References!$H$64))-L111</f>
        <v>0</v>
      </c>
      <c r="R111" s="75"/>
    </row>
    <row r="112" spans="1:18">
      <c r="A112" s="477"/>
      <c r="B112" s="29">
        <v>48</v>
      </c>
      <c r="C112" s="157" t="s">
        <v>279</v>
      </c>
      <c r="D112" s="41" t="str">
        <f>VLOOKUP(C112,Mapping!$C$2:$H$158,6,FALSE)</f>
        <v>6 yard Special and Temporary</v>
      </c>
      <c r="E112" s="75">
        <f>IFERROR(SUMIFS(Mapping!M:M,Mapping!A:A,"Multi Family",Mapping!D:D,'DF Calculation'!C112),0)</f>
        <v>12</v>
      </c>
      <c r="F112" s="75">
        <f>VLOOKUP(C112,Mapping!D:L,7,FALSE)</f>
        <v>1890</v>
      </c>
      <c r="G112" s="75">
        <f t="shared" si="31"/>
        <v>22680</v>
      </c>
      <c r="H112" s="28">
        <f t="shared" ca="1" si="32"/>
        <v>17780.942185470714</v>
      </c>
      <c r="I112" s="75">
        <f ca="1">(References!$D$61*H112)</f>
        <v>42.496451823275066</v>
      </c>
      <c r="J112" s="75">
        <f ca="1">I112/References!$H$64</f>
        <v>43.479079008875651</v>
      </c>
      <c r="K112" s="212">
        <v>288.94</v>
      </c>
      <c r="L112" s="38">
        <f t="shared" ca="1" si="35"/>
        <v>3.6232565840729709</v>
      </c>
      <c r="M112" s="167">
        <f t="shared" ca="1" si="33"/>
        <v>292.56325658407297</v>
      </c>
      <c r="N112" s="80">
        <f>(E112/References!$C$11)*'DF Calculation'!K112</f>
        <v>800.14153846153852</v>
      </c>
      <c r="O112" s="80">
        <f ca="1">(E112/References!$C$11)*'DF Calculation'!M112</f>
        <v>810.1751720789714</v>
      </c>
      <c r="P112" s="80">
        <f t="shared" ca="1" si="34"/>
        <v>10.033633617432884</v>
      </c>
      <c r="Q112" s="16">
        <f ca="1">((F112*$D$89)*(References!$D$61/References!$H$64))-L112</f>
        <v>0</v>
      </c>
      <c r="R112" s="75"/>
    </row>
    <row r="113" spans="1:18">
      <c r="A113" s="477"/>
      <c r="B113" s="29">
        <v>48</v>
      </c>
      <c r="C113" s="157" t="s">
        <v>204</v>
      </c>
      <c r="D113" s="41" t="str">
        <f>VLOOKUP(C113,Mapping!$C$2:$H$158,6,FALSE)</f>
        <v>4 yard Regular</v>
      </c>
      <c r="E113" s="75">
        <f>IFERROR(SUMIFS(Mapping!M:M,Mapping!A:A,"Multi Family",Mapping!D:D,'DF Calculation'!C113),0)</f>
        <v>52</v>
      </c>
      <c r="F113" s="75">
        <f>VLOOKUP(C113,Mapping!D:L,7,FALSE)</f>
        <v>1379.25</v>
      </c>
      <c r="G113" s="75">
        <f t="shared" si="31"/>
        <v>71721</v>
      </c>
      <c r="H113" s="28">
        <f t="shared" ca="1" si="32"/>
        <v>56228.701696831798</v>
      </c>
      <c r="I113" s="75">
        <f ca="1">(References!$D$61*H113)</f>
        <v>134.38659705542818</v>
      </c>
      <c r="J113" s="75">
        <f ca="1">I113/References!$H$64</f>
        <v>137.49396056417862</v>
      </c>
      <c r="K113" s="212">
        <v>198.43</v>
      </c>
      <c r="L113" s="38">
        <f t="shared" ca="1" si="35"/>
        <v>2.6441146262342041</v>
      </c>
      <c r="M113" s="167">
        <f t="shared" ca="1" si="33"/>
        <v>201.07411462623421</v>
      </c>
      <c r="N113" s="80">
        <f>(E113/References!$C$11)*'DF Calculation'!K113</f>
        <v>2381.16</v>
      </c>
      <c r="O113" s="80">
        <f ca="1">(E113/References!$C$11)*'DF Calculation'!M113</f>
        <v>2412.8893755148106</v>
      </c>
      <c r="P113" s="80">
        <f t="shared" ca="1" si="34"/>
        <v>31.729375514810727</v>
      </c>
      <c r="Q113" s="16">
        <f ca="1">((F113*$D$89)*(References!$D$61/References!$H$64))-L113</f>
        <v>0</v>
      </c>
      <c r="R113" s="75"/>
    </row>
    <row r="114" spans="1:18">
      <c r="A114" s="477"/>
      <c r="B114" s="29">
        <v>49</v>
      </c>
      <c r="C114" s="157" t="s">
        <v>247</v>
      </c>
      <c r="D114" s="41" t="str">
        <f>VLOOKUP(C114,Mapping!$C$2:$H$158,6,FALSE)</f>
        <v>2 yard Regular</v>
      </c>
      <c r="E114" s="75">
        <f>IFERROR(SUMIFS(Mapping!M:M,Mapping!A:A,"Multi Family",Mapping!D:D,'DF Calculation'!C114),0)</f>
        <v>52</v>
      </c>
      <c r="F114" s="75">
        <f>VLOOKUP(C114,Mapping!D:L,7,FALSE)</f>
        <v>972</v>
      </c>
      <c r="G114" s="75">
        <f t="shared" si="31"/>
        <v>50544</v>
      </c>
      <c r="H114" s="28">
        <f t="shared" ca="1" si="32"/>
        <v>39626.099727620451</v>
      </c>
      <c r="I114" s="75">
        <f ca="1">(References!$D$61*H114)</f>
        <v>94.706378349013008</v>
      </c>
      <c r="J114" s="75">
        <f ca="1">I114/References!$H$64</f>
        <v>96.896233219780029</v>
      </c>
      <c r="K114" s="212">
        <v>137.88999999999999</v>
      </c>
      <c r="L114" s="38">
        <f t="shared" ca="1" si="35"/>
        <v>1.8633891003803851</v>
      </c>
      <c r="M114" s="167">
        <f t="shared" ca="1" si="33"/>
        <v>139.75338910038036</v>
      </c>
      <c r="N114" s="80">
        <f>(E114/References!$C$11)*'DF Calculation'!K114</f>
        <v>1654.6799999999998</v>
      </c>
      <c r="O114" s="80">
        <f ca="1">(E114/References!$C$11)*'DF Calculation'!M114</f>
        <v>1677.0406692045644</v>
      </c>
      <c r="P114" s="80">
        <f t="shared" ca="1" si="34"/>
        <v>22.360669204564601</v>
      </c>
      <c r="Q114" s="16">
        <f ca="1">((F114*$D$89)*(References!$D$61/References!$H$64))-L114</f>
        <v>0</v>
      </c>
      <c r="R114" s="75"/>
    </row>
    <row r="115" spans="1:18">
      <c r="A115" s="477"/>
      <c r="B115" s="29">
        <v>49</v>
      </c>
      <c r="C115" s="157" t="s">
        <v>281</v>
      </c>
      <c r="D115" s="41" t="str">
        <f>VLOOKUP(C115,Mapping!$C$2:$H$158,6,FALSE)</f>
        <v>2 yard Special and Temporary</v>
      </c>
      <c r="E115" s="75">
        <f>IFERROR(SUMIFS(Mapping!M:M,Mapping!A:A,"Multi Family",Mapping!D:D,'DF Calculation'!C115),0)</f>
        <v>12</v>
      </c>
      <c r="F115" s="75">
        <f>VLOOKUP(C115,Mapping!D:L,7,FALSE)</f>
        <v>972</v>
      </c>
      <c r="G115" s="75">
        <f t="shared" si="31"/>
        <v>11664</v>
      </c>
      <c r="H115" s="28">
        <f t="shared" ca="1" si="32"/>
        <v>9144.484552527796</v>
      </c>
      <c r="I115" s="75">
        <f ca="1">(References!$D$61*H115)</f>
        <v>21.855318080541462</v>
      </c>
      <c r="J115" s="75">
        <f ca="1">I115/References!$H$64</f>
        <v>22.360669204564623</v>
      </c>
      <c r="K115" s="212">
        <v>144.51</v>
      </c>
      <c r="L115" s="38">
        <f t="shared" ca="1" si="35"/>
        <v>1.8633891003803853</v>
      </c>
      <c r="M115" s="167">
        <f t="shared" ca="1" si="33"/>
        <v>146.37338910038036</v>
      </c>
      <c r="N115" s="80">
        <f>(E115/References!$C$11)*'DF Calculation'!K115</f>
        <v>400.18153846153848</v>
      </c>
      <c r="O115" s="80">
        <f ca="1">(E115/References!$C$11)*'DF Calculation'!M115</f>
        <v>405.34169289336108</v>
      </c>
      <c r="P115" s="80">
        <f t="shared" ca="1" si="34"/>
        <v>5.1601544318226047</v>
      </c>
      <c r="Q115" s="16">
        <f ca="1">((F115*$D$89)*(References!$D$61/References!$H$64))-L115</f>
        <v>0</v>
      </c>
      <c r="R115" s="75"/>
    </row>
    <row r="116" spans="1:18">
      <c r="A116" s="477"/>
      <c r="B116" s="29">
        <v>49</v>
      </c>
      <c r="C116" s="157" t="s">
        <v>248</v>
      </c>
      <c r="D116" s="41" t="str">
        <f>VLOOKUP(C116,Mapping!$C$2:$H$158,6,FALSE)</f>
        <v>3 yard Regular</v>
      </c>
      <c r="E116" s="75">
        <f>IFERROR(SUMIFS(Mapping!M:M,Mapping!A:A,"Multi Family",Mapping!D:D,'DF Calculation'!C116),0)</f>
        <v>52</v>
      </c>
      <c r="F116" s="75">
        <f>VLOOKUP(C116,Mapping!D:L,7,FALSE)</f>
        <v>1419</v>
      </c>
      <c r="G116" s="75">
        <f t="shared" si="31"/>
        <v>73788</v>
      </c>
      <c r="H116" s="28">
        <f t="shared" ca="1" si="32"/>
        <v>57849.213491248374</v>
      </c>
      <c r="I116" s="75">
        <f ca="1">(References!$D$61*H116)</f>
        <v>138.25962024408381</v>
      </c>
      <c r="J116" s="75">
        <f ca="1">I116/References!$H$64</f>
        <v>141.45653800295048</v>
      </c>
      <c r="K116" s="212">
        <v>191.91</v>
      </c>
      <c r="L116" s="38">
        <f t="shared" ca="1" si="35"/>
        <v>2.7203180385182786</v>
      </c>
      <c r="M116" s="167">
        <f t="shared" ca="1" si="33"/>
        <v>194.63031803851828</v>
      </c>
      <c r="N116" s="80">
        <f>(E116/References!$C$11)*'DF Calculation'!K116</f>
        <v>2302.92</v>
      </c>
      <c r="O116" s="80">
        <f ca="1">(E116/References!$C$11)*'DF Calculation'!M116</f>
        <v>2335.5638164622196</v>
      </c>
      <c r="P116" s="80">
        <f t="shared" ca="1" si="34"/>
        <v>32.643816462219547</v>
      </c>
      <c r="Q116" s="16">
        <f ca="1">((F116*$D$89)*(References!$D$61/References!$H$64))-L116</f>
        <v>0</v>
      </c>
      <c r="R116" s="75"/>
    </row>
    <row r="117" spans="1:18">
      <c r="A117" s="477"/>
      <c r="B117" s="29">
        <v>49</v>
      </c>
      <c r="C117" s="157" t="s">
        <v>282</v>
      </c>
      <c r="D117" s="41" t="str">
        <f>VLOOKUP(C117,Mapping!$C$2:$H$158,6,FALSE)</f>
        <v>3 yard Special and Temporary</v>
      </c>
      <c r="E117" s="75">
        <f>IFERROR(SUMIFS(Mapping!M:M,Mapping!A:A,"Multi Family",Mapping!D:D,'DF Calculation'!C117),0)</f>
        <v>12</v>
      </c>
      <c r="F117" s="75">
        <f>VLOOKUP(C117,Mapping!D:L,7,FALSE)</f>
        <v>1419</v>
      </c>
      <c r="G117" s="75">
        <f t="shared" si="31"/>
        <v>17028</v>
      </c>
      <c r="H117" s="28">
        <f t="shared" ca="1" si="32"/>
        <v>13349.818497980394</v>
      </c>
      <c r="I117" s="75">
        <f ca="1">(References!$D$61*H117)</f>
        <v>31.906066210173183</v>
      </c>
      <c r="J117" s="75">
        <f ca="1">I117/References!$H$64</f>
        <v>32.643816462219341</v>
      </c>
      <c r="K117" s="212">
        <v>198.54</v>
      </c>
      <c r="L117" s="38">
        <f t="shared" ca="1" si="35"/>
        <v>2.7203180385182786</v>
      </c>
      <c r="M117" s="167">
        <f t="shared" ca="1" si="33"/>
        <v>201.26031803851828</v>
      </c>
      <c r="N117" s="80">
        <f>(E117/References!$C$11)*'DF Calculation'!K117</f>
        <v>549.80307692307701</v>
      </c>
      <c r="O117" s="80">
        <f ca="1">(E117/References!$C$11)*'DF Calculation'!M117</f>
        <v>557.33626533743529</v>
      </c>
      <c r="P117" s="80">
        <f t="shared" ca="1" si="34"/>
        <v>7.5331884143582784</v>
      </c>
      <c r="Q117" s="16">
        <f ca="1">((F117*$D$89)*(References!$D$61/References!$H$64))-L117</f>
        <v>0</v>
      </c>
      <c r="R117" s="75"/>
    </row>
    <row r="118" spans="1:18">
      <c r="A118" s="477"/>
      <c r="B118" s="29">
        <v>49</v>
      </c>
      <c r="C118" s="157" t="s">
        <v>249</v>
      </c>
      <c r="D118" s="41" t="str">
        <f>VLOOKUP(C118,Mapping!$C$2:$H$158,6,FALSE)</f>
        <v>4 yard Regular</v>
      </c>
      <c r="E118" s="75">
        <f>IFERROR(SUMIFS(Mapping!M:M,Mapping!A:A,"Multi Family",Mapping!D:D,'DF Calculation'!C118),0)</f>
        <v>52</v>
      </c>
      <c r="F118" s="75">
        <f>VLOOKUP(C118,Mapping!D:L,7,FALSE)</f>
        <v>1839</v>
      </c>
      <c r="G118" s="75">
        <f t="shared" si="31"/>
        <v>95628</v>
      </c>
      <c r="H118" s="28">
        <f t="shared" ca="1" si="32"/>
        <v>74971.602262442393</v>
      </c>
      <c r="I118" s="75">
        <f ca="1">(References!$D$61*H118)</f>
        <v>179.18212940723757</v>
      </c>
      <c r="J118" s="75">
        <f ca="1">I118/References!$H$64</f>
        <v>183.32528075223814</v>
      </c>
      <c r="K118" s="212">
        <v>241.83</v>
      </c>
      <c r="L118" s="38">
        <f t="shared" ca="1" si="35"/>
        <v>3.525486168312272</v>
      </c>
      <c r="M118" s="167">
        <f t="shared" ca="1" si="33"/>
        <v>245.3554861683123</v>
      </c>
      <c r="N118" s="80">
        <f>(E118/References!$C$11)*'DF Calculation'!K118</f>
        <v>2901.96</v>
      </c>
      <c r="O118" s="80">
        <f ca="1">(E118/References!$C$11)*'DF Calculation'!M118</f>
        <v>2944.2658340197477</v>
      </c>
      <c r="P118" s="80">
        <f t="shared" ca="1" si="34"/>
        <v>42.305834019747635</v>
      </c>
      <c r="Q118" s="16">
        <f ca="1">((F118*$D$89)*(References!$D$61/References!$H$64))-L118</f>
        <v>0</v>
      </c>
      <c r="R118" s="75"/>
    </row>
    <row r="119" spans="1:18">
      <c r="A119" s="477"/>
      <c r="B119" s="29">
        <v>49</v>
      </c>
      <c r="C119" s="157" t="s">
        <v>277</v>
      </c>
      <c r="D119" s="41" t="str">
        <f>VLOOKUP(C119,Mapping!$C$2:$H$158,6,FALSE)</f>
        <v>4 yard Special and Temporary</v>
      </c>
      <c r="E119" s="75">
        <f>IFERROR(SUMIFS(Mapping!M:M,Mapping!A:A,"Multi Family",Mapping!D:D,'DF Calculation'!C119),0)</f>
        <v>12</v>
      </c>
      <c r="F119" s="75">
        <f>VLOOKUP(C119,Mapping!D:L,7,FALSE)</f>
        <v>1839</v>
      </c>
      <c r="G119" s="75">
        <f t="shared" si="31"/>
        <v>22068</v>
      </c>
      <c r="H119" s="28">
        <f t="shared" ca="1" si="32"/>
        <v>17301.138983640554</v>
      </c>
      <c r="I119" s="75">
        <f ca="1">(References!$D$61*H119)</f>
        <v>41.349722170900982</v>
      </c>
      <c r="J119" s="75">
        <f ca="1">I119/References!$H$64</f>
        <v>42.305834019747266</v>
      </c>
      <c r="K119" s="212">
        <v>248.44</v>
      </c>
      <c r="L119" s="38">
        <f t="shared" ca="1" si="35"/>
        <v>3.525486168312272</v>
      </c>
      <c r="M119" s="167">
        <f t="shared" ca="1" si="33"/>
        <v>251.96548616831228</v>
      </c>
      <c r="N119" s="80">
        <f>(E119/References!$C$11)*'DF Calculation'!K119</f>
        <v>687.98769230769244</v>
      </c>
      <c r="O119" s="80">
        <f ca="1">(E119/References!$C$11)*'DF Calculation'!M119</f>
        <v>697.75057708148029</v>
      </c>
      <c r="P119" s="80">
        <f t="shared" ca="1" si="34"/>
        <v>9.7628847737878459</v>
      </c>
      <c r="Q119" s="16">
        <f ca="1">((F119*$D$89)*(References!$D$61/References!$H$64))-L119</f>
        <v>0</v>
      </c>
      <c r="R119" s="75"/>
    </row>
    <row r="120" spans="1:18">
      <c r="A120" s="477"/>
      <c r="B120" s="29">
        <v>49</v>
      </c>
      <c r="C120" s="157" t="s">
        <v>241</v>
      </c>
      <c r="D120" s="41" t="str">
        <f>VLOOKUP(C120,Mapping!$C$2:$H$158,6,FALSE)</f>
        <v>6 yard Regular</v>
      </c>
      <c r="E120" s="75">
        <f>IFERROR(SUMIFS(Mapping!M:M,Mapping!A:A,"Multi Family",Mapping!D:D,'DF Calculation'!C120),0)</f>
        <v>52</v>
      </c>
      <c r="F120" s="75">
        <f>VLOOKUP(C120,Mapping!D:L,7,FALSE)</f>
        <v>2520</v>
      </c>
      <c r="G120" s="75">
        <f t="shared" si="31"/>
        <v>131040</v>
      </c>
      <c r="H120" s="28">
        <f t="shared" ca="1" si="32"/>
        <v>102734.33262716413</v>
      </c>
      <c r="I120" s="75">
        <f ca="1">(References!$D$61*H120)</f>
        <v>245.5350549789226</v>
      </c>
      <c r="J120" s="75">
        <f ca="1">I120/References!$H$64</f>
        <v>251.212456495726</v>
      </c>
      <c r="K120" s="212">
        <v>359.62</v>
      </c>
      <c r="L120" s="38">
        <f t="shared" ca="1" si="35"/>
        <v>4.8310087787639615</v>
      </c>
      <c r="M120" s="167">
        <f t="shared" ca="1" si="33"/>
        <v>364.45100877876399</v>
      </c>
      <c r="N120" s="80">
        <f>(E120/References!$C$11)*'DF Calculation'!K120</f>
        <v>4315.4400000000005</v>
      </c>
      <c r="O120" s="80">
        <f ca="1">(E120/References!$C$11)*'DF Calculation'!M120</f>
        <v>4373.4121053451681</v>
      </c>
      <c r="P120" s="80">
        <f t="shared" ca="1" si="34"/>
        <v>57.97210534516762</v>
      </c>
      <c r="Q120" s="16">
        <f ca="1">((F120*$D$89)*(References!$D$61/References!$H$64))-L120</f>
        <v>0</v>
      </c>
      <c r="R120" s="75"/>
    </row>
    <row r="121" spans="1:18">
      <c r="A121" s="477"/>
      <c r="B121" s="29">
        <v>49</v>
      </c>
      <c r="C121" s="157" t="s">
        <v>283</v>
      </c>
      <c r="D121" s="41" t="str">
        <f>VLOOKUP(C121,Mapping!$C$2:$H$158,6,FALSE)</f>
        <v>6 yard Special and Temporary</v>
      </c>
      <c r="E121" s="75">
        <f>IFERROR(SUMIFS(Mapping!M:M,Mapping!A:A,"Multi Family",Mapping!D:D,'DF Calculation'!C121),0)</f>
        <v>12</v>
      </c>
      <c r="F121" s="75">
        <f>VLOOKUP(C121,Mapping!D:L,7,FALSE)</f>
        <v>2520</v>
      </c>
      <c r="G121" s="75">
        <f t="shared" si="31"/>
        <v>30240</v>
      </c>
      <c r="H121" s="28">
        <f t="shared" ca="1" si="32"/>
        <v>23707.922913960952</v>
      </c>
      <c r="I121" s="75">
        <f ca="1">(References!$D$61*H121)</f>
        <v>56.661935764366753</v>
      </c>
      <c r="J121" s="75">
        <f ca="1">I121/References!$H$64</f>
        <v>57.972105345167535</v>
      </c>
      <c r="K121" s="212">
        <v>366.24</v>
      </c>
      <c r="L121" s="38">
        <f t="shared" ca="1" si="35"/>
        <v>4.8310087787639615</v>
      </c>
      <c r="M121" s="167">
        <f t="shared" ca="1" si="33"/>
        <v>371.071008778764</v>
      </c>
      <c r="N121" s="80">
        <f>(E121/References!$C$11)*'DF Calculation'!K121</f>
        <v>1014.2030769230771</v>
      </c>
      <c r="O121" s="80">
        <f ca="1">(E121/References!$C$11)*'DF Calculation'!M121</f>
        <v>1027.5812550796543</v>
      </c>
      <c r="P121" s="80">
        <f t="shared" ca="1" si="34"/>
        <v>13.378178156577178</v>
      </c>
      <c r="Q121" s="16">
        <f ca="1">((F121*$D$89)*(References!$D$61/References!$H$64))-L121</f>
        <v>0</v>
      </c>
      <c r="R121" s="75"/>
    </row>
    <row r="122" spans="1:18">
      <c r="A122" s="477"/>
      <c r="B122" s="29">
        <v>50</v>
      </c>
      <c r="C122" s="157" t="s">
        <v>240</v>
      </c>
      <c r="D122" s="41" t="str">
        <f>VLOOKUP(C122,Mapping!$C$2:$H$158,6,FALSE)</f>
        <v>3 yard Regular</v>
      </c>
      <c r="E122" s="75">
        <f>IFERROR(SUMIFS(Mapping!M:M,Mapping!A:A,"Multi Family",Mapping!D:D,'DF Calculation'!C122),0)</f>
        <v>52</v>
      </c>
      <c r="F122" s="75">
        <f>VLOOKUP(C122,Mapping!D:L,7,FALSE)</f>
        <v>1892</v>
      </c>
      <c r="G122" s="75">
        <f t="shared" ref="G122" si="36">E122*F122</f>
        <v>98384</v>
      </c>
      <c r="H122" s="28">
        <f t="shared" ca="1" si="32"/>
        <v>77132.284654997828</v>
      </c>
      <c r="I122" s="75">
        <f ca="1">(References!$D$61*H122)</f>
        <v>184.34616032544506</v>
      </c>
      <c r="J122" s="75">
        <f ca="1">I122/References!$H$64</f>
        <v>188.60871733726728</v>
      </c>
      <c r="K122" s="212">
        <v>236.62</v>
      </c>
      <c r="L122" s="38">
        <f t="shared" ca="1" si="35"/>
        <v>3.6270907180243706</v>
      </c>
      <c r="M122" s="167">
        <f t="shared" ca="1" si="33"/>
        <v>240.24709071802437</v>
      </c>
      <c r="N122" s="80">
        <f>(E122/References!$C$11)*'DF Calculation'!K122</f>
        <v>2839.44</v>
      </c>
      <c r="O122" s="80">
        <f ca="1">(E122/References!$C$11)*'DF Calculation'!M122</f>
        <v>2882.9650886162926</v>
      </c>
      <c r="P122" s="80">
        <f t="shared" ca="1" si="34"/>
        <v>43.525088616292578</v>
      </c>
      <c r="Q122" s="16">
        <f ca="1">((F122*$D$89)*(References!$D$61/References!$H$64))-L122</f>
        <v>0</v>
      </c>
      <c r="R122" s="75"/>
    </row>
    <row r="123" spans="1:18">
      <c r="A123" s="477"/>
      <c r="B123" s="29">
        <v>50</v>
      </c>
      <c r="C123" s="157" t="s">
        <v>284</v>
      </c>
      <c r="D123" s="41" t="str">
        <f>VLOOKUP(C123,Mapping!$C$2:$H$158,6,FALSE)</f>
        <v>3 yard Special and Temporary</v>
      </c>
      <c r="E123" s="75">
        <f>IFERROR(SUMIFS(Mapping!M:M,Mapping!A:A,"Multi Family",Mapping!D:D,'DF Calculation'!C123),0)</f>
        <v>12</v>
      </c>
      <c r="F123" s="75">
        <f>VLOOKUP(C123,Mapping!D:L,7,FALSE)</f>
        <v>1892</v>
      </c>
      <c r="G123" s="75">
        <f t="shared" ref="G123:G129" si="37">E123*F123</f>
        <v>22704</v>
      </c>
      <c r="H123" s="28">
        <f t="shared" ca="1" si="32"/>
        <v>17799.757997307192</v>
      </c>
      <c r="I123" s="75">
        <f ca="1">(References!$D$61*H123)</f>
        <v>42.541421613564246</v>
      </c>
      <c r="J123" s="75">
        <f ca="1">I123/References!$H$64</f>
        <v>43.52508861629245</v>
      </c>
      <c r="K123" s="212">
        <v>243.24</v>
      </c>
      <c r="L123" s="38">
        <f t="shared" ca="1" si="35"/>
        <v>3.627090718024371</v>
      </c>
      <c r="M123" s="167">
        <f t="shared" ca="1" si="33"/>
        <v>246.86709071802437</v>
      </c>
      <c r="N123" s="80">
        <f>(E123/References!$C$11)*'DF Calculation'!K123</f>
        <v>673.58769230769246</v>
      </c>
      <c r="O123" s="80">
        <f ca="1">(E123/References!$C$11)*'DF Calculation'!M123</f>
        <v>683.63194352683684</v>
      </c>
      <c r="P123" s="80">
        <f t="shared" ca="1" si="34"/>
        <v>10.044251219144371</v>
      </c>
      <c r="Q123" s="16">
        <f ca="1">((F123*$D$89)*(References!$D$61/References!$H$64))-L123</f>
        <v>0</v>
      </c>
      <c r="R123" s="75"/>
    </row>
    <row r="124" spans="1:18">
      <c r="A124" s="477"/>
      <c r="B124" s="29">
        <v>50</v>
      </c>
      <c r="C124" s="157" t="s">
        <v>287</v>
      </c>
      <c r="D124" s="41" t="str">
        <f>VLOOKUP(C124,Mapping!$C$2:$H$158,6,FALSE)</f>
        <v>4 yard Regular</v>
      </c>
      <c r="E124" s="75">
        <f>IFERROR(SUMIFS(Mapping!M:M,Mapping!A:A,"Multi Family",Mapping!D:D,'DF Calculation'!C124),0)</f>
        <v>52</v>
      </c>
      <c r="F124" s="75">
        <f>VLOOKUP(C124,Mapping!D:L,7,FALSE)</f>
        <v>2452</v>
      </c>
      <c r="G124" s="75">
        <f t="shared" si="37"/>
        <v>127504</v>
      </c>
      <c r="H124" s="28">
        <f t="shared" ca="1" si="32"/>
        <v>99962.136349923196</v>
      </c>
      <c r="I124" s="75">
        <f ca="1">(References!$D$61*H124)</f>
        <v>238.90950587631676</v>
      </c>
      <c r="J124" s="75">
        <f ca="1">I124/References!$H$64</f>
        <v>244.43370766965086</v>
      </c>
      <c r="K124" s="212">
        <v>312.14999999999998</v>
      </c>
      <c r="L124" s="38">
        <f t="shared" ca="1" si="35"/>
        <v>4.700648224416363</v>
      </c>
      <c r="M124" s="167">
        <f t="shared" ca="1" si="33"/>
        <v>316.85064822441632</v>
      </c>
      <c r="N124" s="80">
        <f>(E124/References!$C$11)*'DF Calculation'!K124</f>
        <v>3745.7999999999997</v>
      </c>
      <c r="O124" s="80">
        <f ca="1">(E124/References!$C$11)*'DF Calculation'!M124</f>
        <v>3802.2077786929958</v>
      </c>
      <c r="P124" s="80">
        <f t="shared" ca="1" si="34"/>
        <v>56.407778692996089</v>
      </c>
      <c r="Q124" s="16">
        <f ca="1">((F124*$D$89)*(References!$D$61/References!$H$64))-L124</f>
        <v>0</v>
      </c>
      <c r="R124" s="75"/>
    </row>
    <row r="125" spans="1:18">
      <c r="A125" s="477"/>
      <c r="B125" s="29">
        <v>50</v>
      </c>
      <c r="C125" s="157" t="s">
        <v>276</v>
      </c>
      <c r="D125" s="41" t="str">
        <f>VLOOKUP(C125,Mapping!$C$2:$H$158,6,FALSE)</f>
        <v>4 yard Special and Temporary</v>
      </c>
      <c r="E125" s="75">
        <f>IFERROR(SUMIFS(Mapping!M:M,Mapping!A:A,"Multi Family",Mapping!D:D,'DF Calculation'!C125),0)</f>
        <v>12</v>
      </c>
      <c r="F125" s="75">
        <f>VLOOKUP(C125,Mapping!D:L,7,FALSE)</f>
        <v>2452</v>
      </c>
      <c r="G125" s="75">
        <f t="shared" si="37"/>
        <v>29424</v>
      </c>
      <c r="H125" s="28">
        <f t="shared" ca="1" si="32"/>
        <v>23068.185311520738</v>
      </c>
      <c r="I125" s="75">
        <f ca="1">(References!$D$61*H125)</f>
        <v>55.132962894534636</v>
      </c>
      <c r="J125" s="75">
        <f ca="1">I125/References!$H$64</f>
        <v>56.407778692996352</v>
      </c>
      <c r="K125" s="212">
        <v>318.77</v>
      </c>
      <c r="L125" s="38">
        <f t="shared" ca="1" si="35"/>
        <v>4.700648224416363</v>
      </c>
      <c r="M125" s="167">
        <f t="shared" ca="1" si="33"/>
        <v>323.47064822441632</v>
      </c>
      <c r="N125" s="80">
        <f>(E125/References!$C$11)*'DF Calculation'!K125</f>
        <v>882.74769230769243</v>
      </c>
      <c r="O125" s="80">
        <f ca="1">(E125/References!$C$11)*'DF Calculation'!M125</f>
        <v>895.76487200607608</v>
      </c>
      <c r="P125" s="80">
        <f t="shared" ca="1" si="34"/>
        <v>13.017179698383643</v>
      </c>
      <c r="Q125" s="16">
        <f ca="1">((F125*$D$89)*(References!$D$61/References!$H$64))-L125</f>
        <v>0</v>
      </c>
      <c r="R125" s="75"/>
    </row>
    <row r="126" spans="1:18">
      <c r="A126" s="477"/>
      <c r="B126" s="29">
        <v>50</v>
      </c>
      <c r="C126" s="157" t="s">
        <v>239</v>
      </c>
      <c r="D126" s="41" t="str">
        <f>VLOOKUP(C126,Mapping!$C$2:$H$158,6,FALSE)</f>
        <v>6 yard Regular</v>
      </c>
      <c r="E126" s="75">
        <f>IFERROR(SUMIFS(Mapping!M:M,Mapping!A:A,"Multi Family",Mapping!D:D,'DF Calculation'!C126),0)</f>
        <v>52</v>
      </c>
      <c r="F126" s="75">
        <f>VLOOKUP(C126,Mapping!D:L,7,FALSE)</f>
        <v>3360</v>
      </c>
      <c r="G126" s="75">
        <f t="shared" si="37"/>
        <v>174720</v>
      </c>
      <c r="H126" s="28">
        <f t="shared" ca="1" si="32"/>
        <v>136979.11016955218</v>
      </c>
      <c r="I126" s="75">
        <f ca="1">(References!$D$61*H126)</f>
        <v>327.38007330523016</v>
      </c>
      <c r="J126" s="75">
        <f ca="1">I126/References!$H$64</f>
        <v>334.94994199430135</v>
      </c>
      <c r="K126" s="212">
        <v>459.96</v>
      </c>
      <c r="L126" s="38">
        <f t="shared" ca="1" si="35"/>
        <v>6.4413450383519493</v>
      </c>
      <c r="M126" s="167">
        <f t="shared" ca="1" si="33"/>
        <v>466.40134503835191</v>
      </c>
      <c r="N126" s="80">
        <f>(E126/References!$C$11)*'DF Calculation'!K126</f>
        <v>5519.5199999999995</v>
      </c>
      <c r="O126" s="80">
        <f ca="1">(E126/References!$C$11)*'DF Calculation'!M126</f>
        <v>5596.8161404602233</v>
      </c>
      <c r="P126" s="80">
        <f t="shared" ca="1" si="34"/>
        <v>77.296140460223796</v>
      </c>
      <c r="Q126" s="16">
        <f ca="1">((F126*$D$89)*(References!$D$61/References!$H$64))-L126</f>
        <v>0</v>
      </c>
      <c r="R126" s="75"/>
    </row>
    <row r="127" spans="1:18">
      <c r="A127" s="477"/>
      <c r="B127" s="29">
        <v>50</v>
      </c>
      <c r="C127" s="157" t="s">
        <v>285</v>
      </c>
      <c r="D127" s="41" t="str">
        <f>VLOOKUP(C127,Mapping!$C$2:$H$158,6,FALSE)</f>
        <v>6 yard Special and Temporary</v>
      </c>
      <c r="E127" s="75">
        <f>IFERROR(SUMIFS(Mapping!M:M,Mapping!A:A,"Multi Family",Mapping!D:D,'DF Calculation'!C127),0)</f>
        <v>12</v>
      </c>
      <c r="F127" s="75">
        <f>VLOOKUP(C127,Mapping!D:L,7,FALSE)</f>
        <v>3360</v>
      </c>
      <c r="G127" s="75">
        <f t="shared" si="37"/>
        <v>40320</v>
      </c>
      <c r="H127" s="28">
        <f t="shared" ca="1" si="32"/>
        <v>31610.56388528127</v>
      </c>
      <c r="I127" s="75">
        <f ca="1">(References!$D$61*H127)</f>
        <v>75.549247685822337</v>
      </c>
      <c r="J127" s="75">
        <f ca="1">I127/References!$H$64</f>
        <v>77.296140460223384</v>
      </c>
      <c r="K127" s="212">
        <v>456.45</v>
      </c>
      <c r="L127" s="38">
        <f t="shared" ca="1" si="35"/>
        <v>6.4413450383519484</v>
      </c>
      <c r="M127" s="167">
        <f t="shared" ca="1" si="33"/>
        <v>462.89134503835191</v>
      </c>
      <c r="N127" s="80">
        <f>(E127/References!$C$11)*'DF Calculation'!K127</f>
        <v>1264.0153846153848</v>
      </c>
      <c r="O127" s="80">
        <f ca="1">(E127/References!$C$11)*'DF Calculation'!M127</f>
        <v>1281.8529554908209</v>
      </c>
      <c r="P127" s="80">
        <f t="shared" ca="1" si="34"/>
        <v>17.837570875436086</v>
      </c>
      <c r="Q127" s="16">
        <f ca="1">((F127*$D$89)*(References!$D$61/References!$H$64))-L127</f>
        <v>0</v>
      </c>
    </row>
    <row r="128" spans="1:18">
      <c r="A128" s="477"/>
      <c r="B128" s="29">
        <v>51</v>
      </c>
      <c r="C128" s="41" t="s">
        <v>250</v>
      </c>
      <c r="D128" s="41" t="str">
        <f>VLOOKUP(C128,Mapping!$C$2:$H$158,6,FALSE)</f>
        <v>6 yard Regular</v>
      </c>
      <c r="E128" s="75">
        <f>IFERROR(SUMIFS(Mapping!M:M,Mapping!A:A,"Multi Family",Mapping!D:D,'DF Calculation'!C128),0)</f>
        <v>52</v>
      </c>
      <c r="F128" s="75">
        <f>VLOOKUP(C128,Mapping!D:L,7,FALSE)</f>
        <v>4200</v>
      </c>
      <c r="G128" s="75">
        <f t="shared" si="37"/>
        <v>218400</v>
      </c>
      <c r="H128" s="28">
        <f t="shared" ca="1" si="32"/>
        <v>171223.88771194022</v>
      </c>
      <c r="I128" s="75">
        <f ca="1">(References!$D$61*H128)</f>
        <v>409.22509163153768</v>
      </c>
      <c r="J128" s="75">
        <f ca="1">I128/References!$H$64</f>
        <v>418.68742749287668</v>
      </c>
      <c r="K128" s="212">
        <v>518.6</v>
      </c>
      <c r="L128" s="38">
        <f t="shared" ca="1" si="35"/>
        <v>8.0516812979399361</v>
      </c>
      <c r="M128" s="167">
        <f t="shared" ca="1" si="33"/>
        <v>526.65168129793994</v>
      </c>
      <c r="N128" s="80">
        <f>(E128/References!$C$11)*'DF Calculation'!K128</f>
        <v>6223.2000000000007</v>
      </c>
      <c r="O128" s="80">
        <f ca="1">(E128/References!$C$11)*'DF Calculation'!M128</f>
        <v>6319.8201755752798</v>
      </c>
      <c r="P128" s="80">
        <f t="shared" ca="1" si="34"/>
        <v>96.620175575279063</v>
      </c>
      <c r="Q128" s="16">
        <f ca="1">((F128*$D$89)*(References!$D$61/References!$H$64))-L128</f>
        <v>0</v>
      </c>
      <c r="R128" s="75"/>
    </row>
    <row r="129" spans="1:18" ht="15.75" thickBot="1">
      <c r="A129" s="478"/>
      <c r="B129" s="29">
        <v>51</v>
      </c>
      <c r="C129" s="41" t="s">
        <v>286</v>
      </c>
      <c r="D129" s="41" t="str">
        <f>VLOOKUP(C129,Mapping!$C$2:$H$158,6,FALSE)</f>
        <v>6 yard Special and Temporary</v>
      </c>
      <c r="E129" s="75">
        <f>IFERROR(SUMIFS(Mapping!M:M,Mapping!A:A,"Multi Family",Mapping!D:D,'DF Calculation'!C129),0)</f>
        <v>12</v>
      </c>
      <c r="F129" s="75">
        <f>VLOOKUP(C129,Mapping!D:L,7,FALSE)</f>
        <v>4200</v>
      </c>
      <c r="G129" s="75">
        <f t="shared" si="37"/>
        <v>50400</v>
      </c>
      <c r="H129" s="28">
        <f t="shared" ca="1" si="32"/>
        <v>39513.204856601587</v>
      </c>
      <c r="I129" s="75">
        <f ca="1">(References!$D$61*H129)</f>
        <v>94.436559607277928</v>
      </c>
      <c r="J129" s="75">
        <f ca="1">I129/References!$H$64</f>
        <v>96.620175575279234</v>
      </c>
      <c r="K129" s="212">
        <v>525.22</v>
      </c>
      <c r="L129" s="38">
        <f t="shared" ca="1" si="35"/>
        <v>8.0516812979399361</v>
      </c>
      <c r="M129" s="167">
        <f t="shared" ca="1" si="33"/>
        <v>533.27168129793995</v>
      </c>
      <c r="N129" s="80">
        <f>(E129/References!$C$11)*'DF Calculation'!K129</f>
        <v>1454.4553846153849</v>
      </c>
      <c r="O129" s="80">
        <f ca="1">(E129/References!$C$11)*'DF Calculation'!M129</f>
        <v>1476.7523482096801</v>
      </c>
      <c r="P129" s="80">
        <f t="shared" ca="1" si="34"/>
        <v>22.296963594295221</v>
      </c>
      <c r="Q129" s="16">
        <f ca="1">((F129*$D$89)*(References!$D$61/References!$H$64))-L129</f>
        <v>0</v>
      </c>
      <c r="R129" s="75"/>
    </row>
    <row r="130" spans="1:18" ht="15.75" thickBot="1">
      <c r="A130" s="90"/>
      <c r="B130" s="67"/>
      <c r="C130" s="76"/>
      <c r="D130" s="68" t="s">
        <v>14</v>
      </c>
      <c r="E130" s="61">
        <f>SUM(E99:E129)</f>
        <v>812</v>
      </c>
      <c r="F130" s="69"/>
      <c r="G130" s="61">
        <f>SUM(G99:G129)</f>
        <v>1436396</v>
      </c>
      <c r="H130" s="61">
        <f ca="1">SUM(H99:H129)</f>
        <v>1126123.2024445059</v>
      </c>
      <c r="I130" s="61">
        <f ca="1">SUM(I99:I129)</f>
        <v>2691.4344538423725</v>
      </c>
      <c r="J130" s="61">
        <f ca="1">SUM(J99:J129)</f>
        <v>2753.6673356275555</v>
      </c>
      <c r="K130" s="151"/>
      <c r="L130" s="61"/>
      <c r="M130" s="151"/>
      <c r="N130" s="61">
        <f>SUM(N99:N129)</f>
        <v>45733.043076923088</v>
      </c>
      <c r="O130" s="61">
        <f ca="1">SUM(O99:O129)</f>
        <v>46375.6657522479</v>
      </c>
      <c r="P130" s="61">
        <f ca="1">SUM(P99:P129)</f>
        <v>642.62267532482031</v>
      </c>
      <c r="Q130" s="60">
        <f ca="1">P130/N130</f>
        <v>1.4051605405831565E-2</v>
      </c>
      <c r="R130" s="75"/>
    </row>
    <row r="131" spans="1:18" ht="15" customHeight="1">
      <c r="A131" s="468" t="s">
        <v>610</v>
      </c>
      <c r="B131" s="29">
        <v>34</v>
      </c>
      <c r="C131" s="41" t="s">
        <v>600</v>
      </c>
      <c r="D131" s="41" t="str">
        <f>VLOOKUP(C131,Mapping!$C$2:$H$158,6,FALSE)</f>
        <v>Drum Extra</v>
      </c>
      <c r="E131" s="75">
        <f>IFERROR(SUMIFS(Mapping!M:M,Mapping!A:A,"Commercial",Mapping!D:D,'DF Calculation'!C131),0)</f>
        <v>12</v>
      </c>
      <c r="F131" s="75">
        <f>VLOOKUP(C131,Mapping!D:L,7,FALSE)</f>
        <v>68</v>
      </c>
      <c r="G131" s="75">
        <f t="shared" ref="G131:G132" si="38">E131*F131</f>
        <v>816</v>
      </c>
      <c r="H131" s="28">
        <f t="shared" ref="H131:H152" ca="1" si="39">$D$89*G131</f>
        <v>639.73760244021616</v>
      </c>
      <c r="I131" s="75">
        <f ca="1">(References!$D$61*H131)</f>
        <v>1.5289728698321188</v>
      </c>
      <c r="J131" s="75">
        <f ca="1">I131/References!$H$64</f>
        <v>1.5643266521711876</v>
      </c>
      <c r="K131" s="212">
        <v>26.99</v>
      </c>
      <c r="L131" s="38">
        <f t="shared" ref="L131:L152" ca="1" si="40">IFERROR((J131/E131),0)</f>
        <v>0.13036055434759897</v>
      </c>
      <c r="M131" s="167">
        <f t="shared" ref="M131:M152" ca="1" si="41">+K131+L131</f>
        <v>27.120360554347599</v>
      </c>
      <c r="N131" s="80">
        <f>(E131/References!$C$11)*'DF Calculation'!K131</f>
        <v>74.741538461538468</v>
      </c>
      <c r="O131" s="80">
        <f ca="1">(E131/References!$C$11)*'DF Calculation'!M131</f>
        <v>75.102536919731818</v>
      </c>
      <c r="P131" s="80">
        <f t="shared" ref="P131:P152" ca="1" si="42">O131-N131</f>
        <v>0.3609984581933503</v>
      </c>
      <c r="Q131" s="16">
        <f ca="1">((F131*$D$89)*(References!$D$61/References!$H$64))-L131</f>
        <v>0</v>
      </c>
      <c r="R131" s="75"/>
    </row>
    <row r="132" spans="1:18">
      <c r="A132" s="469"/>
      <c r="B132" s="29">
        <v>34</v>
      </c>
      <c r="C132" s="78" t="s">
        <v>601</v>
      </c>
      <c r="D132" s="41" t="str">
        <f>VLOOKUP(C132,Mapping!$C$2:$H$158,6,FALSE)</f>
        <v>Drum Special</v>
      </c>
      <c r="E132" s="75">
        <f>IFERROR(SUMIFS(Mapping!M:M,Mapping!A:A,"Commercial",Mapping!D:D,'DF Calculation'!C132),0)</f>
        <v>12</v>
      </c>
      <c r="F132" s="75">
        <f>VLOOKUP(C132,Mapping!D:L,7,FALSE)</f>
        <v>68</v>
      </c>
      <c r="G132" s="75">
        <f t="shared" si="38"/>
        <v>816</v>
      </c>
      <c r="H132" s="28">
        <f t="shared" ca="1" si="39"/>
        <v>639.73760244021616</v>
      </c>
      <c r="I132" s="75">
        <f ca="1">(References!$D$61*H132)</f>
        <v>1.5289728698321188</v>
      </c>
      <c r="J132" s="75">
        <f ca="1">I132/References!$H$64</f>
        <v>1.5643266521711876</v>
      </c>
      <c r="K132" s="212">
        <v>31.5</v>
      </c>
      <c r="L132" s="38">
        <f t="shared" ca="1" si="40"/>
        <v>0.13036055434759897</v>
      </c>
      <c r="M132" s="167">
        <f t="shared" ca="1" si="41"/>
        <v>31.6303605543476</v>
      </c>
      <c r="N132" s="80">
        <f>(E132/References!$C$11)*'DF Calculation'!K132</f>
        <v>87.230769230769241</v>
      </c>
      <c r="O132" s="80">
        <f ca="1">(E132/References!$C$11)*'DF Calculation'!M132</f>
        <v>87.591767688962591</v>
      </c>
      <c r="P132" s="80">
        <f t="shared" ca="1" si="42"/>
        <v>0.3609984581933503</v>
      </c>
      <c r="Q132" s="16">
        <f ca="1">((F132*$D$89)*(References!$D$61/References!$H$64))-L132</f>
        <v>0</v>
      </c>
      <c r="R132" s="75"/>
    </row>
    <row r="133" spans="1:18">
      <c r="A133" s="469"/>
      <c r="B133" s="29">
        <v>41</v>
      </c>
      <c r="C133" s="78" t="s">
        <v>242</v>
      </c>
      <c r="D133" s="41" t="str">
        <f>VLOOKUP(C133,Mapping!$C$2:$H$158,6,FALSE)</f>
        <v>4 yard Temp</v>
      </c>
      <c r="E133" s="75">
        <f>IFERROR(SUMIFS(Mapping!M:M,Mapping!A:A,"Commercial",Mapping!D:D,'DF Calculation'!C133),0)</f>
        <v>12</v>
      </c>
      <c r="F133" s="75">
        <f>VLOOKUP(C133,Mapping!D:L,7,FALSE)</f>
        <v>613</v>
      </c>
      <c r="G133" s="75">
        <f t="shared" ref="G133:G152" si="43">E133*F133</f>
        <v>7356</v>
      </c>
      <c r="H133" s="28">
        <f t="shared" ca="1" si="39"/>
        <v>5767.0463278801844</v>
      </c>
      <c r="I133" s="75">
        <f ca="1">(References!$D$61*H133)</f>
        <v>13.783240723633659</v>
      </c>
      <c r="J133" s="75">
        <f ca="1">I133/References!$H$64</f>
        <v>14.101944673249088</v>
      </c>
      <c r="K133" s="212">
        <v>80.239999999999995</v>
      </c>
      <c r="L133" s="38">
        <f t="shared" ca="1" si="40"/>
        <v>1.1751620561040907</v>
      </c>
      <c r="M133" s="167">
        <f t="shared" ca="1" si="41"/>
        <v>81.41516205610408</v>
      </c>
      <c r="N133" s="80">
        <f>(E133/References!$C$11)*'DF Calculation'!K133</f>
        <v>222.20307692307694</v>
      </c>
      <c r="O133" s="80">
        <f ca="1">(E133/References!$C$11)*'DF Calculation'!M133</f>
        <v>225.45737184767287</v>
      </c>
      <c r="P133" s="80">
        <f t="shared" ca="1" si="42"/>
        <v>3.2542949245959392</v>
      </c>
      <c r="Q133" s="16">
        <f ca="1">((F133*$D$89)*(References!$D$61/References!$H$64))-L133</f>
        <v>0</v>
      </c>
      <c r="R133" s="75"/>
    </row>
    <row r="134" spans="1:18">
      <c r="A134" s="469"/>
      <c r="B134" s="29">
        <v>41</v>
      </c>
      <c r="C134" s="78" t="s">
        <v>243</v>
      </c>
      <c r="D134" s="41" t="str">
        <f>VLOOKUP(C134,Mapping!$C$2:$H$158,6,FALSE)</f>
        <v>6 yard Temp</v>
      </c>
      <c r="E134" s="75">
        <f>IFERROR(SUMIFS(Mapping!M:M,Mapping!A:A,"Commercial",Mapping!D:D,'DF Calculation'!C134),0)</f>
        <v>12</v>
      </c>
      <c r="F134" s="75">
        <f>VLOOKUP(C134,Mapping!D:L,7,FALSE)</f>
        <v>840</v>
      </c>
      <c r="G134" s="75">
        <f t="shared" si="43"/>
        <v>10080</v>
      </c>
      <c r="H134" s="28">
        <f t="shared" ca="1" si="39"/>
        <v>7902.6409713203175</v>
      </c>
      <c r="I134" s="75">
        <f ca="1">(References!$D$61*H134)</f>
        <v>18.887311921455584</v>
      </c>
      <c r="J134" s="75">
        <f ca="1">I134/References!$H$64</f>
        <v>19.324035115055846</v>
      </c>
      <c r="K134" s="212">
        <v>110.04</v>
      </c>
      <c r="L134" s="38">
        <f t="shared" ca="1" si="40"/>
        <v>1.6103362595879871</v>
      </c>
      <c r="M134" s="167">
        <f t="shared" ca="1" si="41"/>
        <v>111.65033625958799</v>
      </c>
      <c r="N134" s="80">
        <f>(E134/References!$C$11)*'DF Calculation'!K134</f>
        <v>304.72615384615392</v>
      </c>
      <c r="O134" s="80">
        <f ca="1">(E134/References!$C$11)*'DF Calculation'!M134</f>
        <v>309.18554656501294</v>
      </c>
      <c r="P134" s="80">
        <f t="shared" ca="1" si="42"/>
        <v>4.4593927188590214</v>
      </c>
      <c r="Q134" s="16">
        <f ca="1">((F134*$D$89)*(References!$D$61/References!$H$64))-L134</f>
        <v>0</v>
      </c>
      <c r="R134" s="75"/>
    </row>
    <row r="135" spans="1:18">
      <c r="A135" s="469"/>
      <c r="B135" s="29">
        <v>44</v>
      </c>
      <c r="C135" s="78" t="s">
        <v>280</v>
      </c>
      <c r="D135" s="41" t="str">
        <f>VLOOKUP(C135,Mapping!$C$2:$H$158,6,FALSE)</f>
        <v>2 yard Special and Temporary</v>
      </c>
      <c r="E135" s="75">
        <f>IFERROR(SUMIFS(Mapping!M:M,Mapping!A:A,"Commercial",Mapping!D:D,'DF Calculation'!C135),0)</f>
        <v>12</v>
      </c>
      <c r="F135" s="75">
        <f>VLOOKUP(C135,Mapping!D:L,7,FALSE)</f>
        <v>729</v>
      </c>
      <c r="G135" s="75">
        <f t="shared" si="43"/>
        <v>8748</v>
      </c>
      <c r="H135" s="28">
        <f t="shared" ca="1" si="39"/>
        <v>6858.363414395847</v>
      </c>
      <c r="I135" s="75">
        <f ca="1">(References!$D$61*H135)</f>
        <v>16.391488560406096</v>
      </c>
      <c r="J135" s="75">
        <f ca="1">I135/References!$H$64</f>
        <v>16.770501903423465</v>
      </c>
      <c r="K135" s="212">
        <v>95.29</v>
      </c>
      <c r="L135" s="38">
        <f t="shared" ca="1" si="40"/>
        <v>1.3975418252852887</v>
      </c>
      <c r="M135" s="167">
        <f t="shared" ca="1" si="41"/>
        <v>96.687541825285294</v>
      </c>
      <c r="N135" s="80">
        <f>(E135/References!$C$11)*'DF Calculation'!K135</f>
        <v>263.88000000000005</v>
      </c>
      <c r="O135" s="80">
        <f ca="1">(E135/References!$C$11)*'DF Calculation'!M135</f>
        <v>267.75011582386702</v>
      </c>
      <c r="P135" s="80">
        <f t="shared" ca="1" si="42"/>
        <v>3.8701158238669677</v>
      </c>
      <c r="Q135" s="16">
        <f ca="1">((F135*$D$89)*(References!$D$61/References!$H$64))-L135</f>
        <v>0</v>
      </c>
      <c r="R135" s="75"/>
    </row>
    <row r="136" spans="1:18">
      <c r="A136" s="469"/>
      <c r="B136" s="29">
        <v>44</v>
      </c>
      <c r="C136" s="78" t="s">
        <v>278</v>
      </c>
      <c r="D136" s="41" t="str">
        <f>VLOOKUP(C136,Mapping!$C$2:$H$158,6,FALSE)</f>
        <v>4 yard Special and Temporary</v>
      </c>
      <c r="E136" s="75">
        <f>IFERROR(SUMIFS(Mapping!M:M,Mapping!A:A,"Commercial",Mapping!D:D,'DF Calculation'!C136),0)</f>
        <v>12</v>
      </c>
      <c r="F136" s="75">
        <f>VLOOKUP(C136,Mapping!D:L,7,FALSE)</f>
        <v>1379.25</v>
      </c>
      <c r="G136" s="75">
        <f t="shared" si="43"/>
        <v>16551</v>
      </c>
      <c r="H136" s="28">
        <f t="shared" ca="1" si="39"/>
        <v>12975.854237730415</v>
      </c>
      <c r="I136" s="75">
        <f ca="1">(References!$D$61*H136)</f>
        <v>31.012291628175735</v>
      </c>
      <c r="J136" s="75">
        <f ca="1">I136/References!$H$64</f>
        <v>31.729375514810449</v>
      </c>
      <c r="K136" s="212">
        <v>167.61</v>
      </c>
      <c r="L136" s="38">
        <f t="shared" ca="1" si="40"/>
        <v>2.6441146262342041</v>
      </c>
      <c r="M136" s="167">
        <f t="shared" ca="1" si="41"/>
        <v>170.25411462623421</v>
      </c>
      <c r="N136" s="80">
        <f>(E136/References!$C$11)*'DF Calculation'!K136</f>
        <v>464.15076923076936</v>
      </c>
      <c r="O136" s="80">
        <f ca="1">(E136/References!$C$11)*'DF Calculation'!M136</f>
        <v>471.47293281111018</v>
      </c>
      <c r="P136" s="80">
        <f t="shared" ca="1" si="42"/>
        <v>7.3221635803408276</v>
      </c>
      <c r="Q136" s="16">
        <f ca="1">((F136*$D$89)*(References!$D$61/References!$H$64))-L136</f>
        <v>0</v>
      </c>
      <c r="R136" s="75"/>
    </row>
    <row r="137" spans="1:18">
      <c r="A137" s="469"/>
      <c r="B137" s="29">
        <v>44</v>
      </c>
      <c r="C137" s="78" t="s">
        <v>238</v>
      </c>
      <c r="D137" s="41" t="str">
        <f>VLOOKUP(C137,Mapping!$C$2:$H$158,6,FALSE)</f>
        <v>6 yard Regular</v>
      </c>
      <c r="E137" s="75">
        <f>IFERROR(SUMIFS(Mapping!M:M,Mapping!A:A,"Commercial",Mapping!D:D,'DF Calculation'!C137),0)</f>
        <v>52</v>
      </c>
      <c r="F137" s="75">
        <f>VLOOKUP(C137,Mapping!D:L,7,FALSE)</f>
        <v>1890</v>
      </c>
      <c r="G137" s="75">
        <f t="shared" si="43"/>
        <v>98280</v>
      </c>
      <c r="H137" s="28">
        <f t="shared" ca="1" si="39"/>
        <v>77050.749470373106</v>
      </c>
      <c r="I137" s="75">
        <f ca="1">(References!$D$61*H137)</f>
        <v>184.15129123419197</v>
      </c>
      <c r="J137" s="75">
        <f ca="1">I137/References!$H$64</f>
        <v>188.40934237179451</v>
      </c>
      <c r="K137" s="212">
        <v>226.29</v>
      </c>
      <c r="L137" s="38">
        <f t="shared" ca="1" si="40"/>
        <v>3.6232565840729714</v>
      </c>
      <c r="M137" s="167">
        <f t="shared" ca="1" si="41"/>
        <v>229.91325658407297</v>
      </c>
      <c r="N137" s="80">
        <f>(E137/References!$C$11)*'DF Calculation'!K137</f>
        <v>2715.48</v>
      </c>
      <c r="O137" s="80">
        <f ca="1">(E137/References!$C$11)*'DF Calculation'!M137</f>
        <v>2758.9590790088755</v>
      </c>
      <c r="P137" s="80">
        <f t="shared" ca="1" si="42"/>
        <v>43.479079008875487</v>
      </c>
      <c r="Q137" s="16">
        <f ca="1">((F137*$D$89)*(References!$D$61/References!$H$64))-L137</f>
        <v>0</v>
      </c>
      <c r="R137" s="75"/>
    </row>
    <row r="138" spans="1:18">
      <c r="A138" s="469"/>
      <c r="B138" s="29">
        <v>44</v>
      </c>
      <c r="C138" s="78" t="s">
        <v>279</v>
      </c>
      <c r="D138" s="41" t="str">
        <f>VLOOKUP(C138,Mapping!$C$2:$H$158,6,FALSE)</f>
        <v>6 yard Special and Temporary</v>
      </c>
      <c r="E138" s="75">
        <f>IFERROR(SUMIFS(Mapping!M:M,Mapping!A:A,"Commercial",Mapping!D:D,'DF Calculation'!C138),0)</f>
        <v>12</v>
      </c>
      <c r="F138" s="75">
        <f>VLOOKUP(C138,Mapping!D:L,7,FALSE)</f>
        <v>1890</v>
      </c>
      <c r="G138" s="75">
        <f t="shared" si="43"/>
        <v>22680</v>
      </c>
      <c r="H138" s="28">
        <f t="shared" ca="1" si="39"/>
        <v>17780.942185470714</v>
      </c>
      <c r="I138" s="75">
        <f ca="1">(References!$D$61*H138)</f>
        <v>42.496451823275066</v>
      </c>
      <c r="J138" s="75">
        <f ca="1">I138/References!$H$64</f>
        <v>43.479079008875651</v>
      </c>
      <c r="K138" s="212">
        <v>232.91</v>
      </c>
      <c r="L138" s="38">
        <f t="shared" ca="1" si="40"/>
        <v>3.6232565840729709</v>
      </c>
      <c r="M138" s="167">
        <f t="shared" ca="1" si="41"/>
        <v>236.53325658407297</v>
      </c>
      <c r="N138" s="80">
        <f>(E138/References!$C$11)*'DF Calculation'!K138</f>
        <v>644.98153846153855</v>
      </c>
      <c r="O138" s="80">
        <f ca="1">(E138/References!$C$11)*'DF Calculation'!M138</f>
        <v>655.01517207897143</v>
      </c>
      <c r="P138" s="80">
        <f t="shared" ca="1" si="42"/>
        <v>10.033633617432884</v>
      </c>
      <c r="Q138" s="16">
        <f ca="1">((F138*$D$89)*(References!$D$61/References!$H$64))-L138</f>
        <v>0</v>
      </c>
      <c r="R138" s="75"/>
    </row>
    <row r="139" spans="1:18" ht="14.25" customHeight="1">
      <c r="A139" s="469"/>
      <c r="B139" s="29">
        <v>44</v>
      </c>
      <c r="C139" s="78" t="s">
        <v>204</v>
      </c>
      <c r="D139" s="41" t="str">
        <f>VLOOKUP(C139,Mapping!$C$2:$H$158,6,FALSE)</f>
        <v>4 yard Regular</v>
      </c>
      <c r="E139" s="75">
        <f>IFERROR(SUMIFS(Mapping!M:M,Mapping!A:A,"Commercial",Mapping!D:D,'DF Calculation'!C139),0)</f>
        <v>52</v>
      </c>
      <c r="F139" s="75">
        <f>VLOOKUP(C139,Mapping!D:L,7,FALSE)</f>
        <v>1379.25</v>
      </c>
      <c r="G139" s="75">
        <f t="shared" si="43"/>
        <v>71721</v>
      </c>
      <c r="H139" s="28">
        <f t="shared" ca="1" si="39"/>
        <v>56228.701696831798</v>
      </c>
      <c r="I139" s="75">
        <f ca="1">(References!$D$61*H139)</f>
        <v>134.38659705542818</v>
      </c>
      <c r="J139" s="75">
        <f ca="1">I139/References!$H$64</f>
        <v>137.49396056417862</v>
      </c>
      <c r="K139" s="211">
        <v>161.08000000000001</v>
      </c>
      <c r="L139" s="38">
        <f t="shared" ca="1" si="40"/>
        <v>2.6441146262342041</v>
      </c>
      <c r="M139" s="167">
        <f t="shared" ca="1" si="41"/>
        <v>163.72411462623421</v>
      </c>
      <c r="N139" s="80">
        <f>E139*'DF Calculation'!K139</f>
        <v>8376.16</v>
      </c>
      <c r="O139" s="80">
        <f ca="1">(E139*'DF Calculation'!M139)</f>
        <v>8513.6539605641792</v>
      </c>
      <c r="P139" s="80">
        <f t="shared" ca="1" si="42"/>
        <v>137.49396056417936</v>
      </c>
      <c r="Q139" s="16">
        <f ca="1">((F139*$D$89)*(References!$D$61/References!$H$64))-L139</f>
        <v>0</v>
      </c>
      <c r="R139" s="75"/>
    </row>
    <row r="140" spans="1:18">
      <c r="A140" s="469"/>
      <c r="B140" s="29">
        <v>45</v>
      </c>
      <c r="C140" s="78" t="s">
        <v>247</v>
      </c>
      <c r="D140" s="41" t="str">
        <f>VLOOKUP(C140,Mapping!$C$2:$H$158,6,FALSE)</f>
        <v>2 yard Regular</v>
      </c>
      <c r="E140" s="75">
        <f>IFERROR(SUMIFS(Mapping!M:M,Mapping!A:A,"Commercial",Mapping!D:D,'DF Calculation'!C140),0)</f>
        <v>52</v>
      </c>
      <c r="F140" s="75">
        <f>VLOOKUP(C140,Mapping!D:L,7,FALSE)</f>
        <v>972</v>
      </c>
      <c r="G140" s="75">
        <f t="shared" si="43"/>
        <v>50544</v>
      </c>
      <c r="H140" s="28">
        <f t="shared" ca="1" si="39"/>
        <v>39626.099727620451</v>
      </c>
      <c r="I140" s="75">
        <f ca="1">(References!$D$61*H140)</f>
        <v>94.706378349013008</v>
      </c>
      <c r="J140" s="75">
        <f ca="1">I140/References!$H$64</f>
        <v>96.896233219780029</v>
      </c>
      <c r="K140" s="212">
        <v>113</v>
      </c>
      <c r="L140" s="38">
        <f t="shared" ca="1" si="40"/>
        <v>1.8633891003803851</v>
      </c>
      <c r="M140" s="167">
        <f t="shared" ca="1" si="41"/>
        <v>114.86338910038039</v>
      </c>
      <c r="N140" s="80">
        <f>(E140/References!$C$11)*'DF Calculation'!K140</f>
        <v>1356</v>
      </c>
      <c r="O140" s="80">
        <f ca="1">(E140/References!$C$11)*'DF Calculation'!M140</f>
        <v>1378.3606692045646</v>
      </c>
      <c r="P140" s="80">
        <f t="shared" ca="1" si="42"/>
        <v>22.360669204564601</v>
      </c>
      <c r="Q140" s="16">
        <f ca="1">((F140*$D$89)*(References!$D$61/References!$H$64))-L140</f>
        <v>0</v>
      </c>
      <c r="R140" s="75"/>
    </row>
    <row r="141" spans="1:18">
      <c r="A141" s="469"/>
      <c r="B141" s="29">
        <v>45</v>
      </c>
      <c r="C141" s="78" t="s">
        <v>281</v>
      </c>
      <c r="D141" s="41" t="str">
        <f>VLOOKUP(C141,Mapping!$C$2:$H$158,6,FALSE)</f>
        <v>2 yard Special and Temporary</v>
      </c>
      <c r="E141" s="75">
        <f>IFERROR(SUMIFS(Mapping!M:M,Mapping!A:A,"Commercial",Mapping!D:D,'DF Calculation'!C141),0)</f>
        <v>12</v>
      </c>
      <c r="F141" s="75">
        <f>VLOOKUP(C141,Mapping!D:L,7,FALSE)</f>
        <v>972</v>
      </c>
      <c r="G141" s="75">
        <f t="shared" si="43"/>
        <v>11664</v>
      </c>
      <c r="H141" s="28">
        <f t="shared" ca="1" si="39"/>
        <v>9144.484552527796</v>
      </c>
      <c r="I141" s="75">
        <f ca="1">(References!$D$61*H141)</f>
        <v>21.855318080541462</v>
      </c>
      <c r="J141" s="75">
        <f ca="1">I141/References!$H$64</f>
        <v>22.360669204564623</v>
      </c>
      <c r="K141" s="212">
        <v>119.62</v>
      </c>
      <c r="L141" s="38">
        <f t="shared" ca="1" si="40"/>
        <v>1.8633891003803853</v>
      </c>
      <c r="M141" s="167">
        <f t="shared" ca="1" si="41"/>
        <v>121.48338910038039</v>
      </c>
      <c r="N141" s="80">
        <f>(E141/References!$C$11)*'DF Calculation'!K141</f>
        <v>331.25538461538468</v>
      </c>
      <c r="O141" s="80">
        <f ca="1">(E141/References!$C$11)*'DF Calculation'!M141</f>
        <v>336.41553904720729</v>
      </c>
      <c r="P141" s="80">
        <f t="shared" ca="1" si="42"/>
        <v>5.1601544318226047</v>
      </c>
      <c r="Q141" s="16">
        <f ca="1">((F141*$D$89)*(References!$D$61/References!$H$64))-L141</f>
        <v>0</v>
      </c>
      <c r="R141" s="75"/>
    </row>
    <row r="142" spans="1:18">
      <c r="A142" s="469"/>
      <c r="B142" s="29">
        <v>45</v>
      </c>
      <c r="C142" s="78" t="s">
        <v>248</v>
      </c>
      <c r="D142" s="41" t="str">
        <f>VLOOKUP(C142,Mapping!$C$2:$H$158,6,FALSE)</f>
        <v>3 yard Regular</v>
      </c>
      <c r="E142" s="75">
        <f>IFERROR(SUMIFS(Mapping!M:M,Mapping!A:A,"Commercial",Mapping!D:D,'DF Calculation'!C142),0)</f>
        <v>52</v>
      </c>
      <c r="F142" s="75">
        <f>VLOOKUP(C142,Mapping!D:L,7,FALSE)</f>
        <v>1419</v>
      </c>
      <c r="G142" s="75">
        <f t="shared" si="43"/>
        <v>73788</v>
      </c>
      <c r="H142" s="28">
        <f t="shared" ca="1" si="39"/>
        <v>57849.213491248374</v>
      </c>
      <c r="I142" s="75">
        <f ca="1">(References!$D$61*H142)</f>
        <v>138.25962024408381</v>
      </c>
      <c r="J142" s="75">
        <f ca="1">I142/References!$H$64</f>
        <v>141.45653800295048</v>
      </c>
      <c r="K142" s="212">
        <v>154.58000000000001</v>
      </c>
      <c r="L142" s="38">
        <f t="shared" ca="1" si="40"/>
        <v>2.7203180385182786</v>
      </c>
      <c r="M142" s="167">
        <f t="shared" ca="1" si="41"/>
        <v>157.3003180385183</v>
      </c>
      <c r="N142" s="80">
        <f>(E142/References!$C$11)*'DF Calculation'!K142</f>
        <v>1854.96</v>
      </c>
      <c r="O142" s="80">
        <f ca="1">(E142/References!$C$11)*'DF Calculation'!M142</f>
        <v>1887.6038164622196</v>
      </c>
      <c r="P142" s="80">
        <f t="shared" ca="1" si="42"/>
        <v>32.643816462219547</v>
      </c>
      <c r="Q142" s="16">
        <f ca="1">((F142*$D$89)*(References!$D$61/References!$H$64))-L142</f>
        <v>0</v>
      </c>
      <c r="R142" s="75"/>
    </row>
    <row r="143" spans="1:18">
      <c r="A143" s="469"/>
      <c r="B143" s="29">
        <v>45</v>
      </c>
      <c r="C143" s="78" t="s">
        <v>282</v>
      </c>
      <c r="D143" s="41" t="str">
        <f>VLOOKUP(C143,Mapping!$C$2:$H$158,6,FALSE)</f>
        <v>3 yard Special and Temporary</v>
      </c>
      <c r="E143" s="75">
        <f>IFERROR(SUMIFS(Mapping!M:M,Mapping!A:A,"Commercial",Mapping!D:D,'DF Calculation'!C143),0)</f>
        <v>12</v>
      </c>
      <c r="F143" s="75">
        <f>VLOOKUP(C143,Mapping!D:L,7,FALSE)</f>
        <v>1419</v>
      </c>
      <c r="G143" s="75">
        <f t="shared" si="43"/>
        <v>17028</v>
      </c>
      <c r="H143" s="28">
        <f t="shared" ca="1" si="39"/>
        <v>13349.818497980394</v>
      </c>
      <c r="I143" s="75">
        <f ca="1">(References!$D$61*H143)</f>
        <v>31.906066210173183</v>
      </c>
      <c r="J143" s="75">
        <f ca="1">I143/References!$H$64</f>
        <v>32.643816462219341</v>
      </c>
      <c r="K143" s="212">
        <v>161.19</v>
      </c>
      <c r="L143" s="38">
        <f t="shared" ca="1" si="40"/>
        <v>2.7203180385182786</v>
      </c>
      <c r="M143" s="167">
        <f t="shared" ca="1" si="41"/>
        <v>163.91031803851828</v>
      </c>
      <c r="N143" s="80">
        <f>(E143/References!$C$11)*'DF Calculation'!K143</f>
        <v>446.37230769230774</v>
      </c>
      <c r="O143" s="80">
        <f ca="1">(E143/References!$C$11)*'DF Calculation'!M143</f>
        <v>453.90549610666608</v>
      </c>
      <c r="P143" s="80">
        <f t="shared" ca="1" si="42"/>
        <v>7.5331884143583352</v>
      </c>
      <c r="Q143" s="16">
        <f ca="1">((F143*$D$89)*(References!$D$61/References!$H$64))-L143</f>
        <v>0</v>
      </c>
      <c r="R143" s="75"/>
    </row>
    <row r="144" spans="1:18">
      <c r="A144" s="469"/>
      <c r="B144" s="29">
        <v>45</v>
      </c>
      <c r="C144" s="78" t="s">
        <v>249</v>
      </c>
      <c r="D144" s="41" t="str">
        <f>VLOOKUP(C144,Mapping!$C$2:$H$158,6,FALSE)</f>
        <v>4 yard Regular</v>
      </c>
      <c r="E144" s="75">
        <f>IFERROR(SUMIFS(Mapping!M:M,Mapping!A:A,"Commercial",Mapping!D:D,'DF Calculation'!C144),0)</f>
        <v>52</v>
      </c>
      <c r="F144" s="75">
        <f>VLOOKUP(C144,Mapping!D:L,7,FALSE)</f>
        <v>1839</v>
      </c>
      <c r="G144" s="75">
        <f t="shared" si="43"/>
        <v>95628</v>
      </c>
      <c r="H144" s="28">
        <f t="shared" ca="1" si="39"/>
        <v>74971.602262442393</v>
      </c>
      <c r="I144" s="75">
        <f ca="1">(References!$D$61*H144)</f>
        <v>179.18212940723757</v>
      </c>
      <c r="J144" s="75">
        <f ca="1">I144/References!$H$64</f>
        <v>183.32528075223814</v>
      </c>
      <c r="K144" s="212">
        <v>192.04</v>
      </c>
      <c r="L144" s="38">
        <f t="shared" ca="1" si="40"/>
        <v>3.525486168312272</v>
      </c>
      <c r="M144" s="167">
        <f t="shared" ca="1" si="41"/>
        <v>195.56548616831228</v>
      </c>
      <c r="N144" s="80">
        <f>(E144/References!$C$11)*'DF Calculation'!K144</f>
        <v>2304.48</v>
      </c>
      <c r="O144" s="80">
        <f ca="1">(E144/References!$C$11)*'DF Calculation'!M144</f>
        <v>2346.7858340197472</v>
      </c>
      <c r="P144" s="80">
        <f t="shared" ca="1" si="42"/>
        <v>42.305834019747181</v>
      </c>
      <c r="Q144" s="16">
        <f ca="1">((F144*$D$89)*(References!$D$61/References!$H$64))-L144</f>
        <v>0</v>
      </c>
      <c r="R144" s="75"/>
    </row>
    <row r="145" spans="1:18">
      <c r="A145" s="469"/>
      <c r="B145" s="29">
        <v>45</v>
      </c>
      <c r="C145" s="78" t="s">
        <v>277</v>
      </c>
      <c r="D145" s="41" t="str">
        <f>VLOOKUP(C145,Mapping!$C$2:$H$158,6,FALSE)</f>
        <v>4 yard Special and Temporary</v>
      </c>
      <c r="E145" s="75">
        <f>IFERROR(SUMIFS(Mapping!M:M,Mapping!A:A,"Commercial",Mapping!D:D,'DF Calculation'!C145),0)</f>
        <v>12</v>
      </c>
      <c r="F145" s="75">
        <f>VLOOKUP(C145,Mapping!D:L,7,FALSE)</f>
        <v>1839</v>
      </c>
      <c r="G145" s="75">
        <f t="shared" si="43"/>
        <v>22068</v>
      </c>
      <c r="H145" s="28">
        <f t="shared" ca="1" si="39"/>
        <v>17301.138983640554</v>
      </c>
      <c r="I145" s="75">
        <f ca="1">(References!$D$61*H145)</f>
        <v>41.349722170900982</v>
      </c>
      <c r="J145" s="75">
        <f ca="1">I145/References!$H$64</f>
        <v>42.305834019747266</v>
      </c>
      <c r="K145" s="212">
        <v>198.66</v>
      </c>
      <c r="L145" s="38">
        <f t="shared" ca="1" si="40"/>
        <v>3.525486168312272</v>
      </c>
      <c r="M145" s="167">
        <f t="shared" ca="1" si="41"/>
        <v>202.18548616831228</v>
      </c>
      <c r="N145" s="80">
        <f>(E145/References!$C$11)*'DF Calculation'!K145</f>
        <v>550.13538461538474</v>
      </c>
      <c r="O145" s="80">
        <f ca="1">(E145/References!$C$11)*'DF Calculation'!M145</f>
        <v>559.89826938917258</v>
      </c>
      <c r="P145" s="80">
        <f t="shared" ca="1" si="42"/>
        <v>9.7628847737878459</v>
      </c>
      <c r="Q145" s="16">
        <f ca="1">((F145*$D$89)*(References!$D$61/References!$H$64))-L145</f>
        <v>0</v>
      </c>
      <c r="R145" s="75"/>
    </row>
    <row r="146" spans="1:18">
      <c r="A146" s="469"/>
      <c r="B146" s="29">
        <v>45</v>
      </c>
      <c r="C146" s="78" t="s">
        <v>283</v>
      </c>
      <c r="D146" s="41" t="str">
        <f>VLOOKUP(C146,Mapping!$C$2:$H$158,6,FALSE)</f>
        <v>6 yard Special and Temporary</v>
      </c>
      <c r="E146" s="75">
        <f>IFERROR(SUMIFS(Mapping!M:M,Mapping!A:A,"Commercial",Mapping!D:D,'DF Calculation'!C146),0)</f>
        <v>12</v>
      </c>
      <c r="F146" s="75">
        <f>VLOOKUP(C146,Mapping!D:L,7,FALSE)</f>
        <v>2520</v>
      </c>
      <c r="G146" s="75">
        <f t="shared" si="43"/>
        <v>30240</v>
      </c>
      <c r="H146" s="28">
        <f t="shared" ca="1" si="39"/>
        <v>23707.922913960952</v>
      </c>
      <c r="I146" s="75">
        <f ca="1">(References!$D$61*H146)</f>
        <v>56.661935764366753</v>
      </c>
      <c r="J146" s="75">
        <f ca="1">I146/References!$H$64</f>
        <v>57.972105345167535</v>
      </c>
      <c r="K146" s="212">
        <v>291.56</v>
      </c>
      <c r="L146" s="38">
        <f t="shared" ca="1" si="40"/>
        <v>4.8310087787639615</v>
      </c>
      <c r="M146" s="167">
        <f t="shared" ca="1" si="41"/>
        <v>296.39100877876399</v>
      </c>
      <c r="N146" s="80">
        <f>(E146/References!$C$11)*'DF Calculation'!K146</f>
        <v>807.39692307692314</v>
      </c>
      <c r="O146" s="80">
        <f ca="1">(E146/References!$C$11)*'DF Calculation'!M146</f>
        <v>820.77510123350044</v>
      </c>
      <c r="P146" s="80">
        <f t="shared" ca="1" si="42"/>
        <v>13.378178156577292</v>
      </c>
      <c r="Q146" s="16">
        <f ca="1">((F146*$D$89)*(References!$D$61/References!$H$64))-L146</f>
        <v>0</v>
      </c>
      <c r="R146" s="75"/>
    </row>
    <row r="147" spans="1:18">
      <c r="A147" s="469"/>
      <c r="B147" s="29">
        <v>46</v>
      </c>
      <c r="C147" s="78" t="s">
        <v>240</v>
      </c>
      <c r="D147" s="41" t="str">
        <f>VLOOKUP(C147,Mapping!$C$2:$H$158,6,FALSE)</f>
        <v>3 yard Regular</v>
      </c>
      <c r="E147" s="75">
        <f>IFERROR(SUMIFS(Mapping!M:M,Mapping!A:A,"Commercial",Mapping!D:D,'DF Calculation'!C147),0)</f>
        <v>52</v>
      </c>
      <c r="F147" s="75">
        <f>VLOOKUP(C147,Mapping!D:L,7,FALSE)</f>
        <v>1892</v>
      </c>
      <c r="G147" s="75">
        <f t="shared" si="43"/>
        <v>98384</v>
      </c>
      <c r="H147" s="28">
        <f t="shared" ca="1" si="39"/>
        <v>77132.284654997828</v>
      </c>
      <c r="I147" s="75">
        <f ca="1">(References!$D$61*H147)</f>
        <v>184.34616032544506</v>
      </c>
      <c r="J147" s="75">
        <f ca="1">I147/References!$H$64</f>
        <v>188.60871733726728</v>
      </c>
      <c r="K147" s="212">
        <v>196.55</v>
      </c>
      <c r="L147" s="38">
        <f t="shared" ca="1" si="40"/>
        <v>3.6270907180243706</v>
      </c>
      <c r="M147" s="167">
        <f t="shared" ca="1" si="41"/>
        <v>200.17709071802437</v>
      </c>
      <c r="N147" s="80">
        <f>(E147/References!$C$11)*'DF Calculation'!K147</f>
        <v>2358.6000000000004</v>
      </c>
      <c r="O147" s="80">
        <f ca="1">(E147/References!$C$11)*'DF Calculation'!M147</f>
        <v>2402.1250886162925</v>
      </c>
      <c r="P147" s="80">
        <f t="shared" ca="1" si="42"/>
        <v>43.525088616292123</v>
      </c>
      <c r="Q147" s="16">
        <f ca="1">((F147*$D$89)*(References!$D$61/References!$H$64))-L147</f>
        <v>0</v>
      </c>
      <c r="R147" s="75"/>
    </row>
    <row r="148" spans="1:18">
      <c r="A148" s="469"/>
      <c r="B148" s="29">
        <v>46</v>
      </c>
      <c r="C148" s="78" t="s">
        <v>284</v>
      </c>
      <c r="D148" s="41" t="str">
        <f>VLOOKUP(C148,Mapping!$C$2:$H$158,6,FALSE)</f>
        <v>3 yard Special and Temporary</v>
      </c>
      <c r="E148" s="75">
        <f>IFERROR(SUMIFS(Mapping!M:M,Mapping!A:A,"Commercial",Mapping!D:D,'DF Calculation'!C148),0)</f>
        <v>12</v>
      </c>
      <c r="F148" s="75">
        <f>VLOOKUP(C148,Mapping!D:L,7,FALSE)</f>
        <v>1892</v>
      </c>
      <c r="G148" s="75">
        <f t="shared" si="43"/>
        <v>22704</v>
      </c>
      <c r="H148" s="28">
        <f t="shared" ca="1" si="39"/>
        <v>17799.757997307192</v>
      </c>
      <c r="I148" s="75">
        <f ca="1">(References!$D$61*H148)</f>
        <v>42.541421613564246</v>
      </c>
      <c r="J148" s="75">
        <f ca="1">I148/References!$H$64</f>
        <v>43.52508861629245</v>
      </c>
      <c r="K148" s="212">
        <v>203.17</v>
      </c>
      <c r="L148" s="38">
        <f t="shared" ca="1" si="40"/>
        <v>3.627090718024371</v>
      </c>
      <c r="M148" s="167">
        <f t="shared" ca="1" si="41"/>
        <v>206.79709071802435</v>
      </c>
      <c r="N148" s="80">
        <f>(E148/References!$C$11)*'DF Calculation'!K148</f>
        <v>562.62461538461548</v>
      </c>
      <c r="O148" s="80">
        <f ca="1">(E148/References!$C$11)*'DF Calculation'!M148</f>
        <v>572.66886660375985</v>
      </c>
      <c r="P148" s="80">
        <f t="shared" ca="1" si="42"/>
        <v>10.044251219144371</v>
      </c>
      <c r="Q148" s="16">
        <f ca="1">((F148*$D$89)*(References!$D$61/References!$H$64))-L148</f>
        <v>0</v>
      </c>
      <c r="R148" s="75"/>
    </row>
    <row r="149" spans="1:18">
      <c r="A149" s="469"/>
      <c r="B149" s="29">
        <v>46</v>
      </c>
      <c r="C149" s="78" t="s">
        <v>276</v>
      </c>
      <c r="D149" s="41" t="str">
        <f>VLOOKUP(C149,Mapping!$C$2:$H$158,6,FALSE)</f>
        <v>4 yard Special and Temporary</v>
      </c>
      <c r="E149" s="75">
        <f>IFERROR(SUMIFS(Mapping!M:M,Mapping!A:A,"Commercial",Mapping!D:D,'DF Calculation'!C149),0)</f>
        <v>12</v>
      </c>
      <c r="F149" s="75">
        <f>VLOOKUP(C149,Mapping!D:L,7,FALSE)</f>
        <v>2452</v>
      </c>
      <c r="G149" s="75">
        <f t="shared" si="43"/>
        <v>29424</v>
      </c>
      <c r="H149" s="28">
        <f t="shared" ca="1" si="39"/>
        <v>23068.185311520738</v>
      </c>
      <c r="I149" s="75">
        <f ca="1">(References!$D$61*H149)</f>
        <v>55.132962894534636</v>
      </c>
      <c r="J149" s="75">
        <f ca="1">I149/References!$H$64</f>
        <v>56.407778692996352</v>
      </c>
      <c r="K149" s="212">
        <v>264.97000000000003</v>
      </c>
      <c r="L149" s="38">
        <f t="shared" ca="1" si="40"/>
        <v>4.700648224416363</v>
      </c>
      <c r="M149" s="167">
        <f t="shared" ca="1" si="41"/>
        <v>269.67064822441637</v>
      </c>
      <c r="N149" s="80">
        <f>(E149/References!$C$11)*'DF Calculation'!K149</f>
        <v>733.76307692307705</v>
      </c>
      <c r="O149" s="80">
        <f ca="1">(E149/References!$C$11)*'DF Calculation'!M149</f>
        <v>746.78025662146081</v>
      </c>
      <c r="P149" s="80">
        <f t="shared" ca="1" si="42"/>
        <v>13.017179698383757</v>
      </c>
      <c r="Q149" s="16">
        <f ca="1">((F149*$D$89)*(References!$D$61/References!$H$64))-L149</f>
        <v>0</v>
      </c>
      <c r="R149" s="75"/>
    </row>
    <row r="150" spans="1:18">
      <c r="A150" s="469"/>
      <c r="B150" s="29">
        <v>46</v>
      </c>
      <c r="C150" s="78" t="s">
        <v>285</v>
      </c>
      <c r="D150" s="41" t="str">
        <f>VLOOKUP(C150,Mapping!$C$2:$H$158,6,FALSE)</f>
        <v>6 yard Special and Temporary</v>
      </c>
      <c r="E150" s="75">
        <f>IFERROR(SUMIFS(Mapping!M:M,Mapping!A:A,"Commercial",Mapping!D:D,'DF Calculation'!C150),0)</f>
        <v>12</v>
      </c>
      <c r="F150" s="75">
        <f>VLOOKUP(C150,Mapping!D:L,7,FALSE)</f>
        <v>3360</v>
      </c>
      <c r="G150" s="75">
        <f t="shared" si="43"/>
        <v>40320</v>
      </c>
      <c r="H150" s="28">
        <f t="shared" ca="1" si="39"/>
        <v>31610.56388528127</v>
      </c>
      <c r="I150" s="75">
        <f ca="1">(References!$D$61*H150)</f>
        <v>75.549247685822337</v>
      </c>
      <c r="J150" s="75">
        <f ca="1">I150/References!$H$64</f>
        <v>77.296140460223384</v>
      </c>
      <c r="K150" s="212">
        <v>374.11</v>
      </c>
      <c r="L150" s="38">
        <f t="shared" ca="1" si="40"/>
        <v>6.4413450383519484</v>
      </c>
      <c r="M150" s="167">
        <f t="shared" ca="1" si="41"/>
        <v>380.55134503835194</v>
      </c>
      <c r="N150" s="80">
        <f>(E150/References!$C$11)*'DF Calculation'!K150</f>
        <v>1035.9969230769232</v>
      </c>
      <c r="O150" s="80">
        <f ca="1">(E150/References!$C$11)*'DF Calculation'!M150</f>
        <v>1053.8344939523593</v>
      </c>
      <c r="P150" s="80">
        <f t="shared" ca="1" si="42"/>
        <v>17.837570875436086</v>
      </c>
      <c r="Q150" s="16">
        <f ca="1">((F150*$D$89)*(References!$D$61/References!$H$64))-L150</f>
        <v>0</v>
      </c>
    </row>
    <row r="151" spans="1:18">
      <c r="A151" s="469"/>
      <c r="B151" s="29">
        <v>47</v>
      </c>
      <c r="C151" s="78" t="s">
        <v>250</v>
      </c>
      <c r="D151" s="41" t="str">
        <f>VLOOKUP(C151,Mapping!$C$2:$H$158,6,FALSE)</f>
        <v>6 yard Regular</v>
      </c>
      <c r="E151" s="75">
        <f>IFERROR(SUMIFS(Mapping!M:M,Mapping!A:A,"Commercial",Mapping!D:D,'DF Calculation'!C151),0)</f>
        <v>52</v>
      </c>
      <c r="F151" s="75">
        <f>VLOOKUP(C151,Mapping!D:L,7,FALSE)</f>
        <v>4200</v>
      </c>
      <c r="G151" s="75">
        <f t="shared" si="43"/>
        <v>218400</v>
      </c>
      <c r="H151" s="28">
        <f t="shared" ca="1" si="39"/>
        <v>171223.88771194022</v>
      </c>
      <c r="I151" s="75">
        <f ca="1">(References!$D$61*H151)</f>
        <v>409.22509163153768</v>
      </c>
      <c r="J151" s="75">
        <f ca="1">I151/References!$H$64</f>
        <v>418.68742749287668</v>
      </c>
      <c r="K151" s="212">
        <v>415.67</v>
      </c>
      <c r="L151" s="38">
        <f t="shared" ca="1" si="40"/>
        <v>8.0516812979399361</v>
      </c>
      <c r="M151" s="167">
        <f t="shared" ca="1" si="41"/>
        <v>423.72168129793994</v>
      </c>
      <c r="N151" s="80">
        <f>(E151/References!$C$11)*'DF Calculation'!K151</f>
        <v>4988.04</v>
      </c>
      <c r="O151" s="80">
        <f ca="1">(E151/References!$C$11)*'DF Calculation'!M151</f>
        <v>5084.660175575279</v>
      </c>
      <c r="P151" s="80">
        <f t="shared" ca="1" si="42"/>
        <v>96.620175575279063</v>
      </c>
      <c r="Q151" s="16">
        <f ca="1">((F151*$D$89)*(References!$D$61/References!$H$64))-L151</f>
        <v>0</v>
      </c>
      <c r="R151" s="75"/>
    </row>
    <row r="152" spans="1:18" ht="15.75" thickBot="1">
      <c r="A152" s="470"/>
      <c r="B152" s="29">
        <v>47</v>
      </c>
      <c r="C152" s="78" t="s">
        <v>286</v>
      </c>
      <c r="D152" s="41" t="str">
        <f>VLOOKUP(C152,Mapping!$C$2:$H$158,6,FALSE)</f>
        <v>6 yard Special and Temporary</v>
      </c>
      <c r="E152" s="75">
        <f>IFERROR(SUMIFS(Mapping!M:M,Mapping!A:A,"Commercial",Mapping!D:D,'DF Calculation'!C152),0)</f>
        <v>12</v>
      </c>
      <c r="F152" s="75">
        <f>VLOOKUP(C152,Mapping!D:L,7,FALSE)</f>
        <v>4200</v>
      </c>
      <c r="G152" s="75">
        <f t="shared" si="43"/>
        <v>50400</v>
      </c>
      <c r="H152" s="28">
        <f t="shared" ca="1" si="39"/>
        <v>39513.204856601587</v>
      </c>
      <c r="I152" s="75">
        <f ca="1">(References!$D$61*H152)</f>
        <v>94.436559607277928</v>
      </c>
      <c r="J152" s="75">
        <f ca="1">I152/References!$H$64</f>
        <v>96.620175575279234</v>
      </c>
      <c r="K152" s="212">
        <v>422.29</v>
      </c>
      <c r="L152" s="38">
        <f t="shared" ca="1" si="40"/>
        <v>8.0516812979399361</v>
      </c>
      <c r="M152" s="167">
        <f t="shared" ca="1" si="41"/>
        <v>430.34168129793994</v>
      </c>
      <c r="N152" s="80">
        <f>(E152/References!$C$11)*'DF Calculation'!K152</f>
        <v>1169.4184615384618</v>
      </c>
      <c r="O152" s="80">
        <f ca="1">(E152/References!$C$11)*'DF Calculation'!M152</f>
        <v>1191.715425132757</v>
      </c>
      <c r="P152" s="80">
        <f t="shared" ca="1" si="42"/>
        <v>22.296963594295221</v>
      </c>
      <c r="Q152" s="16">
        <f ca="1">((F152*$D$89)*(References!$D$61/References!$H$64))-L152</f>
        <v>0</v>
      </c>
      <c r="R152" s="75"/>
    </row>
    <row r="153" spans="1:18">
      <c r="A153" s="160"/>
      <c r="B153" s="67"/>
      <c r="C153" s="76"/>
      <c r="D153" s="68" t="s">
        <v>14</v>
      </c>
      <c r="E153" s="61">
        <f>SUM(E131:E152)</f>
        <v>544</v>
      </c>
      <c r="F153" s="69"/>
      <c r="G153" s="61">
        <f>SUM(G131:G152)</f>
        <v>997640</v>
      </c>
      <c r="H153" s="61">
        <f ca="1">SUM(H131:H152)</f>
        <v>782141.93835595238</v>
      </c>
      <c r="I153" s="61">
        <f ca="1">SUM(I131:I152)</f>
        <v>1869.3192326707292</v>
      </c>
      <c r="J153" s="61">
        <f ca="1">SUM(J131:J152)</f>
        <v>1912.5426976373326</v>
      </c>
      <c r="K153" s="151"/>
      <c r="L153" s="61"/>
      <c r="M153" s="151"/>
      <c r="N153" s="61">
        <f>SUM(N131:N152)</f>
        <v>31652.596923076922</v>
      </c>
      <c r="O153" s="61">
        <f ca="1">SUM(O131:O152)</f>
        <v>32199.717515273369</v>
      </c>
      <c r="P153" s="61">
        <f ca="1">SUM(P131:P152)</f>
        <v>547.12059219644516</v>
      </c>
      <c r="Q153" s="60">
        <f ca="1">P153/N153</f>
        <v>1.7285172320175617E-2</v>
      </c>
      <c r="R153" s="75"/>
    </row>
    <row r="154" spans="1:18">
      <c r="D154" s="79"/>
      <c r="E154" s="178"/>
      <c r="N154" s="38"/>
      <c r="O154" s="38"/>
      <c r="P154" s="44"/>
    </row>
    <row r="155" spans="1:18">
      <c r="D155" s="79"/>
      <c r="E155" s="79"/>
      <c r="N155" s="38"/>
      <c r="O155" s="38"/>
      <c r="P155" s="44"/>
    </row>
    <row r="156" spans="1:18">
      <c r="D156" s="79"/>
      <c r="E156" s="79"/>
      <c r="N156" s="38"/>
      <c r="O156" s="38"/>
      <c r="P156" s="44"/>
    </row>
    <row r="157" spans="1:18">
      <c r="D157" s="79"/>
      <c r="E157" s="79"/>
      <c r="N157" s="38"/>
      <c r="O157" s="38"/>
      <c r="P157" s="44"/>
    </row>
    <row r="158" spans="1:18">
      <c r="D158" s="79"/>
      <c r="E158" s="79"/>
      <c r="N158" s="38"/>
      <c r="O158" s="38"/>
      <c r="P158" s="44"/>
    </row>
    <row r="159" spans="1:18">
      <c r="N159" s="38"/>
      <c r="O159" s="38"/>
      <c r="P159" s="44"/>
    </row>
    <row r="160" spans="1:18">
      <c r="N160" s="38"/>
      <c r="O160" s="38"/>
      <c r="P160" s="44"/>
    </row>
    <row r="161" spans="14:16">
      <c r="O161" s="93"/>
      <c r="P161" s="44"/>
    </row>
    <row r="162" spans="14:16">
      <c r="N162" s="38"/>
      <c r="O162" s="93"/>
      <c r="P162" s="70"/>
    </row>
    <row r="163" spans="14:16">
      <c r="P163" s="70"/>
    </row>
    <row r="164" spans="14:16">
      <c r="N164" s="35"/>
      <c r="P164" s="70"/>
    </row>
    <row r="165" spans="14:16">
      <c r="N165" s="35"/>
      <c r="P165" s="70"/>
    </row>
    <row r="166" spans="14:16">
      <c r="P166" s="70"/>
    </row>
    <row r="167" spans="14:16">
      <c r="N167" s="35"/>
    </row>
    <row r="168" spans="14:16">
      <c r="N168" s="27"/>
    </row>
    <row r="169" spans="14:16">
      <c r="N169" s="36"/>
    </row>
    <row r="170" spans="14:16">
      <c r="N170" s="36"/>
    </row>
    <row r="171" spans="14:16">
      <c r="N171" s="36"/>
    </row>
  </sheetData>
  <mergeCells count="7">
    <mergeCell ref="A131:A152"/>
    <mergeCell ref="A96:A97"/>
    <mergeCell ref="A7:A21"/>
    <mergeCell ref="B84:D84"/>
    <mergeCell ref="A49:A78"/>
    <mergeCell ref="A99:A129"/>
    <mergeCell ref="A23:A47"/>
  </mergeCells>
  <pageMargins left="0.25" right="0.25" top="0.75" bottom="0.75" header="0.3" footer="0.3"/>
  <pageSetup scale="50" fitToHeight="4" pageOrder="overThenDown" orientation="landscape" r:id="rId1"/>
  <headerFooter>
    <oddFooter>&amp;L&amp;F - &amp;A&amp;R&amp;P of &amp;N</oddFooter>
  </headerFooter>
  <rowBreaks count="3" manualBreakCount="3">
    <brk id="47" max="16" man="1"/>
    <brk id="94" max="16" man="1"/>
    <brk id="129" max="16" man="1"/>
  </rowBreaks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K125"/>
  <sheetViews>
    <sheetView showGridLines="0" tabSelected="1" zoomScaleNormal="100" workbookViewId="0">
      <pane xSplit="3" ySplit="1" topLeftCell="D2" activePane="bottomRight" state="frozen"/>
      <selection activeCell="A2" sqref="A2"/>
      <selection pane="topRight" activeCell="A2" sqref="A2"/>
      <selection pane="bottomLeft" activeCell="A2" sqref="A2"/>
      <selection pane="bottomRight" activeCell="J10" sqref="J10"/>
    </sheetView>
  </sheetViews>
  <sheetFormatPr defaultRowHeight="15"/>
  <cols>
    <col min="1" max="1" width="7.5703125" style="37" customWidth="1"/>
    <col min="2" max="3" width="29.7109375" style="37" customWidth="1"/>
    <col min="4" max="7" width="11.140625" customWidth="1"/>
  </cols>
  <sheetData>
    <row r="1" spans="1:11" ht="45">
      <c r="A1" s="81" t="s">
        <v>13</v>
      </c>
      <c r="B1" s="81" t="s">
        <v>181</v>
      </c>
      <c r="C1" s="81" t="s">
        <v>615</v>
      </c>
      <c r="D1" s="81" t="s">
        <v>622</v>
      </c>
      <c r="E1" s="81" t="s">
        <v>8</v>
      </c>
      <c r="F1" s="81" t="s">
        <v>623</v>
      </c>
      <c r="G1" s="81" t="s">
        <v>624</v>
      </c>
    </row>
    <row r="2" spans="1:11">
      <c r="A2" s="183">
        <v>23</v>
      </c>
      <c r="B2" s="184" t="s">
        <v>182</v>
      </c>
      <c r="C2" s="184" t="str">
        <f>VLOOKUP(B2,Mapping!$D$2:$H$158,5,FALSE)</f>
        <v>20 Gallon Cart MG</v>
      </c>
      <c r="D2" s="203">
        <f>SUMIFS('DF Calculation'!$K:$K,'DF Calculation'!$B:$B,'To Populate Tariff'!$A2,'DF Calculation'!$C:$C,'To Populate Tariff'!$B2)</f>
        <v>10.16</v>
      </c>
      <c r="E2" s="203">
        <f ca="1">SUMIFS('DF Calculation'!$L:$L,'DF Calculation'!$B:$B,'To Populate Tariff'!$A2,'DF Calculation'!$C:$C,'To Populate Tariff'!$B2)</f>
        <v>3.8341339513999699E-2</v>
      </c>
      <c r="F2" s="233">
        <f ca="1">SUMIFS('DF Calculation'!$M:$M,'DF Calculation'!$B:$B,'To Populate Tariff'!$A2,'DF Calculation'!$C:$C,'To Populate Tariff'!$B2)</f>
        <v>10.198341339514</v>
      </c>
      <c r="G2" s="214" t="str">
        <f ca="1">IF(ABS(F2-D2-E2)&lt;0.01,"ok","Error")</f>
        <v>ok</v>
      </c>
    </row>
    <row r="3" spans="1:11">
      <c r="A3" s="183">
        <v>23</v>
      </c>
      <c r="B3" s="184" t="s">
        <v>183</v>
      </c>
      <c r="C3" s="184" t="str">
        <f>VLOOKUP(B3,Mapping!$D$2:$H$158,5,FALSE)</f>
        <v>20 Gallon Cart WG-NR</v>
      </c>
      <c r="D3" s="203">
        <f>SUMIFS('DF Calculation'!K:K,'DF Calculation'!B:B,'To Populate Tariff'!A3,'DF Calculation'!C:C,'To Populate Tariff'!B3)</f>
        <v>17.8</v>
      </c>
      <c r="E3" s="203">
        <f ca="1">SUMIFS('DF Calculation'!L:L,'DF Calculation'!B:B,'To Populate Tariff'!A3,'DF Calculation'!C:C,'To Populate Tariff'!B3)</f>
        <v>0.16614580456066533</v>
      </c>
      <c r="F3" s="233">
        <f ca="1">SUMIFS('DF Calculation'!M:M,'DF Calculation'!B:B,'To Populate Tariff'!A3,'DF Calculation'!C:C,'To Populate Tariff'!B3)</f>
        <v>17.966145804560664</v>
      </c>
      <c r="G3" s="214" t="str">
        <f ca="1">IF(ABS(F3-D3-E3)&lt;0.01,"ok","Error")</f>
        <v>ok</v>
      </c>
      <c r="K3" s="233">
        <f ca="1">SUMIFS('DF Calculation'!$M:$M,'DF Calculation'!$B:$B,'To Populate Tariff'!$A3,'DF Calculation'!$C:$C,'To Populate Tariff'!$B3)</f>
        <v>17.966145804560664</v>
      </c>
    </row>
    <row r="4" spans="1:11">
      <c r="A4" s="183">
        <v>23</v>
      </c>
      <c r="B4" s="184" t="s">
        <v>184</v>
      </c>
      <c r="C4" s="184" t="str">
        <f>VLOOKUP(B4,Mapping!$D$2:$H$158,5,FALSE)</f>
        <v>20 Gallon Cart WG-R</v>
      </c>
      <c r="D4" s="203">
        <f>SUMIFS('DF Calculation'!K:K,'DF Calculation'!B:B,'To Populate Tariff'!A4,'DF Calculation'!C:C,'To Populate Tariff'!B4)</f>
        <v>16.8</v>
      </c>
      <c r="E4" s="203">
        <f ca="1">SUMIFS('DF Calculation'!L:L,'DF Calculation'!B:B,'To Populate Tariff'!A4,'DF Calculation'!C:C,'To Populate Tariff'!B4)</f>
        <v>0.16614580456066533</v>
      </c>
      <c r="F4" s="233">
        <f ca="1">SUMIFS('DF Calculation'!M:M,'DF Calculation'!B:B,'To Populate Tariff'!A4,'DF Calculation'!C:C,'To Populate Tariff'!B4)</f>
        <v>16.966145804560664</v>
      </c>
      <c r="G4" s="215" t="str">
        <f t="shared" ref="G4:G67" ca="1" si="0">IF(ABS(F4-D4-E4)&lt;0.01,"ok","Error")</f>
        <v>ok</v>
      </c>
    </row>
    <row r="5" spans="1:11">
      <c r="A5" s="183">
        <v>23</v>
      </c>
      <c r="B5" s="184" t="s">
        <v>185</v>
      </c>
      <c r="C5" s="184" t="str">
        <f>VLOOKUP(B5,Mapping!$D$2:$H$158,5,FALSE)</f>
        <v>35 Gallon Cart MG</v>
      </c>
      <c r="D5" s="203">
        <f>SUMIFS('DF Calculation'!K:K,'DF Calculation'!B:B,'To Populate Tariff'!A5,'DF Calculation'!C:C,'To Populate Tariff'!B5)</f>
        <v>12.68</v>
      </c>
      <c r="E5" s="203">
        <f ca="1">SUMIFS('DF Calculation'!L:L,'DF Calculation'!B:B,'To Populate Tariff'!A5,'DF Calculation'!C:C,'To Populate Tariff'!B5)</f>
        <v>6.5180277173799483E-2</v>
      </c>
      <c r="F5" s="233">
        <f ca="1">SUMIFS('DF Calculation'!M:M,'DF Calculation'!B:B,'To Populate Tariff'!A5,'DF Calculation'!C:C,'To Populate Tariff'!B5)</f>
        <v>12.7451802771738</v>
      </c>
      <c r="G5" s="215" t="str">
        <f t="shared" ca="1" si="0"/>
        <v>ok</v>
      </c>
    </row>
    <row r="6" spans="1:11">
      <c r="A6" s="183">
        <v>23</v>
      </c>
      <c r="B6" s="184" t="s">
        <v>186</v>
      </c>
      <c r="C6" s="184" t="str">
        <f>VLOOKUP(B6,Mapping!$D$2:$H$158,5,FALSE)</f>
        <v>35 Gallon Cart WG-NR</v>
      </c>
      <c r="D6" s="203">
        <f>SUMIFS('DF Calculation'!K:K,'DF Calculation'!B:B,'To Populate Tariff'!A6,'DF Calculation'!C:C,'To Populate Tariff'!B6)</f>
        <v>22.39</v>
      </c>
      <c r="E6" s="203">
        <f ca="1">SUMIFS('DF Calculation'!L:L,'DF Calculation'!B:B,'To Populate Tariff'!A6,'DF Calculation'!C:C,'To Populate Tariff'!B6)</f>
        <v>0.28244786775313108</v>
      </c>
      <c r="F6" s="233">
        <f ca="1">SUMIFS('DF Calculation'!M:M,'DF Calculation'!B:B,'To Populate Tariff'!A6,'DF Calculation'!C:C,'To Populate Tariff'!B6)</f>
        <v>22.672447867753132</v>
      </c>
      <c r="G6" s="215" t="str">
        <f t="shared" ca="1" si="0"/>
        <v>ok</v>
      </c>
    </row>
    <row r="7" spans="1:11">
      <c r="A7" s="183">
        <v>23</v>
      </c>
      <c r="B7" s="184" t="s">
        <v>187</v>
      </c>
      <c r="C7" s="184" t="str">
        <f>VLOOKUP(B7,Mapping!$D$2:$H$158,5,FALSE)</f>
        <v>35 Gallon Cart WG-R</v>
      </c>
      <c r="D7" s="203">
        <f>SUMIFS('DF Calculation'!K:K,'DF Calculation'!B:B,'To Populate Tariff'!A7,'DF Calculation'!C:C,'To Populate Tariff'!B7)</f>
        <v>21.39</v>
      </c>
      <c r="E7" s="203">
        <f ca="1">SUMIFS('DF Calculation'!L:L,'DF Calculation'!B:B,'To Populate Tariff'!A7,'DF Calculation'!C:C,'To Populate Tariff'!B7)</f>
        <v>0.28244786775313108</v>
      </c>
      <c r="F7" s="233">
        <f ca="1">SUMIFS('DF Calculation'!M:M,'DF Calculation'!B:B,'To Populate Tariff'!A7,'DF Calculation'!C:C,'To Populate Tariff'!B7)</f>
        <v>21.672447867753132</v>
      </c>
      <c r="G7" s="215" t="str">
        <f t="shared" ca="1" si="0"/>
        <v>ok</v>
      </c>
    </row>
    <row r="8" spans="1:11">
      <c r="A8" s="183">
        <v>23</v>
      </c>
      <c r="B8" s="184" t="s">
        <v>188</v>
      </c>
      <c r="C8" s="184" t="str">
        <f>VLOOKUP(B8,Mapping!$D$2:$H$158,5,FALSE)</f>
        <v>65 Gallon Cart  MG</v>
      </c>
      <c r="D8" s="203">
        <f>SUMIFS('DF Calculation'!K:K,'DF Calculation'!B:B,'To Populate Tariff'!A8,'DF Calculation'!C:C,'To Populate Tariff'!B8)</f>
        <v>18.95</v>
      </c>
      <c r="E8" s="203">
        <f ca="1">SUMIFS('DF Calculation'!L:L,'DF Calculation'!B:B,'To Populate Tariff'!A8,'DF Calculation'!C:C,'To Populate Tariff'!B8)</f>
        <v>9.0102147857899273E-2</v>
      </c>
      <c r="F8" s="233">
        <f ca="1">SUMIFS('DF Calculation'!M:M,'DF Calculation'!B:B,'To Populate Tariff'!A8,'DF Calculation'!C:C,'To Populate Tariff'!B8)</f>
        <v>19.040102147857898</v>
      </c>
      <c r="G8" s="215" t="str">
        <f t="shared" ca="1" si="0"/>
        <v>ok</v>
      </c>
    </row>
    <row r="9" spans="1:11">
      <c r="A9" s="183">
        <v>23</v>
      </c>
      <c r="B9" s="184" t="s">
        <v>189</v>
      </c>
      <c r="C9" s="184" t="str">
        <f>VLOOKUP(B9,Mapping!$D$2:$H$158,5,FALSE)</f>
        <v>65 Gallon Cart WG-NR</v>
      </c>
      <c r="D9" s="203">
        <f>SUMIFS('DF Calculation'!K:K,'DF Calculation'!B:B,'To Populate Tariff'!A9,'DF Calculation'!C:C,'To Populate Tariff'!B9)</f>
        <v>33.39</v>
      </c>
      <c r="E9" s="203">
        <f ca="1">SUMIFS('DF Calculation'!L:L,'DF Calculation'!B:B,'To Populate Tariff'!A9,'DF Calculation'!C:C,'To Populate Tariff'!B9)</f>
        <v>0.39044264071756352</v>
      </c>
      <c r="F9" s="233">
        <f ca="1">SUMIFS('DF Calculation'!M:M,'DF Calculation'!B:B,'To Populate Tariff'!A9,'DF Calculation'!C:C,'To Populate Tariff'!B9)</f>
        <v>33.780442640717567</v>
      </c>
      <c r="G9" s="215" t="str">
        <f t="shared" ca="1" si="0"/>
        <v>ok</v>
      </c>
    </row>
    <row r="10" spans="1:11">
      <c r="A10" s="183">
        <v>23</v>
      </c>
      <c r="B10" s="184" t="s">
        <v>190</v>
      </c>
      <c r="C10" s="184" t="str">
        <f>VLOOKUP(B10,Mapping!$D$2:$H$158,5,FALSE)</f>
        <v>65 Gallon Cart WG-R</v>
      </c>
      <c r="D10" s="203">
        <f>SUMIFS('DF Calculation'!K:K,'DF Calculation'!B:B,'To Populate Tariff'!A10,'DF Calculation'!C:C,'To Populate Tariff'!B10)</f>
        <v>31.39</v>
      </c>
      <c r="E10" s="203">
        <f ca="1">SUMIFS('DF Calculation'!L:L,'DF Calculation'!B:B,'To Populate Tariff'!A10,'DF Calculation'!C:C,'To Populate Tariff'!B10)</f>
        <v>0.39044264071756352</v>
      </c>
      <c r="F10" s="233">
        <f ca="1">SUMIFS('DF Calculation'!M:M,'DF Calculation'!B:B,'To Populate Tariff'!A10,'DF Calculation'!C:C,'To Populate Tariff'!B10)</f>
        <v>31.780442640717563</v>
      </c>
      <c r="G10" s="215" t="str">
        <f t="shared" ca="1" si="0"/>
        <v>ok</v>
      </c>
    </row>
    <row r="11" spans="1:11">
      <c r="A11" s="183">
        <v>23</v>
      </c>
      <c r="B11" s="184" t="s">
        <v>191</v>
      </c>
      <c r="C11" s="184" t="str">
        <f>VLOOKUP(B11,Mapping!$D$2:$H$158,5,FALSE)</f>
        <v>95 Gallon Cart MG</v>
      </c>
      <c r="D11" s="203">
        <f>SUMIFS('DF Calculation'!K:K,'DF Calculation'!B:B,'To Populate Tariff'!A11,'DF Calculation'!C:C,'To Populate Tariff'!B11)</f>
        <v>26.58</v>
      </c>
      <c r="E11" s="203">
        <f ca="1">SUMIFS('DF Calculation'!L:L,'DF Calculation'!B:B,'To Populate Tariff'!A11,'DF Calculation'!C:C,'To Populate Tariff'!B11)</f>
        <v>0.13036055434759897</v>
      </c>
      <c r="F11" s="233">
        <f ca="1">SUMIFS('DF Calculation'!M:M,'DF Calculation'!B:B,'To Populate Tariff'!A11,'DF Calculation'!C:C,'To Populate Tariff'!B11)</f>
        <v>26.710360554347599</v>
      </c>
      <c r="G11" s="215" t="str">
        <f t="shared" ca="1" si="0"/>
        <v>ok</v>
      </c>
    </row>
    <row r="12" spans="1:11">
      <c r="A12" s="183">
        <v>23</v>
      </c>
      <c r="B12" s="184" t="s">
        <v>192</v>
      </c>
      <c r="C12" s="184" t="str">
        <f>VLOOKUP(B12,Mapping!$D$2:$H$158,5,FALSE)</f>
        <v>95 Gallon Cart WG-NR</v>
      </c>
      <c r="D12" s="203">
        <f>SUMIFS('DF Calculation'!K:K,'DF Calculation'!B:B,'To Populate Tariff'!A12,'DF Calculation'!C:C,'To Populate Tariff'!B12)</f>
        <v>46.74</v>
      </c>
      <c r="E12" s="203">
        <f ca="1">SUMIFS('DF Calculation'!L:L,'DF Calculation'!B:B,'To Populate Tariff'!A12,'DF Calculation'!C:C,'To Populate Tariff'!B12)</f>
        <v>0.56489573550626215</v>
      </c>
      <c r="F12" s="233">
        <f ca="1">SUMIFS('DF Calculation'!M:M,'DF Calculation'!B:B,'To Populate Tariff'!A12,'DF Calculation'!C:C,'To Populate Tariff'!B12)</f>
        <v>47.304895735506264</v>
      </c>
      <c r="G12" s="215" t="str">
        <f t="shared" ca="1" si="0"/>
        <v>ok</v>
      </c>
    </row>
    <row r="13" spans="1:11">
      <c r="A13" s="183">
        <v>23</v>
      </c>
      <c r="B13" s="184" t="s">
        <v>193</v>
      </c>
      <c r="C13" s="184" t="str">
        <f>VLOOKUP(B13,Mapping!$D$2:$H$158,5,FALSE)</f>
        <v>95 Gallon Cart WG-R</v>
      </c>
      <c r="D13" s="203">
        <f>SUMIFS('DF Calculation'!K:K,'DF Calculation'!B:B,'To Populate Tariff'!A13,'DF Calculation'!C:C,'To Populate Tariff'!B13)</f>
        <v>43.74</v>
      </c>
      <c r="E13" s="203">
        <f ca="1">SUMIFS('DF Calculation'!L:L,'DF Calculation'!B:B,'To Populate Tariff'!A13,'DF Calculation'!C:C,'To Populate Tariff'!B13)</f>
        <v>0.56489573550626215</v>
      </c>
      <c r="F13" s="233">
        <f ca="1">SUMIFS('DF Calculation'!M:M,'DF Calculation'!B:B,'To Populate Tariff'!A13,'DF Calculation'!C:C,'To Populate Tariff'!B13)</f>
        <v>44.304895735506264</v>
      </c>
      <c r="G13" s="215" t="str">
        <f t="shared" ca="1" si="0"/>
        <v>ok</v>
      </c>
    </row>
    <row r="14" spans="1:11">
      <c r="A14" s="181">
        <v>24</v>
      </c>
      <c r="B14" s="182" t="s">
        <v>273</v>
      </c>
      <c r="C14" s="182" t="str">
        <f>VLOOKUP(B14,Mapping!$D$2:$H$158,5,FALSE)</f>
        <v>20 Gallon Cart  On Call</v>
      </c>
      <c r="D14" s="204">
        <f>SUMIFS('DF Calculation'!K:K,'DF Calculation'!B:B,'To Populate Tariff'!A14,'DF Calculation'!C:C,'To Populate Tariff'!B14)</f>
        <v>11.35</v>
      </c>
      <c r="E14" s="204">
        <f ca="1">SUMIFS('DF Calculation'!L:L,'DF Calculation'!B:B,'To Populate Tariff'!A14,'DF Calculation'!C:C,'To Populate Tariff'!B14)</f>
        <v>3.8341339513999699E-2</v>
      </c>
      <c r="F14" s="233">
        <f ca="1">SUMIFS('DF Calculation'!M:M,'DF Calculation'!B:B,'To Populate Tariff'!A14,'DF Calculation'!C:C,'To Populate Tariff'!B14)</f>
        <v>11.388341339514</v>
      </c>
      <c r="G14" s="216" t="str">
        <f t="shared" ca="1" si="0"/>
        <v>ok</v>
      </c>
    </row>
    <row r="15" spans="1:11">
      <c r="A15" s="181">
        <v>24</v>
      </c>
      <c r="B15" s="182" t="s">
        <v>272</v>
      </c>
      <c r="C15" s="182" t="str">
        <f>VLOOKUP(B15,Mapping!$D$2:$H$158,5,FALSE)</f>
        <v>35 Gallon Cart On Call</v>
      </c>
      <c r="D15" s="204">
        <f>SUMIFS('DF Calculation'!K:K,'DF Calculation'!B:B,'To Populate Tariff'!A15,'DF Calculation'!C:C,'To Populate Tariff'!B15)</f>
        <v>14.11</v>
      </c>
      <c r="E15" s="204">
        <f ca="1">SUMIFS('DF Calculation'!L:L,'DF Calculation'!B:B,'To Populate Tariff'!A15,'DF Calculation'!C:C,'To Populate Tariff'!B15)</f>
        <v>6.5180277173799483E-2</v>
      </c>
      <c r="F15" s="233">
        <f ca="1">SUMIFS('DF Calculation'!M:M,'DF Calculation'!B:B,'To Populate Tariff'!A15,'DF Calculation'!C:C,'To Populate Tariff'!B15)</f>
        <v>14.1751802771738</v>
      </c>
      <c r="G15" s="216" t="str">
        <f t="shared" ca="1" si="0"/>
        <v>ok</v>
      </c>
    </row>
    <row r="16" spans="1:11">
      <c r="A16" s="181">
        <v>24</v>
      </c>
      <c r="B16" s="182" t="s">
        <v>274</v>
      </c>
      <c r="C16" s="182" t="str">
        <f>VLOOKUP(B16,Mapping!$D$2:$H$158,5,FALSE)</f>
        <v>65 Gallon Cart On Call</v>
      </c>
      <c r="D16" s="204">
        <f>SUMIFS('DF Calculation'!K:K,'DF Calculation'!B:B,'To Populate Tariff'!A16,'DF Calculation'!C:C,'To Populate Tariff'!B16)</f>
        <v>21.09</v>
      </c>
      <c r="E16" s="204">
        <f ca="1">SUMIFS('DF Calculation'!L:L,'DF Calculation'!B:B,'To Populate Tariff'!A16,'DF Calculation'!C:C,'To Populate Tariff'!B16)</f>
        <v>9.0102147857899287E-2</v>
      </c>
      <c r="F16" s="233">
        <f ca="1">SUMIFS('DF Calculation'!M:M,'DF Calculation'!B:B,'To Populate Tariff'!A16,'DF Calculation'!C:C,'To Populate Tariff'!B16)</f>
        <v>21.180102147857898</v>
      </c>
      <c r="G16" s="216" t="str">
        <f t="shared" ca="1" si="0"/>
        <v>ok</v>
      </c>
    </row>
    <row r="17" spans="1:8">
      <c r="A17" s="181">
        <v>24</v>
      </c>
      <c r="B17" s="182" t="s">
        <v>275</v>
      </c>
      <c r="C17" s="182" t="str">
        <f>VLOOKUP(B17,Mapping!$D$2:$H$158,5,FALSE)</f>
        <v>95 Gallon Cart On Call</v>
      </c>
      <c r="D17" s="204">
        <f>SUMIFS('DF Calculation'!K:K,'DF Calculation'!B:B,'To Populate Tariff'!A17,'DF Calculation'!C:C,'To Populate Tariff'!B17)</f>
        <v>29.51</v>
      </c>
      <c r="E17" s="204">
        <f ca="1">SUMIFS('DF Calculation'!L:L,'DF Calculation'!B:B,'To Populate Tariff'!A17,'DF Calculation'!C:C,'To Populate Tariff'!B17)</f>
        <v>0.13036055434759897</v>
      </c>
      <c r="F17" s="233">
        <f ca="1">SUMIFS('DF Calculation'!M:M,'DF Calculation'!B:B,'To Populate Tariff'!A17,'DF Calculation'!C:C,'To Populate Tariff'!B17)</f>
        <v>29.640360554347602</v>
      </c>
      <c r="G17" s="216" t="str">
        <f t="shared" ca="1" si="0"/>
        <v>ok</v>
      </c>
    </row>
    <row r="18" spans="1:8">
      <c r="A18" s="181">
        <v>24</v>
      </c>
      <c r="B18" s="182" t="s">
        <v>105</v>
      </c>
      <c r="C18" s="182" t="str">
        <f>VLOOKUP(B18,Mapping!$D$2:$H$158,5,FALSE)</f>
        <v>Extra Units Extra</v>
      </c>
      <c r="D18" s="204">
        <f>SUMIFS('DF Calculation'!K:K,'DF Calculation'!B:B,'To Populate Tariff'!A18,'DF Calculation'!C:C,'To Populate Tariff'!B18)</f>
        <v>5.59</v>
      </c>
      <c r="E18" s="204">
        <f ca="1">SUMIFS('DF Calculation'!L:L,'DF Calculation'!B:B,'To Populate Tariff'!A18,'DF Calculation'!C:C,'To Populate Tariff'!B18)</f>
        <v>6.5180277173799483E-2</v>
      </c>
      <c r="F18" s="233">
        <f ca="1">SUMIFS('DF Calculation'!M:M,'DF Calculation'!B:B,'To Populate Tariff'!A18,'DF Calculation'!C:C,'To Populate Tariff'!B18)</f>
        <v>5.6551802771737991</v>
      </c>
      <c r="G18" s="216" t="str">
        <f t="shared" ca="1" si="0"/>
        <v>ok</v>
      </c>
    </row>
    <row r="19" spans="1:8">
      <c r="A19" s="185">
        <v>27</v>
      </c>
      <c r="B19" s="190" t="s">
        <v>244</v>
      </c>
      <c r="C19" s="190" t="str">
        <f>VLOOKUP(B19,Mapping!$D$2:$H$158,5,FALSE)</f>
        <v>20 Gallon Cart WG-R</v>
      </c>
      <c r="D19" s="205">
        <f>SUMIFS('DF Calculation'!K:K,'DF Calculation'!B:B,'To Populate Tariff'!A19,'DF Calculation'!C:C,'To Populate Tariff'!B19)</f>
        <v>18.22</v>
      </c>
      <c r="E19" s="205">
        <f ca="1">SUMIFS('DF Calculation'!L:L,'DF Calculation'!B:B,'To Populate Tariff'!A19,'DF Calculation'!C:C,'To Populate Tariff'!B19)</f>
        <v>0.16614580456066536</v>
      </c>
      <c r="F19" s="233">
        <f ca="1">SUMIFS('DF Calculation'!M:M,'DF Calculation'!B:B,'To Populate Tariff'!A19,'DF Calculation'!C:C,'To Populate Tariff'!B19)</f>
        <v>18.386145804560662</v>
      </c>
      <c r="G19" s="217" t="str">
        <f t="shared" ca="1" si="0"/>
        <v>ok</v>
      </c>
      <c r="H19" s="11"/>
    </row>
    <row r="20" spans="1:8">
      <c r="A20" s="185">
        <v>27</v>
      </c>
      <c r="B20" s="190" t="s">
        <v>245</v>
      </c>
      <c r="C20" s="190" t="str">
        <f>VLOOKUP(B20,Mapping!$D$2:$H$158,5,FALSE)</f>
        <v>20 Gallon Cart WG-NR</v>
      </c>
      <c r="D20" s="205">
        <f>SUMIFS('DF Calculation'!K:K,'DF Calculation'!B:B,'To Populate Tariff'!A20,'DF Calculation'!C:C,'To Populate Tariff'!B20)</f>
        <v>18.97</v>
      </c>
      <c r="E20" s="205">
        <f ca="1">SUMIFS('DF Calculation'!L:L,'DF Calculation'!B:B,'To Populate Tariff'!A20,'DF Calculation'!C:C,'To Populate Tariff'!B20)</f>
        <v>0.16614580456066533</v>
      </c>
      <c r="F20" s="233">
        <f ca="1">SUMIFS('DF Calculation'!M:M,'DF Calculation'!B:B,'To Populate Tariff'!A20,'DF Calculation'!C:C,'To Populate Tariff'!B20)</f>
        <v>19.136145804560662</v>
      </c>
      <c r="G20" s="217" t="str">
        <f t="shared" ca="1" si="0"/>
        <v>ok</v>
      </c>
    </row>
    <row r="21" spans="1:8">
      <c r="A21" s="185">
        <v>27</v>
      </c>
      <c r="B21" s="190" t="s">
        <v>218</v>
      </c>
      <c r="C21" s="190" t="str">
        <f>VLOOKUP(B21,Mapping!$D$2:$H$158,5,FALSE)</f>
        <v>35 Gallon Cart WG-R</v>
      </c>
      <c r="D21" s="205">
        <f>SUMIFS('DF Calculation'!K:K,'DF Calculation'!B:B,'To Populate Tariff'!A21,'DF Calculation'!C:C,'To Populate Tariff'!B21)</f>
        <v>23.17</v>
      </c>
      <c r="E21" s="205">
        <f ca="1">SUMIFS('DF Calculation'!L:L,'DF Calculation'!B:B,'To Populate Tariff'!A21,'DF Calculation'!C:C,'To Populate Tariff'!B21)</f>
        <v>0.28244786775313108</v>
      </c>
      <c r="F21" s="233">
        <f ca="1">SUMIFS('DF Calculation'!M:M,'DF Calculation'!B:B,'To Populate Tariff'!A21,'DF Calculation'!C:C,'To Populate Tariff'!B21)</f>
        <v>23.452447867753133</v>
      </c>
      <c r="G21" s="217" t="str">
        <f t="shared" ca="1" si="0"/>
        <v>ok</v>
      </c>
      <c r="H21" s="11"/>
    </row>
    <row r="22" spans="1:8">
      <c r="A22" s="185">
        <v>27</v>
      </c>
      <c r="B22" s="190" t="s">
        <v>219</v>
      </c>
      <c r="C22" s="190" t="str">
        <f>VLOOKUP(B22,Mapping!$D$2:$H$158,5,FALSE)</f>
        <v>35 Gallon Cart WG-NR</v>
      </c>
      <c r="D22" s="205">
        <f>SUMIFS('DF Calculation'!K:K,'DF Calculation'!B:B,'To Populate Tariff'!A22,'DF Calculation'!C:C,'To Populate Tariff'!B22)</f>
        <v>23.92</v>
      </c>
      <c r="E22" s="205">
        <f ca="1">SUMIFS('DF Calculation'!L:L,'DF Calculation'!B:B,'To Populate Tariff'!A22,'DF Calculation'!C:C,'To Populate Tariff'!B22)</f>
        <v>0.28244786775313102</v>
      </c>
      <c r="F22" s="233">
        <f ca="1">SUMIFS('DF Calculation'!M:M,'DF Calculation'!B:B,'To Populate Tariff'!A22,'DF Calculation'!C:C,'To Populate Tariff'!B22)</f>
        <v>24.202447867753133</v>
      </c>
      <c r="G22" s="217" t="str">
        <f t="shared" ca="1" si="0"/>
        <v>ok</v>
      </c>
      <c r="H22" s="11"/>
    </row>
    <row r="23" spans="1:8">
      <c r="A23" s="185">
        <v>27</v>
      </c>
      <c r="B23" s="190" t="s">
        <v>220</v>
      </c>
      <c r="C23" s="190" t="str">
        <f>VLOOKUP(B23,Mapping!$D$2:$H$158,5,FALSE)</f>
        <v>65 Gallon Cart WG-R</v>
      </c>
      <c r="D23" s="205">
        <f>SUMIFS('DF Calculation'!K:K,'DF Calculation'!B:B,'To Populate Tariff'!A23,'DF Calculation'!C:C,'To Populate Tariff'!B23)</f>
        <v>36.22</v>
      </c>
      <c r="E23" s="205">
        <f ca="1">SUMIFS('DF Calculation'!L:L,'DF Calculation'!B:B,'To Populate Tariff'!A23,'DF Calculation'!C:C,'To Populate Tariff'!B23)</f>
        <v>0.39044264071756352</v>
      </c>
      <c r="F23" s="233">
        <f ca="1">SUMIFS('DF Calculation'!M:M,'DF Calculation'!B:B,'To Populate Tariff'!A23,'DF Calculation'!C:C,'To Populate Tariff'!B23)</f>
        <v>36.610442640717565</v>
      </c>
      <c r="G23" s="217" t="str">
        <f t="shared" ca="1" si="0"/>
        <v>ok</v>
      </c>
      <c r="H23" s="11"/>
    </row>
    <row r="24" spans="1:8">
      <c r="A24" s="185">
        <v>27</v>
      </c>
      <c r="B24" s="190" t="s">
        <v>221</v>
      </c>
      <c r="C24" s="190" t="str">
        <f>VLOOKUP(B24,Mapping!$D$2:$H$158,5,FALSE)</f>
        <v>65 Gallon Cart WG-NR</v>
      </c>
      <c r="D24" s="205">
        <f>SUMIFS('DF Calculation'!K:K,'DF Calculation'!B:B,'To Populate Tariff'!A24,'DF Calculation'!C:C,'To Populate Tariff'!B24)</f>
        <v>36.97</v>
      </c>
      <c r="E24" s="205">
        <f ca="1">SUMIFS('DF Calculation'!L:L,'DF Calculation'!B:B,'To Populate Tariff'!A24,'DF Calculation'!C:C,'To Populate Tariff'!B24)</f>
        <v>0.39044264071756357</v>
      </c>
      <c r="F24" s="233">
        <f ca="1">SUMIFS('DF Calculation'!M:M,'DF Calculation'!B:B,'To Populate Tariff'!A24,'DF Calculation'!C:C,'To Populate Tariff'!B24)</f>
        <v>37.360442640717565</v>
      </c>
      <c r="G24" s="217" t="str">
        <f t="shared" ca="1" si="0"/>
        <v>ok</v>
      </c>
    </row>
    <row r="25" spans="1:8">
      <c r="A25" s="185">
        <v>27</v>
      </c>
      <c r="B25" s="190" t="s">
        <v>222</v>
      </c>
      <c r="C25" s="190" t="str">
        <f>VLOOKUP(B25,Mapping!$D$2:$H$158,5,FALSE)</f>
        <v>95 Gallon Cart WG-R</v>
      </c>
      <c r="D25" s="205">
        <f>SUMIFS('DF Calculation'!K:K,'DF Calculation'!B:B,'To Populate Tariff'!A25,'DF Calculation'!C:C,'To Populate Tariff'!B25)</f>
        <v>53.32</v>
      </c>
      <c r="E25" s="205">
        <f ca="1">SUMIFS('DF Calculation'!L:L,'DF Calculation'!B:B,'To Populate Tariff'!A25,'DF Calculation'!C:C,'To Populate Tariff'!B25)</f>
        <v>0.56489573550626215</v>
      </c>
      <c r="F25" s="233">
        <f ca="1">SUMIFS('DF Calculation'!M:M,'DF Calculation'!B:B,'To Populate Tariff'!A25,'DF Calculation'!C:C,'To Populate Tariff'!B25)</f>
        <v>53.884895735506262</v>
      </c>
      <c r="G25" s="217" t="str">
        <f t="shared" ca="1" si="0"/>
        <v>ok</v>
      </c>
      <c r="H25" s="11"/>
    </row>
    <row r="26" spans="1:8">
      <c r="A26" s="185">
        <v>27</v>
      </c>
      <c r="B26" s="190" t="s">
        <v>223</v>
      </c>
      <c r="C26" s="190" t="str">
        <f>VLOOKUP(B26,Mapping!$D$2:$H$158,5,FALSE)</f>
        <v>95 Gallon Cart WG-NR</v>
      </c>
      <c r="D26" s="205">
        <f>SUMIFS('DF Calculation'!K:K,'DF Calculation'!B:B,'To Populate Tariff'!A26,'DF Calculation'!C:C,'To Populate Tariff'!B26)</f>
        <v>54.07</v>
      </c>
      <c r="E26" s="205">
        <f ca="1">SUMIFS('DF Calculation'!L:L,'DF Calculation'!B:B,'To Populate Tariff'!A26,'DF Calculation'!C:C,'To Populate Tariff'!B26)</f>
        <v>0.56489573550626215</v>
      </c>
      <c r="F26" s="233">
        <f ca="1">SUMIFS('DF Calculation'!M:M,'DF Calculation'!B:B,'To Populate Tariff'!A26,'DF Calculation'!C:C,'To Populate Tariff'!B26)</f>
        <v>54.634895735506262</v>
      </c>
      <c r="G26" s="217" t="str">
        <f t="shared" ca="1" si="0"/>
        <v>ok</v>
      </c>
    </row>
    <row r="27" spans="1:8">
      <c r="A27" s="186">
        <v>28</v>
      </c>
      <c r="B27" s="191" t="s">
        <v>173</v>
      </c>
      <c r="C27" s="191" t="str">
        <f>VLOOKUP(B27,Mapping!$D$2:$H$158,5,FALSE)</f>
        <v>20 Gallon Cart  On Call</v>
      </c>
      <c r="D27" s="206">
        <f>SUMIFS('DF Calculation'!K:K,'DF Calculation'!B:B,'To Populate Tariff'!A27,'DF Calculation'!C:C,'To Populate Tariff'!B27)</f>
        <v>16.010000000000002</v>
      </c>
      <c r="E27" s="206">
        <f ca="1">SUMIFS('DF Calculation'!L:L,'DF Calculation'!B:B,'To Populate Tariff'!A27,'DF Calculation'!C:C,'To Populate Tariff'!B27)</f>
        <v>3.8341339513999699E-2</v>
      </c>
      <c r="F27" s="233">
        <f ca="1">SUMIFS('DF Calculation'!M:M,'DF Calculation'!B:B,'To Populate Tariff'!A27,'DF Calculation'!C:C,'To Populate Tariff'!B27)</f>
        <v>16.048341339514</v>
      </c>
      <c r="G27" s="218" t="str">
        <f t="shared" ca="1" si="0"/>
        <v>ok</v>
      </c>
    </row>
    <row r="28" spans="1:8">
      <c r="A28" s="186">
        <v>28</v>
      </c>
      <c r="B28" s="191" t="s">
        <v>175</v>
      </c>
      <c r="C28" s="191" t="str">
        <f>VLOOKUP(B28,Mapping!$D$2:$H$158,5,FALSE)</f>
        <v>35 Gallon Cart On Call</v>
      </c>
      <c r="D28" s="206">
        <f>SUMIFS('DF Calculation'!K:K,'DF Calculation'!B:B,'To Populate Tariff'!A28,'DF Calculation'!C:C,'To Populate Tariff'!B28)</f>
        <v>19.96</v>
      </c>
      <c r="E28" s="206">
        <f ca="1">SUMIFS('DF Calculation'!L:L,'DF Calculation'!B:B,'To Populate Tariff'!A28,'DF Calculation'!C:C,'To Populate Tariff'!B28)</f>
        <v>6.5180277173799483E-2</v>
      </c>
      <c r="F28" s="233">
        <f ca="1">SUMIFS('DF Calculation'!M:M,'DF Calculation'!B:B,'To Populate Tariff'!A28,'DF Calculation'!C:C,'To Populate Tariff'!B28)</f>
        <v>20.025180277173799</v>
      </c>
      <c r="G28" s="218" t="str">
        <f t="shared" ca="1" si="0"/>
        <v>ok</v>
      </c>
    </row>
    <row r="29" spans="1:8">
      <c r="A29" s="186">
        <v>28</v>
      </c>
      <c r="B29" s="191" t="s">
        <v>174</v>
      </c>
      <c r="C29" s="191" t="str">
        <f>VLOOKUP(B29,Mapping!$D$2:$H$158,5,FALSE)</f>
        <v>65 Gallon Cart On Call</v>
      </c>
      <c r="D29" s="206">
        <f>SUMIFS('DF Calculation'!K:K,'DF Calculation'!B:B,'To Populate Tariff'!A29,'DF Calculation'!C:C,'To Populate Tariff'!B29)</f>
        <v>29.87</v>
      </c>
      <c r="E29" s="206">
        <f ca="1">SUMIFS('DF Calculation'!L:L,'DF Calculation'!B:B,'To Populate Tariff'!A29,'DF Calculation'!C:C,'To Populate Tariff'!B29)</f>
        <v>9.0102147857899287E-2</v>
      </c>
      <c r="F29" s="233">
        <f ca="1">SUMIFS('DF Calculation'!M:M,'DF Calculation'!B:B,'To Populate Tariff'!A29,'DF Calculation'!C:C,'To Populate Tariff'!B29)</f>
        <v>29.960102147857899</v>
      </c>
      <c r="G29" s="218" t="str">
        <f t="shared" ca="1" si="0"/>
        <v>ok</v>
      </c>
    </row>
    <row r="30" spans="1:8">
      <c r="A30" s="186">
        <v>28</v>
      </c>
      <c r="B30" s="191" t="s">
        <v>176</v>
      </c>
      <c r="C30" s="191" t="str">
        <f>VLOOKUP(B30,Mapping!$D$2:$H$158,5,FALSE)</f>
        <v>95 Gallon Cart On Call</v>
      </c>
      <c r="D30" s="206">
        <f>SUMIFS('DF Calculation'!K:K,'DF Calculation'!B:B,'To Populate Tariff'!A30,'DF Calculation'!C:C,'To Populate Tariff'!B30)</f>
        <v>41.81</v>
      </c>
      <c r="E30" s="206">
        <f ca="1">SUMIFS('DF Calculation'!L:L,'DF Calculation'!B:B,'To Populate Tariff'!A30,'DF Calculation'!C:C,'To Populate Tariff'!B30)</f>
        <v>0.13036055434759897</v>
      </c>
      <c r="F30" s="233">
        <f ca="1">SUMIFS('DF Calculation'!M:M,'DF Calculation'!B:B,'To Populate Tariff'!A30,'DF Calculation'!C:C,'To Populate Tariff'!B30)</f>
        <v>41.940360554347599</v>
      </c>
      <c r="G30" s="218" t="str">
        <f t="shared" ca="1" si="0"/>
        <v>ok</v>
      </c>
    </row>
    <row r="31" spans="1:8">
      <c r="A31" s="186">
        <v>28</v>
      </c>
      <c r="B31" s="191" t="s">
        <v>233</v>
      </c>
      <c r="C31" s="191" t="str">
        <f>VLOOKUP(B31,Mapping!$D$2:$H$158,5,FALSE)</f>
        <v>Extra Units Extra</v>
      </c>
      <c r="D31" s="206">
        <f>SUMIFS('DF Calculation'!K:K,'DF Calculation'!B:B,'To Populate Tariff'!A31,'DF Calculation'!C:C,'To Populate Tariff'!B31)</f>
        <v>4.8600000000000003</v>
      </c>
      <c r="E31" s="206">
        <f ca="1">SUMIFS('DF Calculation'!L:L,'DF Calculation'!B:B,'To Populate Tariff'!A31,'DF Calculation'!C:C,'To Populate Tariff'!B31)</f>
        <v>5.5594942295299564E-2</v>
      </c>
      <c r="F31" s="233">
        <f ca="1">SUMIFS('DF Calculation'!M:M,'DF Calculation'!B:B,'To Populate Tariff'!A31,'DF Calculation'!C:C,'To Populate Tariff'!B31)</f>
        <v>4.9155949422953</v>
      </c>
      <c r="G31" s="218" t="str">
        <f t="shared" ca="1" si="0"/>
        <v>ok</v>
      </c>
    </row>
    <row r="32" spans="1:8">
      <c r="A32" s="183">
        <v>29</v>
      </c>
      <c r="B32" s="184" t="s">
        <v>236</v>
      </c>
      <c r="C32" s="184" t="str">
        <f>VLOOKUP(B32,Mapping!$D$2:$H$158,5,FALSE)</f>
        <v>20 Gallon Cart Count Regular</v>
      </c>
      <c r="D32" s="203">
        <f>SUMIFS('DF Calculation'!K:K,'DF Calculation'!B:B,'To Populate Tariff'!A32,'DF Calculation'!C:C,'To Populate Tariff'!B32)</f>
        <v>3.91</v>
      </c>
      <c r="E32" s="203">
        <f ca="1">SUMIFS('DF Calculation'!L:L,'DF Calculation'!B:B,'To Populate Tariff'!A32,'DF Calculation'!C:C,'To Populate Tariff'!B32)</f>
        <v>3.8341339513999699E-2</v>
      </c>
      <c r="F32" s="233">
        <f ca="1">SUMIFS('DF Calculation'!M:M,'DF Calculation'!B:B,'To Populate Tariff'!A32,'DF Calculation'!C:C,'To Populate Tariff'!B32)</f>
        <v>3.9483413395139997</v>
      </c>
      <c r="G32" s="215" t="str">
        <f t="shared" ca="1" si="0"/>
        <v>ok</v>
      </c>
    </row>
    <row r="33" spans="1:7">
      <c r="A33" s="183">
        <v>29</v>
      </c>
      <c r="B33" s="184" t="s">
        <v>230</v>
      </c>
      <c r="C33" s="184" t="str">
        <f>VLOOKUP(B33,Mapping!$D$2:$H$158,5,FALSE)</f>
        <v>35 Gallon Cart Count Regular</v>
      </c>
      <c r="D33" s="203">
        <f>SUMIFS('DF Calculation'!K:K,'DF Calculation'!B:B,'To Populate Tariff'!A33,'DF Calculation'!C:C,'To Populate Tariff'!B33)</f>
        <v>4.8899999999999997</v>
      </c>
      <c r="E33" s="203">
        <f ca="1">SUMIFS('DF Calculation'!L:L,'DF Calculation'!B:B,'To Populate Tariff'!A33,'DF Calculation'!C:C,'To Populate Tariff'!B33)</f>
        <v>6.518027717379947E-2</v>
      </c>
      <c r="F33" s="233">
        <f ca="1">SUMIFS('DF Calculation'!M:M,'DF Calculation'!B:B,'To Populate Tariff'!A33,'DF Calculation'!C:C,'To Populate Tariff'!B33)</f>
        <v>4.9551802771737989</v>
      </c>
      <c r="G33" s="215" t="str">
        <f t="shared" ca="1" si="0"/>
        <v>ok</v>
      </c>
    </row>
    <row r="34" spans="1:7">
      <c r="A34" s="183">
        <v>29</v>
      </c>
      <c r="B34" s="184" t="s">
        <v>231</v>
      </c>
      <c r="C34" s="184" t="str">
        <f>VLOOKUP(B34,Mapping!$D$2:$H$158,5,FALSE)</f>
        <v>65 Gallon Cart Count Regular</v>
      </c>
      <c r="D34" s="203">
        <f>SUMIFS('DF Calculation'!K:K,'DF Calculation'!B:B,'To Populate Tariff'!A34,'DF Calculation'!C:C,'To Populate Tariff'!B34)</f>
        <v>7.25</v>
      </c>
      <c r="E34" s="203">
        <f ca="1">SUMIFS('DF Calculation'!L:L,'DF Calculation'!B:B,'To Populate Tariff'!A34,'DF Calculation'!C:C,'To Populate Tariff'!B34)</f>
        <v>9.0102147857899287E-2</v>
      </c>
      <c r="F34" s="233">
        <f ca="1">SUMIFS('DF Calculation'!M:M,'DF Calculation'!B:B,'To Populate Tariff'!A34,'DF Calculation'!C:C,'To Populate Tariff'!B34)</f>
        <v>7.3401021478578992</v>
      </c>
      <c r="G34" s="215" t="str">
        <f t="shared" ca="1" si="0"/>
        <v>ok</v>
      </c>
    </row>
    <row r="35" spans="1:7">
      <c r="A35" s="183">
        <v>29</v>
      </c>
      <c r="B35" s="184" t="s">
        <v>232</v>
      </c>
      <c r="C35" s="184" t="str">
        <f>VLOOKUP(B35,Mapping!$D$2:$H$158,5,FALSE)</f>
        <v>95 Gallon Cart Count Regular</v>
      </c>
      <c r="D35" s="203">
        <f>SUMIFS('DF Calculation'!K:K,'DF Calculation'!B:B,'To Populate Tariff'!A35,'DF Calculation'!C:C,'To Populate Tariff'!B35)</f>
        <v>10.119999999999999</v>
      </c>
      <c r="E35" s="203">
        <f ca="1">SUMIFS('DF Calculation'!L:L,'DF Calculation'!B:B,'To Populate Tariff'!A35,'DF Calculation'!C:C,'To Populate Tariff'!B35)</f>
        <v>0.13036055434759897</v>
      </c>
      <c r="F35" s="233">
        <f ca="1">SUMIFS('DF Calculation'!M:M,'DF Calculation'!B:B,'To Populate Tariff'!A35,'DF Calculation'!C:C,'To Populate Tariff'!B35)</f>
        <v>10.250360554347598</v>
      </c>
      <c r="G35" s="215" t="str">
        <f t="shared" ca="1" si="0"/>
        <v>ok</v>
      </c>
    </row>
    <row r="36" spans="1:7">
      <c r="A36" s="192">
        <v>30</v>
      </c>
      <c r="B36" s="193" t="s">
        <v>107</v>
      </c>
      <c r="C36" s="193" t="str">
        <f>VLOOKUP(B36,Mapping!$D$2:$H$158,5,FALSE)</f>
        <v>1.5 yard Regular</v>
      </c>
      <c r="D36" s="207">
        <f>SUMIFS('DF Calculation'!K:K,'DF Calculation'!B:B,'To Populate Tariff'!A36,'DF Calculation'!C:C,'To Populate Tariff'!B36)</f>
        <v>42.03</v>
      </c>
      <c r="E36" s="207">
        <f ca="1">SUMIFS('DF Calculation'!L:L,'DF Calculation'!B:B,'To Populate Tariff'!A36,'DF Calculation'!C:C,'To Populate Tariff'!B36)</f>
        <v>0.47926674392499619</v>
      </c>
      <c r="F36" s="233">
        <f ca="1">SUMIFS('DF Calculation'!M:M,'DF Calculation'!B:B,'To Populate Tariff'!A36,'DF Calculation'!C:C,'To Populate Tariff'!B36)</f>
        <v>42.509266743924996</v>
      </c>
      <c r="G36" s="219" t="str">
        <f t="shared" ca="1" si="0"/>
        <v>ok</v>
      </c>
    </row>
    <row r="37" spans="1:7">
      <c r="A37" s="192">
        <v>30</v>
      </c>
      <c r="B37" s="193" t="s">
        <v>224</v>
      </c>
      <c r="C37" s="193" t="str">
        <f>VLOOKUP(B37,Mapping!$D$2:$H$158,5,FALSE)</f>
        <v>1.5 yard Extra</v>
      </c>
      <c r="D37" s="207">
        <f>SUMIFS('DF Calculation'!K:K,'DF Calculation'!B:B,'To Populate Tariff'!A37,'DF Calculation'!C:C,'To Populate Tariff'!B37)</f>
        <v>42.03</v>
      </c>
      <c r="E37" s="207">
        <f ca="1">SUMIFS('DF Calculation'!L:L,'DF Calculation'!B:B,'To Populate Tariff'!A37,'DF Calculation'!C:C,'To Populate Tariff'!B37)</f>
        <v>0.47926674392499619</v>
      </c>
      <c r="F37" s="233">
        <f ca="1">SUMIFS('DF Calculation'!M:M,'DF Calculation'!B:B,'To Populate Tariff'!A37,'DF Calculation'!C:C,'To Populate Tariff'!B37)</f>
        <v>42.509266743924996</v>
      </c>
      <c r="G37" s="219" t="str">
        <f t="shared" ca="1" si="0"/>
        <v>ok</v>
      </c>
    </row>
    <row r="38" spans="1:7">
      <c r="A38" s="192">
        <v>30</v>
      </c>
      <c r="B38" s="193" t="s">
        <v>118</v>
      </c>
      <c r="C38" s="193" t="str">
        <f>VLOOKUP(B38,Mapping!$D$2:$H$158,5,FALSE)</f>
        <v>1.5 yard Temp</v>
      </c>
      <c r="D38" s="207">
        <f>SUMIFS('DF Calculation'!K:K,'DF Calculation'!B:B,'To Populate Tariff'!A38,'DF Calculation'!C:C,'To Populate Tariff'!B38)</f>
        <v>44.25</v>
      </c>
      <c r="E38" s="207">
        <f ca="1">SUMIFS('DF Calculation'!L:L,'DF Calculation'!B:B,'To Populate Tariff'!A38,'DF Calculation'!C:C,'To Populate Tariff'!B38)</f>
        <v>0.47926674392499613</v>
      </c>
      <c r="F38" s="233">
        <f ca="1">SUMIFS('DF Calculation'!M:M,'DF Calculation'!B:B,'To Populate Tariff'!A38,'DF Calculation'!C:C,'To Populate Tariff'!B38)</f>
        <v>44.729266743924995</v>
      </c>
      <c r="G38" s="219" t="str">
        <f t="shared" ca="1" si="0"/>
        <v>ok</v>
      </c>
    </row>
    <row r="39" spans="1:7">
      <c r="A39" s="192">
        <v>30</v>
      </c>
      <c r="B39" s="193" t="s">
        <v>106</v>
      </c>
      <c r="C39" s="193" t="str">
        <f>VLOOKUP(B39,Mapping!$D$2:$H$158,5,FALSE)</f>
        <v>1 yard Regular</v>
      </c>
      <c r="D39" s="207">
        <f>SUMIFS('DF Calculation'!K:K,'DF Calculation'!B:B,'To Populate Tariff'!A39,'DF Calculation'!C:C,'To Populate Tariff'!B39)</f>
        <v>29.88</v>
      </c>
      <c r="E39" s="207">
        <f ca="1">SUMIFS('DF Calculation'!L:L,'DF Calculation'!B:B,'To Populate Tariff'!A39,'DF Calculation'!C:C,'To Populate Tariff'!B39)</f>
        <v>0.3354867207474973</v>
      </c>
      <c r="F39" s="233">
        <f ca="1">SUMIFS('DF Calculation'!M:M,'DF Calculation'!B:B,'To Populate Tariff'!A39,'DF Calculation'!C:C,'To Populate Tariff'!B39)</f>
        <v>30.215486720747496</v>
      </c>
      <c r="G39" s="219" t="str">
        <f t="shared" ca="1" si="0"/>
        <v>ok</v>
      </c>
    </row>
    <row r="40" spans="1:7">
      <c r="A40" s="192">
        <v>30</v>
      </c>
      <c r="B40" s="193" t="s">
        <v>226</v>
      </c>
      <c r="C40" s="193" t="str">
        <f>VLOOKUP(B40,Mapping!$D$2:$H$158,5,FALSE)</f>
        <v>1 yard Extra</v>
      </c>
      <c r="D40" s="207">
        <f>SUMIFS('DF Calculation'!K:K,'DF Calculation'!B:B,'To Populate Tariff'!A40,'DF Calculation'!C:C,'To Populate Tariff'!B40)</f>
        <v>29.88</v>
      </c>
      <c r="E40" s="207">
        <f ca="1">SUMIFS('DF Calculation'!L:L,'DF Calculation'!B:B,'To Populate Tariff'!A40,'DF Calculation'!C:C,'To Populate Tariff'!B40)</f>
        <v>0.33548672074749736</v>
      </c>
      <c r="F40" s="233">
        <f ca="1">SUMIFS('DF Calculation'!M:M,'DF Calculation'!B:B,'To Populate Tariff'!A40,'DF Calculation'!C:C,'To Populate Tariff'!B40)</f>
        <v>30.215486720747496</v>
      </c>
      <c r="G40" s="219" t="str">
        <f t="shared" ca="1" si="0"/>
        <v>ok</v>
      </c>
    </row>
    <row r="41" spans="1:7">
      <c r="A41" s="192">
        <v>30</v>
      </c>
      <c r="B41" s="193" t="s">
        <v>117</v>
      </c>
      <c r="C41" s="193" t="str">
        <f>VLOOKUP(B41,Mapping!$D$2:$H$158,5,FALSE)</f>
        <v>1 yard Temp</v>
      </c>
      <c r="D41" s="207">
        <f>SUMIFS('DF Calculation'!K:K,'DF Calculation'!B:B,'To Populate Tariff'!A41,'DF Calculation'!C:C,'To Populate Tariff'!B41)</f>
        <v>32.08</v>
      </c>
      <c r="E41" s="207">
        <f ca="1">SUMIFS('DF Calculation'!L:L,'DF Calculation'!B:B,'To Populate Tariff'!A41,'DF Calculation'!C:C,'To Populate Tariff'!B41)</f>
        <v>0.3354867207474973</v>
      </c>
      <c r="F41" s="233">
        <f ca="1">SUMIFS('DF Calculation'!M:M,'DF Calculation'!B:B,'To Populate Tariff'!A41,'DF Calculation'!C:C,'To Populate Tariff'!B41)</f>
        <v>32.415486720747495</v>
      </c>
      <c r="G41" s="219" t="str">
        <f t="shared" ca="1" si="0"/>
        <v>ok</v>
      </c>
    </row>
    <row r="42" spans="1:7">
      <c r="A42" s="192">
        <v>30</v>
      </c>
      <c r="B42" s="193" t="s">
        <v>109</v>
      </c>
      <c r="C42" s="193" t="str">
        <f>VLOOKUP(B42,Mapping!$D$2:$H$158,5,FALSE)</f>
        <v>2 yard Regular</v>
      </c>
      <c r="D42" s="207">
        <f>SUMIFS('DF Calculation'!K:K,'DF Calculation'!B:B,'To Populate Tariff'!A42,'DF Calculation'!C:C,'To Populate Tariff'!B42)</f>
        <v>53.19</v>
      </c>
      <c r="E42" s="207">
        <f ca="1">SUMIFS('DF Calculation'!L:L,'DF Calculation'!B:B,'To Populate Tariff'!A42,'DF Calculation'!C:C,'To Populate Tariff'!B42)</f>
        <v>0.62112970012679491</v>
      </c>
      <c r="F42" s="233">
        <f ca="1">SUMIFS('DF Calculation'!M:M,'DF Calculation'!B:B,'To Populate Tariff'!A42,'DF Calculation'!C:C,'To Populate Tariff'!B42)</f>
        <v>53.811129700126791</v>
      </c>
      <c r="G42" s="219" t="str">
        <f t="shared" ca="1" si="0"/>
        <v>ok</v>
      </c>
    </row>
    <row r="43" spans="1:7">
      <c r="A43" s="192">
        <v>30</v>
      </c>
      <c r="B43" s="193" t="s">
        <v>227</v>
      </c>
      <c r="C43" s="193" t="str">
        <f>VLOOKUP(B43,Mapping!$D$2:$H$158,5,FALSE)</f>
        <v>2 yard Extra</v>
      </c>
      <c r="D43" s="207">
        <f>SUMIFS('DF Calculation'!K:K,'DF Calculation'!B:B,'To Populate Tariff'!A43,'DF Calculation'!C:C,'To Populate Tariff'!B43)</f>
        <v>53.19</v>
      </c>
      <c r="E43" s="207">
        <f ca="1">SUMIFS('DF Calculation'!L:L,'DF Calculation'!B:B,'To Populate Tariff'!A43,'DF Calculation'!C:C,'To Populate Tariff'!B43)</f>
        <v>0.62112970012679514</v>
      </c>
      <c r="F43" s="233">
        <f ca="1">SUMIFS('DF Calculation'!M:M,'DF Calculation'!B:B,'To Populate Tariff'!A43,'DF Calculation'!C:C,'To Populate Tariff'!B43)</f>
        <v>53.811129700126791</v>
      </c>
      <c r="G43" s="219" t="str">
        <f t="shared" ca="1" si="0"/>
        <v>ok</v>
      </c>
    </row>
    <row r="44" spans="1:7">
      <c r="A44" s="192">
        <v>30</v>
      </c>
      <c r="B44" s="193" t="s">
        <v>119</v>
      </c>
      <c r="C44" s="193" t="str">
        <f>VLOOKUP(B44,Mapping!$D$2:$H$158,5,FALSE)</f>
        <v>2 yard Temp</v>
      </c>
      <c r="D44" s="207">
        <f>SUMIFS('DF Calculation'!K:K,'DF Calculation'!B:B,'To Populate Tariff'!A44,'DF Calculation'!C:C,'To Populate Tariff'!B44)</f>
        <v>55.4</v>
      </c>
      <c r="E44" s="207">
        <f ca="1">SUMIFS('DF Calculation'!L:L,'DF Calculation'!B:B,'To Populate Tariff'!A44,'DF Calculation'!C:C,'To Populate Tariff'!B44)</f>
        <v>0.62112970012679503</v>
      </c>
      <c r="F44" s="233">
        <f ca="1">SUMIFS('DF Calculation'!M:M,'DF Calculation'!B:B,'To Populate Tariff'!A44,'DF Calculation'!C:C,'To Populate Tariff'!B44)</f>
        <v>56.021129700126792</v>
      </c>
      <c r="G44" s="219" t="str">
        <f t="shared" ca="1" si="0"/>
        <v>ok</v>
      </c>
    </row>
    <row r="45" spans="1:7">
      <c r="A45" s="192">
        <v>30</v>
      </c>
      <c r="B45" s="193" t="s">
        <v>112</v>
      </c>
      <c r="C45" s="193" t="str">
        <f>VLOOKUP(B45,Mapping!$D$2:$H$158,5,FALSE)</f>
        <v>4 yard Regular</v>
      </c>
      <c r="D45" s="207">
        <f>SUMIFS('DF Calculation'!K:K,'DF Calculation'!B:B,'To Populate Tariff'!A45,'DF Calculation'!C:C,'To Populate Tariff'!B45)</f>
        <v>101.36</v>
      </c>
      <c r="E45" s="207">
        <f ca="1">SUMIFS('DF Calculation'!L:L,'DF Calculation'!B:B,'To Populate Tariff'!A45,'DF Calculation'!C:C,'To Populate Tariff'!B45)</f>
        <v>1.1751620561040907</v>
      </c>
      <c r="F45" s="233">
        <f ca="1">SUMIFS('DF Calculation'!M:M,'DF Calculation'!B:B,'To Populate Tariff'!A45,'DF Calculation'!C:C,'To Populate Tariff'!B45)</f>
        <v>102.53516205610408</v>
      </c>
      <c r="G45" s="219" t="str">
        <f t="shared" ca="1" si="0"/>
        <v>ok</v>
      </c>
    </row>
    <row r="46" spans="1:7">
      <c r="A46" s="192">
        <v>30</v>
      </c>
      <c r="B46" s="194" t="s">
        <v>228</v>
      </c>
      <c r="C46" s="194" t="str">
        <f>VLOOKUP(B46,Mapping!$D$2:$H$158,5,FALSE)</f>
        <v>4 yard Extra</v>
      </c>
      <c r="D46" s="207">
        <f>SUMIFS('DF Calculation'!K:K,'DF Calculation'!B:B,'To Populate Tariff'!A46,'DF Calculation'!C:C,'To Populate Tariff'!B46)</f>
        <v>101.36</v>
      </c>
      <c r="E46" s="207">
        <f ca="1">SUMIFS('DF Calculation'!L:L,'DF Calculation'!B:B,'To Populate Tariff'!A46,'DF Calculation'!C:C,'To Populate Tariff'!B46)</f>
        <v>1.1751620561040905</v>
      </c>
      <c r="F46" s="233">
        <f ca="1">SUMIFS('DF Calculation'!M:M,'DF Calculation'!B:B,'To Populate Tariff'!A46,'DF Calculation'!C:C,'To Populate Tariff'!B46)</f>
        <v>102.53516205610408</v>
      </c>
      <c r="G46" s="219" t="str">
        <f t="shared" ca="1" si="0"/>
        <v>ok</v>
      </c>
    </row>
    <row r="47" spans="1:7">
      <c r="A47" s="192">
        <v>30</v>
      </c>
      <c r="B47" s="193" t="s">
        <v>234</v>
      </c>
      <c r="C47" s="193" t="str">
        <f>VLOOKUP(B47,Mapping!$D$2:$H$158,5,FALSE)</f>
        <v>4 yard Temp</v>
      </c>
      <c r="D47" s="207">
        <f>SUMIFS('DF Calculation'!K:K,'DF Calculation'!B:B,'To Populate Tariff'!A47,'DF Calculation'!C:C,'To Populate Tariff'!B47)</f>
        <v>103.53</v>
      </c>
      <c r="E47" s="207">
        <f ca="1">SUMIFS('DF Calculation'!L:L,'DF Calculation'!B:B,'To Populate Tariff'!A47,'DF Calculation'!C:C,'To Populate Tariff'!B47)</f>
        <v>1.1751620561040907</v>
      </c>
      <c r="F47" s="233">
        <f ca="1">SUMIFS('DF Calculation'!M:M,'DF Calculation'!B:B,'To Populate Tariff'!A47,'DF Calculation'!C:C,'To Populate Tariff'!B47)</f>
        <v>104.70516205610409</v>
      </c>
      <c r="G47" s="219" t="str">
        <f t="shared" ca="1" si="0"/>
        <v>ok</v>
      </c>
    </row>
    <row r="48" spans="1:7">
      <c r="A48" s="192">
        <v>30</v>
      </c>
      <c r="B48" s="193" t="s">
        <v>114</v>
      </c>
      <c r="C48" s="193" t="str">
        <f>VLOOKUP(B48,Mapping!$D$2:$H$158,5,FALSE)</f>
        <v>6 yard Regular</v>
      </c>
      <c r="D48" s="207">
        <f>SUMIFS('DF Calculation'!K:K,'DF Calculation'!B:B,'To Populate Tariff'!A48,'DF Calculation'!C:C,'To Populate Tariff'!B48)</f>
        <v>142.80000000000001</v>
      </c>
      <c r="E48" s="207">
        <f ca="1">SUMIFS('DF Calculation'!L:L,'DF Calculation'!B:B,'To Populate Tariff'!A48,'DF Calculation'!C:C,'To Populate Tariff'!B48)</f>
        <v>1.6103362595879871</v>
      </c>
      <c r="F48" s="233">
        <f ca="1">SUMIFS('DF Calculation'!M:M,'DF Calculation'!B:B,'To Populate Tariff'!A48,'DF Calculation'!C:C,'To Populate Tariff'!B48)</f>
        <v>144.41033625958801</v>
      </c>
      <c r="G48" s="219" t="str">
        <f t="shared" ca="1" si="0"/>
        <v>ok</v>
      </c>
    </row>
    <row r="49" spans="1:7">
      <c r="A49" s="192">
        <v>30</v>
      </c>
      <c r="B49" s="193" t="s">
        <v>229</v>
      </c>
      <c r="C49" s="193" t="str">
        <f>VLOOKUP(B49,Mapping!$D$2:$H$158,5,FALSE)</f>
        <v>6 yard Extra</v>
      </c>
      <c r="D49" s="207">
        <f>SUMIFS('DF Calculation'!K:K,'DF Calculation'!B:B,'To Populate Tariff'!A49,'DF Calculation'!C:C,'To Populate Tariff'!B49)</f>
        <v>142.80000000000001</v>
      </c>
      <c r="E49" s="207">
        <f ca="1">SUMIFS('DF Calculation'!L:L,'DF Calculation'!B:B,'To Populate Tariff'!A49,'DF Calculation'!C:C,'To Populate Tariff'!B49)</f>
        <v>1.6103362595879871</v>
      </c>
      <c r="F49" s="233">
        <f ca="1">SUMIFS('DF Calculation'!M:M,'DF Calculation'!B:B,'To Populate Tariff'!A49,'DF Calculation'!C:C,'To Populate Tariff'!B49)</f>
        <v>144.41033625958801</v>
      </c>
      <c r="G49" s="219" t="str">
        <f t="shared" ca="1" si="0"/>
        <v>ok</v>
      </c>
    </row>
    <row r="50" spans="1:7">
      <c r="A50" s="192">
        <v>30</v>
      </c>
      <c r="B50" s="194" t="s">
        <v>235</v>
      </c>
      <c r="C50" s="194" t="str">
        <f>VLOOKUP(B50,Mapping!$D$2:$H$158,5,FALSE)</f>
        <v>6 yard Temp</v>
      </c>
      <c r="D50" s="207">
        <f>SUMIFS('DF Calculation'!K:K,'DF Calculation'!B:B,'To Populate Tariff'!A50,'DF Calculation'!C:C,'To Populate Tariff'!B50)</f>
        <v>145.02000000000001</v>
      </c>
      <c r="E50" s="207">
        <f ca="1">SUMIFS('DF Calculation'!L:L,'DF Calculation'!B:B,'To Populate Tariff'!A50,'DF Calculation'!C:C,'To Populate Tariff'!B50)</f>
        <v>1.6103362595879871</v>
      </c>
      <c r="F50" s="233">
        <f ca="1">SUMIFS('DF Calculation'!M:M,'DF Calculation'!B:B,'To Populate Tariff'!A50,'DF Calculation'!C:C,'To Populate Tariff'!B50)</f>
        <v>146.63033625958801</v>
      </c>
      <c r="G50" s="219" t="str">
        <f t="shared" ca="1" si="0"/>
        <v>ok</v>
      </c>
    </row>
    <row r="51" spans="1:7">
      <c r="A51" s="186">
        <v>34</v>
      </c>
      <c r="B51" s="191" t="s">
        <v>217</v>
      </c>
      <c r="C51" s="191" t="str">
        <f>VLOOKUP(B51,Mapping!$D$2:$H$158,5,FALSE)</f>
        <v>Extra Yardage Extra</v>
      </c>
      <c r="D51" s="206">
        <f>SUMIFS('DF Calculation'!K:K,'DF Calculation'!B:B,'To Populate Tariff'!A51,'DF Calculation'!C:C,'To Populate Tariff'!B51)</f>
        <v>26</v>
      </c>
      <c r="E51" s="206">
        <f ca="1">SUMIFS('DF Calculation'!L:L,'DF Calculation'!B:B,'To Populate Tariff'!A51,'DF Calculation'!C:C,'To Populate Tariff'!B51)</f>
        <v>0.23963337196249812</v>
      </c>
      <c r="F51" s="233">
        <f ca="1">SUMIFS('DF Calculation'!M:M,'DF Calculation'!B:B,'To Populate Tariff'!A51,'DF Calculation'!C:C,'To Populate Tariff'!B51)</f>
        <v>26.239633371962498</v>
      </c>
      <c r="G51" s="218" t="str">
        <f t="shared" ca="1" si="0"/>
        <v>ok</v>
      </c>
    </row>
    <row r="52" spans="1:7">
      <c r="A52" s="186">
        <v>34</v>
      </c>
      <c r="B52" s="187" t="s">
        <v>600</v>
      </c>
      <c r="C52" s="187" t="str">
        <f>VLOOKUP(B52,Mapping!$D$2:$H$158,5,FALSE)</f>
        <v>Drum Extra</v>
      </c>
      <c r="D52" s="206">
        <f>SUMIFS('DF Calculation'!K:K,'DF Calculation'!B:B,'To Populate Tariff'!A52,'DF Calculation'!C:C,'To Populate Tariff'!B52)</f>
        <v>26.99</v>
      </c>
      <c r="E52" s="206">
        <f ca="1">SUMIFS('DF Calculation'!L:L,'DF Calculation'!B:B,'To Populate Tariff'!A52,'DF Calculation'!C:C,'To Populate Tariff'!B52)</f>
        <v>0.13036055434759897</v>
      </c>
      <c r="F52" s="233">
        <f ca="1">SUMIFS('DF Calculation'!M:M,'DF Calculation'!B:B,'To Populate Tariff'!A52,'DF Calculation'!C:C,'To Populate Tariff'!B52)</f>
        <v>27.120360554347599</v>
      </c>
      <c r="G52" s="218" t="str">
        <f t="shared" ca="1" si="0"/>
        <v>ok</v>
      </c>
    </row>
    <row r="53" spans="1:7">
      <c r="A53" s="186">
        <v>34</v>
      </c>
      <c r="B53" s="191" t="s">
        <v>601</v>
      </c>
      <c r="C53" s="191" t="str">
        <f>VLOOKUP(B53,Mapping!$D$2:$H$158,5,FALSE)</f>
        <v>Drum Special</v>
      </c>
      <c r="D53" s="206">
        <f>SUMIFS('DF Calculation'!K:K,'DF Calculation'!B:B,'To Populate Tariff'!A53,'DF Calculation'!C:C,'To Populate Tariff'!B53)</f>
        <v>31.5</v>
      </c>
      <c r="E53" s="206">
        <f ca="1">SUMIFS('DF Calculation'!L:L,'DF Calculation'!B:B,'To Populate Tariff'!A53,'DF Calculation'!C:C,'To Populate Tariff'!B53)</f>
        <v>0.13036055434759897</v>
      </c>
      <c r="F53" s="233">
        <f ca="1">SUMIFS('DF Calculation'!M:M,'DF Calculation'!B:B,'To Populate Tariff'!A53,'DF Calculation'!C:C,'To Populate Tariff'!B53)</f>
        <v>31.6303605543476</v>
      </c>
      <c r="G53" s="218" t="str">
        <f t="shared" ca="1" si="0"/>
        <v>ok</v>
      </c>
    </row>
    <row r="54" spans="1:7">
      <c r="A54" s="185">
        <v>41</v>
      </c>
      <c r="B54" s="190" t="s">
        <v>84</v>
      </c>
      <c r="C54" s="190" t="str">
        <f>VLOOKUP(B54,Mapping!$D$2:$H$158,5,FALSE)</f>
        <v>1.5 yard Regular</v>
      </c>
      <c r="D54" s="205">
        <f>SUMIFS('DF Calculation'!K:K,'DF Calculation'!B:B,'To Populate Tariff'!A54,'DF Calculation'!C:C,'To Populate Tariff'!B54)</f>
        <v>33.28</v>
      </c>
      <c r="E54" s="205">
        <f ca="1">SUMIFS('DF Calculation'!L:L,'DF Calculation'!B:B,'To Populate Tariff'!A54,'DF Calculation'!C:C,'To Populate Tariff'!B54)</f>
        <v>0.47926674392499619</v>
      </c>
      <c r="F54" s="233">
        <f ca="1">SUMIFS('DF Calculation'!M:M,'DF Calculation'!B:B,'To Populate Tariff'!A54,'DF Calculation'!C:C,'To Populate Tariff'!B54)</f>
        <v>33.759266743924996</v>
      </c>
      <c r="G54" s="217" t="str">
        <f t="shared" ca="1" si="0"/>
        <v>ok</v>
      </c>
    </row>
    <row r="55" spans="1:7">
      <c r="A55" s="185">
        <v>41</v>
      </c>
      <c r="B55" s="190" t="s">
        <v>212</v>
      </c>
      <c r="C55" s="190" t="str">
        <f>VLOOKUP(B55,Mapping!$D$2:$H$158,5,FALSE)</f>
        <v>1.5 yard Extra</v>
      </c>
      <c r="D55" s="205">
        <f>SUMIFS('DF Calculation'!K:K,'DF Calculation'!B:B,'To Populate Tariff'!A55,'DF Calculation'!C:C,'To Populate Tariff'!B55)</f>
        <v>33.28</v>
      </c>
      <c r="E55" s="205">
        <f ca="1">SUMIFS('DF Calculation'!L:L,'DF Calculation'!B:B,'To Populate Tariff'!A55,'DF Calculation'!C:C,'To Populate Tariff'!B55)</f>
        <v>0.47926674392499624</v>
      </c>
      <c r="F55" s="233">
        <f ca="1">SUMIFS('DF Calculation'!M:M,'DF Calculation'!B:B,'To Populate Tariff'!A55,'DF Calculation'!C:C,'To Populate Tariff'!B55)</f>
        <v>33.759266743924996</v>
      </c>
      <c r="G55" s="217" t="str">
        <f t="shared" ca="1" si="0"/>
        <v>ok</v>
      </c>
    </row>
    <row r="56" spans="1:7">
      <c r="A56" s="185">
        <v>41</v>
      </c>
      <c r="B56" s="190" t="s">
        <v>137</v>
      </c>
      <c r="C56" s="190" t="str">
        <f>VLOOKUP(B56,Mapping!$D$2:$H$158,5,FALSE)</f>
        <v>1.5 yard Temp</v>
      </c>
      <c r="D56" s="205">
        <f>SUMIFS('DF Calculation'!K:K,'DF Calculation'!B:B,'To Populate Tariff'!A56,'DF Calculation'!C:C,'To Populate Tariff'!B56)</f>
        <v>35.5</v>
      </c>
      <c r="E56" s="205">
        <f ca="1">SUMIFS('DF Calculation'!L:L,'DF Calculation'!B:B,'To Populate Tariff'!A56,'DF Calculation'!C:C,'To Populate Tariff'!B56)</f>
        <v>0.47926674392499619</v>
      </c>
      <c r="F56" s="233">
        <f ca="1">SUMIFS('DF Calculation'!M:M,'DF Calculation'!B:B,'To Populate Tariff'!A56,'DF Calculation'!C:C,'To Populate Tariff'!B56)</f>
        <v>35.979266743924995</v>
      </c>
      <c r="G56" s="217" t="str">
        <f t="shared" ca="1" si="0"/>
        <v>ok</v>
      </c>
    </row>
    <row r="57" spans="1:7">
      <c r="A57" s="185">
        <v>41</v>
      </c>
      <c r="B57" s="190" t="s">
        <v>83</v>
      </c>
      <c r="C57" s="190" t="str">
        <f>VLOOKUP(B57,Mapping!$D$2:$H$158,5,FALSE)</f>
        <v>1 yard Regular</v>
      </c>
      <c r="D57" s="205">
        <f>SUMIFS('DF Calculation'!K:K,'DF Calculation'!B:B,'To Populate Tariff'!A57,'DF Calculation'!C:C,'To Populate Tariff'!B57)</f>
        <v>24.06</v>
      </c>
      <c r="E57" s="205">
        <f ca="1">SUMIFS('DF Calculation'!L:L,'DF Calculation'!B:B,'To Populate Tariff'!A57,'DF Calculation'!C:C,'To Populate Tariff'!B57)</f>
        <v>0.33548672074749736</v>
      </c>
      <c r="F57" s="233">
        <f ca="1">SUMIFS('DF Calculation'!M:M,'DF Calculation'!B:B,'To Populate Tariff'!A57,'DF Calculation'!C:C,'To Populate Tariff'!B57)</f>
        <v>24.395486720747495</v>
      </c>
      <c r="G57" s="217" t="str">
        <f t="shared" ca="1" si="0"/>
        <v>ok</v>
      </c>
    </row>
    <row r="58" spans="1:7">
      <c r="A58" s="185">
        <v>41</v>
      </c>
      <c r="B58" s="190" t="s">
        <v>198</v>
      </c>
      <c r="C58" s="190" t="str">
        <f>VLOOKUP(B58,Mapping!$D$2:$H$158,5,FALSE)</f>
        <v>1 yard Extra</v>
      </c>
      <c r="D58" s="205">
        <f>SUMIFS('DF Calculation'!K:K,'DF Calculation'!B:B,'To Populate Tariff'!A58,'DF Calculation'!C:C,'To Populate Tariff'!B58)</f>
        <v>24.06</v>
      </c>
      <c r="E58" s="205">
        <f ca="1">SUMIFS('DF Calculation'!L:L,'DF Calculation'!B:B,'To Populate Tariff'!A58,'DF Calculation'!C:C,'To Populate Tariff'!B58)</f>
        <v>0.33548672074749736</v>
      </c>
      <c r="F58" s="233">
        <f ca="1">SUMIFS('DF Calculation'!M:M,'DF Calculation'!B:B,'To Populate Tariff'!A58,'DF Calculation'!C:C,'To Populate Tariff'!B58)</f>
        <v>24.395486720747495</v>
      </c>
      <c r="G58" s="217" t="str">
        <f t="shared" ca="1" si="0"/>
        <v>ok</v>
      </c>
    </row>
    <row r="59" spans="1:7">
      <c r="A59" s="185">
        <v>41</v>
      </c>
      <c r="B59" s="190" t="s">
        <v>214</v>
      </c>
      <c r="C59" s="190" t="str">
        <f>VLOOKUP(B59,Mapping!$D$2:$H$158,5,FALSE)</f>
        <v>1 yard Temp</v>
      </c>
      <c r="D59" s="205">
        <f>SUMIFS('DF Calculation'!K:K,'DF Calculation'!B:B,'To Populate Tariff'!A59,'DF Calculation'!C:C,'To Populate Tariff'!B59)</f>
        <v>26.26</v>
      </c>
      <c r="E59" s="205">
        <f ca="1">SUMIFS('DF Calculation'!L:L,'DF Calculation'!B:B,'To Populate Tariff'!A59,'DF Calculation'!C:C,'To Populate Tariff'!B59)</f>
        <v>0.33548672074749736</v>
      </c>
      <c r="F59" s="233">
        <f ca="1">SUMIFS('DF Calculation'!M:M,'DF Calculation'!B:B,'To Populate Tariff'!A59,'DF Calculation'!C:C,'To Populate Tariff'!B59)</f>
        <v>26.595486720747498</v>
      </c>
      <c r="G59" s="217" t="str">
        <f t="shared" ca="1" si="0"/>
        <v>ok</v>
      </c>
    </row>
    <row r="60" spans="1:7">
      <c r="A60" s="185">
        <v>41</v>
      </c>
      <c r="B60" s="190" t="s">
        <v>85</v>
      </c>
      <c r="C60" s="190" t="str">
        <f>VLOOKUP(B60,Mapping!$D$2:$H$158,5,FALSE)</f>
        <v>2 yard Regular</v>
      </c>
      <c r="D60" s="205">
        <f>SUMIFS('DF Calculation'!K:K,'DF Calculation'!B:B,'To Populate Tariff'!A60,'DF Calculation'!C:C,'To Populate Tariff'!B60)</f>
        <v>41.53</v>
      </c>
      <c r="E60" s="205">
        <f ca="1">SUMIFS('DF Calculation'!L:L,'DF Calculation'!B:B,'To Populate Tariff'!A60,'DF Calculation'!C:C,'To Populate Tariff'!B60)</f>
        <v>0.62112970012679491</v>
      </c>
      <c r="F60" s="233">
        <f ca="1">SUMIFS('DF Calculation'!M:M,'DF Calculation'!B:B,'To Populate Tariff'!A60,'DF Calculation'!C:C,'To Populate Tariff'!B60)</f>
        <v>42.151129700126795</v>
      </c>
      <c r="G60" s="217" t="str">
        <f t="shared" ca="1" si="0"/>
        <v>ok</v>
      </c>
    </row>
    <row r="61" spans="1:7">
      <c r="A61" s="185">
        <v>41</v>
      </c>
      <c r="B61" s="190" t="s">
        <v>199</v>
      </c>
      <c r="C61" s="190" t="str">
        <f>VLOOKUP(B61,Mapping!$D$2:$H$158,5,FALSE)</f>
        <v>2 yard Extra</v>
      </c>
      <c r="D61" s="205">
        <f>SUMIFS('DF Calculation'!K:K,'DF Calculation'!B:B,'To Populate Tariff'!A61,'DF Calculation'!C:C,'To Populate Tariff'!B61)</f>
        <v>41.53</v>
      </c>
      <c r="E61" s="205">
        <f ca="1">SUMIFS('DF Calculation'!L:L,'DF Calculation'!B:B,'To Populate Tariff'!A61,'DF Calculation'!C:C,'To Populate Tariff'!B61)</f>
        <v>0.62112970012679503</v>
      </c>
      <c r="F61" s="233">
        <f ca="1">SUMIFS('DF Calculation'!M:M,'DF Calculation'!B:B,'To Populate Tariff'!A61,'DF Calculation'!C:C,'To Populate Tariff'!B61)</f>
        <v>42.151129700126795</v>
      </c>
      <c r="G61" s="217" t="str">
        <f t="shared" ca="1" si="0"/>
        <v>ok</v>
      </c>
    </row>
    <row r="62" spans="1:7">
      <c r="A62" s="185">
        <v>41</v>
      </c>
      <c r="B62" s="190" t="s">
        <v>138</v>
      </c>
      <c r="C62" s="190" t="str">
        <f>VLOOKUP(B62,Mapping!$D$2:$H$158,5,FALSE)</f>
        <v>2 yard Temp</v>
      </c>
      <c r="D62" s="205">
        <f>SUMIFS('DF Calculation'!K:K,'DF Calculation'!B:B,'To Populate Tariff'!A62,'DF Calculation'!C:C,'To Populate Tariff'!B62)</f>
        <v>43.74</v>
      </c>
      <c r="E62" s="205">
        <f ca="1">SUMIFS('DF Calculation'!L:L,'DF Calculation'!B:B,'To Populate Tariff'!A62,'DF Calculation'!C:C,'To Populate Tariff'!B62)</f>
        <v>0.62112970012679514</v>
      </c>
      <c r="F62" s="233">
        <f ca="1">SUMIFS('DF Calculation'!M:M,'DF Calculation'!B:B,'To Populate Tariff'!A62,'DF Calculation'!C:C,'To Populate Tariff'!B62)</f>
        <v>44.361129700126796</v>
      </c>
      <c r="G62" s="217" t="str">
        <f t="shared" ca="1" si="0"/>
        <v>ok</v>
      </c>
    </row>
    <row r="63" spans="1:7">
      <c r="A63" s="185">
        <v>41</v>
      </c>
      <c r="B63" s="190" t="s">
        <v>121</v>
      </c>
      <c r="C63" s="190" t="str">
        <f>VLOOKUP(B63,Mapping!$D$2:$H$158,5,FALSE)</f>
        <v>4 yard Regular</v>
      </c>
      <c r="D63" s="205">
        <f>SUMIFS('DF Calculation'!K:K,'DF Calculation'!B:B,'To Populate Tariff'!A63,'DF Calculation'!C:C,'To Populate Tariff'!B63)</f>
        <v>78.3</v>
      </c>
      <c r="E63" s="205">
        <f ca="1">SUMIFS('DF Calculation'!L:L,'DF Calculation'!B:B,'To Populate Tariff'!A63,'DF Calculation'!C:C,'To Populate Tariff'!B63)</f>
        <v>1.1751620561040907</v>
      </c>
      <c r="F63" s="233">
        <f ca="1">SUMIFS('DF Calculation'!M:M,'DF Calculation'!B:B,'To Populate Tariff'!A63,'DF Calculation'!C:C,'To Populate Tariff'!B63)</f>
        <v>79.475162056104082</v>
      </c>
      <c r="G63" s="217" t="str">
        <f t="shared" ca="1" si="0"/>
        <v>ok</v>
      </c>
    </row>
    <row r="64" spans="1:7">
      <c r="A64" s="185">
        <v>41</v>
      </c>
      <c r="B64" s="190" t="s">
        <v>201</v>
      </c>
      <c r="C64" s="190" t="str">
        <f>VLOOKUP(B64,Mapping!$D$2:$H$158,5,FALSE)</f>
        <v>4 yard Extra</v>
      </c>
      <c r="D64" s="205">
        <f>SUMIFS('DF Calculation'!K:K,'DF Calculation'!B:B,'To Populate Tariff'!A64,'DF Calculation'!C:C,'To Populate Tariff'!B64)</f>
        <v>78.03</v>
      </c>
      <c r="E64" s="205">
        <f ca="1">SUMIFS('DF Calculation'!L:L,'DF Calculation'!B:B,'To Populate Tariff'!A64,'DF Calculation'!C:C,'To Populate Tariff'!B64)</f>
        <v>1.1751620561040905</v>
      </c>
      <c r="F64" s="233">
        <f ca="1">SUMIFS('DF Calculation'!M:M,'DF Calculation'!B:B,'To Populate Tariff'!A64,'DF Calculation'!C:C,'To Populate Tariff'!B64)</f>
        <v>79.205162056104086</v>
      </c>
      <c r="G64" s="217" t="str">
        <f t="shared" ca="1" si="0"/>
        <v>ok</v>
      </c>
    </row>
    <row r="65" spans="1:7">
      <c r="A65" s="185">
        <v>41</v>
      </c>
      <c r="B65" s="190" t="s">
        <v>242</v>
      </c>
      <c r="C65" s="190" t="str">
        <f>VLOOKUP(B65,Mapping!$D$2:$H$158,5,FALSE)</f>
        <v>4 yard Temp</v>
      </c>
      <c r="D65" s="205">
        <f>SUMIFS('DF Calculation'!K:K,'DF Calculation'!B:B,'To Populate Tariff'!A65,'DF Calculation'!C:C,'To Populate Tariff'!B65)</f>
        <v>80.239999999999995</v>
      </c>
      <c r="E65" s="205">
        <f ca="1">SUMIFS('DF Calculation'!L:L,'DF Calculation'!B:B,'To Populate Tariff'!A65,'DF Calculation'!C:C,'To Populate Tariff'!B65)</f>
        <v>1.1751620561040907</v>
      </c>
      <c r="F65" s="233">
        <f ca="1">SUMIFS('DF Calculation'!M:M,'DF Calculation'!B:B,'To Populate Tariff'!A65,'DF Calculation'!C:C,'To Populate Tariff'!B65)</f>
        <v>81.41516205610408</v>
      </c>
      <c r="G65" s="217" t="str">
        <f t="shared" ca="1" si="0"/>
        <v>ok</v>
      </c>
    </row>
    <row r="66" spans="1:7">
      <c r="A66" s="185">
        <v>41</v>
      </c>
      <c r="B66" s="190" t="s">
        <v>124</v>
      </c>
      <c r="C66" s="190" t="str">
        <f>VLOOKUP(B66,Mapping!$D$2:$H$158,5,FALSE)</f>
        <v>6 yard Regular</v>
      </c>
      <c r="D66" s="205">
        <f>SUMIFS('DF Calculation'!K:K,'DF Calculation'!B:B,'To Populate Tariff'!A66,'DF Calculation'!C:C,'To Populate Tariff'!B66)</f>
        <v>107.83</v>
      </c>
      <c r="E66" s="205">
        <f ca="1">SUMIFS('DF Calculation'!L:L,'DF Calculation'!B:B,'To Populate Tariff'!A66,'DF Calculation'!C:C,'To Populate Tariff'!B66)</f>
        <v>1.6103362595879871</v>
      </c>
      <c r="F66" s="233">
        <f ca="1">SUMIFS('DF Calculation'!M:M,'DF Calculation'!B:B,'To Populate Tariff'!A66,'DF Calculation'!C:C,'To Populate Tariff'!B66)</f>
        <v>109.44033625958798</v>
      </c>
      <c r="G66" s="217" t="str">
        <f t="shared" ca="1" si="0"/>
        <v>ok</v>
      </c>
    </row>
    <row r="67" spans="1:7">
      <c r="A67" s="185">
        <v>41</v>
      </c>
      <c r="B67" s="190" t="s">
        <v>202</v>
      </c>
      <c r="C67" s="190" t="str">
        <f>VLOOKUP(B67,Mapping!$D$2:$H$158,5,FALSE)</f>
        <v>6 yard Extra</v>
      </c>
      <c r="D67" s="205">
        <f>SUMIFS('DF Calculation'!K:K,'DF Calculation'!B:B,'To Populate Tariff'!A67,'DF Calculation'!C:C,'To Populate Tariff'!B67)</f>
        <v>107.83</v>
      </c>
      <c r="E67" s="205">
        <f ca="1">SUMIFS('DF Calculation'!L:L,'DF Calculation'!B:B,'To Populate Tariff'!A67,'DF Calculation'!C:C,'To Populate Tariff'!B67)</f>
        <v>1.6103362595879873</v>
      </c>
      <c r="F67" s="233">
        <f ca="1">SUMIFS('DF Calculation'!M:M,'DF Calculation'!B:B,'To Populate Tariff'!A67,'DF Calculation'!C:C,'To Populate Tariff'!B67)</f>
        <v>109.44033625958798</v>
      </c>
      <c r="G67" s="217" t="str">
        <f t="shared" ca="1" si="0"/>
        <v>ok</v>
      </c>
    </row>
    <row r="68" spans="1:7">
      <c r="A68" s="185">
        <v>41</v>
      </c>
      <c r="B68" s="190" t="s">
        <v>243</v>
      </c>
      <c r="C68" s="190" t="str">
        <f>VLOOKUP(B68,Mapping!$D$2:$H$158,5,FALSE)</f>
        <v>6 yard Temp</v>
      </c>
      <c r="D68" s="205">
        <f>SUMIFS('DF Calculation'!K:K,'DF Calculation'!B:B,'To Populate Tariff'!A68,'DF Calculation'!C:C,'To Populate Tariff'!B68)</f>
        <v>110.04</v>
      </c>
      <c r="E68" s="205">
        <f ca="1">SUMIFS('DF Calculation'!L:L,'DF Calculation'!B:B,'To Populate Tariff'!A68,'DF Calculation'!C:C,'To Populate Tariff'!B68)</f>
        <v>1.6103362595879871</v>
      </c>
      <c r="F68" s="233">
        <f ca="1">SUMIFS('DF Calculation'!M:M,'DF Calculation'!B:B,'To Populate Tariff'!A68,'DF Calculation'!C:C,'To Populate Tariff'!B68)</f>
        <v>111.65033625958799</v>
      </c>
      <c r="G68" s="217" t="str">
        <f t="shared" ref="G68:G125" ca="1" si="1">IF(ABS(F68-D68-E68)&lt;0.01,"ok","Error")</f>
        <v>ok</v>
      </c>
    </row>
    <row r="69" spans="1:7">
      <c r="A69" s="181">
        <v>42</v>
      </c>
      <c r="B69" s="182" t="s">
        <v>194</v>
      </c>
      <c r="C69" s="182" t="str">
        <f>VLOOKUP(B69,Mapping!$D$2:$H$158,5,FALSE)</f>
        <v>20 Gallon Cart Minimum</v>
      </c>
      <c r="D69" s="204">
        <f>SUMIFS('DF Calculation'!K:K,'DF Calculation'!B:B,'To Populate Tariff'!A69,'DF Calculation'!C:C,'To Populate Tariff'!B69)</f>
        <v>17.25</v>
      </c>
      <c r="E69" s="204">
        <f ca="1">SUMIFS('DF Calculation'!L:L,'DF Calculation'!B:B,'To Populate Tariff'!A69,'DF Calculation'!C:C,'To Populate Tariff'!B69)</f>
        <v>0.16614580456066533</v>
      </c>
      <c r="F69" s="233">
        <f ca="1">SUMIFS('DF Calculation'!M:M,'DF Calculation'!B:B,'To Populate Tariff'!A69,'DF Calculation'!C:C,'To Populate Tariff'!B69)</f>
        <v>17.416145804560664</v>
      </c>
      <c r="G69" s="216" t="str">
        <f t="shared" ca="1" si="1"/>
        <v>ok</v>
      </c>
    </row>
    <row r="70" spans="1:7">
      <c r="A70" s="181">
        <v>42</v>
      </c>
      <c r="B70" s="182" t="s">
        <v>605</v>
      </c>
      <c r="C70" s="182" t="str">
        <f>VLOOKUP(B70,Mapping!$D$2:$H$158,5,FALSE)</f>
        <v>20 Gallon Cart per PU</v>
      </c>
      <c r="D70" s="204">
        <f>SUMIFS('DF Calculation'!K:K,'DF Calculation'!B:B,'To Populate Tariff'!A70,'DF Calculation'!C:C,'To Populate Tariff'!B70)</f>
        <v>3.98</v>
      </c>
      <c r="E70" s="204">
        <f ca="1">SUMIFS('DF Calculation'!L:L,'DF Calculation'!B:B,'To Populate Tariff'!A70,'DF Calculation'!C:C,'To Populate Tariff'!B70)</f>
        <v>3.8341339513999699E-2</v>
      </c>
      <c r="F70" s="233">
        <f ca="1">SUMIFS('DF Calculation'!M:M,'DF Calculation'!B:B,'To Populate Tariff'!A70,'DF Calculation'!C:C,'To Populate Tariff'!B70)</f>
        <v>4.0183413395139995</v>
      </c>
      <c r="G70" s="216" t="str">
        <f t="shared" ca="1" si="1"/>
        <v>ok</v>
      </c>
    </row>
    <row r="71" spans="1:7">
      <c r="A71" s="181">
        <v>42</v>
      </c>
      <c r="B71" s="182" t="s">
        <v>195</v>
      </c>
      <c r="C71" s="182" t="str">
        <f>VLOOKUP(B71,Mapping!$D$2:$H$158,5,FALSE)</f>
        <v>35 Gallon Cart Minimum</v>
      </c>
      <c r="D71" s="204">
        <f>SUMIFS('DF Calculation'!K:K,'DF Calculation'!B:B,'To Populate Tariff'!A71,'DF Calculation'!C:C,'To Populate Tariff'!B71)</f>
        <v>21.67</v>
      </c>
      <c r="E71" s="204">
        <f ca="1">SUMIFS('DF Calculation'!L:L,'DF Calculation'!B:B,'To Populate Tariff'!A71,'DF Calculation'!C:C,'To Populate Tariff'!B71)</f>
        <v>0.28244786775313102</v>
      </c>
      <c r="F71" s="233">
        <f ca="1">SUMIFS('DF Calculation'!M:M,'DF Calculation'!B:B,'To Populate Tariff'!A71,'DF Calculation'!C:C,'To Populate Tariff'!B71)</f>
        <v>21.952447867753133</v>
      </c>
      <c r="G71" s="216" t="str">
        <f t="shared" ca="1" si="1"/>
        <v>ok</v>
      </c>
    </row>
    <row r="72" spans="1:7">
      <c r="A72" s="181">
        <v>42</v>
      </c>
      <c r="B72" s="182" t="s">
        <v>606</v>
      </c>
      <c r="C72" s="182" t="str">
        <f>VLOOKUP(B72,Mapping!$D$2:$H$158,5,FALSE)</f>
        <v>35 Gallon Cart per PU</v>
      </c>
      <c r="D72" s="204">
        <f>SUMIFS('DF Calculation'!K:K,'DF Calculation'!B:B,'To Populate Tariff'!A72,'DF Calculation'!C:C,'To Populate Tariff'!B72)</f>
        <v>5</v>
      </c>
      <c r="E72" s="204">
        <f ca="1">SUMIFS('DF Calculation'!L:L,'DF Calculation'!B:B,'To Populate Tariff'!A72,'DF Calculation'!C:C,'To Populate Tariff'!B72)</f>
        <v>6.5180277173799483E-2</v>
      </c>
      <c r="F72" s="233">
        <f ca="1">SUMIFS('DF Calculation'!M:M,'DF Calculation'!B:B,'To Populate Tariff'!A72,'DF Calculation'!C:C,'To Populate Tariff'!B72)</f>
        <v>5.0651802771737993</v>
      </c>
      <c r="G72" s="216" t="str">
        <f t="shared" ca="1" si="1"/>
        <v>ok</v>
      </c>
    </row>
    <row r="73" spans="1:7">
      <c r="A73" s="181">
        <v>42</v>
      </c>
      <c r="B73" s="182" t="s">
        <v>196</v>
      </c>
      <c r="C73" s="182" t="str">
        <f>VLOOKUP(B73,Mapping!$D$2:$H$158,5,FALSE)</f>
        <v>65 Gallon Cart Minimum</v>
      </c>
      <c r="D73" s="204">
        <f>SUMIFS('DF Calculation'!K:K,'DF Calculation'!B:B,'To Populate Tariff'!A73,'DF Calculation'!C:C,'To Populate Tariff'!B73)</f>
        <v>32.369999999999997</v>
      </c>
      <c r="E73" s="204">
        <f ca="1">SUMIFS('DF Calculation'!L:L,'DF Calculation'!B:B,'To Populate Tariff'!A73,'DF Calculation'!C:C,'To Populate Tariff'!B73)</f>
        <v>0.39044264071756357</v>
      </c>
      <c r="F73" s="233">
        <f ca="1">SUMIFS('DF Calculation'!M:M,'DF Calculation'!B:B,'To Populate Tariff'!A73,'DF Calculation'!C:C,'To Populate Tariff'!B73)</f>
        <v>32.760442640717564</v>
      </c>
      <c r="G73" s="216" t="str">
        <f t="shared" ca="1" si="1"/>
        <v>ok</v>
      </c>
    </row>
    <row r="74" spans="1:7">
      <c r="A74" s="181">
        <v>42</v>
      </c>
      <c r="B74" s="182" t="s">
        <v>607</v>
      </c>
      <c r="C74" s="182" t="str">
        <f>VLOOKUP(B74,Mapping!$D$2:$H$158,5,FALSE)</f>
        <v>65 Gallon Cart per PU</v>
      </c>
      <c r="D74" s="204">
        <f>SUMIFS('DF Calculation'!K:K,'DF Calculation'!B:B,'To Populate Tariff'!A74,'DF Calculation'!C:C,'To Populate Tariff'!B74)</f>
        <v>7.46</v>
      </c>
      <c r="E74" s="204">
        <f ca="1">SUMIFS('DF Calculation'!L:L,'DF Calculation'!B:B,'To Populate Tariff'!A74,'DF Calculation'!C:C,'To Populate Tariff'!B74)</f>
        <v>9.0102147857899287E-2</v>
      </c>
      <c r="F74" s="233">
        <f ca="1">SUMIFS('DF Calculation'!M:M,'DF Calculation'!B:B,'To Populate Tariff'!A74,'DF Calculation'!C:C,'To Populate Tariff'!B74)</f>
        <v>7.5501021478578991</v>
      </c>
      <c r="G74" s="216" t="str">
        <f t="shared" ca="1" si="1"/>
        <v>ok</v>
      </c>
    </row>
    <row r="75" spans="1:7">
      <c r="A75" s="181">
        <v>42</v>
      </c>
      <c r="B75" s="182" t="s">
        <v>197</v>
      </c>
      <c r="C75" s="182" t="str">
        <f>VLOOKUP(B75,Mapping!$D$2:$H$158,5,FALSE)</f>
        <v>95 Gallon Cart Minimum</v>
      </c>
      <c r="D75" s="204">
        <f>SUMIFS('DF Calculation'!K:K,'DF Calculation'!B:B,'To Populate Tariff'!A75,'DF Calculation'!C:C,'To Populate Tariff'!B75)</f>
        <v>45.34</v>
      </c>
      <c r="E75" s="204">
        <f ca="1">SUMIFS('DF Calculation'!L:L,'DF Calculation'!B:B,'To Populate Tariff'!A75,'DF Calculation'!C:C,'To Populate Tariff'!B75)</f>
        <v>0.56489573550626204</v>
      </c>
      <c r="F75" s="233">
        <f ca="1">SUMIFS('DF Calculation'!M:M,'DF Calculation'!B:B,'To Populate Tariff'!A75,'DF Calculation'!C:C,'To Populate Tariff'!B75)</f>
        <v>45.904895735506265</v>
      </c>
      <c r="G75" s="216" t="str">
        <f t="shared" ca="1" si="1"/>
        <v>ok</v>
      </c>
    </row>
    <row r="76" spans="1:7">
      <c r="A76" s="181">
        <v>42</v>
      </c>
      <c r="B76" s="182" t="s">
        <v>608</v>
      </c>
      <c r="C76" s="182" t="str">
        <f>VLOOKUP(B76,Mapping!$D$2:$H$158,5,FALSE)</f>
        <v>95 Gallon Cart per PU</v>
      </c>
      <c r="D76" s="204">
        <f>SUMIFS('DF Calculation'!K:K,'DF Calculation'!B:B,'To Populate Tariff'!A76,'DF Calculation'!C:C,'To Populate Tariff'!B76)</f>
        <v>10.46</v>
      </c>
      <c r="E76" s="204">
        <f ca="1">SUMIFS('DF Calculation'!L:L,'DF Calculation'!B:B,'To Populate Tariff'!A76,'DF Calculation'!C:C,'To Populate Tariff'!B76)</f>
        <v>0.13036055434759897</v>
      </c>
      <c r="F76" s="233">
        <f ca="1">SUMIFS('DF Calculation'!M:M,'DF Calculation'!B:B,'To Populate Tariff'!A76,'DF Calculation'!C:C,'To Populate Tariff'!B76)</f>
        <v>10.590360554347599</v>
      </c>
      <c r="G76" s="216" t="str">
        <f t="shared" ca="1" si="1"/>
        <v>ok</v>
      </c>
    </row>
    <row r="77" spans="1:7">
      <c r="A77" s="181">
        <v>42</v>
      </c>
      <c r="B77" s="182" t="s">
        <v>216</v>
      </c>
      <c r="C77" s="182" t="str">
        <f>VLOOKUP(B77,Mapping!$D$2:$H$158,5,FALSE)</f>
        <v>Can Extra</v>
      </c>
      <c r="D77" s="204">
        <f>SUMIFS('DF Calculation'!K:K,'DF Calculation'!B:B,'To Populate Tariff'!A77,'DF Calculation'!C:C,'To Populate Tariff'!B77)</f>
        <v>4.83</v>
      </c>
      <c r="E77" s="204">
        <f ca="1">SUMIFS('DF Calculation'!L:L,'DF Calculation'!B:B,'To Populate Tariff'!A77,'DF Calculation'!C:C,'To Populate Tariff'!B77)</f>
        <v>5.5594942295299564E-2</v>
      </c>
      <c r="F77" s="233">
        <f ca="1">SUMIFS('DF Calculation'!M:M,'DF Calculation'!B:B,'To Populate Tariff'!A77,'DF Calculation'!C:C,'To Populate Tariff'!B77)</f>
        <v>4.8855949422952998</v>
      </c>
      <c r="G77" s="216" t="str">
        <f t="shared" ca="1" si="1"/>
        <v>ok</v>
      </c>
    </row>
    <row r="78" spans="1:7">
      <c r="A78" s="186">
        <v>44</v>
      </c>
      <c r="B78" s="191" t="s">
        <v>203</v>
      </c>
      <c r="C78" s="191" t="str">
        <f>VLOOKUP(B78,Mapping!$D$2:$H$158,5,FALSE)</f>
        <v>2 yard Regular</v>
      </c>
      <c r="D78" s="206">
        <f>SUMIFS('DF Calculation'!K:K,'DF Calculation'!B:B,'To Populate Tariff'!A78,'DF Calculation'!C:C,'To Populate Tariff'!B78)</f>
        <v>88.66</v>
      </c>
      <c r="E78" s="206">
        <f ca="1">SUMIFS('DF Calculation'!L:L,'DF Calculation'!B:B,'To Populate Tariff'!A78,'DF Calculation'!C:C,'To Populate Tariff'!B78)</f>
        <v>1.3975418252852889</v>
      </c>
      <c r="F78" s="233">
        <f ca="1">SUMIFS('DF Calculation'!M:M,'DF Calculation'!B:B,'To Populate Tariff'!A78,'DF Calculation'!C:C,'To Populate Tariff'!B78)</f>
        <v>90.057541825285284</v>
      </c>
      <c r="G78" s="218" t="str">
        <f t="shared" ca="1" si="1"/>
        <v>ok</v>
      </c>
    </row>
    <row r="79" spans="1:7">
      <c r="A79" s="186">
        <v>44</v>
      </c>
      <c r="B79" s="191" t="s">
        <v>280</v>
      </c>
      <c r="C79" s="191" t="str">
        <f>VLOOKUP(B79,Mapping!$D$2:$H$158,5,FALSE)</f>
        <v>2 yard Special and Temporary</v>
      </c>
      <c r="D79" s="206">
        <f>SUMIFS('DF Calculation'!K:K,'DF Calculation'!B:B,'To Populate Tariff'!A79,'DF Calculation'!C:C,'To Populate Tariff'!B79)</f>
        <v>95.29</v>
      </c>
      <c r="E79" s="206">
        <f ca="1">SUMIFS('DF Calculation'!L:L,'DF Calculation'!B:B,'To Populate Tariff'!A79,'DF Calculation'!C:C,'To Populate Tariff'!B79)</f>
        <v>1.3975418252852887</v>
      </c>
      <c r="F79" s="233">
        <f ca="1">SUMIFS('DF Calculation'!M:M,'DF Calculation'!B:B,'To Populate Tariff'!A79,'DF Calculation'!C:C,'To Populate Tariff'!B79)</f>
        <v>96.687541825285294</v>
      </c>
      <c r="G79" s="218" t="str">
        <f t="shared" ca="1" si="1"/>
        <v>ok</v>
      </c>
    </row>
    <row r="80" spans="1:7">
      <c r="A80" s="186">
        <v>44</v>
      </c>
      <c r="B80" s="191" t="s">
        <v>204</v>
      </c>
      <c r="C80" s="191" t="str">
        <f>VLOOKUP(B80,Mapping!$D$2:$H$158,5,FALSE)</f>
        <v>4 yard Regular</v>
      </c>
      <c r="D80" s="206">
        <f>SUMIFS('DF Calculation'!K:K,'DF Calculation'!B:B,'To Populate Tariff'!A80,'DF Calculation'!C:C,'To Populate Tariff'!B80)</f>
        <v>161.08000000000001</v>
      </c>
      <c r="E80" s="206">
        <f ca="1">SUMIFS('DF Calculation'!L:L,'DF Calculation'!B:B,'To Populate Tariff'!A80,'DF Calculation'!C:C,'To Populate Tariff'!B80)</f>
        <v>2.6441146262342041</v>
      </c>
      <c r="F80" s="233">
        <f ca="1">SUMIFS('DF Calculation'!M:M,'DF Calculation'!B:B,'To Populate Tariff'!A80,'DF Calculation'!C:C,'To Populate Tariff'!B80)</f>
        <v>163.72411462623421</v>
      </c>
      <c r="G80" s="218" t="str">
        <f t="shared" ca="1" si="1"/>
        <v>ok</v>
      </c>
    </row>
    <row r="81" spans="1:7">
      <c r="A81" s="186">
        <v>44</v>
      </c>
      <c r="B81" s="191" t="s">
        <v>278</v>
      </c>
      <c r="C81" s="191" t="str">
        <f>VLOOKUP(B81,Mapping!$D$2:$H$158,5,FALSE)</f>
        <v>4 yard Special and Temporary</v>
      </c>
      <c r="D81" s="206">
        <f>SUMIFS('DF Calculation'!K:K,'DF Calculation'!B:B,'To Populate Tariff'!A81,'DF Calculation'!C:C,'To Populate Tariff'!B81)</f>
        <v>167.61</v>
      </c>
      <c r="E81" s="206">
        <f ca="1">SUMIFS('DF Calculation'!L:L,'DF Calculation'!B:B,'To Populate Tariff'!A81,'DF Calculation'!C:C,'To Populate Tariff'!B81)</f>
        <v>2.6441146262342041</v>
      </c>
      <c r="F81" s="233">
        <f ca="1">SUMIFS('DF Calculation'!M:M,'DF Calculation'!B:B,'To Populate Tariff'!A81,'DF Calculation'!C:C,'To Populate Tariff'!B81)</f>
        <v>170.25411462623421</v>
      </c>
      <c r="G81" s="218" t="str">
        <f t="shared" ca="1" si="1"/>
        <v>ok</v>
      </c>
    </row>
    <row r="82" spans="1:7">
      <c r="A82" s="186">
        <v>44</v>
      </c>
      <c r="B82" s="191" t="s">
        <v>238</v>
      </c>
      <c r="C82" s="191" t="str">
        <f>VLOOKUP(B82,Mapping!$D$2:$H$158,5,FALSE)</f>
        <v>6 yard Regular</v>
      </c>
      <c r="D82" s="206">
        <f>SUMIFS('DF Calculation'!K:K,'DF Calculation'!B:B,'To Populate Tariff'!A82,'DF Calculation'!C:C,'To Populate Tariff'!B82)</f>
        <v>226.29</v>
      </c>
      <c r="E82" s="206">
        <f ca="1">SUMIFS('DF Calculation'!L:L,'DF Calculation'!B:B,'To Populate Tariff'!A82,'DF Calculation'!C:C,'To Populate Tariff'!B82)</f>
        <v>3.6232565840729714</v>
      </c>
      <c r="F82" s="233">
        <f ca="1">SUMIFS('DF Calculation'!M:M,'DF Calculation'!B:B,'To Populate Tariff'!A82,'DF Calculation'!C:C,'To Populate Tariff'!B82)</f>
        <v>229.91325658407297</v>
      </c>
      <c r="G82" s="218" t="str">
        <f t="shared" ca="1" si="1"/>
        <v>ok</v>
      </c>
    </row>
    <row r="83" spans="1:7">
      <c r="A83" s="186">
        <v>44</v>
      </c>
      <c r="B83" s="191" t="s">
        <v>279</v>
      </c>
      <c r="C83" s="191" t="str">
        <f>VLOOKUP(B83,Mapping!$D$2:$H$158,5,FALSE)</f>
        <v>6 yard Special and Temporary</v>
      </c>
      <c r="D83" s="206">
        <f>SUMIFS('DF Calculation'!K:K,'DF Calculation'!B:B,'To Populate Tariff'!A83,'DF Calculation'!C:C,'To Populate Tariff'!B83)</f>
        <v>232.91</v>
      </c>
      <c r="E83" s="206">
        <f ca="1">SUMIFS('DF Calculation'!L:L,'DF Calculation'!B:B,'To Populate Tariff'!A83,'DF Calculation'!C:C,'To Populate Tariff'!B83)</f>
        <v>3.6232565840729709</v>
      </c>
      <c r="F83" s="233">
        <f ca="1">SUMIFS('DF Calculation'!M:M,'DF Calculation'!B:B,'To Populate Tariff'!A83,'DF Calculation'!C:C,'To Populate Tariff'!B83)</f>
        <v>236.53325658407297</v>
      </c>
      <c r="G83" s="218" t="str">
        <f t="shared" ca="1" si="1"/>
        <v>ok</v>
      </c>
    </row>
    <row r="84" spans="1:7">
      <c r="A84" s="185">
        <v>45</v>
      </c>
      <c r="B84" s="190" t="s">
        <v>247</v>
      </c>
      <c r="C84" s="190" t="str">
        <f>VLOOKUP(B84,Mapping!$D$2:$H$158,5,FALSE)</f>
        <v>2 yard Regular</v>
      </c>
      <c r="D84" s="205">
        <f>SUMIFS('DF Calculation'!K:K,'DF Calculation'!B:B,'To Populate Tariff'!A84,'DF Calculation'!C:C,'To Populate Tariff'!B84)</f>
        <v>113</v>
      </c>
      <c r="E84" s="205">
        <f ca="1">SUMIFS('DF Calculation'!L:L,'DF Calculation'!B:B,'To Populate Tariff'!A84,'DF Calculation'!C:C,'To Populate Tariff'!B84)</f>
        <v>1.8633891003803851</v>
      </c>
      <c r="F84" s="233">
        <f ca="1">SUMIFS('DF Calculation'!M:M,'DF Calculation'!B:B,'To Populate Tariff'!A84,'DF Calculation'!C:C,'To Populate Tariff'!B84)</f>
        <v>114.86338910038039</v>
      </c>
      <c r="G84" s="217" t="str">
        <f t="shared" ca="1" si="1"/>
        <v>ok</v>
      </c>
    </row>
    <row r="85" spans="1:7">
      <c r="A85" s="185">
        <v>45</v>
      </c>
      <c r="B85" s="190" t="s">
        <v>281</v>
      </c>
      <c r="C85" s="190" t="str">
        <f>VLOOKUP(B85,Mapping!$D$2:$H$158,5,FALSE)</f>
        <v>2 yard Special and Temporary</v>
      </c>
      <c r="D85" s="205">
        <f>SUMIFS('DF Calculation'!K:K,'DF Calculation'!B:B,'To Populate Tariff'!A85,'DF Calculation'!C:C,'To Populate Tariff'!B85)</f>
        <v>119.62</v>
      </c>
      <c r="E85" s="205">
        <f ca="1">SUMIFS('DF Calculation'!L:L,'DF Calculation'!B:B,'To Populate Tariff'!A85,'DF Calculation'!C:C,'To Populate Tariff'!B85)</f>
        <v>1.8633891003803853</v>
      </c>
      <c r="F85" s="233">
        <f ca="1">SUMIFS('DF Calculation'!M:M,'DF Calculation'!B:B,'To Populate Tariff'!A85,'DF Calculation'!C:C,'To Populate Tariff'!B85)</f>
        <v>121.48338910038039</v>
      </c>
      <c r="G85" s="217" t="str">
        <f t="shared" ca="1" si="1"/>
        <v>ok</v>
      </c>
    </row>
    <row r="86" spans="1:7">
      <c r="A86" s="185">
        <v>45</v>
      </c>
      <c r="B86" s="190" t="s">
        <v>248</v>
      </c>
      <c r="C86" s="190" t="str">
        <f>VLOOKUP(B86,Mapping!$D$2:$H$158,5,FALSE)</f>
        <v>3 yard Regular</v>
      </c>
      <c r="D86" s="205">
        <f>SUMIFS('DF Calculation'!K:K,'DF Calculation'!B:B,'To Populate Tariff'!A86,'DF Calculation'!C:C,'To Populate Tariff'!B86)</f>
        <v>154.58000000000001</v>
      </c>
      <c r="E86" s="205">
        <f ca="1">SUMIFS('DF Calculation'!L:L,'DF Calculation'!B:B,'To Populate Tariff'!A86,'DF Calculation'!C:C,'To Populate Tariff'!B86)</f>
        <v>2.7203180385182786</v>
      </c>
      <c r="F86" s="233">
        <f ca="1">SUMIFS('DF Calculation'!M:M,'DF Calculation'!B:B,'To Populate Tariff'!A86,'DF Calculation'!C:C,'To Populate Tariff'!B86)</f>
        <v>157.3003180385183</v>
      </c>
      <c r="G86" s="217" t="str">
        <f t="shared" ca="1" si="1"/>
        <v>ok</v>
      </c>
    </row>
    <row r="87" spans="1:7">
      <c r="A87" s="185">
        <v>45</v>
      </c>
      <c r="B87" s="190" t="s">
        <v>282</v>
      </c>
      <c r="C87" s="190" t="str">
        <f>VLOOKUP(B87,Mapping!$D$2:$H$158,5,FALSE)</f>
        <v>3 yard Special and Temporary</v>
      </c>
      <c r="D87" s="205">
        <f>SUMIFS('DF Calculation'!K:K,'DF Calculation'!B:B,'To Populate Tariff'!A87,'DF Calculation'!C:C,'To Populate Tariff'!B87)</f>
        <v>161.19</v>
      </c>
      <c r="E87" s="205">
        <f ca="1">SUMIFS('DF Calculation'!L:L,'DF Calculation'!B:B,'To Populate Tariff'!A87,'DF Calculation'!C:C,'To Populate Tariff'!B87)</f>
        <v>2.7203180385182786</v>
      </c>
      <c r="F87" s="233">
        <f ca="1">SUMIFS('DF Calculation'!M:M,'DF Calculation'!B:B,'To Populate Tariff'!A87,'DF Calculation'!C:C,'To Populate Tariff'!B87)</f>
        <v>163.91031803851828</v>
      </c>
      <c r="G87" s="217" t="str">
        <f t="shared" ca="1" si="1"/>
        <v>ok</v>
      </c>
    </row>
    <row r="88" spans="1:7">
      <c r="A88" s="185">
        <v>45</v>
      </c>
      <c r="B88" s="190" t="s">
        <v>249</v>
      </c>
      <c r="C88" s="190" t="str">
        <f>VLOOKUP(B88,Mapping!$D$2:$H$158,5,FALSE)</f>
        <v>4 yard Regular</v>
      </c>
      <c r="D88" s="205">
        <f>SUMIFS('DF Calculation'!K:K,'DF Calculation'!B:B,'To Populate Tariff'!A88,'DF Calculation'!C:C,'To Populate Tariff'!B88)</f>
        <v>192.04</v>
      </c>
      <c r="E88" s="205">
        <f ca="1">SUMIFS('DF Calculation'!L:L,'DF Calculation'!B:B,'To Populate Tariff'!A88,'DF Calculation'!C:C,'To Populate Tariff'!B88)</f>
        <v>3.525486168312272</v>
      </c>
      <c r="F88" s="233">
        <f ca="1">SUMIFS('DF Calculation'!M:M,'DF Calculation'!B:B,'To Populate Tariff'!A88,'DF Calculation'!C:C,'To Populate Tariff'!B88)</f>
        <v>195.56548616831228</v>
      </c>
      <c r="G88" s="217" t="str">
        <f t="shared" ca="1" si="1"/>
        <v>ok</v>
      </c>
    </row>
    <row r="89" spans="1:7">
      <c r="A89" s="185">
        <v>45</v>
      </c>
      <c r="B89" s="190" t="s">
        <v>277</v>
      </c>
      <c r="C89" s="190" t="str">
        <f>VLOOKUP(B89,Mapping!$D$2:$H$158,5,FALSE)</f>
        <v>4 yard Special and Temporary</v>
      </c>
      <c r="D89" s="205">
        <f>SUMIFS('DF Calculation'!K:K,'DF Calculation'!B:B,'To Populate Tariff'!A89,'DF Calculation'!C:C,'To Populate Tariff'!B89)</f>
        <v>198.66</v>
      </c>
      <c r="E89" s="205">
        <f ca="1">SUMIFS('DF Calculation'!L:L,'DF Calculation'!B:B,'To Populate Tariff'!A89,'DF Calculation'!C:C,'To Populate Tariff'!B89)</f>
        <v>3.525486168312272</v>
      </c>
      <c r="F89" s="233">
        <f ca="1">SUMIFS('DF Calculation'!M:M,'DF Calculation'!B:B,'To Populate Tariff'!A89,'DF Calculation'!C:C,'To Populate Tariff'!B89)</f>
        <v>202.18548616831228</v>
      </c>
      <c r="G89" s="217" t="str">
        <f t="shared" ca="1" si="1"/>
        <v>ok</v>
      </c>
    </row>
    <row r="90" spans="1:7">
      <c r="A90" s="185">
        <v>45</v>
      </c>
      <c r="B90" s="190" t="s">
        <v>241</v>
      </c>
      <c r="C90" s="190" t="str">
        <f>VLOOKUP(B90,Mapping!$D$2:$H$158,5,FALSE)</f>
        <v>6 yard Regular</v>
      </c>
      <c r="D90" s="205">
        <f>SUMIFS('DF Calculation'!K:K,'DF Calculation'!B:B,'To Populate Tariff'!A90,'DF Calculation'!C:C,'To Populate Tariff'!B90)</f>
        <v>284.94</v>
      </c>
      <c r="E90" s="205">
        <f ca="1">SUMIFS('DF Calculation'!L:L,'DF Calculation'!B:B,'To Populate Tariff'!A90,'DF Calculation'!C:C,'To Populate Tariff'!B90)</f>
        <v>4.8310087787639615</v>
      </c>
      <c r="F90" s="233">
        <f ca="1">SUMIFS('DF Calculation'!M:M,'DF Calculation'!B:B,'To Populate Tariff'!A90,'DF Calculation'!C:C,'To Populate Tariff'!B90)</f>
        <v>289.77100877876398</v>
      </c>
      <c r="G90" s="217" t="str">
        <f t="shared" ca="1" si="1"/>
        <v>ok</v>
      </c>
    </row>
    <row r="91" spans="1:7">
      <c r="A91" s="185">
        <v>45</v>
      </c>
      <c r="B91" s="190" t="s">
        <v>283</v>
      </c>
      <c r="C91" s="190" t="str">
        <f>VLOOKUP(B91,Mapping!$D$2:$H$158,5,FALSE)</f>
        <v>6 yard Special and Temporary</v>
      </c>
      <c r="D91" s="205">
        <f>SUMIFS('DF Calculation'!K:K,'DF Calculation'!B:B,'To Populate Tariff'!A91,'DF Calculation'!C:C,'To Populate Tariff'!B91)</f>
        <v>291.56</v>
      </c>
      <c r="E91" s="205">
        <f ca="1">SUMIFS('DF Calculation'!L:L,'DF Calculation'!B:B,'To Populate Tariff'!A91,'DF Calculation'!C:C,'To Populate Tariff'!B91)</f>
        <v>4.8310087787639615</v>
      </c>
      <c r="F91" s="233">
        <f ca="1">SUMIFS('DF Calculation'!M:M,'DF Calculation'!B:B,'To Populate Tariff'!A91,'DF Calculation'!C:C,'To Populate Tariff'!B91)</f>
        <v>296.39100877876399</v>
      </c>
      <c r="G91" s="217" t="str">
        <f t="shared" ca="1" si="1"/>
        <v>ok</v>
      </c>
    </row>
    <row r="92" spans="1:7">
      <c r="A92" s="192">
        <v>46</v>
      </c>
      <c r="B92" s="193" t="s">
        <v>240</v>
      </c>
      <c r="C92" s="193" t="str">
        <f>VLOOKUP(B92,Mapping!$D$2:$H$158,5,FALSE)</f>
        <v>3 yard Regular</v>
      </c>
      <c r="D92" s="207">
        <f>SUMIFS('DF Calculation'!K:K,'DF Calculation'!B:B,'To Populate Tariff'!A92,'DF Calculation'!C:C,'To Populate Tariff'!B92)</f>
        <v>196.55</v>
      </c>
      <c r="E92" s="207">
        <f ca="1">SUMIFS('DF Calculation'!L:L,'DF Calculation'!B:B,'To Populate Tariff'!A92,'DF Calculation'!C:C,'To Populate Tariff'!B92)</f>
        <v>3.6270907180243706</v>
      </c>
      <c r="F92" s="233">
        <f ca="1">SUMIFS('DF Calculation'!M:M,'DF Calculation'!B:B,'To Populate Tariff'!A92,'DF Calculation'!C:C,'To Populate Tariff'!B92)</f>
        <v>200.17709071802437</v>
      </c>
      <c r="G92" s="219" t="str">
        <f t="shared" ca="1" si="1"/>
        <v>ok</v>
      </c>
    </row>
    <row r="93" spans="1:7">
      <c r="A93" s="192">
        <v>46</v>
      </c>
      <c r="B93" s="193" t="s">
        <v>284</v>
      </c>
      <c r="C93" s="193" t="str">
        <f>VLOOKUP(B93,Mapping!$D$2:$H$158,5,FALSE)</f>
        <v>3 yard Special and Temporary</v>
      </c>
      <c r="D93" s="207">
        <f>SUMIFS('DF Calculation'!K:K,'DF Calculation'!B:B,'To Populate Tariff'!A93,'DF Calculation'!C:C,'To Populate Tariff'!B93)</f>
        <v>203.17</v>
      </c>
      <c r="E93" s="207">
        <f ca="1">SUMIFS('DF Calculation'!L:L,'DF Calculation'!B:B,'To Populate Tariff'!A93,'DF Calculation'!C:C,'To Populate Tariff'!B93)</f>
        <v>3.627090718024371</v>
      </c>
      <c r="F93" s="233">
        <f ca="1">SUMIFS('DF Calculation'!M:M,'DF Calculation'!B:B,'To Populate Tariff'!A93,'DF Calculation'!C:C,'To Populate Tariff'!B93)</f>
        <v>206.79709071802435</v>
      </c>
      <c r="G93" s="219" t="str">
        <f t="shared" ca="1" si="1"/>
        <v>ok</v>
      </c>
    </row>
    <row r="94" spans="1:7">
      <c r="A94" s="192">
        <v>46</v>
      </c>
      <c r="B94" s="193" t="s">
        <v>205</v>
      </c>
      <c r="C94" s="193" t="str">
        <f>VLOOKUP(B94,Mapping!$D$2:$H$158,5,FALSE)</f>
        <v>4 yard Regular</v>
      </c>
      <c r="D94" s="207">
        <f>SUMIFS('DF Calculation'!K:K,'DF Calculation'!B:B,'To Populate Tariff'!A94,'DF Calculation'!C:C,'To Populate Tariff'!B94)</f>
        <v>258.33999999999997</v>
      </c>
      <c r="E94" s="207">
        <f ca="1">SUMIFS('DF Calculation'!L:L,'DF Calculation'!B:B,'To Populate Tariff'!A94,'DF Calculation'!C:C,'To Populate Tariff'!B94)</f>
        <v>4.700648224416363</v>
      </c>
      <c r="F94" s="233">
        <f ca="1">SUMIFS('DF Calculation'!M:M,'DF Calculation'!B:B,'To Populate Tariff'!A94,'DF Calculation'!C:C,'To Populate Tariff'!B94)</f>
        <v>263.04064822441632</v>
      </c>
      <c r="G94" s="219" t="str">
        <f t="shared" ca="1" si="1"/>
        <v>ok</v>
      </c>
    </row>
    <row r="95" spans="1:7">
      <c r="A95" s="192">
        <v>46</v>
      </c>
      <c r="B95" s="193" t="s">
        <v>276</v>
      </c>
      <c r="C95" s="193" t="str">
        <f>VLOOKUP(B95,Mapping!$D$2:$H$158,5,FALSE)</f>
        <v>4 yard Special and Temporary</v>
      </c>
      <c r="D95" s="207">
        <f>SUMIFS('DF Calculation'!K:K,'DF Calculation'!B:B,'To Populate Tariff'!A95,'DF Calculation'!C:C,'To Populate Tariff'!B95)</f>
        <v>264.97000000000003</v>
      </c>
      <c r="E95" s="207">
        <f ca="1">SUMIFS('DF Calculation'!L:L,'DF Calculation'!B:B,'To Populate Tariff'!A95,'DF Calculation'!C:C,'To Populate Tariff'!B95)</f>
        <v>4.700648224416363</v>
      </c>
      <c r="F95" s="233">
        <f ca="1">SUMIFS('DF Calculation'!M:M,'DF Calculation'!B:B,'To Populate Tariff'!A95,'DF Calculation'!C:C,'To Populate Tariff'!B95)</f>
        <v>269.67064822441637</v>
      </c>
      <c r="G95" s="219" t="str">
        <f ca="1">IF(ABS(F95-D95-E95)&lt;0.01,"ok","Error")</f>
        <v>ok</v>
      </c>
    </row>
    <row r="96" spans="1:7">
      <c r="A96" s="192">
        <v>46</v>
      </c>
      <c r="B96" s="193" t="s">
        <v>239</v>
      </c>
      <c r="C96" s="193" t="str">
        <f>VLOOKUP(B96,Mapping!$D$2:$H$158,5,FALSE)</f>
        <v>6 yard Regular</v>
      </c>
      <c r="D96" s="207">
        <f>SUMIFS('DF Calculation'!K:K,'DF Calculation'!B:B,'To Populate Tariff'!A96,'DF Calculation'!C:C,'To Populate Tariff'!B96)</f>
        <v>367.48</v>
      </c>
      <c r="E96" s="207">
        <f ca="1">SUMIFS('DF Calculation'!L:L,'DF Calculation'!B:B,'To Populate Tariff'!A96,'DF Calculation'!C:C,'To Populate Tariff'!B96)</f>
        <v>6.4413450383519484</v>
      </c>
      <c r="F96" s="233">
        <f ca="1">SUMIFS('DF Calculation'!M:M,'DF Calculation'!B:B,'To Populate Tariff'!A96,'DF Calculation'!C:C,'To Populate Tariff'!B96)</f>
        <v>373.92134503835194</v>
      </c>
      <c r="G96" s="219" t="str">
        <f t="shared" ca="1" si="1"/>
        <v>ok</v>
      </c>
    </row>
    <row r="97" spans="1:7">
      <c r="A97" s="192">
        <v>46</v>
      </c>
      <c r="B97" s="193" t="s">
        <v>285</v>
      </c>
      <c r="C97" s="193" t="str">
        <f>VLOOKUP(B97,Mapping!$D$2:$H$158,5,FALSE)</f>
        <v>6 yard Special and Temporary</v>
      </c>
      <c r="D97" s="207">
        <f>SUMIFS('DF Calculation'!K:K,'DF Calculation'!B:B,'To Populate Tariff'!A97,'DF Calculation'!C:C,'To Populate Tariff'!B97)</f>
        <v>374.11</v>
      </c>
      <c r="E97" s="207">
        <f ca="1">SUMIFS('DF Calculation'!L:L,'DF Calculation'!B:B,'To Populate Tariff'!A97,'DF Calculation'!C:C,'To Populate Tariff'!B97)</f>
        <v>6.4413450383519484</v>
      </c>
      <c r="F97" s="233">
        <f ca="1">SUMIFS('DF Calculation'!M:M,'DF Calculation'!B:B,'To Populate Tariff'!A97,'DF Calculation'!C:C,'To Populate Tariff'!B97)</f>
        <v>380.55134503835194</v>
      </c>
      <c r="G97" s="219" t="str">
        <f t="shared" ca="1" si="1"/>
        <v>ok</v>
      </c>
    </row>
    <row r="98" spans="1:7">
      <c r="A98" s="183">
        <v>47</v>
      </c>
      <c r="B98" s="184" t="s">
        <v>206</v>
      </c>
      <c r="C98" s="184" t="str">
        <f>VLOOKUP(B98,Mapping!$D$2:$H$158,5,FALSE)</f>
        <v>4 yard Regular</v>
      </c>
      <c r="D98" s="203">
        <f>SUMIFS('DF Calculation'!K:K,'DF Calculation'!B:B,'To Populate Tariff'!A98,'DF Calculation'!C:C,'To Populate Tariff'!B98)</f>
        <v>292.33999999999997</v>
      </c>
      <c r="E98" s="203">
        <f ca="1">SUMIFS('DF Calculation'!L:L,'DF Calculation'!B:B,'To Populate Tariff'!A98,'DF Calculation'!C:C,'To Populate Tariff'!B98)</f>
        <v>5.8758102805204535</v>
      </c>
      <c r="F98" s="233">
        <f ca="1">SUMIFS('DF Calculation'!M:M,'DF Calculation'!B:B,'To Populate Tariff'!A98,'DF Calculation'!C:C,'To Populate Tariff'!B98)</f>
        <v>298.21581028052043</v>
      </c>
      <c r="G98" s="215" t="str">
        <f t="shared" ca="1" si="1"/>
        <v>ok</v>
      </c>
    </row>
    <row r="99" spans="1:7">
      <c r="A99" s="183">
        <v>47</v>
      </c>
      <c r="B99" s="184" t="s">
        <v>208</v>
      </c>
      <c r="C99" s="184" t="str">
        <f>VLOOKUP(B99,Mapping!$D$2:$H$158,5,FALSE)</f>
        <v>4 yard Special and Temporary</v>
      </c>
      <c r="D99" s="203">
        <f>SUMIFS('DF Calculation'!K:K,'DF Calculation'!B:B,'To Populate Tariff'!A99,'DF Calculation'!C:C,'To Populate Tariff'!B99)</f>
        <v>298.95</v>
      </c>
      <c r="E99" s="203">
        <f ca="1">SUMIFS('DF Calculation'!L:L,'DF Calculation'!B:B,'To Populate Tariff'!A99,'DF Calculation'!C:C,'To Populate Tariff'!B99)</f>
        <v>5.8758102805204535</v>
      </c>
      <c r="F99" s="233">
        <f ca="1">SUMIFS('DF Calculation'!M:M,'DF Calculation'!B:B,'To Populate Tariff'!A99,'DF Calculation'!C:C,'To Populate Tariff'!B99)</f>
        <v>304.82581028052044</v>
      </c>
      <c r="G99" s="215" t="str">
        <f t="shared" ca="1" si="1"/>
        <v>ok</v>
      </c>
    </row>
    <row r="100" spans="1:7">
      <c r="A100" s="183">
        <v>47</v>
      </c>
      <c r="B100" s="184" t="s">
        <v>250</v>
      </c>
      <c r="C100" s="184" t="str">
        <f>VLOOKUP(B100,Mapping!$D$2:$H$158,5,FALSE)</f>
        <v>6 yard Regular</v>
      </c>
      <c r="D100" s="203">
        <f>SUMIFS('DF Calculation'!K:K,'DF Calculation'!B:B,'To Populate Tariff'!A100,'DF Calculation'!C:C,'To Populate Tariff'!B100)</f>
        <v>415.67</v>
      </c>
      <c r="E100" s="203">
        <f ca="1">SUMIFS('DF Calculation'!L:L,'DF Calculation'!B:B,'To Populate Tariff'!A100,'DF Calculation'!C:C,'To Populate Tariff'!B100)</f>
        <v>8.0516812979399361</v>
      </c>
      <c r="F100" s="233">
        <f ca="1">SUMIFS('DF Calculation'!M:M,'DF Calculation'!B:B,'To Populate Tariff'!A100,'DF Calculation'!C:C,'To Populate Tariff'!B100)</f>
        <v>423.72168129793994</v>
      </c>
      <c r="G100" s="215" t="str">
        <f t="shared" ca="1" si="1"/>
        <v>ok</v>
      </c>
    </row>
    <row r="101" spans="1:7">
      <c r="A101" s="183">
        <v>47</v>
      </c>
      <c r="B101" s="184" t="s">
        <v>286</v>
      </c>
      <c r="C101" s="184" t="str">
        <f>VLOOKUP(B101,Mapping!$D$2:$H$158,5,FALSE)</f>
        <v>6 yard Special and Temporary</v>
      </c>
      <c r="D101" s="203">
        <f>SUMIFS('DF Calculation'!K:K,'DF Calculation'!B:B,'To Populate Tariff'!A101,'DF Calculation'!C:C,'To Populate Tariff'!B101)</f>
        <v>422.29</v>
      </c>
      <c r="E101" s="203">
        <f ca="1">SUMIFS('DF Calculation'!L:L,'DF Calculation'!B:B,'To Populate Tariff'!A101,'DF Calculation'!C:C,'To Populate Tariff'!B101)</f>
        <v>8.0516812979399361</v>
      </c>
      <c r="F101" s="233">
        <f ca="1">SUMIFS('DF Calculation'!M:M,'DF Calculation'!B:B,'To Populate Tariff'!A101,'DF Calculation'!C:C,'To Populate Tariff'!B101)</f>
        <v>430.34168129793994</v>
      </c>
      <c r="G101" s="215" t="str">
        <f t="shared" ca="1" si="1"/>
        <v>ok</v>
      </c>
    </row>
    <row r="102" spans="1:7">
      <c r="A102" s="181">
        <v>48</v>
      </c>
      <c r="B102" s="195" t="s">
        <v>203</v>
      </c>
      <c r="C102" s="195" t="str">
        <f>VLOOKUP(B102,Mapping!$D$2:$H$158,5,FALSE)</f>
        <v>2 yard Regular</v>
      </c>
      <c r="D102" s="204">
        <f>SUMIFS('DF Calculation'!K:K,'DF Calculation'!B:B,'To Populate Tariff'!A102,'DF Calculation'!C:C,'To Populate Tariff'!B102)</f>
        <v>107.35</v>
      </c>
      <c r="E102" s="204">
        <f ca="1">SUMIFS('DF Calculation'!L:L,'DF Calculation'!B:B,'To Populate Tariff'!A102,'DF Calculation'!C:C,'To Populate Tariff'!B102)</f>
        <v>1.3975418252852889</v>
      </c>
      <c r="F102" s="233">
        <f ca="1">SUMIFS('DF Calculation'!M:M,'DF Calculation'!B:B,'To Populate Tariff'!A102,'DF Calculation'!C:C,'To Populate Tariff'!B102)</f>
        <v>108.74754182528528</v>
      </c>
      <c r="G102" s="216" t="str">
        <f t="shared" ca="1" si="1"/>
        <v>ok</v>
      </c>
    </row>
    <row r="103" spans="1:7">
      <c r="A103" s="181">
        <v>48</v>
      </c>
      <c r="B103" s="195" t="s">
        <v>280</v>
      </c>
      <c r="C103" s="195" t="str">
        <f>VLOOKUP(B103,Mapping!$D$2:$H$158,5,FALSE)</f>
        <v>2 yard Special and Temporary</v>
      </c>
      <c r="D103" s="204">
        <f>SUMIFS('DF Calculation'!K:K,'DF Calculation'!B:B,'To Populate Tariff'!A103,'DF Calculation'!C:C,'To Populate Tariff'!B103)</f>
        <v>113.97</v>
      </c>
      <c r="E103" s="204">
        <f ca="1">SUMIFS('DF Calculation'!L:L,'DF Calculation'!B:B,'To Populate Tariff'!A103,'DF Calculation'!C:C,'To Populate Tariff'!B103)</f>
        <v>1.3975418252852887</v>
      </c>
      <c r="F103" s="233">
        <f ca="1">SUMIFS('DF Calculation'!M:M,'DF Calculation'!B:B,'To Populate Tariff'!A103,'DF Calculation'!C:C,'To Populate Tariff'!B103)</f>
        <v>115.36754182528529</v>
      </c>
      <c r="G103" s="216" t="str">
        <f t="shared" ca="1" si="1"/>
        <v>ok</v>
      </c>
    </row>
    <row r="104" spans="1:7">
      <c r="A104" s="181">
        <v>48</v>
      </c>
      <c r="B104" s="195" t="s">
        <v>204</v>
      </c>
      <c r="C104" s="195" t="str">
        <f>VLOOKUP(B104,Mapping!$D$2:$H$158,5,FALSE)</f>
        <v>4 yard Regular</v>
      </c>
      <c r="D104" s="204">
        <f>SUMIFS('DF Calculation'!K:K,'DF Calculation'!B:B,'To Populate Tariff'!A104,'DF Calculation'!C:C,'To Populate Tariff'!B104)</f>
        <v>198.43</v>
      </c>
      <c r="E104" s="204">
        <f ca="1">SUMIFS('DF Calculation'!L:L,'DF Calculation'!B:B,'To Populate Tariff'!A104,'DF Calculation'!C:C,'To Populate Tariff'!B104)</f>
        <v>2.6441146262342041</v>
      </c>
      <c r="F104" s="233">
        <f ca="1">SUMIFS('DF Calculation'!M:M,'DF Calculation'!B:B,'To Populate Tariff'!A104,'DF Calculation'!C:C,'To Populate Tariff'!B104)</f>
        <v>201.07411462623421</v>
      </c>
      <c r="G104" s="216" t="str">
        <f t="shared" ca="1" si="1"/>
        <v>ok</v>
      </c>
    </row>
    <row r="105" spans="1:7">
      <c r="A105" s="181">
        <v>48</v>
      </c>
      <c r="B105" s="195" t="s">
        <v>278</v>
      </c>
      <c r="C105" s="195" t="str">
        <f>VLOOKUP(B105,Mapping!$D$2:$H$158,5,FALSE)</f>
        <v>4 yard Special and Temporary</v>
      </c>
      <c r="D105" s="204">
        <f>SUMIFS('DF Calculation'!K:K,'DF Calculation'!B:B,'To Populate Tariff'!A105,'DF Calculation'!C:C,'To Populate Tariff'!B105)</f>
        <v>205.04</v>
      </c>
      <c r="E105" s="204">
        <f ca="1">SUMIFS('DF Calculation'!L:L,'DF Calculation'!B:B,'To Populate Tariff'!A105,'DF Calculation'!C:C,'To Populate Tariff'!B105)</f>
        <v>2.6441146262342041</v>
      </c>
      <c r="F105" s="233">
        <f ca="1">SUMIFS('DF Calculation'!M:M,'DF Calculation'!B:B,'To Populate Tariff'!A105,'DF Calculation'!C:C,'To Populate Tariff'!B105)</f>
        <v>207.68411462623419</v>
      </c>
      <c r="G105" s="216" t="str">
        <f t="shared" ca="1" si="1"/>
        <v>ok</v>
      </c>
    </row>
    <row r="106" spans="1:7">
      <c r="A106" s="181">
        <v>48</v>
      </c>
      <c r="B106" s="195" t="s">
        <v>238</v>
      </c>
      <c r="C106" s="195" t="str">
        <f>VLOOKUP(B106,Mapping!$D$2:$H$158,5,FALSE)</f>
        <v>6 yard Regular</v>
      </c>
      <c r="D106" s="204">
        <f>SUMIFS('DF Calculation'!K:K,'DF Calculation'!B:B,'To Populate Tariff'!A106,'DF Calculation'!C:C,'To Populate Tariff'!B106)</f>
        <v>282.31</v>
      </c>
      <c r="E106" s="204">
        <f ca="1">SUMIFS('DF Calculation'!L:L,'DF Calculation'!B:B,'To Populate Tariff'!A106,'DF Calculation'!C:C,'To Populate Tariff'!B106)</f>
        <v>3.6232565840729714</v>
      </c>
      <c r="F106" s="233">
        <f ca="1">SUMIFS('DF Calculation'!M:M,'DF Calculation'!B:B,'To Populate Tariff'!A106,'DF Calculation'!C:C,'To Populate Tariff'!B106)</f>
        <v>285.93325658407298</v>
      </c>
      <c r="G106" s="216" t="str">
        <f t="shared" ca="1" si="1"/>
        <v>ok</v>
      </c>
    </row>
    <row r="107" spans="1:7">
      <c r="A107" s="181">
        <v>48</v>
      </c>
      <c r="B107" s="195" t="s">
        <v>279</v>
      </c>
      <c r="C107" s="195" t="str">
        <f>VLOOKUP(B107,Mapping!$D$2:$H$158,5,FALSE)</f>
        <v>6 yard Special and Temporary</v>
      </c>
      <c r="D107" s="204">
        <f>SUMIFS('DF Calculation'!K:K,'DF Calculation'!B:B,'To Populate Tariff'!A107,'DF Calculation'!C:C,'To Populate Tariff'!B107)</f>
        <v>288.94</v>
      </c>
      <c r="E107" s="204">
        <f ca="1">SUMIFS('DF Calculation'!L:L,'DF Calculation'!B:B,'To Populate Tariff'!A107,'DF Calculation'!C:C,'To Populate Tariff'!B107)</f>
        <v>3.6232565840729709</v>
      </c>
      <c r="F107" s="233">
        <f ca="1">SUMIFS('DF Calculation'!M:M,'DF Calculation'!B:B,'To Populate Tariff'!A107,'DF Calculation'!C:C,'To Populate Tariff'!B107)</f>
        <v>292.56325658407297</v>
      </c>
      <c r="G107" s="216" t="str">
        <f t="shared" ca="1" si="1"/>
        <v>ok</v>
      </c>
    </row>
    <row r="108" spans="1:7">
      <c r="A108" s="185">
        <v>49</v>
      </c>
      <c r="B108" s="196" t="s">
        <v>247</v>
      </c>
      <c r="C108" s="196" t="str">
        <f>VLOOKUP(B108,Mapping!$D$2:$H$158,5,FALSE)</f>
        <v>2 yard Regular</v>
      </c>
      <c r="D108" s="205">
        <f>SUMIFS('DF Calculation'!K:K,'DF Calculation'!B:B,'To Populate Tariff'!A108,'DF Calculation'!C:C,'To Populate Tariff'!B108)</f>
        <v>137.88999999999999</v>
      </c>
      <c r="E108" s="205">
        <f ca="1">SUMIFS('DF Calculation'!L:L,'DF Calculation'!B:B,'To Populate Tariff'!A108,'DF Calculation'!C:C,'To Populate Tariff'!B108)</f>
        <v>1.8633891003803851</v>
      </c>
      <c r="F108" s="233">
        <f ca="1">SUMIFS('DF Calculation'!M:M,'DF Calculation'!B:B,'To Populate Tariff'!A108,'DF Calculation'!C:C,'To Populate Tariff'!B108)</f>
        <v>139.75338910038036</v>
      </c>
      <c r="G108" s="217" t="str">
        <f t="shared" ca="1" si="1"/>
        <v>ok</v>
      </c>
    </row>
    <row r="109" spans="1:7">
      <c r="A109" s="185">
        <v>49</v>
      </c>
      <c r="B109" s="196" t="s">
        <v>281</v>
      </c>
      <c r="C109" s="196" t="str">
        <f>VLOOKUP(B109,Mapping!$D$2:$H$158,5,FALSE)</f>
        <v>2 yard Special and Temporary</v>
      </c>
      <c r="D109" s="205">
        <f>SUMIFS('DF Calculation'!K:K,'DF Calculation'!B:B,'To Populate Tariff'!A109,'DF Calculation'!C:C,'To Populate Tariff'!B109)</f>
        <v>144.51</v>
      </c>
      <c r="E109" s="205">
        <f ca="1">SUMIFS('DF Calculation'!L:L,'DF Calculation'!B:B,'To Populate Tariff'!A109,'DF Calculation'!C:C,'To Populate Tariff'!B109)</f>
        <v>1.8633891003803853</v>
      </c>
      <c r="F109" s="233">
        <f ca="1">SUMIFS('DF Calculation'!M:M,'DF Calculation'!B:B,'To Populate Tariff'!A109,'DF Calculation'!C:C,'To Populate Tariff'!B109)</f>
        <v>146.37338910038036</v>
      </c>
      <c r="G109" s="217" t="str">
        <f t="shared" ca="1" si="1"/>
        <v>ok</v>
      </c>
    </row>
    <row r="110" spans="1:7">
      <c r="A110" s="185">
        <v>49</v>
      </c>
      <c r="B110" s="196" t="s">
        <v>248</v>
      </c>
      <c r="C110" s="196" t="str">
        <f>VLOOKUP(B110,Mapping!$D$2:$H$158,5,FALSE)</f>
        <v>3 yard Regular</v>
      </c>
      <c r="D110" s="205">
        <f>SUMIFS('DF Calculation'!K:K,'DF Calculation'!B:B,'To Populate Tariff'!A110,'DF Calculation'!C:C,'To Populate Tariff'!B110)</f>
        <v>191.91</v>
      </c>
      <c r="E110" s="205">
        <f ca="1">SUMIFS('DF Calculation'!L:L,'DF Calculation'!B:B,'To Populate Tariff'!A110,'DF Calculation'!C:C,'To Populate Tariff'!B110)</f>
        <v>2.7203180385182786</v>
      </c>
      <c r="F110" s="233">
        <f ca="1">SUMIFS('DF Calculation'!M:M,'DF Calculation'!B:B,'To Populate Tariff'!A110,'DF Calculation'!C:C,'To Populate Tariff'!B110)</f>
        <v>194.63031803851828</v>
      </c>
      <c r="G110" s="217" t="str">
        <f t="shared" ca="1" si="1"/>
        <v>ok</v>
      </c>
    </row>
    <row r="111" spans="1:7">
      <c r="A111" s="185">
        <v>49</v>
      </c>
      <c r="B111" s="196" t="s">
        <v>282</v>
      </c>
      <c r="C111" s="196" t="str">
        <f>VLOOKUP(B111,Mapping!$D$2:$H$158,5,FALSE)</f>
        <v>3 yard Special and Temporary</v>
      </c>
      <c r="D111" s="205">
        <f>SUMIFS('DF Calculation'!K:K,'DF Calculation'!B:B,'To Populate Tariff'!A111,'DF Calculation'!C:C,'To Populate Tariff'!B111)</f>
        <v>198.54</v>
      </c>
      <c r="E111" s="205">
        <f ca="1">SUMIFS('DF Calculation'!L:L,'DF Calculation'!B:B,'To Populate Tariff'!A111,'DF Calculation'!C:C,'To Populate Tariff'!B111)</f>
        <v>2.7203180385182786</v>
      </c>
      <c r="F111" s="233">
        <f ca="1">SUMIFS('DF Calculation'!M:M,'DF Calculation'!B:B,'To Populate Tariff'!A111,'DF Calculation'!C:C,'To Populate Tariff'!B111)</f>
        <v>201.26031803851828</v>
      </c>
      <c r="G111" s="217" t="str">
        <f t="shared" ca="1" si="1"/>
        <v>ok</v>
      </c>
    </row>
    <row r="112" spans="1:7">
      <c r="A112" s="185">
        <v>49</v>
      </c>
      <c r="B112" s="196" t="s">
        <v>249</v>
      </c>
      <c r="C112" s="196" t="str">
        <f>VLOOKUP(B112,Mapping!$D$2:$H$158,5,FALSE)</f>
        <v>4 yard Regular</v>
      </c>
      <c r="D112" s="205">
        <f>SUMIFS('DF Calculation'!K:K,'DF Calculation'!B:B,'To Populate Tariff'!A112,'DF Calculation'!C:C,'To Populate Tariff'!B112)</f>
        <v>241.83</v>
      </c>
      <c r="E112" s="205">
        <f ca="1">SUMIFS('DF Calculation'!L:L,'DF Calculation'!B:B,'To Populate Tariff'!A112,'DF Calculation'!C:C,'To Populate Tariff'!B112)</f>
        <v>3.525486168312272</v>
      </c>
      <c r="F112" s="233">
        <f ca="1">SUMIFS('DF Calculation'!M:M,'DF Calculation'!B:B,'To Populate Tariff'!A112,'DF Calculation'!C:C,'To Populate Tariff'!B112)</f>
        <v>245.3554861683123</v>
      </c>
      <c r="G112" s="217" t="str">
        <f t="shared" ca="1" si="1"/>
        <v>ok</v>
      </c>
    </row>
    <row r="113" spans="1:7">
      <c r="A113" s="185">
        <v>49</v>
      </c>
      <c r="B113" s="196" t="s">
        <v>277</v>
      </c>
      <c r="C113" s="196" t="str">
        <f>VLOOKUP(B113,Mapping!$D$2:$H$158,5,FALSE)</f>
        <v>4 yard Special and Temporary</v>
      </c>
      <c r="D113" s="205">
        <f>SUMIFS('DF Calculation'!K:K,'DF Calculation'!B:B,'To Populate Tariff'!A113,'DF Calculation'!C:C,'To Populate Tariff'!B113)</f>
        <v>248.44</v>
      </c>
      <c r="E113" s="205">
        <f ca="1">SUMIFS('DF Calculation'!L:L,'DF Calculation'!B:B,'To Populate Tariff'!A113,'DF Calculation'!C:C,'To Populate Tariff'!B113)</f>
        <v>3.525486168312272</v>
      </c>
      <c r="F113" s="233">
        <f ca="1">SUMIFS('DF Calculation'!M:M,'DF Calculation'!B:B,'To Populate Tariff'!A113,'DF Calculation'!C:C,'To Populate Tariff'!B113)</f>
        <v>251.96548616831228</v>
      </c>
      <c r="G113" s="217" t="str">
        <f t="shared" ca="1" si="1"/>
        <v>ok</v>
      </c>
    </row>
    <row r="114" spans="1:7">
      <c r="A114" s="185">
        <v>49</v>
      </c>
      <c r="B114" s="196" t="s">
        <v>241</v>
      </c>
      <c r="C114" s="196" t="str">
        <f>VLOOKUP(B114,Mapping!$D$2:$H$158,5,FALSE)</f>
        <v>6 yard Regular</v>
      </c>
      <c r="D114" s="205">
        <f>SUMIFS('DF Calculation'!K:K,'DF Calculation'!B:B,'To Populate Tariff'!A114,'DF Calculation'!C:C,'To Populate Tariff'!B114)</f>
        <v>359.62</v>
      </c>
      <c r="E114" s="205">
        <f ca="1">SUMIFS('DF Calculation'!L:L,'DF Calculation'!B:B,'To Populate Tariff'!A114,'DF Calculation'!C:C,'To Populate Tariff'!B114)</f>
        <v>4.8310087787639615</v>
      </c>
      <c r="F114" s="233">
        <f ca="1">SUMIFS('DF Calculation'!M:M,'DF Calculation'!B:B,'To Populate Tariff'!A114,'DF Calculation'!C:C,'To Populate Tariff'!B114)</f>
        <v>364.45100877876399</v>
      </c>
      <c r="G114" s="217" t="str">
        <f t="shared" ca="1" si="1"/>
        <v>ok</v>
      </c>
    </row>
    <row r="115" spans="1:7">
      <c r="A115" s="185">
        <v>49</v>
      </c>
      <c r="B115" s="196" t="s">
        <v>283</v>
      </c>
      <c r="C115" s="196" t="str">
        <f>VLOOKUP(B115,Mapping!$D$2:$H$158,5,FALSE)</f>
        <v>6 yard Special and Temporary</v>
      </c>
      <c r="D115" s="205">
        <f>SUMIFS('DF Calculation'!K:K,'DF Calculation'!B:B,'To Populate Tariff'!A115,'DF Calculation'!C:C,'To Populate Tariff'!B115)</f>
        <v>366.24</v>
      </c>
      <c r="E115" s="205">
        <f ca="1">SUMIFS('DF Calculation'!L:L,'DF Calculation'!B:B,'To Populate Tariff'!A115,'DF Calculation'!C:C,'To Populate Tariff'!B115)</f>
        <v>4.8310087787639615</v>
      </c>
      <c r="F115" s="233">
        <f ca="1">SUMIFS('DF Calculation'!M:M,'DF Calculation'!B:B,'To Populate Tariff'!A115,'DF Calculation'!C:C,'To Populate Tariff'!B115)</f>
        <v>371.071008778764</v>
      </c>
      <c r="G115" s="217" t="str">
        <f t="shared" ca="1" si="1"/>
        <v>ok</v>
      </c>
    </row>
    <row r="116" spans="1:7">
      <c r="A116" s="192">
        <v>50</v>
      </c>
      <c r="B116" s="194" t="s">
        <v>240</v>
      </c>
      <c r="C116" s="194" t="str">
        <f>VLOOKUP(B116,Mapping!$D$2:$H$158,5,FALSE)</f>
        <v>3 yard Regular</v>
      </c>
      <c r="D116" s="207">
        <f>SUMIFS('DF Calculation'!K:K,'DF Calculation'!B:B,'To Populate Tariff'!A116,'DF Calculation'!C:C,'To Populate Tariff'!B116)</f>
        <v>236.62</v>
      </c>
      <c r="E116" s="207">
        <f ca="1">SUMIFS('DF Calculation'!L:L,'DF Calculation'!B:B,'To Populate Tariff'!A116,'DF Calculation'!C:C,'To Populate Tariff'!B116)</f>
        <v>3.6270907180243706</v>
      </c>
      <c r="F116" s="233">
        <f ca="1">SUMIFS('DF Calculation'!M:M,'DF Calculation'!B:B,'To Populate Tariff'!A116,'DF Calculation'!C:C,'To Populate Tariff'!B116)</f>
        <v>240.24709071802437</v>
      </c>
      <c r="G116" s="219" t="str">
        <f t="shared" ca="1" si="1"/>
        <v>ok</v>
      </c>
    </row>
    <row r="117" spans="1:7">
      <c r="A117" s="192">
        <v>50</v>
      </c>
      <c r="B117" s="194" t="s">
        <v>284</v>
      </c>
      <c r="C117" s="194" t="str">
        <f>VLOOKUP(B117,Mapping!$D$2:$H$158,5,FALSE)</f>
        <v>3 yard Special and Temporary</v>
      </c>
      <c r="D117" s="207">
        <f>SUMIFS('DF Calculation'!K:K,'DF Calculation'!B:B,'To Populate Tariff'!A117,'DF Calculation'!C:C,'To Populate Tariff'!B117)</f>
        <v>243.24</v>
      </c>
      <c r="E117" s="207">
        <f ca="1">SUMIFS('DF Calculation'!L:L,'DF Calculation'!B:B,'To Populate Tariff'!A117,'DF Calculation'!C:C,'To Populate Tariff'!B117)</f>
        <v>3.627090718024371</v>
      </c>
      <c r="F117" s="233">
        <f ca="1">SUMIFS('DF Calculation'!M:M,'DF Calculation'!B:B,'To Populate Tariff'!A117,'DF Calculation'!C:C,'To Populate Tariff'!B117)</f>
        <v>246.86709071802437</v>
      </c>
      <c r="G117" s="219" t="str">
        <f t="shared" ca="1" si="1"/>
        <v>ok</v>
      </c>
    </row>
    <row r="118" spans="1:7">
      <c r="A118" s="192">
        <v>50</v>
      </c>
      <c r="B118" s="194" t="s">
        <v>287</v>
      </c>
      <c r="C118" s="194" t="str">
        <f>VLOOKUP(B118,Mapping!$D$2:$H$158,5,FALSE)</f>
        <v>4 yard Regular</v>
      </c>
      <c r="D118" s="207">
        <f>SUMIFS('DF Calculation'!K:K,'DF Calculation'!B:B,'To Populate Tariff'!A118,'DF Calculation'!C:C,'To Populate Tariff'!B118)</f>
        <v>312.14999999999998</v>
      </c>
      <c r="E118" s="207">
        <f ca="1">SUMIFS('DF Calculation'!L:L,'DF Calculation'!B:B,'To Populate Tariff'!A118,'DF Calculation'!C:C,'To Populate Tariff'!B118)</f>
        <v>4.700648224416363</v>
      </c>
      <c r="F118" s="233">
        <f ca="1">SUMIFS('DF Calculation'!M:M,'DF Calculation'!B:B,'To Populate Tariff'!A118,'DF Calculation'!C:C,'To Populate Tariff'!B118)</f>
        <v>316.85064822441632</v>
      </c>
      <c r="G118" s="219" t="str">
        <f t="shared" ca="1" si="1"/>
        <v>ok</v>
      </c>
    </row>
    <row r="119" spans="1:7">
      <c r="A119" s="192">
        <v>50</v>
      </c>
      <c r="B119" s="194" t="s">
        <v>276</v>
      </c>
      <c r="C119" s="194" t="str">
        <f>VLOOKUP(B119,Mapping!$D$2:$H$158,5,FALSE)</f>
        <v>4 yard Special and Temporary</v>
      </c>
      <c r="D119" s="207">
        <f>SUMIFS('DF Calculation'!K:K,'DF Calculation'!B:B,'To Populate Tariff'!A119,'DF Calculation'!C:C,'To Populate Tariff'!B119)</f>
        <v>318.77</v>
      </c>
      <c r="E119" s="207">
        <f ca="1">SUMIFS('DF Calculation'!L:L,'DF Calculation'!B:B,'To Populate Tariff'!A119,'DF Calculation'!C:C,'To Populate Tariff'!B119)</f>
        <v>4.700648224416363</v>
      </c>
      <c r="F119" s="233">
        <f ca="1">SUMIFS('DF Calculation'!M:M,'DF Calculation'!B:B,'To Populate Tariff'!A119,'DF Calculation'!C:C,'To Populate Tariff'!B119)</f>
        <v>323.47064822441632</v>
      </c>
      <c r="G119" s="219" t="str">
        <f t="shared" ca="1" si="1"/>
        <v>ok</v>
      </c>
    </row>
    <row r="120" spans="1:7">
      <c r="A120" s="192">
        <v>50</v>
      </c>
      <c r="B120" s="194" t="s">
        <v>239</v>
      </c>
      <c r="C120" s="194" t="str">
        <f>VLOOKUP(B120,Mapping!$D$2:$H$158,5,FALSE)</f>
        <v>6 yard Regular</v>
      </c>
      <c r="D120" s="207">
        <f>SUMIFS('DF Calculation'!K:K,'DF Calculation'!B:B,'To Populate Tariff'!A120,'DF Calculation'!C:C,'To Populate Tariff'!B120)</f>
        <v>459.96</v>
      </c>
      <c r="E120" s="207">
        <f ca="1">SUMIFS('DF Calculation'!L:L,'DF Calculation'!B:B,'To Populate Tariff'!A120,'DF Calculation'!C:C,'To Populate Tariff'!B120)</f>
        <v>6.4413450383519493</v>
      </c>
      <c r="F120" s="233">
        <f ca="1">SUMIFS('DF Calculation'!M:M,'DF Calculation'!B:B,'To Populate Tariff'!A120,'DF Calculation'!C:C,'To Populate Tariff'!B120)</f>
        <v>466.40134503835191</v>
      </c>
      <c r="G120" s="219" t="str">
        <f t="shared" ca="1" si="1"/>
        <v>ok</v>
      </c>
    </row>
    <row r="121" spans="1:7">
      <c r="A121" s="192">
        <v>50</v>
      </c>
      <c r="B121" s="194" t="s">
        <v>285</v>
      </c>
      <c r="C121" s="194" t="str">
        <f>VLOOKUP(B121,Mapping!$D$2:$H$158,5,FALSE)</f>
        <v>6 yard Special and Temporary</v>
      </c>
      <c r="D121" s="207">
        <f>SUMIFS('DF Calculation'!K:K,'DF Calculation'!B:B,'To Populate Tariff'!A121,'DF Calculation'!C:C,'To Populate Tariff'!B121)</f>
        <v>456.45</v>
      </c>
      <c r="E121" s="207">
        <f ca="1">SUMIFS('DF Calculation'!L:L,'DF Calculation'!B:B,'To Populate Tariff'!A121,'DF Calculation'!C:C,'To Populate Tariff'!B121)</f>
        <v>6.4413450383519484</v>
      </c>
      <c r="F121" s="233">
        <f ca="1">SUMIFS('DF Calculation'!M:M,'DF Calculation'!B:B,'To Populate Tariff'!A121,'DF Calculation'!C:C,'To Populate Tariff'!B121)</f>
        <v>462.89134503835191</v>
      </c>
      <c r="G121" s="219" t="str">
        <f t="shared" ca="1" si="1"/>
        <v>ok</v>
      </c>
    </row>
    <row r="122" spans="1:7">
      <c r="A122" s="198">
        <v>51</v>
      </c>
      <c r="B122" s="199" t="s">
        <v>206</v>
      </c>
      <c r="C122" s="199" t="str">
        <f>VLOOKUP(B122,Mapping!$D$2:$H$158,5,FALSE)</f>
        <v>4 yard Regular</v>
      </c>
      <c r="D122" s="208">
        <f>SUMIFS('DF Calculation'!K:K,'DF Calculation'!B:B,'To Populate Tariff'!A122,'DF Calculation'!C:C,'To Populate Tariff'!B122)</f>
        <v>359.6</v>
      </c>
      <c r="E122" s="208">
        <f ca="1">SUMIFS('DF Calculation'!L:L,'DF Calculation'!B:B,'To Populate Tariff'!A122,'DF Calculation'!C:C,'To Populate Tariff'!B122)</f>
        <v>5.8758102805204535</v>
      </c>
      <c r="F122" s="233">
        <f ca="1">SUMIFS('DF Calculation'!M:M,'DF Calculation'!B:B,'To Populate Tariff'!A122,'DF Calculation'!C:C,'To Populate Tariff'!B122)</f>
        <v>365.47581028052048</v>
      </c>
      <c r="G122" s="220" t="str">
        <f t="shared" ca="1" si="1"/>
        <v>ok</v>
      </c>
    </row>
    <row r="123" spans="1:7">
      <c r="A123" s="198">
        <v>51</v>
      </c>
      <c r="B123" s="199" t="s">
        <v>208</v>
      </c>
      <c r="C123" s="199" t="str">
        <f>VLOOKUP(B123,Mapping!$D$2:$H$158,5,FALSE)</f>
        <v>4 yard Special and Temporary</v>
      </c>
      <c r="D123" s="208">
        <f>SUMIFS('DF Calculation'!K:K,'DF Calculation'!B:B,'To Populate Tariff'!A123,'DF Calculation'!C:C,'To Populate Tariff'!B123)</f>
        <v>366.23</v>
      </c>
      <c r="E123" s="208">
        <f ca="1">SUMIFS('DF Calculation'!L:L,'DF Calculation'!B:B,'To Populate Tariff'!A123,'DF Calculation'!C:C,'To Populate Tariff'!B123)</f>
        <v>5.8758102805204535</v>
      </c>
      <c r="F123" s="233">
        <f ca="1">SUMIFS('DF Calculation'!M:M,'DF Calculation'!B:B,'To Populate Tariff'!A123,'DF Calculation'!C:C,'To Populate Tariff'!B123)</f>
        <v>372.10581028052047</v>
      </c>
      <c r="G123" s="220" t="str">
        <f t="shared" ca="1" si="1"/>
        <v>ok</v>
      </c>
    </row>
    <row r="124" spans="1:7">
      <c r="A124" s="198">
        <v>51</v>
      </c>
      <c r="B124" s="199" t="s">
        <v>250</v>
      </c>
      <c r="C124" s="199" t="str">
        <f>VLOOKUP(B124,Mapping!$D$2:$H$158,5,FALSE)</f>
        <v>6 yard Regular</v>
      </c>
      <c r="D124" s="208">
        <f>SUMIFS('DF Calculation'!K:K,'DF Calculation'!B:B,'To Populate Tariff'!A124,'DF Calculation'!C:C,'To Populate Tariff'!B124)</f>
        <v>518.6</v>
      </c>
      <c r="E124" s="208">
        <f ca="1">SUMIFS('DF Calculation'!L:L,'DF Calculation'!B:B,'To Populate Tariff'!A124,'DF Calculation'!C:C,'To Populate Tariff'!B124)</f>
        <v>8.0516812979399361</v>
      </c>
      <c r="F124" s="233">
        <f ca="1">SUMIFS('DF Calculation'!M:M,'DF Calculation'!B:B,'To Populate Tariff'!A124,'DF Calculation'!C:C,'To Populate Tariff'!B124)</f>
        <v>526.65168129793994</v>
      </c>
      <c r="G124" s="220" t="str">
        <f t="shared" ca="1" si="1"/>
        <v>ok</v>
      </c>
    </row>
    <row r="125" spans="1:7">
      <c r="A125" s="198">
        <v>51</v>
      </c>
      <c r="B125" s="199" t="s">
        <v>286</v>
      </c>
      <c r="C125" s="199" t="str">
        <f>VLOOKUP(B125,Mapping!$D$2:$H$158,5,FALSE)</f>
        <v>6 yard Special and Temporary</v>
      </c>
      <c r="D125" s="208">
        <f>SUMIFS('DF Calculation'!K:K,'DF Calculation'!B:B,'To Populate Tariff'!A125,'DF Calculation'!C:C,'To Populate Tariff'!B125)</f>
        <v>525.22</v>
      </c>
      <c r="E125" s="208">
        <f ca="1">SUMIFS('DF Calculation'!L:L,'DF Calculation'!B:B,'To Populate Tariff'!A125,'DF Calculation'!C:C,'To Populate Tariff'!B125)</f>
        <v>8.0516812979399361</v>
      </c>
      <c r="F125" s="233">
        <f ca="1">SUMIFS('DF Calculation'!M:M,'DF Calculation'!B:B,'To Populate Tariff'!A125,'DF Calculation'!C:C,'To Populate Tariff'!B125)</f>
        <v>533.27168129793995</v>
      </c>
      <c r="G125" s="220" t="str">
        <f t="shared" ca="1" si="1"/>
        <v>ok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7" tint="0.39997558519241921"/>
    <pageSetUpPr fitToPage="1"/>
  </sheetPr>
  <dimension ref="A1:X158"/>
  <sheetViews>
    <sheetView showGridLines="0" view="pageBreakPreview" topLeftCell="E1" zoomScale="85" zoomScaleNormal="85" zoomScaleSheetLayoutView="85" workbookViewId="0">
      <pane ySplit="1" topLeftCell="A41" activePane="bottomLeft" state="frozen"/>
      <selection activeCell="A2" sqref="A2"/>
      <selection pane="bottomLeft" activeCell="T12" sqref="T12"/>
    </sheetView>
  </sheetViews>
  <sheetFormatPr defaultRowHeight="15"/>
  <cols>
    <col min="1" max="1" width="19.7109375" style="14" customWidth="1"/>
    <col min="2" max="2" width="20.7109375" style="14" customWidth="1"/>
    <col min="3" max="4" width="28.140625" style="14" customWidth="1"/>
    <col min="5" max="5" width="24.85546875" style="14" bestFit="1" customWidth="1"/>
    <col min="6" max="6" width="10" style="74" customWidth="1"/>
    <col min="7" max="7" width="12.7109375" style="14" customWidth="1"/>
    <col min="8" max="8" width="31.42578125" style="14" bestFit="1" customWidth="1"/>
    <col min="9" max="9" width="8" style="35" customWidth="1"/>
    <col min="10" max="11" width="11.85546875" style="35" customWidth="1"/>
    <col min="12" max="12" width="48" style="85" customWidth="1"/>
    <col min="13" max="13" width="11.85546875" style="85" customWidth="1"/>
    <col min="14" max="14" width="24.5703125" style="85" bestFit="1" customWidth="1"/>
    <col min="15" max="15" width="15.7109375" customWidth="1"/>
    <col min="16" max="16" width="20.5703125" bestFit="1" customWidth="1"/>
    <col min="17" max="17" width="15.42578125" bestFit="1" customWidth="1"/>
    <col min="18" max="18" width="11" customWidth="1"/>
    <col min="19" max="19" width="12.42578125" bestFit="1" customWidth="1"/>
  </cols>
  <sheetData>
    <row r="1" spans="1:20" s="89" customFormat="1" ht="35.25" customHeight="1">
      <c r="A1" s="84" t="s">
        <v>252</v>
      </c>
      <c r="B1" s="84" t="s">
        <v>251</v>
      </c>
      <c r="C1" s="84" t="s">
        <v>253</v>
      </c>
      <c r="D1" s="84" t="s">
        <v>288</v>
      </c>
      <c r="E1" s="84" t="s">
        <v>254</v>
      </c>
      <c r="F1" s="86" t="s">
        <v>255</v>
      </c>
      <c r="G1" s="84" t="s">
        <v>289</v>
      </c>
      <c r="H1" s="84" t="s">
        <v>615</v>
      </c>
      <c r="I1" s="87" t="s">
        <v>260</v>
      </c>
      <c r="J1" s="84" t="s">
        <v>257</v>
      </c>
      <c r="K1" s="84" t="s">
        <v>256</v>
      </c>
      <c r="L1" s="88" t="s">
        <v>290</v>
      </c>
      <c r="M1" s="88" t="s">
        <v>291</v>
      </c>
      <c r="N1" s="154"/>
      <c r="O1" s="89" t="s">
        <v>598</v>
      </c>
      <c r="P1" s="144">
        <f>SUM($L$2:$L$499)</f>
        <v>906696.14873686444</v>
      </c>
      <c r="Q1" s="146">
        <f>SUM('Murrey''s Price Out 2022'!AG11:AG23,'Murrey''s Price Out 2022'!AG31,'Murrey''s Price Out 2022'!AG35:AG36,-'Murrey''s Price Out 2022'!AG12)++SUM('Murrey''s Price Out 2022'!AG140:AG148,'Murrey''s Price Out 2022'!AG151:AG169,'Murrey''s Price Out 2022'!AG174)+SUM('Murrey''s Price Out 2022'!AG121:AG122,'Murrey''s Price Out 2022'!AG113:AG119,'Murrey''s Price Out 2022'!AG74:AG111)</f>
        <v>906696.14873686468</v>
      </c>
      <c r="R1" s="144">
        <f>P1-Q1</f>
        <v>0</v>
      </c>
      <c r="S1" s="147">
        <f>R1/P1</f>
        <v>0</v>
      </c>
      <c r="T1" s="145" t="s">
        <v>599</v>
      </c>
    </row>
    <row r="2" spans="1:20">
      <c r="A2" s="129" t="s">
        <v>104</v>
      </c>
      <c r="B2" s="129" t="s">
        <v>151</v>
      </c>
      <c r="C2" s="129" t="s">
        <v>182</v>
      </c>
      <c r="D2" s="129" t="s">
        <v>182</v>
      </c>
      <c r="E2" s="129" t="s">
        <v>168</v>
      </c>
      <c r="F2" s="130" t="s">
        <v>90</v>
      </c>
      <c r="G2" s="202" t="s">
        <v>90</v>
      </c>
      <c r="H2" s="202" t="str">
        <f>CONCATENATE(E2," ",G2)</f>
        <v>20 Gallon Cart MG</v>
      </c>
      <c r="I2" s="131" t="s">
        <v>261</v>
      </c>
      <c r="J2" s="131">
        <f>References!$C$17</f>
        <v>20</v>
      </c>
      <c r="K2" s="132">
        <f>References!$C$13</f>
        <v>1</v>
      </c>
      <c r="L2" s="133">
        <f>IFERROR(+INDEX('Murrey''s Price Out 2022'!AG:AG,MATCH(C2,'Murrey''s Price Out 2022'!C:C,0)),0)</f>
        <v>1143.4977471439706</v>
      </c>
      <c r="M2" s="133">
        <f t="shared" ref="M2:M67" si="0">IF(L2=0,K2*12,K2*L2)</f>
        <v>1143.4977471439706</v>
      </c>
    </row>
    <row r="3" spans="1:20">
      <c r="A3" s="129" t="s">
        <v>104</v>
      </c>
      <c r="B3" s="129" t="s">
        <v>151</v>
      </c>
      <c r="C3" s="129" t="s">
        <v>183</v>
      </c>
      <c r="D3" s="129" t="s">
        <v>183</v>
      </c>
      <c r="E3" s="129" t="s">
        <v>168</v>
      </c>
      <c r="F3" s="130" t="s">
        <v>89</v>
      </c>
      <c r="G3" s="202" t="s">
        <v>89</v>
      </c>
      <c r="H3" s="202" t="str">
        <f t="shared" ref="H3:H66" si="1">CONCATENATE(E3," ",G3)</f>
        <v>20 Gallon Cart WG-NR</v>
      </c>
      <c r="I3" s="131" t="s">
        <v>261</v>
      </c>
      <c r="J3" s="131">
        <f>References!$C$17</f>
        <v>20</v>
      </c>
      <c r="K3" s="132">
        <f>References!$C$11</f>
        <v>4.333333333333333</v>
      </c>
      <c r="L3" s="133">
        <f>IFERROR(+INDEX('Murrey''s Price Out 2022'!AG:AG,MATCH(C3,'Murrey''s Price Out 2022'!C:C,0)),0)</f>
        <v>465.12771085565203</v>
      </c>
      <c r="M3" s="133">
        <f>IF(L3=0,K3*12,K3*L3)</f>
        <v>2015.5534137078253</v>
      </c>
      <c r="Q3" s="155" t="s">
        <v>603</v>
      </c>
      <c r="R3" s="155" t="s">
        <v>604</v>
      </c>
      <c r="S3" s="155" t="s">
        <v>625</v>
      </c>
    </row>
    <row r="4" spans="1:20">
      <c r="A4" s="129" t="s">
        <v>104</v>
      </c>
      <c r="B4" s="129" t="s">
        <v>151</v>
      </c>
      <c r="C4" s="129" t="s">
        <v>184</v>
      </c>
      <c r="D4" s="129" t="s">
        <v>184</v>
      </c>
      <c r="E4" s="129" t="s">
        <v>168</v>
      </c>
      <c r="F4" s="130" t="s">
        <v>88</v>
      </c>
      <c r="G4" s="202" t="s">
        <v>88</v>
      </c>
      <c r="H4" s="202" t="str">
        <f t="shared" si="1"/>
        <v>20 Gallon Cart WG-R</v>
      </c>
      <c r="I4" s="131" t="s">
        <v>261</v>
      </c>
      <c r="J4" s="131">
        <f>References!$C$17</f>
        <v>20</v>
      </c>
      <c r="K4" s="132">
        <f>References!$C$11</f>
        <v>4.333333333333333</v>
      </c>
      <c r="L4" s="133">
        <f>IFERROR(+INDEX('Murrey''s Price Out 2022'!AG:AG,MATCH(C4,'Murrey''s Price Out 2022'!C:C,0)),0)</f>
        <v>40179.346151479767</v>
      </c>
      <c r="M4" s="133">
        <f t="shared" si="0"/>
        <v>174110.49998974564</v>
      </c>
      <c r="O4" s="131"/>
      <c r="P4" s="161" t="s">
        <v>104</v>
      </c>
      <c r="Q4" s="77">
        <f>SUMIF(A:A,P4,L:L)</f>
        <v>799841.14523711149</v>
      </c>
      <c r="R4" s="77">
        <f>Q4/12</f>
        <v>66653.428769759295</v>
      </c>
      <c r="S4" s="77">
        <f>+SUM('Murrey''s Price Out 2022'!AG11:AG23,'Murrey''s Price Out 2022'!AG31,'Murrey''s Price Out 2022'!AG35:AG36,-'Murrey''s Price Out 2022'!AG12)</f>
        <v>799841.14523711149</v>
      </c>
      <c r="T4" s="77">
        <f>Q4-S4</f>
        <v>0</v>
      </c>
    </row>
    <row r="5" spans="1:20">
      <c r="A5" s="129" t="s">
        <v>104</v>
      </c>
      <c r="B5" s="129" t="s">
        <v>151</v>
      </c>
      <c r="C5" s="129" t="s">
        <v>185</v>
      </c>
      <c r="D5" s="129" t="s">
        <v>185</v>
      </c>
      <c r="E5" s="129" t="s">
        <v>169</v>
      </c>
      <c r="F5" s="130" t="s">
        <v>90</v>
      </c>
      <c r="G5" s="202" t="s">
        <v>90</v>
      </c>
      <c r="H5" s="202" t="str">
        <f t="shared" si="1"/>
        <v>35 Gallon Cart MG</v>
      </c>
      <c r="I5" s="131" t="s">
        <v>262</v>
      </c>
      <c r="J5" s="131">
        <f>References!$C$18</f>
        <v>34</v>
      </c>
      <c r="K5" s="132">
        <f>References!$C$13</f>
        <v>1</v>
      </c>
      <c r="L5" s="133">
        <f>IFERROR(+INDEX('Murrey''s Price Out 2022'!AG:AG,MATCH(C5,'Murrey''s Price Out 2022'!C:C,0)),0)</f>
        <v>5775.714173335512</v>
      </c>
      <c r="M5" s="133">
        <f t="shared" si="0"/>
        <v>5775.714173335512</v>
      </c>
      <c r="O5" s="126"/>
      <c r="P5" s="162" t="s">
        <v>237</v>
      </c>
      <c r="Q5" s="77">
        <f>SUMIF(A:A,P5,L:L)</f>
        <v>78471.830359818428</v>
      </c>
      <c r="R5" s="77">
        <f t="shared" ref="R5:R6" si="2">Q5/12</f>
        <v>6539.319196651536</v>
      </c>
      <c r="S5" s="77">
        <f>+SUM('Murrey''s Price Out 2022'!AG140:AG148,'Murrey''s Price Out 2022'!AG151:AG169,'Murrey''s Price Out 2022'!AG174)</f>
        <v>78471.830359818443</v>
      </c>
      <c r="T5" s="77">
        <f>Q5-S5</f>
        <v>0</v>
      </c>
    </row>
    <row r="6" spans="1:20">
      <c r="A6" s="129" t="s">
        <v>104</v>
      </c>
      <c r="B6" s="129" t="s">
        <v>151</v>
      </c>
      <c r="C6" s="129" t="s">
        <v>186</v>
      </c>
      <c r="D6" s="129" t="s">
        <v>186</v>
      </c>
      <c r="E6" s="129" t="s">
        <v>169</v>
      </c>
      <c r="F6" s="130" t="s">
        <v>89</v>
      </c>
      <c r="G6" s="202" t="s">
        <v>89</v>
      </c>
      <c r="H6" s="202" t="str">
        <f t="shared" si="1"/>
        <v>35 Gallon Cart WG-NR</v>
      </c>
      <c r="I6" s="131" t="s">
        <v>262</v>
      </c>
      <c r="J6" s="131">
        <f>References!$C$18</f>
        <v>34</v>
      </c>
      <c r="K6" s="132">
        <f>References!$C$11</f>
        <v>4.333333333333333</v>
      </c>
      <c r="L6" s="133">
        <f>IFERROR(+INDEX('Murrey''s Price Out 2022'!AG:AG,MATCH(C6,'Murrey''s Price Out 2022'!C:C,0)),0)</f>
        <v>3749.6862090131267</v>
      </c>
      <c r="M6" s="133">
        <f t="shared" si="0"/>
        <v>16248.640239056882</v>
      </c>
      <c r="O6" s="118"/>
      <c r="P6" s="163" t="s">
        <v>144</v>
      </c>
      <c r="Q6" s="141">
        <f>SUMIF(A:A,P6,L:L)</f>
        <v>28383.173139934799</v>
      </c>
      <c r="R6" s="77">
        <f t="shared" si="2"/>
        <v>2365.2644283279001</v>
      </c>
      <c r="S6" s="141">
        <f>+SUM('Murrey''s Price Out 2022'!AG121:AG122,'Murrey''s Price Out 2022'!AG113:AG119,'Murrey''s Price Out 2022'!AG74:AG111)</f>
        <v>28383.173139934795</v>
      </c>
      <c r="T6" s="77">
        <f>Q6-S6</f>
        <v>0</v>
      </c>
    </row>
    <row r="7" spans="1:20">
      <c r="A7" s="129" t="s">
        <v>104</v>
      </c>
      <c r="B7" s="129" t="s">
        <v>151</v>
      </c>
      <c r="C7" s="129" t="s">
        <v>187</v>
      </c>
      <c r="D7" s="129" t="s">
        <v>187</v>
      </c>
      <c r="E7" s="129" t="s">
        <v>169</v>
      </c>
      <c r="F7" s="130" t="s">
        <v>88</v>
      </c>
      <c r="G7" s="202" t="s">
        <v>88</v>
      </c>
      <c r="H7" s="202" t="str">
        <f t="shared" si="1"/>
        <v>35 Gallon Cart WG-R</v>
      </c>
      <c r="I7" s="131" t="s">
        <v>262</v>
      </c>
      <c r="J7" s="131">
        <f>References!$C$18</f>
        <v>34</v>
      </c>
      <c r="K7" s="132">
        <f>References!$C$11</f>
        <v>4.333333333333333</v>
      </c>
      <c r="L7" s="133">
        <f>IFERROR(+INDEX('Murrey''s Price Out 2022'!AG:AG,MATCH(C7,'Murrey''s Price Out 2022'!C:C,0)),0)</f>
        <v>362934.26931852312</v>
      </c>
      <c r="M7" s="133">
        <f t="shared" si="0"/>
        <v>1572715.1670469334</v>
      </c>
      <c r="O7" s="11"/>
      <c r="Q7" s="210">
        <f>SUM(Q4:Q6)</f>
        <v>906696.14873686468</v>
      </c>
      <c r="S7" s="210">
        <f>SUM(S4:S6)</f>
        <v>906696.14873686468</v>
      </c>
    </row>
    <row r="8" spans="1:20">
      <c r="A8" s="129" t="s">
        <v>104</v>
      </c>
      <c r="B8" s="129" t="s">
        <v>151</v>
      </c>
      <c r="C8" s="129" t="s">
        <v>188</v>
      </c>
      <c r="D8" s="129" t="s">
        <v>188</v>
      </c>
      <c r="E8" s="129" t="s">
        <v>172</v>
      </c>
      <c r="F8" s="130" t="s">
        <v>90</v>
      </c>
      <c r="G8" s="202" t="s">
        <v>90</v>
      </c>
      <c r="H8" s="202" t="str">
        <f t="shared" si="1"/>
        <v>65 Gallon Cart  MG</v>
      </c>
      <c r="I8" s="131" t="s">
        <v>263</v>
      </c>
      <c r="J8" s="131">
        <f>References!$C$25</f>
        <v>47</v>
      </c>
      <c r="K8" s="132">
        <f>References!$C$13</f>
        <v>1</v>
      </c>
      <c r="L8" s="133">
        <f>IFERROR(+INDEX('Murrey''s Price Out 2022'!AG:AG,MATCH(C8,'Murrey''s Price Out 2022'!C:C,0)),0)</f>
        <v>1114.7562622787127</v>
      </c>
      <c r="M8" s="133">
        <f t="shared" si="0"/>
        <v>1114.7562622787127</v>
      </c>
    </row>
    <row r="9" spans="1:20" ht="47.25" customHeight="1">
      <c r="A9" s="129" t="s">
        <v>104</v>
      </c>
      <c r="B9" s="129" t="s">
        <v>151</v>
      </c>
      <c r="C9" s="129" t="s">
        <v>189</v>
      </c>
      <c r="D9" s="129" t="s">
        <v>189</v>
      </c>
      <c r="E9" s="129" t="s">
        <v>170</v>
      </c>
      <c r="F9" s="130" t="s">
        <v>89</v>
      </c>
      <c r="G9" s="202" t="s">
        <v>89</v>
      </c>
      <c r="H9" s="202" t="str">
        <f t="shared" si="1"/>
        <v>65 Gallon Cart WG-NR</v>
      </c>
      <c r="I9" s="131" t="s">
        <v>263</v>
      </c>
      <c r="J9" s="131">
        <f>References!$C$25</f>
        <v>47</v>
      </c>
      <c r="K9" s="132">
        <f>References!$C$11</f>
        <v>4.333333333333333</v>
      </c>
      <c r="L9" s="133">
        <f>IFERROR(+INDEX('Murrey''s Price Out 2022'!AG:AG,MATCH(C9,'Murrey''s Price Out 2022'!C:C,0)),0)</f>
        <v>2172.1720793078794</v>
      </c>
      <c r="M9" s="133">
        <f t="shared" si="0"/>
        <v>9412.7456770008102</v>
      </c>
      <c r="Q9" s="223" t="s">
        <v>629</v>
      </c>
      <c r="R9" s="223" t="s">
        <v>626</v>
      </c>
      <c r="S9" s="223" t="s">
        <v>627</v>
      </c>
      <c r="T9" s="223" t="s">
        <v>628</v>
      </c>
    </row>
    <row r="10" spans="1:20">
      <c r="A10" s="129" t="s">
        <v>104</v>
      </c>
      <c r="B10" s="129" t="s">
        <v>151</v>
      </c>
      <c r="C10" s="129" t="s">
        <v>190</v>
      </c>
      <c r="D10" s="129" t="s">
        <v>190</v>
      </c>
      <c r="E10" s="129" t="s">
        <v>170</v>
      </c>
      <c r="F10" s="130" t="s">
        <v>88</v>
      </c>
      <c r="G10" s="202" t="s">
        <v>88</v>
      </c>
      <c r="H10" s="202" t="str">
        <f t="shared" si="1"/>
        <v>65 Gallon Cart WG-R</v>
      </c>
      <c r="I10" s="131" t="s">
        <v>263</v>
      </c>
      <c r="J10" s="131">
        <f>References!$C$25</f>
        <v>47</v>
      </c>
      <c r="K10" s="132">
        <f>References!$C$11</f>
        <v>4.333333333333333</v>
      </c>
      <c r="L10" s="133">
        <f>IFERROR(+INDEX('Murrey''s Price Out 2022'!AG:AG,MATCH(C10,'Murrey''s Price Out 2022'!C:C,0)),0)</f>
        <v>271596.52010243706</v>
      </c>
      <c r="M10" s="133">
        <f t="shared" si="0"/>
        <v>1176918.2537772271</v>
      </c>
      <c r="O10" s="131"/>
      <c r="P10" s="161" t="s">
        <v>104</v>
      </c>
      <c r="Q10" s="43">
        <f>'DF Calculation'!E22</f>
        <v>3318560.7557553737</v>
      </c>
      <c r="R10" s="210">
        <f>SUM(M2:M18)</f>
        <v>3318584.7557553737</v>
      </c>
      <c r="S10" s="210">
        <f>SUM(M14,M17)</f>
        <v>24</v>
      </c>
      <c r="T10" s="210">
        <f>Q10-R10+S10</f>
        <v>0</v>
      </c>
    </row>
    <row r="11" spans="1:20">
      <c r="A11" s="129" t="s">
        <v>104</v>
      </c>
      <c r="B11" s="129" t="s">
        <v>151</v>
      </c>
      <c r="C11" s="129" t="s">
        <v>191</v>
      </c>
      <c r="D11" s="129" t="s">
        <v>191</v>
      </c>
      <c r="E11" s="129" t="s">
        <v>171</v>
      </c>
      <c r="F11" s="130" t="s">
        <v>90</v>
      </c>
      <c r="G11" s="202" t="s">
        <v>90</v>
      </c>
      <c r="H11" s="202" t="str">
        <f t="shared" si="1"/>
        <v>95 Gallon Cart MG</v>
      </c>
      <c r="I11" s="131" t="s">
        <v>264</v>
      </c>
      <c r="J11" s="131">
        <f>References!$C$26</f>
        <v>68</v>
      </c>
      <c r="K11" s="132">
        <f>References!$C$13</f>
        <v>1</v>
      </c>
      <c r="L11" s="133">
        <f>IFERROR(+INDEX('Murrey''s Price Out 2022'!AG:AG,MATCH(C11,'Murrey''s Price Out 2022'!C:C,0)),0)</f>
        <v>211.49330073400685</v>
      </c>
      <c r="M11" s="133">
        <f t="shared" si="0"/>
        <v>211.49330073400685</v>
      </c>
      <c r="O11" s="126"/>
      <c r="P11" s="162" t="s">
        <v>237</v>
      </c>
      <c r="Q11" s="43">
        <f>'DF Calculation'!E48</f>
        <v>164061.43029733346</v>
      </c>
      <c r="R11" s="210">
        <f>SUM(M19:M58)</f>
        <v>164105.43029733346</v>
      </c>
      <c r="S11" s="210">
        <f>SUM(M20,M27:M30,M32,M53,M58,M35,M38)</f>
        <v>160</v>
      </c>
      <c r="T11" s="210">
        <f>Q11-R11+S11</f>
        <v>116</v>
      </c>
    </row>
    <row r="12" spans="1:20">
      <c r="A12" s="129" t="s">
        <v>104</v>
      </c>
      <c r="B12" s="129" t="s">
        <v>151</v>
      </c>
      <c r="C12" s="129" t="s">
        <v>192</v>
      </c>
      <c r="D12" s="129" t="s">
        <v>192</v>
      </c>
      <c r="E12" s="129" t="s">
        <v>171</v>
      </c>
      <c r="F12" s="130" t="s">
        <v>89</v>
      </c>
      <c r="G12" s="202" t="s">
        <v>89</v>
      </c>
      <c r="H12" s="202" t="str">
        <f t="shared" si="1"/>
        <v>95 Gallon Cart WG-NR</v>
      </c>
      <c r="I12" s="131" t="s">
        <v>264</v>
      </c>
      <c r="J12" s="131">
        <f>References!$C$26</f>
        <v>68</v>
      </c>
      <c r="K12" s="132">
        <f>References!$C$11</f>
        <v>4.333333333333333</v>
      </c>
      <c r="L12" s="133">
        <f>IFERROR(+INDEX('Murrey''s Price Out 2022'!AG:AG,MATCH(C12,'Murrey''s Price Out 2022'!C:C,0)),0)</f>
        <v>433.75120905536534</v>
      </c>
      <c r="M12" s="133">
        <f t="shared" si="0"/>
        <v>1879.5885725732496</v>
      </c>
      <c r="O12" s="118"/>
      <c r="P12" s="163" t="s">
        <v>144</v>
      </c>
      <c r="Q12" s="224">
        <f>'DF Calculation'!E79</f>
        <v>125105.51053964796</v>
      </c>
      <c r="R12" s="225">
        <f>SUM(M59:M134)</f>
        <v>125649.5105396479</v>
      </c>
      <c r="S12" s="210">
        <f>SUM(M60:M61,M91,M98,M109:M110,M111:M119,M122:M125,M127,M129,M134)</f>
        <v>544</v>
      </c>
      <c r="T12" s="210">
        <f>Q12-R12+S12</f>
        <v>5.8207660913467407E-11</v>
      </c>
    </row>
    <row r="13" spans="1:20">
      <c r="A13" s="129" t="s">
        <v>104</v>
      </c>
      <c r="B13" s="129" t="s">
        <v>151</v>
      </c>
      <c r="C13" s="129" t="s">
        <v>193</v>
      </c>
      <c r="D13" s="129" t="s">
        <v>193</v>
      </c>
      <c r="E13" s="129" t="s">
        <v>171</v>
      </c>
      <c r="F13" s="130" t="s">
        <v>88</v>
      </c>
      <c r="G13" s="202" t="s">
        <v>88</v>
      </c>
      <c r="H13" s="202" t="str">
        <f t="shared" si="1"/>
        <v>95 Gallon Cart WG-R</v>
      </c>
      <c r="I13" s="131" t="s">
        <v>264</v>
      </c>
      <c r="J13" s="131">
        <f>References!$C$26</f>
        <v>68</v>
      </c>
      <c r="K13" s="132">
        <f>References!$C$11</f>
        <v>4.333333333333333</v>
      </c>
      <c r="L13" s="133">
        <f>IFERROR(+INDEX('Murrey''s Price Out 2022'!AG:AG,MATCH(C13,'Murrey''s Price Out 2022'!C:C,0)),0)</f>
        <v>74085.010374806705</v>
      </c>
      <c r="M13" s="133">
        <f t="shared" si="0"/>
        <v>321035.0449574957</v>
      </c>
      <c r="Q13" s="43">
        <f>SUM(Q10:Q12)</f>
        <v>3607727.6965923551</v>
      </c>
      <c r="R13" s="43">
        <f>SUM(R10:R12)</f>
        <v>3608339.6965923551</v>
      </c>
      <c r="T13" s="210">
        <f>SUM(T10:T12)</f>
        <v>116.00000000005821</v>
      </c>
    </row>
    <row r="14" spans="1:20">
      <c r="A14" s="129" t="s">
        <v>104</v>
      </c>
      <c r="B14" s="129" t="s">
        <v>152</v>
      </c>
      <c r="C14" s="129" t="s">
        <v>273</v>
      </c>
      <c r="D14" s="129" t="s">
        <v>273</v>
      </c>
      <c r="E14" s="129" t="s">
        <v>619</v>
      </c>
      <c r="F14" s="130" t="s">
        <v>92</v>
      </c>
      <c r="G14" s="129" t="s">
        <v>93</v>
      </c>
      <c r="H14" s="202" t="str">
        <f t="shared" si="1"/>
        <v>20 Gallon Cart  On Call</v>
      </c>
      <c r="I14" s="131" t="s">
        <v>261</v>
      </c>
      <c r="J14" s="131">
        <f>References!$C$17</f>
        <v>20</v>
      </c>
      <c r="K14" s="132">
        <f>References!$C$14</f>
        <v>1</v>
      </c>
      <c r="L14" s="133">
        <f>IFERROR(+INDEX('Murrey''s Price Out 2022'!AG:AG,MATCH(C14,'Murrey''s Price Out 2022'!C:C,0)),0)</f>
        <v>0</v>
      </c>
      <c r="M14" s="133">
        <f>IF(L14=0,K14*12,K14*L14)</f>
        <v>12</v>
      </c>
    </row>
    <row r="15" spans="1:20">
      <c r="A15" s="129" t="s">
        <v>104</v>
      </c>
      <c r="B15" s="129" t="s">
        <v>152</v>
      </c>
      <c r="C15" s="129" t="s">
        <v>272</v>
      </c>
      <c r="D15" s="129" t="s">
        <v>272</v>
      </c>
      <c r="E15" s="129" t="s">
        <v>169</v>
      </c>
      <c r="F15" s="130" t="s">
        <v>92</v>
      </c>
      <c r="G15" s="129" t="s">
        <v>93</v>
      </c>
      <c r="H15" s="202" t="str">
        <f t="shared" si="1"/>
        <v>35 Gallon Cart On Call</v>
      </c>
      <c r="I15" s="131" t="s">
        <v>262</v>
      </c>
      <c r="J15" s="131">
        <f>References!$C$18</f>
        <v>34</v>
      </c>
      <c r="K15" s="132">
        <f>References!$C$14</f>
        <v>1</v>
      </c>
      <c r="L15" s="133">
        <f>IFERROR(+INDEX('Murrey''s Price Out 2022'!AG:AG,MATCH(C15,'Murrey''s Price Out 2022'!C:C,0)),0)</f>
        <v>1</v>
      </c>
      <c r="M15" s="130">
        <f t="shared" si="0"/>
        <v>1</v>
      </c>
    </row>
    <row r="16" spans="1:20">
      <c r="A16" s="129" t="s">
        <v>104</v>
      </c>
      <c r="B16" s="129" t="s">
        <v>152</v>
      </c>
      <c r="C16" s="129" t="s">
        <v>274</v>
      </c>
      <c r="D16" s="129" t="s">
        <v>274</v>
      </c>
      <c r="E16" s="129" t="s">
        <v>170</v>
      </c>
      <c r="F16" s="130" t="s">
        <v>92</v>
      </c>
      <c r="G16" s="129" t="s">
        <v>93</v>
      </c>
      <c r="H16" s="202" t="str">
        <f t="shared" si="1"/>
        <v>65 Gallon Cart On Call</v>
      </c>
      <c r="I16" s="131" t="s">
        <v>263</v>
      </c>
      <c r="J16" s="131">
        <f>References!$C$25</f>
        <v>47</v>
      </c>
      <c r="K16" s="132">
        <f>References!$C$14</f>
        <v>1</v>
      </c>
      <c r="L16" s="133">
        <f>IFERROR(+INDEX('Murrey''s Price Out 2022'!AG:AG,MATCH(C16,'Murrey''s Price Out 2022'!C:C,0)),0)</f>
        <v>3</v>
      </c>
      <c r="M16" s="133">
        <f t="shared" si="0"/>
        <v>3</v>
      </c>
    </row>
    <row r="17" spans="1:19">
      <c r="A17" s="129" t="s">
        <v>104</v>
      </c>
      <c r="B17" s="129" t="s">
        <v>152</v>
      </c>
      <c r="C17" s="129" t="s">
        <v>275</v>
      </c>
      <c r="D17" s="129" t="s">
        <v>275</v>
      </c>
      <c r="E17" s="129" t="s">
        <v>171</v>
      </c>
      <c r="F17" s="130" t="s">
        <v>92</v>
      </c>
      <c r="G17" s="129" t="s">
        <v>93</v>
      </c>
      <c r="H17" s="202" t="str">
        <f t="shared" si="1"/>
        <v>95 Gallon Cart On Call</v>
      </c>
      <c r="I17" s="131" t="s">
        <v>264</v>
      </c>
      <c r="J17" s="131">
        <f>References!$C$26</f>
        <v>68</v>
      </c>
      <c r="K17" s="132">
        <f>References!$C$14</f>
        <v>1</v>
      </c>
      <c r="L17" s="133">
        <f>IFERROR(+INDEX('Murrey''s Price Out 2022'!AG:AG,MATCH(C17,'Murrey''s Price Out 2022'!C:C,0)),0)</f>
        <v>0</v>
      </c>
      <c r="M17" s="133">
        <f t="shared" si="0"/>
        <v>12</v>
      </c>
    </row>
    <row r="18" spans="1:19">
      <c r="A18" s="129" t="s">
        <v>104</v>
      </c>
      <c r="B18" s="129" t="s">
        <v>152</v>
      </c>
      <c r="C18" s="129" t="s">
        <v>105</v>
      </c>
      <c r="D18" s="129" t="s">
        <v>105</v>
      </c>
      <c r="E18" s="129" t="s">
        <v>91</v>
      </c>
      <c r="F18" s="130" t="s">
        <v>92</v>
      </c>
      <c r="G18" s="129" t="s">
        <v>259</v>
      </c>
      <c r="H18" s="202" t="str">
        <f t="shared" si="1"/>
        <v>Extra Units Extra</v>
      </c>
      <c r="I18" s="131" t="s">
        <v>262</v>
      </c>
      <c r="J18" s="131">
        <f>References!$C$28</f>
        <v>34</v>
      </c>
      <c r="K18" s="132">
        <f>References!$C$14</f>
        <v>1</v>
      </c>
      <c r="L18" s="133">
        <f>IFERROR(+INDEX('Murrey''s Price Out 2022'!AG:AG,MATCH(C18,'Murrey''s Price Out 2022'!C:C,0)),0)</f>
        <v>35975.800598140529</v>
      </c>
      <c r="M18" s="133">
        <f t="shared" si="0"/>
        <v>35975.800598140529</v>
      </c>
    </row>
    <row r="19" spans="1:19">
      <c r="A19" s="124" t="s">
        <v>237</v>
      </c>
      <c r="B19" s="124" t="s">
        <v>94</v>
      </c>
      <c r="C19" s="124" t="s">
        <v>244</v>
      </c>
      <c r="D19" s="124" t="s">
        <v>244</v>
      </c>
      <c r="E19" s="124" t="s">
        <v>168</v>
      </c>
      <c r="F19" s="125" t="s">
        <v>88</v>
      </c>
      <c r="G19" s="125" t="s">
        <v>88</v>
      </c>
      <c r="H19" s="124" t="str">
        <f t="shared" si="1"/>
        <v>20 Gallon Cart WG-R</v>
      </c>
      <c r="I19" s="126" t="s">
        <v>261</v>
      </c>
      <c r="J19" s="126">
        <f>References!$C$17</f>
        <v>20</v>
      </c>
      <c r="K19" s="127">
        <f>References!$C$11</f>
        <v>4.333333333333333</v>
      </c>
      <c r="L19" s="128">
        <f>IFERROR(+INDEX('Murrey''s Price Out 2022'!AG:AG,MATCH(C19,'Murrey''s Price Out 2022'!C:C,0)),0)</f>
        <v>240.25000000000003</v>
      </c>
      <c r="M19" s="128">
        <f t="shared" si="0"/>
        <v>1041.0833333333335</v>
      </c>
    </row>
    <row r="20" spans="1:19">
      <c r="A20" s="124" t="s">
        <v>237</v>
      </c>
      <c r="B20" s="124" t="s">
        <v>94</v>
      </c>
      <c r="C20" s="124" t="s">
        <v>245</v>
      </c>
      <c r="D20" s="124" t="s">
        <v>245</v>
      </c>
      <c r="E20" s="124" t="s">
        <v>168</v>
      </c>
      <c r="F20" s="125" t="s">
        <v>89</v>
      </c>
      <c r="G20" s="125" t="s">
        <v>89</v>
      </c>
      <c r="H20" s="124" t="str">
        <f t="shared" si="1"/>
        <v>20 Gallon Cart WG-NR</v>
      </c>
      <c r="I20" s="126" t="s">
        <v>261</v>
      </c>
      <c r="J20" s="126">
        <f>References!$C$17</f>
        <v>20</v>
      </c>
      <c r="K20" s="127">
        <f>References!$C$11</f>
        <v>4.333333333333333</v>
      </c>
      <c r="L20" s="128">
        <f>IFERROR(+INDEX('Murrey''s Price Out 2022'!AG:AG,MATCH(C20,'Murrey''s Price Out 2022'!C:C,0)),0)</f>
        <v>0</v>
      </c>
      <c r="M20" s="128">
        <f t="shared" si="0"/>
        <v>52</v>
      </c>
      <c r="S20" s="43"/>
    </row>
    <row r="21" spans="1:19">
      <c r="A21" s="124" t="s">
        <v>237</v>
      </c>
      <c r="B21" s="124" t="s">
        <v>94</v>
      </c>
      <c r="C21" s="124" t="s">
        <v>218</v>
      </c>
      <c r="D21" s="124" t="s">
        <v>218</v>
      </c>
      <c r="E21" s="124" t="s">
        <v>169</v>
      </c>
      <c r="F21" s="125" t="s">
        <v>88</v>
      </c>
      <c r="G21" s="125" t="s">
        <v>88</v>
      </c>
      <c r="H21" s="124" t="str">
        <f t="shared" si="1"/>
        <v>35 Gallon Cart WG-R</v>
      </c>
      <c r="I21" s="126" t="s">
        <v>262</v>
      </c>
      <c r="J21" s="126">
        <f>References!$C$18</f>
        <v>34</v>
      </c>
      <c r="K21" s="127">
        <f>References!$C$11</f>
        <v>4.333333333333333</v>
      </c>
      <c r="L21" s="128">
        <f>IFERROR(+INDEX('Murrey''s Price Out 2022'!AG:AG,MATCH(C21,'Murrey''s Price Out 2022'!C:C,0)),0)</f>
        <v>8524.0704359411538</v>
      </c>
      <c r="M21" s="128">
        <f t="shared" si="0"/>
        <v>36937.638555744998</v>
      </c>
    </row>
    <row r="22" spans="1:19">
      <c r="A22" s="124" t="s">
        <v>237</v>
      </c>
      <c r="B22" s="124" t="s">
        <v>94</v>
      </c>
      <c r="C22" s="124" t="s">
        <v>219</v>
      </c>
      <c r="D22" s="124" t="s">
        <v>219</v>
      </c>
      <c r="E22" s="124" t="s">
        <v>169</v>
      </c>
      <c r="F22" s="125" t="s">
        <v>89</v>
      </c>
      <c r="G22" s="125" t="s">
        <v>89</v>
      </c>
      <c r="H22" s="124" t="str">
        <f t="shared" si="1"/>
        <v>35 Gallon Cart WG-NR</v>
      </c>
      <c r="I22" s="126" t="s">
        <v>262</v>
      </c>
      <c r="J22" s="126">
        <f>References!$C$18</f>
        <v>34</v>
      </c>
      <c r="K22" s="127">
        <f>References!$C$11</f>
        <v>4.333333333333333</v>
      </c>
      <c r="L22" s="128">
        <f>IFERROR(+INDEX('Murrey''s Price Out 2022'!AG:AG,MATCH(C22,'Murrey''s Price Out 2022'!C:C,0)),0)</f>
        <v>40.749684476230541</v>
      </c>
      <c r="M22" s="128">
        <f t="shared" si="0"/>
        <v>176.58196606366567</v>
      </c>
    </row>
    <row r="23" spans="1:19">
      <c r="A23" s="124" t="s">
        <v>237</v>
      </c>
      <c r="B23" s="124" t="s">
        <v>94</v>
      </c>
      <c r="C23" s="124" t="s">
        <v>220</v>
      </c>
      <c r="D23" s="124" t="s">
        <v>220</v>
      </c>
      <c r="E23" s="124" t="s">
        <v>170</v>
      </c>
      <c r="F23" s="125" t="s">
        <v>88</v>
      </c>
      <c r="G23" s="125" t="s">
        <v>88</v>
      </c>
      <c r="H23" s="124" t="str">
        <f t="shared" si="1"/>
        <v>65 Gallon Cart WG-R</v>
      </c>
      <c r="I23" s="126" t="s">
        <v>263</v>
      </c>
      <c r="J23" s="126">
        <f>References!$C$25</f>
        <v>47</v>
      </c>
      <c r="K23" s="127">
        <f>References!$C$11</f>
        <v>4.333333333333333</v>
      </c>
      <c r="L23" s="128">
        <f>IFERROR(+INDEX('Murrey''s Price Out 2022'!AG:AG,MATCH(C23,'Murrey''s Price Out 2022'!C:C,0)),0)</f>
        <v>4518.483881898429</v>
      </c>
      <c r="M23" s="128">
        <f>IF(L23=0,K23*12,K23*L23)</f>
        <v>19580.096821559859</v>
      </c>
    </row>
    <row r="24" spans="1:19">
      <c r="A24" s="124" t="s">
        <v>237</v>
      </c>
      <c r="B24" s="124" t="s">
        <v>94</v>
      </c>
      <c r="C24" s="124" t="s">
        <v>221</v>
      </c>
      <c r="D24" s="124" t="s">
        <v>221</v>
      </c>
      <c r="E24" s="124" t="s">
        <v>170</v>
      </c>
      <c r="F24" s="125" t="s">
        <v>89</v>
      </c>
      <c r="G24" s="125" t="s">
        <v>89</v>
      </c>
      <c r="H24" s="124" t="str">
        <f t="shared" si="1"/>
        <v>65 Gallon Cart WG-NR</v>
      </c>
      <c r="I24" s="126" t="s">
        <v>263</v>
      </c>
      <c r="J24" s="126">
        <f>References!$C$25</f>
        <v>47</v>
      </c>
      <c r="K24" s="127">
        <f>References!$C$11</f>
        <v>4.333333333333333</v>
      </c>
      <c r="L24" s="128">
        <f>IFERROR(+INDEX('Murrey''s Price Out 2022'!AG:AG,MATCH(C24,'Murrey''s Price Out 2022'!C:C,0)),0)</f>
        <v>3</v>
      </c>
      <c r="M24" s="128">
        <f>IF(L24=0,K24*12,K24*L24)</f>
        <v>13</v>
      </c>
    </row>
    <row r="25" spans="1:19">
      <c r="A25" s="124" t="s">
        <v>237</v>
      </c>
      <c r="B25" s="124" t="s">
        <v>94</v>
      </c>
      <c r="C25" s="124" t="s">
        <v>222</v>
      </c>
      <c r="D25" s="124" t="s">
        <v>222</v>
      </c>
      <c r="E25" s="124" t="s">
        <v>171</v>
      </c>
      <c r="F25" s="125" t="s">
        <v>88</v>
      </c>
      <c r="G25" s="125" t="s">
        <v>88</v>
      </c>
      <c r="H25" s="124" t="str">
        <f t="shared" si="1"/>
        <v>95 Gallon Cart WG-R</v>
      </c>
      <c r="I25" s="126" t="s">
        <v>264</v>
      </c>
      <c r="J25" s="126">
        <f>References!$C$26</f>
        <v>68</v>
      </c>
      <c r="K25" s="127">
        <f>References!$C$11</f>
        <v>4.333333333333333</v>
      </c>
      <c r="L25" s="128">
        <f>IFERROR(+INDEX('Murrey''s Price Out 2022'!AG:AG,MATCH(C25,'Murrey''s Price Out 2022'!C:C,0)),0)</f>
        <v>3496.7290395275545</v>
      </c>
      <c r="M25" s="128">
        <f t="shared" si="0"/>
        <v>15152.492504619402</v>
      </c>
    </row>
    <row r="26" spans="1:19">
      <c r="A26" s="124" t="s">
        <v>237</v>
      </c>
      <c r="B26" s="124" t="s">
        <v>94</v>
      </c>
      <c r="C26" s="124" t="s">
        <v>223</v>
      </c>
      <c r="D26" s="124" t="s">
        <v>223</v>
      </c>
      <c r="E26" s="124" t="s">
        <v>171</v>
      </c>
      <c r="F26" s="125" t="s">
        <v>89</v>
      </c>
      <c r="G26" s="125" t="s">
        <v>89</v>
      </c>
      <c r="H26" s="124" t="str">
        <f t="shared" si="1"/>
        <v>95 Gallon Cart WG-NR</v>
      </c>
      <c r="I26" s="126" t="s">
        <v>264</v>
      </c>
      <c r="J26" s="126">
        <f>References!$C$26</f>
        <v>68</v>
      </c>
      <c r="K26" s="127">
        <f>References!$C$11</f>
        <v>4.333333333333333</v>
      </c>
      <c r="L26" s="128">
        <f>IFERROR(+INDEX('Murrey''s Price Out 2022'!AG:AG,MATCH(C26,'Murrey''s Price Out 2022'!C:C,0)),0)</f>
        <v>30.5</v>
      </c>
      <c r="M26" s="128">
        <f t="shared" si="0"/>
        <v>132.16666666666666</v>
      </c>
    </row>
    <row r="27" spans="1:19">
      <c r="A27" s="124" t="s">
        <v>237</v>
      </c>
      <c r="B27" s="124" t="s">
        <v>95</v>
      </c>
      <c r="C27" s="124" t="s">
        <v>173</v>
      </c>
      <c r="D27" s="124" t="s">
        <v>173</v>
      </c>
      <c r="E27" s="124" t="s">
        <v>619</v>
      </c>
      <c r="F27" s="125" t="s">
        <v>92</v>
      </c>
      <c r="G27" s="124" t="s">
        <v>93</v>
      </c>
      <c r="H27" s="124" t="str">
        <f t="shared" si="1"/>
        <v>20 Gallon Cart  On Call</v>
      </c>
      <c r="I27" s="126" t="s">
        <v>261</v>
      </c>
      <c r="J27" s="126">
        <f>References!$C$17</f>
        <v>20</v>
      </c>
      <c r="K27" s="127">
        <f>References!$C$14</f>
        <v>1</v>
      </c>
      <c r="L27" s="128">
        <f>IFERROR(+INDEX('Murrey''s Price Out 2022'!AG:AG,MATCH(C27,'Murrey''s Price Out 2022'!C:C,0)),0)</f>
        <v>0</v>
      </c>
      <c r="M27" s="128">
        <f t="shared" si="0"/>
        <v>12</v>
      </c>
    </row>
    <row r="28" spans="1:19">
      <c r="A28" s="124" t="s">
        <v>237</v>
      </c>
      <c r="B28" s="124" t="s">
        <v>95</v>
      </c>
      <c r="C28" s="124" t="s">
        <v>175</v>
      </c>
      <c r="D28" s="124" t="s">
        <v>175</v>
      </c>
      <c r="E28" s="124" t="s">
        <v>169</v>
      </c>
      <c r="F28" s="125" t="s">
        <v>92</v>
      </c>
      <c r="G28" s="124" t="s">
        <v>93</v>
      </c>
      <c r="H28" s="124" t="str">
        <f t="shared" si="1"/>
        <v>35 Gallon Cart On Call</v>
      </c>
      <c r="I28" s="126" t="s">
        <v>262</v>
      </c>
      <c r="J28" s="126">
        <f>References!$C$18</f>
        <v>34</v>
      </c>
      <c r="K28" s="127">
        <f>References!$C$14</f>
        <v>1</v>
      </c>
      <c r="L28" s="128">
        <f>IFERROR(+INDEX('Murrey''s Price Out 2022'!AG:AG,MATCH(C28,'Murrey''s Price Out 2022'!C:C,0)),0)</f>
        <v>0</v>
      </c>
      <c r="M28" s="128">
        <f t="shared" si="0"/>
        <v>12</v>
      </c>
    </row>
    <row r="29" spans="1:19">
      <c r="A29" s="124" t="s">
        <v>237</v>
      </c>
      <c r="B29" s="124" t="s">
        <v>95</v>
      </c>
      <c r="C29" s="124" t="s">
        <v>174</v>
      </c>
      <c r="D29" s="124" t="s">
        <v>174</v>
      </c>
      <c r="E29" s="124" t="s">
        <v>170</v>
      </c>
      <c r="F29" s="125" t="s">
        <v>92</v>
      </c>
      <c r="G29" s="124" t="s">
        <v>93</v>
      </c>
      <c r="H29" s="124" t="str">
        <f t="shared" si="1"/>
        <v>65 Gallon Cart On Call</v>
      </c>
      <c r="I29" s="126" t="s">
        <v>263</v>
      </c>
      <c r="J29" s="126">
        <f>References!$C$25</f>
        <v>47</v>
      </c>
      <c r="K29" s="127">
        <f>References!$C$14</f>
        <v>1</v>
      </c>
      <c r="L29" s="128">
        <f>IFERROR(+INDEX('Murrey''s Price Out 2022'!AG:AG,MATCH(C29,'Murrey''s Price Out 2022'!C:C,0)),0)</f>
        <v>0</v>
      </c>
      <c r="M29" s="128">
        <f>IF(L29=0,K29*12,K29*L29)</f>
        <v>12</v>
      </c>
    </row>
    <row r="30" spans="1:19">
      <c r="A30" s="124" t="s">
        <v>237</v>
      </c>
      <c r="B30" s="124" t="s">
        <v>95</v>
      </c>
      <c r="C30" s="124" t="s">
        <v>176</v>
      </c>
      <c r="D30" s="124" t="s">
        <v>176</v>
      </c>
      <c r="E30" s="124" t="s">
        <v>171</v>
      </c>
      <c r="F30" s="125" t="s">
        <v>92</v>
      </c>
      <c r="G30" s="124" t="s">
        <v>93</v>
      </c>
      <c r="H30" s="124" t="str">
        <f t="shared" si="1"/>
        <v>95 Gallon Cart On Call</v>
      </c>
      <c r="I30" s="126" t="s">
        <v>264</v>
      </c>
      <c r="J30" s="126">
        <f>References!$C$26</f>
        <v>68</v>
      </c>
      <c r="K30" s="127">
        <f>References!$C$14</f>
        <v>1</v>
      </c>
      <c r="L30" s="128">
        <f>IFERROR(+INDEX('Murrey''s Price Out 2022'!AG:AG,MATCH(C30,'Murrey''s Price Out 2022'!C:C,0)),0)</f>
        <v>0</v>
      </c>
      <c r="M30" s="128">
        <f t="shared" si="0"/>
        <v>12</v>
      </c>
    </row>
    <row r="31" spans="1:19">
      <c r="A31" s="124" t="s">
        <v>237</v>
      </c>
      <c r="B31" s="124" t="s">
        <v>95</v>
      </c>
      <c r="C31" s="124" t="s">
        <v>233</v>
      </c>
      <c r="D31" s="124" t="s">
        <v>233</v>
      </c>
      <c r="E31" s="124" t="s">
        <v>91</v>
      </c>
      <c r="F31" s="125" t="s">
        <v>92</v>
      </c>
      <c r="G31" s="124" t="s">
        <v>259</v>
      </c>
      <c r="H31" s="124" t="str">
        <f t="shared" si="1"/>
        <v>Extra Units Extra</v>
      </c>
      <c r="I31" s="126" t="s">
        <v>262</v>
      </c>
      <c r="J31" s="126">
        <f>References!$C$30</f>
        <v>29</v>
      </c>
      <c r="K31" s="127">
        <f>References!$C$14</f>
        <v>1</v>
      </c>
      <c r="L31" s="128">
        <f>IFERROR(+INDEX('Murrey''s Price Out 2022'!AG:AG,MATCH(C31,'Murrey''s Price Out 2022'!C:C,0)),0)</f>
        <v>2594.0562475937886</v>
      </c>
      <c r="M31" s="128">
        <f>IF(L31=0,K31*12,K31*L31)</f>
        <v>2594.0562475937886</v>
      </c>
    </row>
    <row r="32" spans="1:19">
      <c r="A32" s="124" t="s">
        <v>237</v>
      </c>
      <c r="B32" s="124" t="s">
        <v>153</v>
      </c>
      <c r="C32" s="124" t="s">
        <v>236</v>
      </c>
      <c r="D32" s="124" t="s">
        <v>236</v>
      </c>
      <c r="E32" s="124" t="s">
        <v>177</v>
      </c>
      <c r="F32" s="125" t="s">
        <v>92</v>
      </c>
      <c r="G32" s="124" t="s">
        <v>258</v>
      </c>
      <c r="H32" s="124" t="str">
        <f t="shared" si="1"/>
        <v>20 Gallon Cart Count Regular</v>
      </c>
      <c r="I32" s="126" t="s">
        <v>261</v>
      </c>
      <c r="J32" s="126">
        <f>References!$C$17</f>
        <v>20</v>
      </c>
      <c r="K32" s="127">
        <f>References!$C$14</f>
        <v>1</v>
      </c>
      <c r="L32" s="128">
        <f>IFERROR(+INDEX('Murrey''s Price Out 2022'!AG:AG,MATCH(C32,'Murrey''s Price Out 2022'!C:C,0)),0)</f>
        <v>0</v>
      </c>
      <c r="M32" s="128">
        <f t="shared" si="0"/>
        <v>12</v>
      </c>
    </row>
    <row r="33" spans="1:13">
      <c r="A33" s="124" t="s">
        <v>237</v>
      </c>
      <c r="B33" s="124" t="s">
        <v>153</v>
      </c>
      <c r="C33" s="124" t="s">
        <v>230</v>
      </c>
      <c r="D33" s="124" t="s">
        <v>230</v>
      </c>
      <c r="E33" s="124" t="s">
        <v>178</v>
      </c>
      <c r="F33" s="125" t="s">
        <v>92</v>
      </c>
      <c r="G33" s="124" t="s">
        <v>258</v>
      </c>
      <c r="H33" s="124" t="str">
        <f t="shared" si="1"/>
        <v>35 Gallon Cart Count Regular</v>
      </c>
      <c r="I33" s="126" t="s">
        <v>262</v>
      </c>
      <c r="J33" s="126">
        <f>References!$C$18</f>
        <v>34</v>
      </c>
      <c r="K33" s="127">
        <f>References!$C$14</f>
        <v>1</v>
      </c>
      <c r="L33" s="128">
        <f>IFERROR(+INDEX('Murrey''s Price Out 2022'!AG:AG,MATCH(C33,'Murrey''s Price Out 2022'!C:C,0)),0)</f>
        <v>50188.240138583744</v>
      </c>
      <c r="M33" s="128">
        <f t="shared" si="0"/>
        <v>50188.240138583744</v>
      </c>
    </row>
    <row r="34" spans="1:13">
      <c r="A34" s="124" t="s">
        <v>237</v>
      </c>
      <c r="B34" s="124" t="s">
        <v>153</v>
      </c>
      <c r="C34" s="124" t="s">
        <v>231</v>
      </c>
      <c r="D34" s="124" t="s">
        <v>231</v>
      </c>
      <c r="E34" s="124" t="s">
        <v>179</v>
      </c>
      <c r="F34" s="125" t="s">
        <v>92</v>
      </c>
      <c r="G34" s="124" t="s">
        <v>258</v>
      </c>
      <c r="H34" s="124" t="str">
        <f t="shared" si="1"/>
        <v>65 Gallon Cart Count Regular</v>
      </c>
      <c r="I34" s="126" t="s">
        <v>263</v>
      </c>
      <c r="J34" s="126">
        <f>References!$C$25</f>
        <v>47</v>
      </c>
      <c r="K34" s="127">
        <f>References!$C$14</f>
        <v>1</v>
      </c>
      <c r="L34" s="128">
        <f>IFERROR(+INDEX('Murrey''s Price Out 2022'!AG:AG,MATCH(C34,'Murrey''s Price Out 2022'!C:C,0)),0)</f>
        <v>1104.6763793265966</v>
      </c>
      <c r="M34" s="128">
        <f t="shared" si="0"/>
        <v>1104.6763793265966</v>
      </c>
    </row>
    <row r="35" spans="1:13">
      <c r="A35" s="124" t="s">
        <v>237</v>
      </c>
      <c r="B35" s="124" t="s">
        <v>153</v>
      </c>
      <c r="C35" s="124" t="s">
        <v>232</v>
      </c>
      <c r="D35" s="124" t="s">
        <v>232</v>
      </c>
      <c r="E35" s="124" t="s">
        <v>180</v>
      </c>
      <c r="F35" s="125" t="s">
        <v>92</v>
      </c>
      <c r="G35" s="124" t="s">
        <v>258</v>
      </c>
      <c r="H35" s="124" t="str">
        <f t="shared" si="1"/>
        <v>95 Gallon Cart Count Regular</v>
      </c>
      <c r="I35" s="126" t="s">
        <v>264</v>
      </c>
      <c r="J35" s="126">
        <f>References!$C$26</f>
        <v>68</v>
      </c>
      <c r="K35" s="127">
        <f>References!$C$14</f>
        <v>1</v>
      </c>
      <c r="L35" s="128">
        <f>IFERROR(+INDEX('Murrey''s Price Out 2022'!AG:AG,MATCH(C35,'Murrey''s Price Out 2022'!C:C,0)),0)</f>
        <v>0</v>
      </c>
      <c r="M35" s="128">
        <f t="shared" si="0"/>
        <v>12</v>
      </c>
    </row>
    <row r="36" spans="1:13">
      <c r="A36" s="124" t="s">
        <v>237</v>
      </c>
      <c r="B36" s="124" t="s">
        <v>154</v>
      </c>
      <c r="C36" s="124" t="s">
        <v>107</v>
      </c>
      <c r="D36" s="124" t="s">
        <v>107</v>
      </c>
      <c r="E36" s="124" t="s">
        <v>97</v>
      </c>
      <c r="F36" s="125" t="s">
        <v>92</v>
      </c>
      <c r="G36" s="124" t="s">
        <v>258</v>
      </c>
      <c r="H36" s="124" t="str">
        <f t="shared" si="1"/>
        <v>1.5 yard Regular</v>
      </c>
      <c r="I36" s="126" t="s">
        <v>266</v>
      </c>
      <c r="J36" s="126">
        <f>References!$C$33</f>
        <v>250</v>
      </c>
      <c r="K36" s="127">
        <f>References!$C$11</f>
        <v>4.333333333333333</v>
      </c>
      <c r="L36" s="128">
        <f>IFERROR(+INDEX('Murrey''s Price Out 2022'!AG:AG,MATCH(C36,'Murrey''s Price Out 2022'!C:C,0)),0)</f>
        <v>859.53787482467521</v>
      </c>
      <c r="M36" s="128">
        <f t="shared" si="0"/>
        <v>3724.6641242402588</v>
      </c>
    </row>
    <row r="37" spans="1:13">
      <c r="A37" s="124" t="s">
        <v>237</v>
      </c>
      <c r="B37" s="124" t="s">
        <v>154</v>
      </c>
      <c r="C37" s="124" t="s">
        <v>108</v>
      </c>
      <c r="D37" s="124" t="s">
        <v>107</v>
      </c>
      <c r="E37" s="124" t="s">
        <v>97</v>
      </c>
      <c r="F37" s="125" t="s">
        <v>92</v>
      </c>
      <c r="G37" s="124" t="s">
        <v>258</v>
      </c>
      <c r="H37" s="124" t="str">
        <f t="shared" si="1"/>
        <v>1.5 yard Regular</v>
      </c>
      <c r="I37" s="126" t="s">
        <v>266</v>
      </c>
      <c r="J37" s="126">
        <f>References!$C$33</f>
        <v>250</v>
      </c>
      <c r="K37" s="127">
        <f>References!$C$10</f>
        <v>8.6666666666666661</v>
      </c>
      <c r="L37" s="128">
        <f>IFERROR(+INDEX('Murrey''s Price Out 2022'!AG:AG,MATCH(C37,'Murrey''s Price Out 2022'!C:C,0)),0)</f>
        <v>36</v>
      </c>
      <c r="M37" s="128">
        <f t="shared" si="0"/>
        <v>312</v>
      </c>
    </row>
    <row r="38" spans="1:13">
      <c r="A38" s="124" t="s">
        <v>237</v>
      </c>
      <c r="B38" s="124" t="s">
        <v>154</v>
      </c>
      <c r="C38" s="124" t="s">
        <v>224</v>
      </c>
      <c r="D38" s="124" t="str">
        <f>C38</f>
        <v>MF 1.5YD CONT EXTRA</v>
      </c>
      <c r="E38" s="124" t="s">
        <v>97</v>
      </c>
      <c r="F38" s="125" t="s">
        <v>92</v>
      </c>
      <c r="G38" s="124" t="s">
        <v>259</v>
      </c>
      <c r="H38" s="124" t="str">
        <f t="shared" si="1"/>
        <v>1.5 yard Extra</v>
      </c>
      <c r="I38" s="126" t="s">
        <v>266</v>
      </c>
      <c r="J38" s="126">
        <f>References!$C$33</f>
        <v>250</v>
      </c>
      <c r="K38" s="127">
        <f>References!$C$14</f>
        <v>1</v>
      </c>
      <c r="L38" s="128">
        <f>IFERROR(+INDEX('Murrey''s Price Out 2022'!AG:AG,MATCH(C38,'Murrey''s Price Out 2022'!C:C,0)),0)</f>
        <v>0</v>
      </c>
      <c r="M38" s="128">
        <f t="shared" si="0"/>
        <v>12</v>
      </c>
    </row>
    <row r="39" spans="1:13">
      <c r="A39" s="124" t="s">
        <v>237</v>
      </c>
      <c r="B39" s="124" t="s">
        <v>154</v>
      </c>
      <c r="C39" s="124" t="s">
        <v>118</v>
      </c>
      <c r="D39" s="124" t="s">
        <v>118</v>
      </c>
      <c r="E39" s="124" t="s">
        <v>97</v>
      </c>
      <c r="F39" s="125" t="s">
        <v>92</v>
      </c>
      <c r="G39" s="124" t="s">
        <v>614</v>
      </c>
      <c r="H39" s="124" t="str">
        <f t="shared" si="1"/>
        <v>1.5 yard Temp</v>
      </c>
      <c r="I39" s="126" t="s">
        <v>266</v>
      </c>
      <c r="J39" s="126">
        <f>References!$C$33</f>
        <v>250</v>
      </c>
      <c r="K39" s="127">
        <f>References!$C$14</f>
        <v>1</v>
      </c>
      <c r="L39" s="128">
        <f>IFERROR(+INDEX('Murrey''s Price Out 2022'!AG:AG,MATCH(C39,'Murrey''s Price Out 2022'!C:C,0)),0)</f>
        <v>1.0824032296366659</v>
      </c>
      <c r="M39" s="128">
        <f t="shared" si="0"/>
        <v>1.0824032296366659</v>
      </c>
    </row>
    <row r="40" spans="1:13">
      <c r="A40" s="124" t="s">
        <v>237</v>
      </c>
      <c r="B40" s="124" t="s">
        <v>154</v>
      </c>
      <c r="C40" s="124" t="s">
        <v>106</v>
      </c>
      <c r="D40" s="124" t="s">
        <v>106</v>
      </c>
      <c r="E40" s="124" t="s">
        <v>96</v>
      </c>
      <c r="F40" s="125" t="s">
        <v>92</v>
      </c>
      <c r="G40" s="124" t="s">
        <v>258</v>
      </c>
      <c r="H40" s="124" t="str">
        <f t="shared" si="1"/>
        <v>1 yard Regular</v>
      </c>
      <c r="I40" s="126" t="s">
        <v>265</v>
      </c>
      <c r="J40" s="126">
        <f>References!$C$32</f>
        <v>175</v>
      </c>
      <c r="K40" s="127">
        <f>References!$C$11</f>
        <v>4.333333333333333</v>
      </c>
      <c r="L40" s="128">
        <f>IFERROR(+INDEX('Murrey''s Price Out 2022'!AG:AG,MATCH(C40,'Murrey''s Price Out 2022'!C:C,0)),0)</f>
        <v>3678.1425660680393</v>
      </c>
      <c r="M40" s="128">
        <f t="shared" si="0"/>
        <v>15938.617786294835</v>
      </c>
    </row>
    <row r="41" spans="1:13">
      <c r="A41" s="124" t="s">
        <v>237</v>
      </c>
      <c r="B41" s="124" t="s">
        <v>154</v>
      </c>
      <c r="C41" s="124" t="s">
        <v>225</v>
      </c>
      <c r="D41" s="124" t="s">
        <v>106</v>
      </c>
      <c r="E41" s="124" t="s">
        <v>96</v>
      </c>
      <c r="F41" s="125" t="s">
        <v>92</v>
      </c>
      <c r="G41" s="124" t="s">
        <v>258</v>
      </c>
      <c r="H41" s="124" t="str">
        <f t="shared" si="1"/>
        <v>1 yard Regular</v>
      </c>
      <c r="I41" s="126" t="s">
        <v>265</v>
      </c>
      <c r="J41" s="126">
        <f>References!$C$32</f>
        <v>175</v>
      </c>
      <c r="K41" s="127">
        <f>References!$C$10</f>
        <v>8.6666666666666661</v>
      </c>
      <c r="L41" s="128">
        <f>IFERROR(+INDEX('Murrey''s Price Out 2022'!AG:AG,MATCH(C41,'Murrey''s Price Out 2022'!C:C,0)),0)</f>
        <v>0</v>
      </c>
      <c r="M41" s="128">
        <f t="shared" si="0"/>
        <v>104</v>
      </c>
    </row>
    <row r="42" spans="1:13">
      <c r="A42" s="124" t="s">
        <v>237</v>
      </c>
      <c r="B42" s="124" t="s">
        <v>154</v>
      </c>
      <c r="C42" s="124" t="s">
        <v>226</v>
      </c>
      <c r="D42" s="124" t="str">
        <f>C42</f>
        <v>MF 1YD CONT EXTRA</v>
      </c>
      <c r="E42" s="124" t="s">
        <v>96</v>
      </c>
      <c r="F42" s="125" t="s">
        <v>92</v>
      </c>
      <c r="G42" s="124" t="s">
        <v>259</v>
      </c>
      <c r="H42" s="124" t="str">
        <f t="shared" si="1"/>
        <v>1 yard Extra</v>
      </c>
      <c r="I42" s="126" t="s">
        <v>265</v>
      </c>
      <c r="J42" s="126">
        <f>References!$C$32</f>
        <v>175</v>
      </c>
      <c r="K42" s="127">
        <f>References!$C$14</f>
        <v>1</v>
      </c>
      <c r="L42" s="128">
        <f>IFERROR(+INDEX('Murrey''s Price Out 2022'!AG:AG,MATCH(C42,'Murrey''s Price Out 2022'!C:C,0)),0)</f>
        <v>2</v>
      </c>
      <c r="M42" s="128">
        <f t="shared" si="0"/>
        <v>2</v>
      </c>
    </row>
    <row r="43" spans="1:13">
      <c r="A43" s="124" t="s">
        <v>237</v>
      </c>
      <c r="B43" s="124" t="s">
        <v>154</v>
      </c>
      <c r="C43" s="124" t="s">
        <v>117</v>
      </c>
      <c r="D43" s="124" t="s">
        <v>117</v>
      </c>
      <c r="E43" s="124" t="s">
        <v>96</v>
      </c>
      <c r="F43" s="125" t="s">
        <v>92</v>
      </c>
      <c r="G43" s="124" t="s">
        <v>614</v>
      </c>
      <c r="H43" s="124" t="str">
        <f t="shared" si="1"/>
        <v>1 yard Temp</v>
      </c>
      <c r="I43" s="126" t="s">
        <v>265</v>
      </c>
      <c r="J43" s="126">
        <f>References!$C$32</f>
        <v>175</v>
      </c>
      <c r="K43" s="127">
        <f>References!$C$14</f>
        <v>1</v>
      </c>
      <c r="L43" s="128">
        <f>IFERROR(+INDEX('Murrey''s Price Out 2022'!AG:AG,MATCH(C43,'Murrey''s Price Out 2022'!C:C,0)),0)</f>
        <v>4.3300685602350635</v>
      </c>
      <c r="M43" s="128">
        <f t="shared" si="0"/>
        <v>4.3300685602350635</v>
      </c>
    </row>
    <row r="44" spans="1:13">
      <c r="A44" s="124" t="s">
        <v>237</v>
      </c>
      <c r="B44" s="124" t="s">
        <v>154</v>
      </c>
      <c r="C44" s="124" t="s">
        <v>109</v>
      </c>
      <c r="D44" s="124" t="s">
        <v>109</v>
      </c>
      <c r="E44" s="124" t="s">
        <v>98</v>
      </c>
      <c r="F44" s="125" t="s">
        <v>92</v>
      </c>
      <c r="G44" s="124" t="s">
        <v>258</v>
      </c>
      <c r="H44" s="124" t="str">
        <f t="shared" si="1"/>
        <v>2 yard Regular</v>
      </c>
      <c r="I44" s="126" t="s">
        <v>267</v>
      </c>
      <c r="J44" s="126">
        <f>References!$C$34</f>
        <v>324</v>
      </c>
      <c r="K44" s="127">
        <f>References!$C$11</f>
        <v>4.333333333333333</v>
      </c>
      <c r="L44" s="128">
        <f>IFERROR(+INDEX('Murrey''s Price Out 2022'!AG:AG,MATCH(C44,'Murrey''s Price Out 2022'!C:C,0)),0)</f>
        <v>1817.5721508042973</v>
      </c>
      <c r="M44" s="128">
        <f t="shared" si="0"/>
        <v>7876.1459868186212</v>
      </c>
    </row>
    <row r="45" spans="1:13">
      <c r="A45" s="124" t="s">
        <v>237</v>
      </c>
      <c r="B45" s="124" t="s">
        <v>154</v>
      </c>
      <c r="C45" s="124" t="s">
        <v>110</v>
      </c>
      <c r="D45" s="124" t="s">
        <v>109</v>
      </c>
      <c r="E45" s="124" t="s">
        <v>98</v>
      </c>
      <c r="F45" s="125" t="s">
        <v>92</v>
      </c>
      <c r="G45" s="124" t="s">
        <v>258</v>
      </c>
      <c r="H45" s="124" t="str">
        <f t="shared" si="1"/>
        <v>2 yard Regular</v>
      </c>
      <c r="I45" s="126" t="s">
        <v>267</v>
      </c>
      <c r="J45" s="126">
        <f>References!$C$34</f>
        <v>324</v>
      </c>
      <c r="K45" s="127">
        <f>References!$C$10</f>
        <v>8.6666666666666661</v>
      </c>
      <c r="L45" s="128">
        <f>IFERROR(+INDEX('Murrey''s Price Out 2022'!AG:AG,MATCH(C45,'Murrey''s Price Out 2022'!C:C,0)),0)</f>
        <v>156.25340178393068</v>
      </c>
      <c r="M45" s="128">
        <f t="shared" si="0"/>
        <v>1354.1961487940659</v>
      </c>
    </row>
    <row r="46" spans="1:13">
      <c r="A46" s="124" t="s">
        <v>237</v>
      </c>
      <c r="B46" s="124" t="s">
        <v>154</v>
      </c>
      <c r="C46" s="124" t="s">
        <v>111</v>
      </c>
      <c r="D46" s="124" t="s">
        <v>109</v>
      </c>
      <c r="E46" s="124" t="s">
        <v>98</v>
      </c>
      <c r="F46" s="125" t="s">
        <v>92</v>
      </c>
      <c r="G46" s="124" t="s">
        <v>258</v>
      </c>
      <c r="H46" s="124" t="str">
        <f t="shared" si="1"/>
        <v>2 yard Regular</v>
      </c>
      <c r="I46" s="126" t="s">
        <v>267</v>
      </c>
      <c r="J46" s="126">
        <f>References!$C$34</f>
        <v>324</v>
      </c>
      <c r="K46" s="127">
        <f>References!$C$9</f>
        <v>13</v>
      </c>
      <c r="L46" s="128">
        <f>IFERROR(+INDEX('Murrey''s Price Out 2022'!AG:AG,MATCH(C46,'Murrey''s Price Out 2022'!C:C,0)),0)</f>
        <v>25.749977204340293</v>
      </c>
      <c r="M46" s="128">
        <f t="shared" si="0"/>
        <v>334.74970365642383</v>
      </c>
    </row>
    <row r="47" spans="1:13">
      <c r="A47" s="124" t="s">
        <v>237</v>
      </c>
      <c r="B47" s="124" t="s">
        <v>154</v>
      </c>
      <c r="C47" s="124" t="s">
        <v>670</v>
      </c>
      <c r="D47" s="124" t="s">
        <v>109</v>
      </c>
      <c r="E47" s="124" t="s">
        <v>98</v>
      </c>
      <c r="F47" s="125" t="s">
        <v>92</v>
      </c>
      <c r="G47" s="124" t="s">
        <v>258</v>
      </c>
      <c r="H47" s="124" t="str">
        <f t="shared" ref="H47" si="3">CONCATENATE(E47," ",G47)</f>
        <v>2 yard Regular</v>
      </c>
      <c r="I47" s="126" t="s">
        <v>267</v>
      </c>
      <c r="J47" s="126">
        <f>References!$C$34</f>
        <v>324</v>
      </c>
      <c r="K47" s="127">
        <f>References!$C$8</f>
        <v>17.333333333333332</v>
      </c>
      <c r="L47" s="128">
        <f>IFERROR(+INDEX('Murrey''s Price Out 2022'!AG:AG,MATCH(C47,'Murrey''s Price Out 2022'!C:C,0)),0)</f>
        <v>21.5</v>
      </c>
      <c r="M47" s="128">
        <f t="shared" ref="M47" si="4">IF(L47=0,K47*12,K47*L47)</f>
        <v>372.66666666666663</v>
      </c>
    </row>
    <row r="48" spans="1:13">
      <c r="A48" s="124" t="s">
        <v>237</v>
      </c>
      <c r="B48" s="124" t="s">
        <v>154</v>
      </c>
      <c r="C48" s="124" t="s">
        <v>227</v>
      </c>
      <c r="D48" s="124" t="str">
        <f>C48</f>
        <v>MF 2YD CONT EXTRA</v>
      </c>
      <c r="E48" s="124" t="s">
        <v>98</v>
      </c>
      <c r="F48" s="125" t="s">
        <v>92</v>
      </c>
      <c r="G48" s="124" t="s">
        <v>259</v>
      </c>
      <c r="H48" s="124" t="str">
        <f t="shared" si="1"/>
        <v>2 yard Extra</v>
      </c>
      <c r="I48" s="126" t="s">
        <v>267</v>
      </c>
      <c r="J48" s="126">
        <f>References!$C$34</f>
        <v>324</v>
      </c>
      <c r="K48" s="127">
        <f>References!$C$14</f>
        <v>1</v>
      </c>
      <c r="L48" s="128">
        <f>IFERROR(+INDEX('Murrey''s Price Out 2022'!AG:AG,MATCH(C48,'Murrey''s Price Out 2022'!C:C,0)),0)</f>
        <v>4</v>
      </c>
      <c r="M48" s="128">
        <f t="shared" si="0"/>
        <v>4</v>
      </c>
    </row>
    <row r="49" spans="1:20">
      <c r="A49" s="124" t="s">
        <v>237</v>
      </c>
      <c r="B49" s="124" t="s">
        <v>154</v>
      </c>
      <c r="C49" s="124" t="s">
        <v>119</v>
      </c>
      <c r="D49" s="124" t="s">
        <v>119</v>
      </c>
      <c r="E49" s="124" t="s">
        <v>98</v>
      </c>
      <c r="F49" s="125" t="s">
        <v>92</v>
      </c>
      <c r="G49" s="124" t="s">
        <v>614</v>
      </c>
      <c r="H49" s="124" t="str">
        <f t="shared" si="1"/>
        <v>2 yard Temp</v>
      </c>
      <c r="I49" s="126" t="s">
        <v>267</v>
      </c>
      <c r="J49" s="126">
        <f>References!$C$34</f>
        <v>324</v>
      </c>
      <c r="K49" s="127">
        <f>References!$C$14</f>
        <v>1</v>
      </c>
      <c r="L49" s="128">
        <f>IFERROR(+INDEX('Murrey''s Price Out 2022'!AG:AG,MATCH(C49,'Murrey''s Price Out 2022'!C:C,0)),0)</f>
        <v>57.381547637588646</v>
      </c>
      <c r="M49" s="128">
        <f t="shared" si="0"/>
        <v>57.381547637588646</v>
      </c>
    </row>
    <row r="50" spans="1:20">
      <c r="A50" s="124" t="s">
        <v>237</v>
      </c>
      <c r="B50" s="124" t="s">
        <v>154</v>
      </c>
      <c r="C50" s="124" t="s">
        <v>112</v>
      </c>
      <c r="D50" s="124" t="s">
        <v>112</v>
      </c>
      <c r="E50" s="124" t="s">
        <v>99</v>
      </c>
      <c r="F50" s="125" t="s">
        <v>92</v>
      </c>
      <c r="G50" s="124" t="s">
        <v>258</v>
      </c>
      <c r="H50" s="124" t="str">
        <f t="shared" si="1"/>
        <v>4 yard Regular</v>
      </c>
      <c r="I50" s="126" t="s">
        <v>268</v>
      </c>
      <c r="J50" s="126">
        <f>References!$C$36</f>
        <v>613</v>
      </c>
      <c r="K50" s="127">
        <f>References!$C$11</f>
        <v>4.333333333333333</v>
      </c>
      <c r="L50" s="128">
        <f>IFERROR(+INDEX('Murrey''s Price Out 2022'!AG:AG,MATCH(C50,'Murrey''s Price Out 2022'!C:C,0)),0)</f>
        <v>211.77006128320116</v>
      </c>
      <c r="M50" s="128">
        <f t="shared" si="0"/>
        <v>917.67026556053827</v>
      </c>
    </row>
    <row r="51" spans="1:20">
      <c r="A51" s="124" t="s">
        <v>237</v>
      </c>
      <c r="B51" s="124" t="s">
        <v>154</v>
      </c>
      <c r="C51" s="124" t="s">
        <v>113</v>
      </c>
      <c r="D51" s="124" t="s">
        <v>112</v>
      </c>
      <c r="E51" s="124" t="s">
        <v>99</v>
      </c>
      <c r="F51" s="125" t="s">
        <v>92</v>
      </c>
      <c r="G51" s="124" t="s">
        <v>258</v>
      </c>
      <c r="H51" s="124" t="str">
        <f t="shared" si="1"/>
        <v>4 yard Regular</v>
      </c>
      <c r="I51" s="126" t="s">
        <v>268</v>
      </c>
      <c r="J51" s="126">
        <f>References!$C$36</f>
        <v>613</v>
      </c>
      <c r="K51" s="127">
        <f>References!$C$10</f>
        <v>8.6666666666666661</v>
      </c>
      <c r="L51" s="128">
        <f>IFERROR(+INDEX('Murrey''s Price Out 2022'!AG:AG,MATCH(C51,'Murrey''s Price Out 2022'!C:C,0)),0)</f>
        <v>48.999990962002876</v>
      </c>
      <c r="M51" s="128">
        <f t="shared" si="0"/>
        <v>424.66658833735823</v>
      </c>
      <c r="R51" s="41"/>
    </row>
    <row r="52" spans="1:20">
      <c r="A52" s="124" t="s">
        <v>237</v>
      </c>
      <c r="B52" s="124" t="s">
        <v>154</v>
      </c>
      <c r="C52" s="124" t="s">
        <v>228</v>
      </c>
      <c r="D52" s="124" t="str">
        <f>C52</f>
        <v>MF 4YD CONT EXTRA</v>
      </c>
      <c r="E52" s="124" t="s">
        <v>99</v>
      </c>
      <c r="F52" s="125" t="s">
        <v>92</v>
      </c>
      <c r="G52" s="124" t="s">
        <v>259</v>
      </c>
      <c r="H52" s="124" t="str">
        <f t="shared" si="1"/>
        <v>4 yard Extra</v>
      </c>
      <c r="I52" s="126" t="s">
        <v>268</v>
      </c>
      <c r="J52" s="126">
        <f>References!$C$36</f>
        <v>613</v>
      </c>
      <c r="K52" s="127">
        <f>References!$C$14</f>
        <v>1</v>
      </c>
      <c r="L52" s="128">
        <f>IFERROR(+INDEX('Murrey''s Price Out 2022'!AG:AG,MATCH(C52,'Murrey''s Price Out 2022'!C:C,0)),0)</f>
        <v>1</v>
      </c>
      <c r="M52" s="128">
        <f t="shared" si="0"/>
        <v>1</v>
      </c>
      <c r="R52" s="78"/>
    </row>
    <row r="53" spans="1:20">
      <c r="A53" s="124" t="s">
        <v>237</v>
      </c>
      <c r="B53" s="124" t="s">
        <v>154</v>
      </c>
      <c r="C53" s="124" t="s">
        <v>234</v>
      </c>
      <c r="D53" s="124" t="s">
        <v>234</v>
      </c>
      <c r="E53" s="124" t="s">
        <v>99</v>
      </c>
      <c r="F53" s="125" t="s">
        <v>92</v>
      </c>
      <c r="G53" s="124" t="s">
        <v>614</v>
      </c>
      <c r="H53" s="124" t="str">
        <f t="shared" si="1"/>
        <v>4 yard Temp</v>
      </c>
      <c r="I53" s="126" t="s">
        <v>268</v>
      </c>
      <c r="J53" s="126">
        <f>References!$C$36</f>
        <v>613</v>
      </c>
      <c r="K53" s="127">
        <f>References!$C$14</f>
        <v>1</v>
      </c>
      <c r="L53" s="128">
        <f>IFERROR(+INDEX('Murrey''s Price Out 2022'!AG:AG,MATCH(C53,'Murrey''s Price Out 2022'!C:C,0)),0)</f>
        <v>0</v>
      </c>
      <c r="M53" s="128">
        <f t="shared" si="0"/>
        <v>12</v>
      </c>
    </row>
    <row r="54" spans="1:20">
      <c r="A54" s="124" t="s">
        <v>237</v>
      </c>
      <c r="B54" s="124" t="s">
        <v>154</v>
      </c>
      <c r="C54" s="124" t="s">
        <v>114</v>
      </c>
      <c r="D54" s="124" t="s">
        <v>114</v>
      </c>
      <c r="E54" s="124" t="s">
        <v>100</v>
      </c>
      <c r="F54" s="125" t="s">
        <v>92</v>
      </c>
      <c r="G54" s="124" t="s">
        <v>258</v>
      </c>
      <c r="H54" s="124" t="str">
        <f t="shared" si="1"/>
        <v>6 yard Regular</v>
      </c>
      <c r="I54" s="126" t="s">
        <v>269</v>
      </c>
      <c r="J54" s="126">
        <f>References!$C$37</f>
        <v>840</v>
      </c>
      <c r="K54" s="127">
        <f>References!$C$11</f>
        <v>4.333333333333333</v>
      </c>
      <c r="L54" s="128">
        <f>IFERROR(+INDEX('Murrey''s Price Out 2022'!AG:AG,MATCH(C54,'Murrey''s Price Out 2022'!C:C,0)),0)</f>
        <v>407.99989712471245</v>
      </c>
      <c r="M54" s="128">
        <f t="shared" si="0"/>
        <v>1767.9995542070872</v>
      </c>
    </row>
    <row r="55" spans="1:20">
      <c r="A55" s="124" t="s">
        <v>237</v>
      </c>
      <c r="B55" s="124" t="s">
        <v>154</v>
      </c>
      <c r="C55" s="124" t="s">
        <v>115</v>
      </c>
      <c r="D55" s="124" t="s">
        <v>114</v>
      </c>
      <c r="E55" s="124" t="s">
        <v>100</v>
      </c>
      <c r="F55" s="125" t="s">
        <v>92</v>
      </c>
      <c r="G55" s="124" t="s">
        <v>258</v>
      </c>
      <c r="H55" s="124" t="str">
        <f t="shared" si="1"/>
        <v>6 yard Regular</v>
      </c>
      <c r="I55" s="126" t="s">
        <v>269</v>
      </c>
      <c r="J55" s="126">
        <f>References!$C$37</f>
        <v>840</v>
      </c>
      <c r="K55" s="127">
        <f>References!$C$10</f>
        <v>8.6666666666666661</v>
      </c>
      <c r="L55" s="128">
        <f>IFERROR(+INDEX('Murrey''s Price Out 2022'!AG:AG,MATCH(C55,'Murrey''s Price Out 2022'!C:C,0)),0)</f>
        <v>298.74995284834313</v>
      </c>
      <c r="M55" s="128">
        <f t="shared" si="0"/>
        <v>2589.1662580189736</v>
      </c>
    </row>
    <row r="56" spans="1:20">
      <c r="A56" s="124" t="s">
        <v>237</v>
      </c>
      <c r="B56" s="124" t="s">
        <v>154</v>
      </c>
      <c r="C56" s="124" t="s">
        <v>116</v>
      </c>
      <c r="D56" s="124" t="s">
        <v>114</v>
      </c>
      <c r="E56" s="124" t="s">
        <v>100</v>
      </c>
      <c r="F56" s="125" t="s">
        <v>92</v>
      </c>
      <c r="G56" s="124" t="s">
        <v>258</v>
      </c>
      <c r="H56" s="124" t="str">
        <f t="shared" si="1"/>
        <v>6 yard Regular</v>
      </c>
      <c r="I56" s="126" t="s">
        <v>269</v>
      </c>
      <c r="J56" s="126">
        <f>References!$C$37</f>
        <v>840</v>
      </c>
      <c r="K56" s="127">
        <f>References!$C$9</f>
        <v>13</v>
      </c>
      <c r="L56" s="128">
        <f>IFERROR(+INDEX('Murrey''s Price Out 2022'!AG:AG,MATCH(C56,'Murrey''s Price Out 2022'!C:C,0)),0)</f>
        <v>95.004660139933137</v>
      </c>
      <c r="M56" s="128">
        <f t="shared" si="0"/>
        <v>1235.0605818191307</v>
      </c>
    </row>
    <row r="57" spans="1:20">
      <c r="A57" s="124" t="s">
        <v>237</v>
      </c>
      <c r="B57" s="124" t="s">
        <v>154</v>
      </c>
      <c r="C57" s="124" t="s">
        <v>229</v>
      </c>
      <c r="D57" s="124" t="str">
        <f>C57</f>
        <v>MF 6YD CONT EXTRA</v>
      </c>
      <c r="E57" s="124" t="s">
        <v>100</v>
      </c>
      <c r="F57" s="125" t="s">
        <v>92</v>
      </c>
      <c r="G57" s="124" t="s">
        <v>259</v>
      </c>
      <c r="H57" s="124" t="str">
        <f t="shared" si="1"/>
        <v>6 yard Extra</v>
      </c>
      <c r="I57" s="126" t="s">
        <v>269</v>
      </c>
      <c r="J57" s="126">
        <f>References!$C$37</f>
        <v>840</v>
      </c>
      <c r="K57" s="127">
        <f>References!$C$14</f>
        <v>1</v>
      </c>
      <c r="L57" s="128">
        <f>IFERROR(+INDEX('Murrey''s Price Out 2022'!AG:AG,MATCH(C57,'Murrey''s Price Out 2022'!C:C,0)),0)</f>
        <v>4</v>
      </c>
      <c r="M57" s="128">
        <f t="shared" si="0"/>
        <v>4</v>
      </c>
    </row>
    <row r="58" spans="1:20">
      <c r="A58" s="124" t="s">
        <v>237</v>
      </c>
      <c r="B58" s="124" t="s">
        <v>154</v>
      </c>
      <c r="C58" s="124" t="s">
        <v>235</v>
      </c>
      <c r="D58" s="124" t="s">
        <v>235</v>
      </c>
      <c r="E58" s="124" t="s">
        <v>100</v>
      </c>
      <c r="F58" s="125" t="s">
        <v>92</v>
      </c>
      <c r="G58" s="124" t="s">
        <v>614</v>
      </c>
      <c r="H58" s="124" t="str">
        <f t="shared" si="1"/>
        <v>6 yard Temp</v>
      </c>
      <c r="I58" s="126" t="s">
        <v>269</v>
      </c>
      <c r="J58" s="126">
        <f>References!$C$37</f>
        <v>840</v>
      </c>
      <c r="K58" s="127">
        <f>References!$C$14</f>
        <v>1</v>
      </c>
      <c r="L58" s="128">
        <f>IFERROR(+INDEX('Murrey''s Price Out 2022'!AG:AG,MATCH(C58,'Murrey''s Price Out 2022'!C:C,0)),0)</f>
        <v>0</v>
      </c>
      <c r="M58" s="128">
        <f t="shared" si="0"/>
        <v>12</v>
      </c>
      <c r="O58" s="11"/>
      <c r="P58" s="11"/>
    </row>
    <row r="59" spans="1:20">
      <c r="A59" s="118" t="s">
        <v>144</v>
      </c>
      <c r="B59" s="118" t="s">
        <v>165</v>
      </c>
      <c r="C59" s="118" t="s">
        <v>217</v>
      </c>
      <c r="D59" s="118" t="s">
        <v>217</v>
      </c>
      <c r="E59" s="118" t="s">
        <v>616</v>
      </c>
      <c r="F59" s="119" t="s">
        <v>92</v>
      </c>
      <c r="G59" s="118" t="s">
        <v>259</v>
      </c>
      <c r="H59" s="118" t="str">
        <f t="shared" si="1"/>
        <v>Extra Yardage Extra</v>
      </c>
      <c r="I59" s="120" t="s">
        <v>265</v>
      </c>
      <c r="J59" s="120">
        <f>References!$C$31</f>
        <v>125</v>
      </c>
      <c r="K59" s="121">
        <f>References!$C$14</f>
        <v>1</v>
      </c>
      <c r="L59" s="122">
        <f>IFERROR(+INDEX('Murrey''s Price Out 2022'!AG:AG,MATCH(C59,'Murrey''s Price Out 2022'!C:C,0)),0)</f>
        <v>4278.4010871826877</v>
      </c>
      <c r="M59" s="122">
        <f t="shared" si="0"/>
        <v>4278.4010871826877</v>
      </c>
    </row>
    <row r="60" spans="1:20">
      <c r="A60" s="118" t="s">
        <v>144</v>
      </c>
      <c r="B60" s="118" t="s">
        <v>165</v>
      </c>
      <c r="C60" s="118" t="s">
        <v>600</v>
      </c>
      <c r="D60" s="118" t="s">
        <v>600</v>
      </c>
      <c r="E60" s="118" t="s">
        <v>600</v>
      </c>
      <c r="F60" s="119" t="s">
        <v>92</v>
      </c>
      <c r="G60" s="118" t="s">
        <v>259</v>
      </c>
      <c r="H60" s="118" t="str">
        <f t="shared" si="1"/>
        <v>Drum Extra</v>
      </c>
      <c r="I60" s="120" t="s">
        <v>265</v>
      </c>
      <c r="J60" s="120">
        <f>References!$C$26</f>
        <v>68</v>
      </c>
      <c r="K60" s="121">
        <f>References!$C$14</f>
        <v>1</v>
      </c>
      <c r="L60" s="122">
        <f>IFERROR(+INDEX('Murrey''s Price Out 2022'!AG:AG,MATCH(C60,'Murrey''s Price Out 2022'!C:C,0)),0)</f>
        <v>0</v>
      </c>
      <c r="M60" s="122">
        <f t="shared" ref="M60:M61" si="5">IF(L60=0,K60*12,K60*L60)</f>
        <v>12</v>
      </c>
    </row>
    <row r="61" spans="1:20">
      <c r="A61" s="118" t="s">
        <v>144</v>
      </c>
      <c r="B61" s="118" t="s">
        <v>165</v>
      </c>
      <c r="C61" s="118" t="s">
        <v>601</v>
      </c>
      <c r="D61" s="118" t="s">
        <v>601</v>
      </c>
      <c r="E61" s="118" t="s">
        <v>600</v>
      </c>
      <c r="F61" s="119" t="s">
        <v>92</v>
      </c>
      <c r="G61" s="118" t="s">
        <v>617</v>
      </c>
      <c r="H61" s="118" t="str">
        <f t="shared" si="1"/>
        <v>Drum Special</v>
      </c>
      <c r="I61" s="120" t="s">
        <v>265</v>
      </c>
      <c r="J61" s="120">
        <f>References!$C$26</f>
        <v>68</v>
      </c>
      <c r="K61" s="121">
        <f>References!$C$14</f>
        <v>1</v>
      </c>
      <c r="L61" s="122">
        <f>IFERROR(+INDEX('Murrey''s Price Out 2022'!AG:AG,MATCH(C61,'Murrey''s Price Out 2022'!C:C,0)),0)</f>
        <v>0</v>
      </c>
      <c r="M61" s="122">
        <f t="shared" si="5"/>
        <v>12</v>
      </c>
    </row>
    <row r="62" spans="1:20">
      <c r="A62" s="118" t="s">
        <v>144</v>
      </c>
      <c r="B62" s="118" t="s">
        <v>155</v>
      </c>
      <c r="C62" s="118" t="s">
        <v>84</v>
      </c>
      <c r="D62" s="118" t="s">
        <v>84</v>
      </c>
      <c r="E62" s="118" t="s">
        <v>97</v>
      </c>
      <c r="F62" s="119" t="s">
        <v>92</v>
      </c>
      <c r="G62" s="118" t="s">
        <v>258</v>
      </c>
      <c r="H62" s="118" t="str">
        <f t="shared" si="1"/>
        <v>1.5 yard Regular</v>
      </c>
      <c r="I62" s="120" t="s">
        <v>266</v>
      </c>
      <c r="J62" s="120">
        <f>References!$C$33</f>
        <v>250</v>
      </c>
      <c r="K62" s="121">
        <f>References!$C$11</f>
        <v>4.333333333333333</v>
      </c>
      <c r="L62" s="122">
        <f>IFERROR(+INDEX('Murrey''s Price Out 2022'!AG:AG,MATCH(C62,'Murrey''s Price Out 2022'!C:C,0)),0)</f>
        <v>33.999947905813713</v>
      </c>
      <c r="M62" s="122">
        <f>IF(L62=0,K62*12,K62*L62)</f>
        <v>147.3331075918594</v>
      </c>
    </row>
    <row r="63" spans="1:20" s="227" customFormat="1">
      <c r="A63" s="226" t="s">
        <v>144</v>
      </c>
      <c r="B63" s="118" t="s">
        <v>155</v>
      </c>
      <c r="C63" s="118" t="s">
        <v>401</v>
      </c>
      <c r="D63" s="118" t="s">
        <v>401</v>
      </c>
      <c r="E63" s="118" t="s">
        <v>97</v>
      </c>
      <c r="F63" s="119" t="s">
        <v>92</v>
      </c>
      <c r="G63" s="118" t="s">
        <v>258</v>
      </c>
      <c r="H63" s="118" t="s">
        <v>630</v>
      </c>
      <c r="I63" s="120" t="s">
        <v>266</v>
      </c>
      <c r="J63" s="120">
        <f>[49]References!$C$33</f>
        <v>250</v>
      </c>
      <c r="K63" s="121">
        <f>[49]References!$C$11</f>
        <v>4.333333333333333</v>
      </c>
      <c r="L63" s="122">
        <f>IFERROR(+INDEX('Murrey''s Price Out 2022'!AG:AG,MATCH(C63,'Murrey''s Price Out 2022'!C:C,0)),0)</f>
        <v>999.08512595143918</v>
      </c>
      <c r="M63" s="122">
        <f t="shared" si="0"/>
        <v>4329.3688791229024</v>
      </c>
      <c r="N63" s="85"/>
      <c r="O63" s="228"/>
      <c r="P63" s="229"/>
      <c r="Q63" s="230"/>
      <c r="R63" s="230"/>
      <c r="S63" s="230"/>
      <c r="T63" s="85"/>
    </row>
    <row r="64" spans="1:20">
      <c r="A64" s="118" t="s">
        <v>144</v>
      </c>
      <c r="B64" s="118" t="s">
        <v>155</v>
      </c>
      <c r="C64" s="118" t="s">
        <v>131</v>
      </c>
      <c r="D64" s="118" t="s">
        <v>84</v>
      </c>
      <c r="E64" s="118" t="s">
        <v>97</v>
      </c>
      <c r="F64" s="119" t="s">
        <v>92</v>
      </c>
      <c r="G64" s="118" t="s">
        <v>258</v>
      </c>
      <c r="H64" s="118" t="str">
        <f t="shared" si="1"/>
        <v>1.5 yard Regular</v>
      </c>
      <c r="I64" s="120" t="s">
        <v>266</v>
      </c>
      <c r="J64" s="120">
        <f>References!$C$33</f>
        <v>250</v>
      </c>
      <c r="K64" s="121">
        <f>References!$C$10</f>
        <v>8.6666666666666661</v>
      </c>
      <c r="L64" s="122">
        <f>IFERROR(+INDEX('Murrey''s Price Out 2022'!AG:AG,MATCH(C64,'Murrey''s Price Out 2022'!C:C,0)),0)</f>
        <v>54.499930543497136</v>
      </c>
      <c r="M64" s="122">
        <f t="shared" si="0"/>
        <v>472.33273137697518</v>
      </c>
      <c r="R64" s="22"/>
    </row>
    <row r="65" spans="1:24">
      <c r="A65" s="118" t="s">
        <v>144</v>
      </c>
      <c r="B65" s="118" t="s">
        <v>155</v>
      </c>
      <c r="C65" s="118" t="s">
        <v>211</v>
      </c>
      <c r="D65" s="118" t="s">
        <v>84</v>
      </c>
      <c r="E65" s="118" t="s">
        <v>97</v>
      </c>
      <c r="F65" s="119" t="s">
        <v>92</v>
      </c>
      <c r="G65" s="118" t="s">
        <v>258</v>
      </c>
      <c r="H65" s="118" t="str">
        <f t="shared" si="1"/>
        <v>1.5 yard Regular</v>
      </c>
      <c r="I65" s="120" t="s">
        <v>266</v>
      </c>
      <c r="J65" s="120">
        <f>References!$C$33</f>
        <v>250</v>
      </c>
      <c r="K65" s="121">
        <f>References!$C$9</f>
        <v>13</v>
      </c>
      <c r="L65" s="122">
        <f>IFERROR(+INDEX('Murrey''s Price Out 2022'!AG:AG,MATCH(C65,'Murrey''s Price Out 2022'!C:C,0)),0)</f>
        <v>0</v>
      </c>
      <c r="M65" s="122">
        <f t="shared" si="0"/>
        <v>156</v>
      </c>
      <c r="R65" s="22"/>
    </row>
    <row r="66" spans="1:24">
      <c r="A66" s="118" t="s">
        <v>144</v>
      </c>
      <c r="B66" s="118" t="s">
        <v>155</v>
      </c>
      <c r="C66" s="118" t="s">
        <v>212</v>
      </c>
      <c r="D66" s="118" t="s">
        <v>212</v>
      </c>
      <c r="E66" s="118" t="s">
        <v>97</v>
      </c>
      <c r="F66" s="119" t="s">
        <v>92</v>
      </c>
      <c r="G66" s="124" t="s">
        <v>259</v>
      </c>
      <c r="H66" s="118" t="str">
        <f t="shared" si="1"/>
        <v>1.5 yard Extra</v>
      </c>
      <c r="I66" s="120" t="s">
        <v>266</v>
      </c>
      <c r="J66" s="120">
        <f>References!$C$33</f>
        <v>250</v>
      </c>
      <c r="K66" s="121">
        <f>References!$C$14</f>
        <v>1</v>
      </c>
      <c r="L66" s="122">
        <f>IFERROR(+INDEX('Murrey''s Price Out 2022'!AG:AG,MATCH(C66,'Murrey''s Price Out 2022'!C:C,0)),0)</f>
        <v>5.193822612638141</v>
      </c>
      <c r="M66" s="122">
        <f t="shared" si="0"/>
        <v>5.193822612638141</v>
      </c>
      <c r="R66" s="22"/>
    </row>
    <row r="67" spans="1:24">
      <c r="A67" s="118" t="s">
        <v>144</v>
      </c>
      <c r="B67" s="118" t="s">
        <v>155</v>
      </c>
      <c r="C67" s="118" t="s">
        <v>137</v>
      </c>
      <c r="D67" s="118" t="s">
        <v>137</v>
      </c>
      <c r="E67" s="118" t="s">
        <v>97</v>
      </c>
      <c r="F67" s="119" t="s">
        <v>92</v>
      </c>
      <c r="G67" s="124" t="s">
        <v>614</v>
      </c>
      <c r="H67" s="118" t="str">
        <f t="shared" ref="H67:H128" si="6">CONCATENATE(E67," ",G67)</f>
        <v>1.5 yard Temp</v>
      </c>
      <c r="I67" s="120" t="s">
        <v>266</v>
      </c>
      <c r="J67" s="120">
        <f>References!$C$33</f>
        <v>250</v>
      </c>
      <c r="K67" s="121">
        <f>References!$C$14</f>
        <v>1</v>
      </c>
      <c r="L67" s="122">
        <f>IFERROR(+INDEX('Murrey''s Price Out 2022'!AG:AG,MATCH(C67,'Murrey''s Price Out 2022'!C:C,0)),0)</f>
        <v>50.879949422375276</v>
      </c>
      <c r="M67" s="122">
        <f t="shared" si="0"/>
        <v>50.879949422375276</v>
      </c>
      <c r="O67" s="85"/>
      <c r="R67" s="22"/>
    </row>
    <row r="68" spans="1:24">
      <c r="A68" s="118" t="s">
        <v>144</v>
      </c>
      <c r="B68" s="118" t="s">
        <v>155</v>
      </c>
      <c r="C68" s="118" t="s">
        <v>83</v>
      </c>
      <c r="D68" s="118" t="s">
        <v>83</v>
      </c>
      <c r="E68" s="118" t="s">
        <v>96</v>
      </c>
      <c r="F68" s="119" t="s">
        <v>92</v>
      </c>
      <c r="G68" s="118" t="s">
        <v>258</v>
      </c>
      <c r="H68" s="118" t="str">
        <f t="shared" si="6"/>
        <v>1 yard Regular</v>
      </c>
      <c r="I68" s="120" t="s">
        <v>265</v>
      </c>
      <c r="J68" s="120">
        <f>References!$C$32</f>
        <v>175</v>
      </c>
      <c r="K68" s="121">
        <f>References!$C$11</f>
        <v>4.333333333333333</v>
      </c>
      <c r="L68" s="122">
        <f>IFERROR(+INDEX('Murrey''s Price Out 2022'!AG:AG,MATCH(C68,'Murrey''s Price Out 2022'!C:C,0)),0)</f>
        <v>79</v>
      </c>
      <c r="M68" s="122">
        <f t="shared" ref="M68:M128" si="7">IF(L68=0,K68*12,K68*L68)</f>
        <v>342.33333333333331</v>
      </c>
      <c r="R68" s="22"/>
    </row>
    <row r="69" spans="1:24" s="227" customFormat="1">
      <c r="A69" s="226" t="s">
        <v>144</v>
      </c>
      <c r="B69" s="118" t="s">
        <v>155</v>
      </c>
      <c r="C69" s="118" t="s">
        <v>406</v>
      </c>
      <c r="D69" s="118" t="s">
        <v>406</v>
      </c>
      <c r="E69" s="118" t="s">
        <v>96</v>
      </c>
      <c r="F69" s="119" t="s">
        <v>92</v>
      </c>
      <c r="G69" s="118" t="s">
        <v>258</v>
      </c>
      <c r="H69" s="118" t="str">
        <f t="shared" si="6"/>
        <v>1 yard Regular</v>
      </c>
      <c r="I69" s="120" t="s">
        <v>265</v>
      </c>
      <c r="J69" s="120">
        <f>[49]References!$C$32</f>
        <v>175</v>
      </c>
      <c r="K69" s="121">
        <f>[49]References!$C$11</f>
        <v>4.333333333333333</v>
      </c>
      <c r="L69" s="122">
        <f>IFERROR(+INDEX('Murrey''s Price Out 2022'!AG:AG,MATCH(C69,'Murrey''s Price Out 2022'!C:C,0)),0)</f>
        <v>4238.6517048573987</v>
      </c>
      <c r="M69" s="122">
        <f t="shared" si="7"/>
        <v>18367.490721048725</v>
      </c>
      <c r="N69" s="85"/>
      <c r="O69"/>
      <c r="P69"/>
      <c r="Q69"/>
      <c r="R69" s="22"/>
      <c r="S69"/>
      <c r="T69"/>
      <c r="X69" s="231"/>
    </row>
    <row r="70" spans="1:24">
      <c r="A70" s="118" t="s">
        <v>144</v>
      </c>
      <c r="B70" s="118" t="s">
        <v>155</v>
      </c>
      <c r="C70" s="118" t="s">
        <v>129</v>
      </c>
      <c r="D70" s="118" t="s">
        <v>83</v>
      </c>
      <c r="E70" s="118" t="s">
        <v>96</v>
      </c>
      <c r="F70" s="119" t="s">
        <v>92</v>
      </c>
      <c r="G70" s="118" t="s">
        <v>258</v>
      </c>
      <c r="H70" s="118" t="str">
        <f t="shared" si="6"/>
        <v>1 yard Regular</v>
      </c>
      <c r="I70" s="120" t="s">
        <v>265</v>
      </c>
      <c r="J70" s="120">
        <f>References!$C$32</f>
        <v>175</v>
      </c>
      <c r="K70" s="121">
        <f>References!$C$10</f>
        <v>8.6666666666666661</v>
      </c>
      <c r="L70" s="122">
        <f>IFERROR(+INDEX('Murrey''s Price Out 2022'!AG:AG,MATCH(C70,'Murrey''s Price Out 2022'!C:C,0)),0)</f>
        <v>51.999903725328686</v>
      </c>
      <c r="M70" s="122">
        <f t="shared" si="7"/>
        <v>450.66583228618191</v>
      </c>
      <c r="R70" s="22"/>
    </row>
    <row r="71" spans="1:24">
      <c r="A71" s="118" t="s">
        <v>144</v>
      </c>
      <c r="B71" s="118" t="s">
        <v>155</v>
      </c>
      <c r="C71" s="118" t="s">
        <v>130</v>
      </c>
      <c r="D71" s="118" t="s">
        <v>83</v>
      </c>
      <c r="E71" s="118" t="s">
        <v>96</v>
      </c>
      <c r="F71" s="119" t="s">
        <v>92</v>
      </c>
      <c r="G71" s="118" t="s">
        <v>258</v>
      </c>
      <c r="H71" s="118" t="str">
        <f t="shared" si="6"/>
        <v>1 yard Regular</v>
      </c>
      <c r="I71" s="120" t="s">
        <v>265</v>
      </c>
      <c r="J71" s="120">
        <f>References!$C$32</f>
        <v>175</v>
      </c>
      <c r="K71" s="121">
        <f>References!$C$9</f>
        <v>13</v>
      </c>
      <c r="L71" s="122">
        <f>IFERROR(+INDEX('Murrey''s Price Out 2022'!AG:AG,MATCH(C71,'Murrey''s Price Out 2022'!C:C,0)),0)</f>
        <v>72</v>
      </c>
      <c r="M71" s="122">
        <f t="shared" si="7"/>
        <v>936</v>
      </c>
      <c r="R71" s="22"/>
    </row>
    <row r="72" spans="1:24">
      <c r="A72" s="118" t="s">
        <v>144</v>
      </c>
      <c r="B72" s="118" t="s">
        <v>155</v>
      </c>
      <c r="C72" s="118" t="s">
        <v>198</v>
      </c>
      <c r="D72" s="118" t="s">
        <v>198</v>
      </c>
      <c r="E72" s="118" t="s">
        <v>96</v>
      </c>
      <c r="F72" s="119" t="s">
        <v>92</v>
      </c>
      <c r="G72" s="124" t="s">
        <v>259</v>
      </c>
      <c r="H72" s="118" t="str">
        <f t="shared" si="6"/>
        <v>1 yard Extra</v>
      </c>
      <c r="I72" s="120" t="s">
        <v>265</v>
      </c>
      <c r="J72" s="120">
        <f>References!$C$32</f>
        <v>175</v>
      </c>
      <c r="K72" s="121">
        <f>References!$C$14</f>
        <v>1</v>
      </c>
      <c r="L72" s="122">
        <f>IFERROR(+INDEX('Murrey''s Price Out 2022'!AG:AG,MATCH(C72,'Murrey''s Price Out 2022'!C:C,0)),0)</f>
        <v>1</v>
      </c>
      <c r="M72" s="122">
        <f t="shared" si="7"/>
        <v>1</v>
      </c>
      <c r="R72" s="22"/>
    </row>
    <row r="73" spans="1:24">
      <c r="A73" s="118" t="s">
        <v>144</v>
      </c>
      <c r="B73" s="118" t="s">
        <v>155</v>
      </c>
      <c r="C73" s="118" t="s">
        <v>213</v>
      </c>
      <c r="D73" s="118" t="s">
        <v>198</v>
      </c>
      <c r="E73" s="118" t="s">
        <v>96</v>
      </c>
      <c r="F73" s="119" t="s">
        <v>92</v>
      </c>
      <c r="G73" s="124" t="s">
        <v>259</v>
      </c>
      <c r="H73" s="118" t="str">
        <f t="shared" si="6"/>
        <v>1 yard Extra</v>
      </c>
      <c r="I73" s="120" t="s">
        <v>265</v>
      </c>
      <c r="J73" s="120">
        <f>References!$C$32</f>
        <v>175</v>
      </c>
      <c r="K73" s="121">
        <f>References!$C$14</f>
        <v>1</v>
      </c>
      <c r="L73" s="122">
        <f>IFERROR(+INDEX('Murrey''s Price Out 2022'!AG:AG,MATCH(C73,'Murrey''s Price Out 2022'!C:C,0)),0)</f>
        <v>18</v>
      </c>
      <c r="M73" s="122">
        <f t="shared" si="7"/>
        <v>18</v>
      </c>
      <c r="R73" s="22"/>
    </row>
    <row r="74" spans="1:24">
      <c r="A74" s="118" t="s">
        <v>144</v>
      </c>
      <c r="B74" s="118" t="s">
        <v>155</v>
      </c>
      <c r="C74" s="118" t="s">
        <v>214</v>
      </c>
      <c r="D74" s="118" t="s">
        <v>214</v>
      </c>
      <c r="E74" s="118" t="s">
        <v>96</v>
      </c>
      <c r="F74" s="119" t="s">
        <v>92</v>
      </c>
      <c r="G74" s="118" t="s">
        <v>614</v>
      </c>
      <c r="H74" s="118" t="str">
        <f t="shared" si="6"/>
        <v>1 yard Temp</v>
      </c>
      <c r="I74" s="120" t="s">
        <v>265</v>
      </c>
      <c r="J74" s="120">
        <f>References!$C$32</f>
        <v>175</v>
      </c>
      <c r="K74" s="121">
        <f>References!$C$14</f>
        <v>1</v>
      </c>
      <c r="L74" s="122">
        <f>IFERROR(+INDEX('Murrey''s Price Out 2022'!AG:AG,MATCH(C74,'Murrey''s Price Out 2022'!C:C,0)),0)</f>
        <v>102.61670452981089</v>
      </c>
      <c r="M74" s="122">
        <f t="shared" si="7"/>
        <v>102.61670452981089</v>
      </c>
      <c r="R74" s="22"/>
    </row>
    <row r="75" spans="1:24">
      <c r="A75" s="118" t="s">
        <v>144</v>
      </c>
      <c r="B75" s="118" t="s">
        <v>155</v>
      </c>
      <c r="C75" s="118" t="s">
        <v>85</v>
      </c>
      <c r="D75" s="118" t="s">
        <v>85</v>
      </c>
      <c r="E75" s="118" t="s">
        <v>98</v>
      </c>
      <c r="F75" s="119" t="s">
        <v>92</v>
      </c>
      <c r="G75" s="118" t="s">
        <v>258</v>
      </c>
      <c r="H75" s="118" t="str">
        <f t="shared" si="6"/>
        <v>2 yard Regular</v>
      </c>
      <c r="I75" s="120" t="s">
        <v>271</v>
      </c>
      <c r="J75" s="120">
        <f>References!$C$34</f>
        <v>324</v>
      </c>
      <c r="K75" s="121">
        <f>References!$C$11</f>
        <v>4.333333333333333</v>
      </c>
      <c r="L75" s="122">
        <f>IFERROR(+INDEX('Murrey''s Price Out 2022'!AG:AG,MATCH(C75,'Murrey''s Price Out 2022'!C:C,0)),0)</f>
        <v>328.99944158031099</v>
      </c>
      <c r="M75" s="122">
        <f t="shared" si="7"/>
        <v>1425.6642468480143</v>
      </c>
      <c r="R75" s="22"/>
    </row>
    <row r="76" spans="1:24">
      <c r="A76" s="118" t="s">
        <v>144</v>
      </c>
      <c r="B76" s="118" t="s">
        <v>155</v>
      </c>
      <c r="C76" s="118" t="s">
        <v>132</v>
      </c>
      <c r="D76" s="118" t="s">
        <v>85</v>
      </c>
      <c r="E76" s="118" t="s">
        <v>98</v>
      </c>
      <c r="F76" s="119" t="s">
        <v>92</v>
      </c>
      <c r="G76" s="118" t="s">
        <v>258</v>
      </c>
      <c r="H76" s="118" t="str">
        <f t="shared" si="6"/>
        <v>2 yard Regular</v>
      </c>
      <c r="I76" s="120" t="s">
        <v>271</v>
      </c>
      <c r="J76" s="120">
        <f>References!$C$34</f>
        <v>324</v>
      </c>
      <c r="K76" s="121">
        <f>References!$C$11</f>
        <v>4.333333333333333</v>
      </c>
      <c r="L76" s="122">
        <f>IFERROR(+INDEX('Murrey''s Price Out 2022'!AG:AG,MATCH(C76,'Murrey''s Price Out 2022'!C:C,0)),0)</f>
        <v>5288.738594574379</v>
      </c>
      <c r="M76" s="122">
        <f t="shared" si="7"/>
        <v>22917.867243155641</v>
      </c>
      <c r="R76" s="22"/>
    </row>
    <row r="77" spans="1:24">
      <c r="A77" s="118" t="s">
        <v>144</v>
      </c>
      <c r="B77" s="118" t="s">
        <v>155</v>
      </c>
      <c r="C77" s="118" t="s">
        <v>86</v>
      </c>
      <c r="D77" s="118" t="s">
        <v>85</v>
      </c>
      <c r="E77" s="118" t="s">
        <v>98</v>
      </c>
      <c r="F77" s="119" t="s">
        <v>92</v>
      </c>
      <c r="G77" s="118" t="s">
        <v>258</v>
      </c>
      <c r="H77" s="118" t="str">
        <f t="shared" si="6"/>
        <v>2 yard Regular</v>
      </c>
      <c r="I77" s="120" t="s">
        <v>271</v>
      </c>
      <c r="J77" s="120">
        <f>References!$C$34</f>
        <v>324</v>
      </c>
      <c r="K77" s="121">
        <f>References!$C$10</f>
        <v>8.6666666666666661</v>
      </c>
      <c r="L77" s="122">
        <f>IFERROR(+INDEX('Murrey''s Price Out 2022'!AG:AG,MATCH(C77,'Murrey''s Price Out 2022'!C:C,0)),0)</f>
        <v>75.222117006019403</v>
      </c>
      <c r="M77" s="122">
        <f t="shared" si="7"/>
        <v>651.92501405216808</v>
      </c>
      <c r="R77" s="22"/>
    </row>
    <row r="78" spans="1:24">
      <c r="A78" s="118" t="s">
        <v>144</v>
      </c>
      <c r="B78" s="118" t="s">
        <v>155</v>
      </c>
      <c r="C78" s="118" t="s">
        <v>133</v>
      </c>
      <c r="D78" s="118" t="s">
        <v>85</v>
      </c>
      <c r="E78" s="118" t="s">
        <v>98</v>
      </c>
      <c r="F78" s="119" t="s">
        <v>92</v>
      </c>
      <c r="G78" s="118" t="s">
        <v>258</v>
      </c>
      <c r="H78" s="118" t="str">
        <f t="shared" si="6"/>
        <v>2 yard Regular</v>
      </c>
      <c r="I78" s="120" t="s">
        <v>271</v>
      </c>
      <c r="J78" s="120">
        <f>References!$C$34</f>
        <v>324</v>
      </c>
      <c r="K78" s="121">
        <f>References!$C$10</f>
        <v>8.6666666666666661</v>
      </c>
      <c r="L78" s="122">
        <f>IFERROR(+INDEX('Murrey''s Price Out 2022'!AG:AG,MATCH(C78,'Murrey''s Price Out 2022'!C:C,0)),0)</f>
        <v>1144.2217403232307</v>
      </c>
      <c r="M78" s="122">
        <f t="shared" si="7"/>
        <v>9916.5884161346657</v>
      </c>
      <c r="R78" s="22"/>
    </row>
    <row r="79" spans="1:24">
      <c r="A79" s="118" t="s">
        <v>144</v>
      </c>
      <c r="B79" s="118" t="s">
        <v>155</v>
      </c>
      <c r="C79" s="118" t="s">
        <v>120</v>
      </c>
      <c r="D79" s="118" t="s">
        <v>85</v>
      </c>
      <c r="E79" s="118" t="s">
        <v>98</v>
      </c>
      <c r="F79" s="119" t="s">
        <v>92</v>
      </c>
      <c r="G79" s="118" t="s">
        <v>258</v>
      </c>
      <c r="H79" s="118" t="str">
        <f t="shared" si="6"/>
        <v>2 yard Regular</v>
      </c>
      <c r="I79" s="120" t="s">
        <v>271</v>
      </c>
      <c r="J79" s="120">
        <f>References!$C$34</f>
        <v>324</v>
      </c>
      <c r="K79" s="121">
        <f>References!$C$9</f>
        <v>13</v>
      </c>
      <c r="L79" s="122">
        <f>IFERROR(+INDEX('Murrey''s Price Out 2022'!AG:AG,MATCH(C79,'Murrey''s Price Out 2022'!C:C,0)),0)</f>
        <v>24</v>
      </c>
      <c r="M79" s="122">
        <f t="shared" si="7"/>
        <v>312</v>
      </c>
      <c r="R79" s="22"/>
    </row>
    <row r="80" spans="1:24">
      <c r="A80" s="118" t="s">
        <v>144</v>
      </c>
      <c r="B80" s="118" t="s">
        <v>155</v>
      </c>
      <c r="C80" s="118" t="s">
        <v>134</v>
      </c>
      <c r="D80" s="118" t="s">
        <v>85</v>
      </c>
      <c r="E80" s="118" t="s">
        <v>98</v>
      </c>
      <c r="F80" s="119" t="s">
        <v>92</v>
      </c>
      <c r="G80" s="118" t="s">
        <v>258</v>
      </c>
      <c r="H80" s="118" t="str">
        <f t="shared" si="6"/>
        <v>2 yard Regular</v>
      </c>
      <c r="I80" s="120" t="s">
        <v>271</v>
      </c>
      <c r="J80" s="120">
        <f>References!$C$34</f>
        <v>324</v>
      </c>
      <c r="K80" s="121">
        <f>References!$C$9</f>
        <v>13</v>
      </c>
      <c r="L80" s="122">
        <f>IFERROR(+INDEX('Murrey''s Price Out 2022'!AG:AG,MATCH(C80,'Murrey''s Price Out 2022'!C:C,0)),0)</f>
        <v>306.86107032717547</v>
      </c>
      <c r="M80" s="122">
        <f t="shared" si="7"/>
        <v>3989.193914253281</v>
      </c>
    </row>
    <row r="81" spans="1:15">
      <c r="A81" s="118" t="s">
        <v>144</v>
      </c>
      <c r="B81" s="118" t="s">
        <v>155</v>
      </c>
      <c r="C81" s="118" t="s">
        <v>135</v>
      </c>
      <c r="D81" s="118" t="s">
        <v>85</v>
      </c>
      <c r="E81" s="118" t="s">
        <v>98</v>
      </c>
      <c r="F81" s="119" t="s">
        <v>92</v>
      </c>
      <c r="G81" s="118" t="s">
        <v>258</v>
      </c>
      <c r="H81" s="118" t="str">
        <f t="shared" si="6"/>
        <v>2 yard Regular</v>
      </c>
      <c r="I81" s="120" t="s">
        <v>271</v>
      </c>
      <c r="J81" s="120">
        <f>References!$C$34</f>
        <v>324</v>
      </c>
      <c r="K81" s="121">
        <f>References!$C$8</f>
        <v>17.333333333333332</v>
      </c>
      <c r="L81" s="122">
        <f>IFERROR(+INDEX('Murrey''s Price Out 2022'!AG:AG,MATCH(C81,'Murrey''s Price Out 2022'!C:C,0)),0)</f>
        <v>16</v>
      </c>
      <c r="M81" s="122">
        <f t="shared" si="7"/>
        <v>277.33333333333331</v>
      </c>
    </row>
    <row r="82" spans="1:15">
      <c r="A82" s="118" t="s">
        <v>144</v>
      </c>
      <c r="B82" s="118" t="s">
        <v>155</v>
      </c>
      <c r="C82" s="118" t="s">
        <v>136</v>
      </c>
      <c r="D82" s="118" t="s">
        <v>85</v>
      </c>
      <c r="E82" s="118" t="s">
        <v>98</v>
      </c>
      <c r="F82" s="119" t="s">
        <v>92</v>
      </c>
      <c r="G82" s="118" t="s">
        <v>258</v>
      </c>
      <c r="H82" s="118" t="str">
        <f t="shared" si="6"/>
        <v>2 yard Regular</v>
      </c>
      <c r="I82" s="120" t="s">
        <v>271</v>
      </c>
      <c r="J82" s="120">
        <f>References!$C$34</f>
        <v>324</v>
      </c>
      <c r="K82" s="121">
        <f>References!$C$7</f>
        <v>21.666666666666668</v>
      </c>
      <c r="L82" s="122">
        <f>IFERROR(+INDEX('Murrey''s Price Out 2022'!AG:AG,MATCH(C82,'Murrey''s Price Out 2022'!C:C,0)),0)</f>
        <v>38</v>
      </c>
      <c r="M82" s="122">
        <f t="shared" si="7"/>
        <v>823.33333333333337</v>
      </c>
    </row>
    <row r="83" spans="1:15">
      <c r="A83" s="118" t="s">
        <v>144</v>
      </c>
      <c r="B83" s="118" t="s">
        <v>155</v>
      </c>
      <c r="C83" s="118" t="s">
        <v>199</v>
      </c>
      <c r="D83" s="118" t="s">
        <v>199</v>
      </c>
      <c r="E83" s="118" t="s">
        <v>98</v>
      </c>
      <c r="F83" s="119" t="s">
        <v>92</v>
      </c>
      <c r="G83" s="124" t="s">
        <v>259</v>
      </c>
      <c r="H83" s="118" t="str">
        <f t="shared" si="6"/>
        <v>2 yard Extra</v>
      </c>
      <c r="I83" s="120" t="s">
        <v>271</v>
      </c>
      <c r="J83" s="120">
        <f>References!$C$34</f>
        <v>324</v>
      </c>
      <c r="K83" s="121">
        <f>References!$C$14</f>
        <v>1</v>
      </c>
      <c r="L83" s="122">
        <f>IFERROR(+INDEX('Murrey''s Price Out 2022'!AG:AG,MATCH(C83,'Murrey''s Price Out 2022'!C:C,0)),0)</f>
        <v>5</v>
      </c>
      <c r="M83" s="122">
        <f t="shared" si="7"/>
        <v>5</v>
      </c>
    </row>
    <row r="84" spans="1:15">
      <c r="A84" s="118" t="s">
        <v>144</v>
      </c>
      <c r="B84" s="118" t="s">
        <v>155</v>
      </c>
      <c r="C84" s="118" t="s">
        <v>215</v>
      </c>
      <c r="D84" s="118" t="s">
        <v>199</v>
      </c>
      <c r="E84" s="118" t="s">
        <v>98</v>
      </c>
      <c r="F84" s="119" t="s">
        <v>92</v>
      </c>
      <c r="G84" s="124" t="s">
        <v>259</v>
      </c>
      <c r="H84" s="118" t="str">
        <f t="shared" si="6"/>
        <v>2 yard Extra</v>
      </c>
      <c r="I84" s="120" t="s">
        <v>271</v>
      </c>
      <c r="J84" s="120">
        <f>References!$C$34</f>
        <v>324</v>
      </c>
      <c r="K84" s="121">
        <f>References!$C$14</f>
        <v>1</v>
      </c>
      <c r="L84" s="122">
        <f>IFERROR(+INDEX('Murrey''s Price Out 2022'!AG:AG,MATCH(C84,'Murrey''s Price Out 2022'!C:C,0)),0)</f>
        <v>70.005989403363287</v>
      </c>
      <c r="M84" s="122">
        <f t="shared" si="7"/>
        <v>70.005989403363287</v>
      </c>
    </row>
    <row r="85" spans="1:15">
      <c r="A85" s="118" t="s">
        <v>144</v>
      </c>
      <c r="B85" s="118" t="s">
        <v>155</v>
      </c>
      <c r="C85" s="118" t="s">
        <v>138</v>
      </c>
      <c r="D85" s="118" t="s">
        <v>138</v>
      </c>
      <c r="E85" s="118" t="s">
        <v>98</v>
      </c>
      <c r="F85" s="119" t="s">
        <v>92</v>
      </c>
      <c r="G85" s="118" t="s">
        <v>614</v>
      </c>
      <c r="H85" s="118" t="str">
        <f t="shared" si="6"/>
        <v>2 yard Temp</v>
      </c>
      <c r="I85" s="120" t="s">
        <v>271</v>
      </c>
      <c r="J85" s="120">
        <f>References!$C$34</f>
        <v>324</v>
      </c>
      <c r="K85" s="121">
        <f>References!$C$14</f>
        <v>1</v>
      </c>
      <c r="L85" s="122">
        <f>IFERROR(+INDEX('Murrey''s Price Out 2022'!AG:AG,MATCH(C85,'Murrey''s Price Out 2022'!C:C,0)),0)</f>
        <v>545.30045169832681</v>
      </c>
      <c r="M85" s="122">
        <f t="shared" si="7"/>
        <v>545.30045169832681</v>
      </c>
    </row>
    <row r="86" spans="1:15">
      <c r="A86" s="118" t="s">
        <v>144</v>
      </c>
      <c r="B86" s="118" t="s">
        <v>155</v>
      </c>
      <c r="C86" s="118" t="s">
        <v>121</v>
      </c>
      <c r="D86" s="118" t="s">
        <v>121</v>
      </c>
      <c r="E86" s="118" t="s">
        <v>99</v>
      </c>
      <c r="F86" s="119" t="s">
        <v>92</v>
      </c>
      <c r="G86" s="118" t="s">
        <v>258</v>
      </c>
      <c r="H86" s="118" t="str">
        <f t="shared" si="6"/>
        <v>4 yard Regular</v>
      </c>
      <c r="I86" s="120" t="s">
        <v>268</v>
      </c>
      <c r="J86" s="120">
        <f>References!$C$36</f>
        <v>613</v>
      </c>
      <c r="K86" s="121">
        <f>References!$C$11</f>
        <v>4.333333333333333</v>
      </c>
      <c r="L86" s="122">
        <f>IFERROR(+INDEX('Murrey''s Price Out 2022'!AG:AG,MATCH(C86,'Murrey''s Price Out 2022'!C:C,0)),0)</f>
        <v>2158.4189335343121</v>
      </c>
      <c r="M86" s="122">
        <f t="shared" si="7"/>
        <v>9353.1487119820194</v>
      </c>
    </row>
    <row r="87" spans="1:15">
      <c r="A87" s="118" t="s">
        <v>144</v>
      </c>
      <c r="B87" s="118" t="s">
        <v>155</v>
      </c>
      <c r="C87" s="118" t="s">
        <v>122</v>
      </c>
      <c r="D87" s="118" t="s">
        <v>121</v>
      </c>
      <c r="E87" s="118" t="s">
        <v>99</v>
      </c>
      <c r="F87" s="119" t="s">
        <v>92</v>
      </c>
      <c r="G87" s="118" t="s">
        <v>258</v>
      </c>
      <c r="H87" s="118" t="str">
        <f t="shared" si="6"/>
        <v>4 yard Regular</v>
      </c>
      <c r="I87" s="120" t="s">
        <v>268</v>
      </c>
      <c r="J87" s="120">
        <f>References!$C$36</f>
        <v>613</v>
      </c>
      <c r="K87" s="121">
        <f>References!$C$10</f>
        <v>8.6666666666666661</v>
      </c>
      <c r="L87" s="122">
        <f>IFERROR(+INDEX('Murrey''s Price Out 2022'!AG:AG,MATCH(C87,'Murrey''s Price Out 2022'!C:C,0)),0)</f>
        <v>368.12418567565237</v>
      </c>
      <c r="M87" s="122">
        <f t="shared" si="7"/>
        <v>3190.4096091889869</v>
      </c>
    </row>
    <row r="88" spans="1:15">
      <c r="A88" s="118" t="s">
        <v>144</v>
      </c>
      <c r="B88" s="118" t="s">
        <v>155</v>
      </c>
      <c r="C88" s="118" t="s">
        <v>123</v>
      </c>
      <c r="D88" s="118" t="s">
        <v>121</v>
      </c>
      <c r="E88" s="118" t="s">
        <v>99</v>
      </c>
      <c r="F88" s="119" t="s">
        <v>92</v>
      </c>
      <c r="G88" s="118" t="s">
        <v>258</v>
      </c>
      <c r="H88" s="118" t="str">
        <f t="shared" si="6"/>
        <v>4 yard Regular</v>
      </c>
      <c r="I88" s="120" t="s">
        <v>268</v>
      </c>
      <c r="J88" s="120">
        <f>References!$C$36</f>
        <v>613</v>
      </c>
      <c r="K88" s="121">
        <f>References!$C$9</f>
        <v>13</v>
      </c>
      <c r="L88" s="122">
        <f>IFERROR(+INDEX('Murrey''s Price Out 2022'!AG:AG,MATCH(C88,'Murrey''s Price Out 2022'!C:C,0)),0)</f>
        <v>49</v>
      </c>
      <c r="M88" s="122">
        <f t="shared" si="7"/>
        <v>637</v>
      </c>
    </row>
    <row r="89" spans="1:15">
      <c r="A89" s="118" t="s">
        <v>144</v>
      </c>
      <c r="B89" s="118" t="s">
        <v>155</v>
      </c>
      <c r="C89" s="118" t="s">
        <v>200</v>
      </c>
      <c r="D89" s="118" t="s">
        <v>121</v>
      </c>
      <c r="E89" s="118" t="s">
        <v>99</v>
      </c>
      <c r="F89" s="119" t="s">
        <v>92</v>
      </c>
      <c r="G89" s="118" t="s">
        <v>258</v>
      </c>
      <c r="H89" s="118" t="str">
        <f t="shared" si="6"/>
        <v>4 yard Regular</v>
      </c>
      <c r="I89" s="120" t="s">
        <v>268</v>
      </c>
      <c r="J89" s="120">
        <f>References!$C$36</f>
        <v>613</v>
      </c>
      <c r="K89" s="121">
        <f>References!$C$8</f>
        <v>17.333333333333332</v>
      </c>
      <c r="L89" s="122">
        <f>IFERROR(+INDEX('Murrey''s Price Out 2022'!AG:AG,MATCH(C89,'Murrey''s Price Out 2022'!C:C,0)),0)</f>
        <v>0.49999627263442742</v>
      </c>
      <c r="M89" s="122">
        <f t="shared" si="7"/>
        <v>8.666602058996741</v>
      </c>
    </row>
    <row r="90" spans="1:15">
      <c r="A90" s="118" t="s">
        <v>144</v>
      </c>
      <c r="B90" s="118" t="s">
        <v>155</v>
      </c>
      <c r="C90" s="118" t="s">
        <v>201</v>
      </c>
      <c r="D90" s="118" t="s">
        <v>201</v>
      </c>
      <c r="E90" s="118" t="s">
        <v>99</v>
      </c>
      <c r="F90" s="119" t="s">
        <v>92</v>
      </c>
      <c r="G90" s="124" t="s">
        <v>259</v>
      </c>
      <c r="H90" s="118" t="str">
        <f t="shared" si="6"/>
        <v>4 yard Extra</v>
      </c>
      <c r="I90" s="120" t="s">
        <v>268</v>
      </c>
      <c r="J90" s="120">
        <f>References!$C$36</f>
        <v>613</v>
      </c>
      <c r="K90" s="121">
        <f>References!$C$14</f>
        <v>1</v>
      </c>
      <c r="L90" s="122">
        <f>IFERROR(+INDEX('Murrey''s Price Out 2022'!AG:AG,MATCH(C90,'Murrey''s Price Out 2022'!C:C,0)),0)</f>
        <v>72.995384807284523</v>
      </c>
      <c r="M90" s="122">
        <f t="shared" si="7"/>
        <v>72.995384807284523</v>
      </c>
    </row>
    <row r="91" spans="1:15">
      <c r="A91" s="118" t="s">
        <v>144</v>
      </c>
      <c r="B91" s="118" t="s">
        <v>155</v>
      </c>
      <c r="C91" s="118" t="s">
        <v>242</v>
      </c>
      <c r="D91" s="118" t="s">
        <v>242</v>
      </c>
      <c r="E91" s="118" t="s">
        <v>99</v>
      </c>
      <c r="F91" s="119" t="s">
        <v>92</v>
      </c>
      <c r="G91" s="124" t="s">
        <v>614</v>
      </c>
      <c r="H91" s="118" t="str">
        <f t="shared" si="6"/>
        <v>4 yard Temp</v>
      </c>
      <c r="I91" s="120" t="s">
        <v>268</v>
      </c>
      <c r="J91" s="120">
        <f>References!$C$36</f>
        <v>613</v>
      </c>
      <c r="K91" s="121">
        <f>References!$C$14</f>
        <v>1</v>
      </c>
      <c r="L91" s="122">
        <f>IFERROR(+INDEX('Murrey''s Price Out 2022'!AG:AG,MATCH(C91,'Murrey''s Price Out 2022'!C:C,0)),0)</f>
        <v>0</v>
      </c>
      <c r="M91" s="122">
        <f t="shared" si="7"/>
        <v>12</v>
      </c>
      <c r="O91" s="7"/>
    </row>
    <row r="92" spans="1:15">
      <c r="A92" s="118" t="s">
        <v>144</v>
      </c>
      <c r="B92" s="118" t="s">
        <v>155</v>
      </c>
      <c r="C92" s="118" t="s">
        <v>124</v>
      </c>
      <c r="D92" s="118" t="s">
        <v>124</v>
      </c>
      <c r="E92" s="118" t="s">
        <v>100</v>
      </c>
      <c r="F92" s="119" t="s">
        <v>92</v>
      </c>
      <c r="G92" s="118" t="s">
        <v>258</v>
      </c>
      <c r="H92" s="118" t="str">
        <f t="shared" si="6"/>
        <v>6 yard Regular</v>
      </c>
      <c r="I92" s="120" t="s">
        <v>269</v>
      </c>
      <c r="J92" s="120">
        <f>References!$C$37</f>
        <v>840</v>
      </c>
      <c r="K92" s="121">
        <f>References!$C$11</f>
        <v>4.333333333333333</v>
      </c>
      <c r="L92" s="122">
        <f>IFERROR(+INDEX('Murrey''s Price Out 2022'!AG:AG,MATCH(C92,'Murrey''s Price Out 2022'!C:C,0)),0)</f>
        <v>1773.5398038016651</v>
      </c>
      <c r="M92" s="122">
        <f t="shared" si="7"/>
        <v>7685.3391498072151</v>
      </c>
    </row>
    <row r="93" spans="1:15">
      <c r="A93" s="118" t="s">
        <v>144</v>
      </c>
      <c r="B93" s="118" t="s">
        <v>155</v>
      </c>
      <c r="C93" s="118" t="s">
        <v>125</v>
      </c>
      <c r="D93" s="118" t="s">
        <v>124</v>
      </c>
      <c r="E93" s="118" t="s">
        <v>100</v>
      </c>
      <c r="F93" s="119" t="s">
        <v>92</v>
      </c>
      <c r="G93" s="118" t="s">
        <v>258</v>
      </c>
      <c r="H93" s="118" t="str">
        <f t="shared" si="6"/>
        <v>6 yard Regular</v>
      </c>
      <c r="I93" s="120" t="s">
        <v>269</v>
      </c>
      <c r="J93" s="120">
        <f>References!$C$37</f>
        <v>840</v>
      </c>
      <c r="K93" s="121">
        <f>References!$C$10</f>
        <v>8.6666666666666661</v>
      </c>
      <c r="L93" s="122">
        <f>IFERROR(+INDEX('Murrey''s Price Out 2022'!AG:AG,MATCH(C93,'Murrey''s Price Out 2022'!C:C,0)),0)</f>
        <v>1322.3143552247946</v>
      </c>
      <c r="M93" s="122">
        <f t="shared" si="7"/>
        <v>11460.057745281552</v>
      </c>
    </row>
    <row r="94" spans="1:15">
      <c r="A94" s="118" t="s">
        <v>144</v>
      </c>
      <c r="B94" s="118" t="s">
        <v>155</v>
      </c>
      <c r="C94" s="118" t="s">
        <v>126</v>
      </c>
      <c r="D94" s="118" t="s">
        <v>124</v>
      </c>
      <c r="E94" s="118" t="s">
        <v>100</v>
      </c>
      <c r="F94" s="119" t="s">
        <v>92</v>
      </c>
      <c r="G94" s="118" t="s">
        <v>258</v>
      </c>
      <c r="H94" s="118" t="str">
        <f t="shared" si="6"/>
        <v>6 yard Regular</v>
      </c>
      <c r="I94" s="120" t="s">
        <v>269</v>
      </c>
      <c r="J94" s="120">
        <f>References!$C$37</f>
        <v>840</v>
      </c>
      <c r="K94" s="121">
        <f>References!$C$9</f>
        <v>13</v>
      </c>
      <c r="L94" s="122">
        <f>IFERROR(+INDEX('Murrey''s Price Out 2022'!AG:AG,MATCH(C94,'Murrey''s Price Out 2022'!C:C,0)),0)</f>
        <v>245.64212895655422</v>
      </c>
      <c r="M94" s="122">
        <f t="shared" si="7"/>
        <v>3193.3476764352049</v>
      </c>
    </row>
    <row r="95" spans="1:15">
      <c r="A95" s="118" t="s">
        <v>144</v>
      </c>
      <c r="B95" s="118" t="s">
        <v>155</v>
      </c>
      <c r="C95" s="118" t="s">
        <v>127</v>
      </c>
      <c r="D95" s="118" t="s">
        <v>124</v>
      </c>
      <c r="E95" s="118" t="s">
        <v>100</v>
      </c>
      <c r="F95" s="119" t="s">
        <v>92</v>
      </c>
      <c r="G95" s="118" t="s">
        <v>258</v>
      </c>
      <c r="H95" s="118" t="str">
        <f t="shared" si="6"/>
        <v>6 yard Regular</v>
      </c>
      <c r="I95" s="120" t="s">
        <v>269</v>
      </c>
      <c r="J95" s="120">
        <f>References!$C$37</f>
        <v>840</v>
      </c>
      <c r="K95" s="121">
        <f>References!$C$8</f>
        <v>17.333333333333332</v>
      </c>
      <c r="L95" s="122">
        <f>IFERROR(+INDEX('Murrey''s Price Out 2022'!AG:AG,MATCH(C95,'Murrey''s Price Out 2022'!C:C,0)),0)</f>
        <v>18.029409558508359</v>
      </c>
      <c r="M95" s="122">
        <f t="shared" si="7"/>
        <v>312.50976568081154</v>
      </c>
    </row>
    <row r="96" spans="1:15">
      <c r="A96" s="118" t="s">
        <v>144</v>
      </c>
      <c r="B96" s="118" t="s">
        <v>155</v>
      </c>
      <c r="C96" s="118" t="s">
        <v>128</v>
      </c>
      <c r="D96" s="118" t="s">
        <v>124</v>
      </c>
      <c r="E96" s="118" t="s">
        <v>100</v>
      </c>
      <c r="F96" s="119" t="s">
        <v>92</v>
      </c>
      <c r="G96" s="118" t="s">
        <v>258</v>
      </c>
      <c r="H96" s="118" t="str">
        <f t="shared" si="6"/>
        <v>6 yard Regular</v>
      </c>
      <c r="I96" s="120" t="s">
        <v>269</v>
      </c>
      <c r="J96" s="120">
        <f>References!$C$37</f>
        <v>840</v>
      </c>
      <c r="K96" s="121">
        <f>References!$C$7</f>
        <v>21.666666666666668</v>
      </c>
      <c r="L96" s="122">
        <f>IFERROR(+INDEX('Murrey''s Price Out 2022'!AG:AG,MATCH(C96,'Murrey''s Price Out 2022'!C:C,0)),0)</f>
        <v>220.26808800014265</v>
      </c>
      <c r="M96" s="122">
        <f t="shared" si="7"/>
        <v>4772.4752400030911</v>
      </c>
    </row>
    <row r="97" spans="1:15">
      <c r="A97" s="118" t="s">
        <v>144</v>
      </c>
      <c r="B97" s="118" t="s">
        <v>155</v>
      </c>
      <c r="C97" s="118" t="s">
        <v>202</v>
      </c>
      <c r="D97" s="118" t="s">
        <v>202</v>
      </c>
      <c r="E97" s="118" t="s">
        <v>100</v>
      </c>
      <c r="F97" s="119" t="s">
        <v>92</v>
      </c>
      <c r="G97" s="124" t="s">
        <v>259</v>
      </c>
      <c r="H97" s="118" t="str">
        <f t="shared" si="6"/>
        <v>6 yard Extra</v>
      </c>
      <c r="I97" s="120" t="s">
        <v>269</v>
      </c>
      <c r="J97" s="120">
        <f>References!$C$37</f>
        <v>840</v>
      </c>
      <c r="K97" s="121">
        <f>References!$C$14</f>
        <v>1</v>
      </c>
      <c r="L97" s="122">
        <f>IFERROR(+INDEX('Murrey''s Price Out 2022'!AG:AG,MATCH(C97,'Murrey''s Price Out 2022'!C:C,0)),0)</f>
        <v>188.39677016046397</v>
      </c>
      <c r="M97" s="122">
        <f t="shared" si="7"/>
        <v>188.39677016046397</v>
      </c>
    </row>
    <row r="98" spans="1:15">
      <c r="A98" s="118" t="s">
        <v>144</v>
      </c>
      <c r="B98" s="118" t="s">
        <v>155</v>
      </c>
      <c r="C98" s="118" t="s">
        <v>243</v>
      </c>
      <c r="D98" s="118" t="s">
        <v>243</v>
      </c>
      <c r="E98" s="118" t="s">
        <v>100</v>
      </c>
      <c r="F98" s="119" t="s">
        <v>92</v>
      </c>
      <c r="G98" s="124" t="s">
        <v>614</v>
      </c>
      <c r="H98" s="118" t="str">
        <f t="shared" si="6"/>
        <v>6 yard Temp</v>
      </c>
      <c r="I98" s="120" t="s">
        <v>269</v>
      </c>
      <c r="J98" s="120">
        <f>References!$C$37</f>
        <v>840</v>
      </c>
      <c r="K98" s="121">
        <f>References!$C$14</f>
        <v>1</v>
      </c>
      <c r="L98" s="122">
        <f>IFERROR(+INDEX('Murrey''s Price Out 2022'!AG:AG,MATCH(C98,'Murrey''s Price Out 2022'!C:C,0)),0)</f>
        <v>0</v>
      </c>
      <c r="M98" s="122">
        <f t="shared" si="7"/>
        <v>12</v>
      </c>
      <c r="O98" s="7"/>
    </row>
    <row r="99" spans="1:15">
      <c r="A99" s="118" t="s">
        <v>144</v>
      </c>
      <c r="B99" s="118" t="s">
        <v>156</v>
      </c>
      <c r="C99" s="118" t="s">
        <v>194</v>
      </c>
      <c r="D99" s="351" t="s">
        <v>605</v>
      </c>
      <c r="E99" s="351" t="s">
        <v>168</v>
      </c>
      <c r="F99" s="351" t="s">
        <v>92</v>
      </c>
      <c r="G99" s="351" t="s">
        <v>620</v>
      </c>
      <c r="H99" s="351" t="str">
        <f t="shared" si="6"/>
        <v>20 Gallon Cart per PU</v>
      </c>
      <c r="I99" s="351" t="s">
        <v>261</v>
      </c>
      <c r="J99" s="352">
        <f>References!$C$17</f>
        <v>20</v>
      </c>
      <c r="K99" s="353">
        <v>1</v>
      </c>
      <c r="L99" s="156">
        <f>IFERROR(+INDEX('Murrey''s Price Out 2022'!AG:AG,MATCH(D99,'Murrey''s Price Out 2022'!C:C,0)),0)</f>
        <v>0</v>
      </c>
      <c r="M99" s="156">
        <f t="shared" si="7"/>
        <v>12</v>
      </c>
      <c r="O99" s="7"/>
    </row>
    <row r="100" spans="1:15">
      <c r="A100" s="118" t="s">
        <v>144</v>
      </c>
      <c r="B100" s="118" t="s">
        <v>156</v>
      </c>
      <c r="C100" s="118" t="s">
        <v>194</v>
      </c>
      <c r="D100" s="351" t="s">
        <v>194</v>
      </c>
      <c r="E100" s="351" t="s">
        <v>168</v>
      </c>
      <c r="F100" s="351" t="s">
        <v>147</v>
      </c>
      <c r="G100" s="351" t="s">
        <v>101</v>
      </c>
      <c r="H100" s="351" t="str">
        <f t="shared" si="6"/>
        <v>20 Gallon Cart Minimum</v>
      </c>
      <c r="I100" s="351" t="s">
        <v>261</v>
      </c>
      <c r="J100" s="352">
        <f>References!$C$17</f>
        <v>20</v>
      </c>
      <c r="K100" s="353">
        <f>References!$C$11</f>
        <v>4.333333333333333</v>
      </c>
      <c r="L100" s="156">
        <f>IFERROR(+INDEX('Murrey''s Price Out 2022'!AG:AG,MATCH(D100,'Murrey''s Price Out 2022'!C:C,0)),0)</f>
        <v>65.880813953488371</v>
      </c>
      <c r="M100" s="156">
        <f>IF(L100=0,K100*12,K100*L100)</f>
        <v>285.48352713178292</v>
      </c>
      <c r="O100" s="210"/>
    </row>
    <row r="101" spans="1:15">
      <c r="A101" s="118" t="s">
        <v>144</v>
      </c>
      <c r="B101" s="118" t="s">
        <v>156</v>
      </c>
      <c r="C101" s="118" t="s">
        <v>195</v>
      </c>
      <c r="D101" s="351" t="s">
        <v>606</v>
      </c>
      <c r="E101" s="351" t="s">
        <v>169</v>
      </c>
      <c r="F101" s="351" t="s">
        <v>92</v>
      </c>
      <c r="G101" s="351" t="s">
        <v>620</v>
      </c>
      <c r="H101" s="351" t="str">
        <f t="shared" si="6"/>
        <v>35 Gallon Cart per PU</v>
      </c>
      <c r="I101" s="351" t="s">
        <v>262</v>
      </c>
      <c r="J101" s="352">
        <f>References!$C$18</f>
        <v>34</v>
      </c>
      <c r="K101" s="353">
        <v>1</v>
      </c>
      <c r="L101" s="156">
        <f>IFERROR(+INDEX('Murrey''s Price Out 2022'!AG:AG,MATCH(D101,'Murrey''s Price Out 2022'!C:C,0)),0)</f>
        <v>0</v>
      </c>
      <c r="M101" s="156">
        <f t="shared" si="7"/>
        <v>12</v>
      </c>
      <c r="O101" s="7"/>
    </row>
    <row r="102" spans="1:15">
      <c r="A102" s="118" t="s">
        <v>144</v>
      </c>
      <c r="B102" s="118" t="s">
        <v>156</v>
      </c>
      <c r="C102" s="118" t="s">
        <v>195</v>
      </c>
      <c r="D102" s="351" t="s">
        <v>195</v>
      </c>
      <c r="E102" s="351" t="s">
        <v>169</v>
      </c>
      <c r="F102" s="351" t="s">
        <v>147</v>
      </c>
      <c r="G102" s="351" t="s">
        <v>101</v>
      </c>
      <c r="H102" s="351" t="str">
        <f t="shared" si="6"/>
        <v>35 Gallon Cart Minimum</v>
      </c>
      <c r="I102" s="351" t="s">
        <v>262</v>
      </c>
      <c r="J102" s="352">
        <f>References!$C$18</f>
        <v>34</v>
      </c>
      <c r="K102" s="353">
        <f>References!$C$11</f>
        <v>4.333333333333333</v>
      </c>
      <c r="L102" s="156">
        <f>IFERROR(+INDEX('Murrey''s Price Out 2022'!AG:AG,MATCH(D102,'Murrey''s Price Out 2022'!C:C,0)),0)</f>
        <v>779.54242235065863</v>
      </c>
      <c r="M102" s="156">
        <f t="shared" si="7"/>
        <v>3378.0171635195206</v>
      </c>
    </row>
    <row r="103" spans="1:15">
      <c r="A103" s="118" t="s">
        <v>144</v>
      </c>
      <c r="B103" s="118" t="s">
        <v>156</v>
      </c>
      <c r="C103" s="118" t="s">
        <v>196</v>
      </c>
      <c r="D103" s="351" t="s">
        <v>607</v>
      </c>
      <c r="E103" s="351" t="s">
        <v>170</v>
      </c>
      <c r="F103" s="351" t="s">
        <v>92</v>
      </c>
      <c r="G103" s="351" t="s">
        <v>620</v>
      </c>
      <c r="H103" s="351" t="str">
        <f t="shared" si="6"/>
        <v>65 Gallon Cart per PU</v>
      </c>
      <c r="I103" s="351" t="s">
        <v>263</v>
      </c>
      <c r="J103" s="352">
        <f>References!$C$25</f>
        <v>47</v>
      </c>
      <c r="K103" s="353">
        <v>1</v>
      </c>
      <c r="L103" s="156">
        <f>IFERROR(+INDEX('Murrey''s Price Out 2022'!AG:AG,MATCH(D103,'Murrey''s Price Out 2022'!C:C,0)),0)</f>
        <v>0</v>
      </c>
      <c r="M103" s="156">
        <f t="shared" si="7"/>
        <v>12</v>
      </c>
      <c r="O103" s="7"/>
    </row>
    <row r="104" spans="1:15">
      <c r="A104" s="118" t="s">
        <v>144</v>
      </c>
      <c r="B104" s="118" t="s">
        <v>156</v>
      </c>
      <c r="C104" s="118" t="s">
        <v>196</v>
      </c>
      <c r="D104" s="351" t="s">
        <v>196</v>
      </c>
      <c r="E104" s="351" t="s">
        <v>170</v>
      </c>
      <c r="F104" s="351" t="s">
        <v>147</v>
      </c>
      <c r="G104" s="351" t="s">
        <v>101</v>
      </c>
      <c r="H104" s="351" t="str">
        <f t="shared" si="6"/>
        <v>65 Gallon Cart Minimum</v>
      </c>
      <c r="I104" s="351" t="s">
        <v>263</v>
      </c>
      <c r="J104" s="352">
        <f>References!$C$25</f>
        <v>47</v>
      </c>
      <c r="K104" s="353">
        <f>References!$C$11</f>
        <v>4.333333333333333</v>
      </c>
      <c r="L104" s="156">
        <f>IFERROR(+INDEX('Murrey''s Price Out 2022'!AG:AG,MATCH(D104,'Murrey''s Price Out 2022'!C:C,0)),0)</f>
        <v>861.65130995117136</v>
      </c>
      <c r="M104" s="156">
        <f t="shared" si="7"/>
        <v>3733.8223431217425</v>
      </c>
    </row>
    <row r="105" spans="1:15">
      <c r="A105" s="118" t="s">
        <v>144</v>
      </c>
      <c r="B105" s="118" t="s">
        <v>156</v>
      </c>
      <c r="C105" s="118" t="s">
        <v>197</v>
      </c>
      <c r="D105" s="351" t="s">
        <v>608</v>
      </c>
      <c r="E105" s="351" t="s">
        <v>171</v>
      </c>
      <c r="F105" s="351" t="s">
        <v>92</v>
      </c>
      <c r="G105" s="351" t="s">
        <v>620</v>
      </c>
      <c r="H105" s="351" t="str">
        <f t="shared" si="6"/>
        <v>95 Gallon Cart per PU</v>
      </c>
      <c r="I105" s="351" t="s">
        <v>264</v>
      </c>
      <c r="J105" s="352">
        <f>References!$C$26</f>
        <v>68</v>
      </c>
      <c r="K105" s="353">
        <v>1</v>
      </c>
      <c r="L105" s="156">
        <f>IFERROR(+INDEX('Murrey''s Price Out 2022'!AG:AG,MATCH(D105,'Murrey''s Price Out 2022'!C:C,0)),0)</f>
        <v>0</v>
      </c>
      <c r="M105" s="156">
        <f t="shared" si="7"/>
        <v>12</v>
      </c>
      <c r="O105" s="7"/>
    </row>
    <row r="106" spans="1:15">
      <c r="A106" s="118" t="s">
        <v>144</v>
      </c>
      <c r="B106" s="118" t="s">
        <v>156</v>
      </c>
      <c r="C106" s="118" t="s">
        <v>197</v>
      </c>
      <c r="D106" s="351" t="s">
        <v>197</v>
      </c>
      <c r="E106" s="351" t="s">
        <v>171</v>
      </c>
      <c r="F106" s="351" t="s">
        <v>147</v>
      </c>
      <c r="G106" s="351" t="s">
        <v>101</v>
      </c>
      <c r="H106" s="351" t="str">
        <f t="shared" si="6"/>
        <v>95 Gallon Cart Minimum</v>
      </c>
      <c r="I106" s="351" t="s">
        <v>264</v>
      </c>
      <c r="J106" s="352">
        <f>References!$C$26</f>
        <v>68</v>
      </c>
      <c r="K106" s="353">
        <f>References!$C$11</f>
        <v>4.333333333333333</v>
      </c>
      <c r="L106" s="156">
        <f>IFERROR(+INDEX('Murrey''s Price Out 2022'!AG:AG,MATCH(D106,'Murrey''s Price Out 2022'!C:C,0)),0)</f>
        <v>1002.2462351117928</v>
      </c>
      <c r="M106" s="156">
        <f t="shared" si="7"/>
        <v>4343.0670188177683</v>
      </c>
    </row>
    <row r="107" spans="1:15">
      <c r="A107" s="118" t="s">
        <v>144</v>
      </c>
      <c r="B107" s="118" t="s">
        <v>156</v>
      </c>
      <c r="C107" s="123" t="s">
        <v>216</v>
      </c>
      <c r="D107" s="118" t="s">
        <v>216</v>
      </c>
      <c r="E107" s="118" t="s">
        <v>618</v>
      </c>
      <c r="F107" s="119" t="s">
        <v>92</v>
      </c>
      <c r="G107" s="118" t="s">
        <v>259</v>
      </c>
      <c r="H107" s="118" t="str">
        <f t="shared" si="6"/>
        <v>Can Extra</v>
      </c>
      <c r="I107" s="120" t="s">
        <v>262</v>
      </c>
      <c r="J107" s="120">
        <f>References!$C$30</f>
        <v>29</v>
      </c>
      <c r="K107" s="121">
        <f>References!$C$14</f>
        <v>1</v>
      </c>
      <c r="L107" s="122">
        <f>IFERROR(+INDEX('Murrey''s Price Out 2022'!AG:AG,MATCH(C107,'Murrey''s Price Out 2022'!C:C,0)),0)</f>
        <v>1337.9503633953864</v>
      </c>
      <c r="M107" s="122">
        <f t="shared" si="7"/>
        <v>1337.9503633953864</v>
      </c>
    </row>
    <row r="108" spans="1:15">
      <c r="A108" s="118" t="s">
        <v>144</v>
      </c>
      <c r="B108" s="118" t="s">
        <v>157</v>
      </c>
      <c r="C108" s="118" t="s">
        <v>203</v>
      </c>
      <c r="D108" s="118" t="s">
        <v>203</v>
      </c>
      <c r="E108" s="118" t="s">
        <v>98</v>
      </c>
      <c r="F108" s="119">
        <v>2.25</v>
      </c>
      <c r="G108" s="118" t="s">
        <v>258</v>
      </c>
      <c r="H108" s="118" t="str">
        <f t="shared" si="6"/>
        <v>2 yard Regular</v>
      </c>
      <c r="I108" s="120" t="s">
        <v>271</v>
      </c>
      <c r="J108" s="120">
        <f>References!$C$40</f>
        <v>729</v>
      </c>
      <c r="K108" s="121">
        <f>References!$C$11</f>
        <v>4.333333333333333</v>
      </c>
      <c r="L108" s="122">
        <f>IFERROR(+INDEX('Murrey''s Price Out 2022'!AG:AG,MATCH(C108,'Murrey''s Price Out 2022'!C:C,0)),0)</f>
        <v>12</v>
      </c>
      <c r="M108" s="122">
        <f t="shared" si="7"/>
        <v>52</v>
      </c>
    </row>
    <row r="109" spans="1:15">
      <c r="A109" s="118" t="s">
        <v>144</v>
      </c>
      <c r="B109" s="118" t="s">
        <v>157</v>
      </c>
      <c r="C109" s="118" t="s">
        <v>280</v>
      </c>
      <c r="D109" s="118" t="s">
        <v>280</v>
      </c>
      <c r="E109" s="118" t="s">
        <v>98</v>
      </c>
      <c r="F109" s="119">
        <v>2.25</v>
      </c>
      <c r="G109" s="118" t="s">
        <v>102</v>
      </c>
      <c r="H109" s="118" t="str">
        <f t="shared" si="6"/>
        <v>2 yard Special and Temporary</v>
      </c>
      <c r="I109" s="120" t="s">
        <v>271</v>
      </c>
      <c r="J109" s="120">
        <f>References!$C$40</f>
        <v>729</v>
      </c>
      <c r="K109" s="121">
        <f>References!$C$14</f>
        <v>1</v>
      </c>
      <c r="L109" s="122">
        <f>IFERROR(+INDEX('Murrey''s Price Out 2022'!AG:AG,MATCH(C109,'Murrey''s Price Out 2022'!C:C,0)),0)</f>
        <v>0</v>
      </c>
      <c r="M109" s="122">
        <f t="shared" si="7"/>
        <v>12</v>
      </c>
      <c r="O109" s="7"/>
    </row>
    <row r="110" spans="1:15">
      <c r="A110" s="118" t="s">
        <v>144</v>
      </c>
      <c r="B110" s="118" t="s">
        <v>157</v>
      </c>
      <c r="C110" s="118" t="s">
        <v>204</v>
      </c>
      <c r="D110" s="118" t="s">
        <v>204</v>
      </c>
      <c r="E110" s="118" t="s">
        <v>99</v>
      </c>
      <c r="F110" s="119">
        <v>2.25</v>
      </c>
      <c r="G110" s="118" t="s">
        <v>258</v>
      </c>
      <c r="H110" s="118" t="str">
        <f t="shared" si="6"/>
        <v>4 yard Regular</v>
      </c>
      <c r="I110" s="120" t="s">
        <v>268</v>
      </c>
      <c r="J110" s="120">
        <f>References!$C$41</f>
        <v>1379.25</v>
      </c>
      <c r="K110" s="121">
        <f>References!$C$11</f>
        <v>4.333333333333333</v>
      </c>
      <c r="L110" s="122">
        <f>IFERROR(+INDEX('Murrey''s Price Out 2022'!AG:AG,MATCH(C110,'Murrey''s Price Out 2022'!C:C,0)),0)</f>
        <v>0</v>
      </c>
      <c r="M110" s="122">
        <f t="shared" si="7"/>
        <v>52</v>
      </c>
    </row>
    <row r="111" spans="1:15">
      <c r="A111" s="118" t="s">
        <v>144</v>
      </c>
      <c r="B111" s="118" t="s">
        <v>157</v>
      </c>
      <c r="C111" s="118" t="s">
        <v>278</v>
      </c>
      <c r="D111" s="118" t="s">
        <v>278</v>
      </c>
      <c r="E111" s="118" t="s">
        <v>99</v>
      </c>
      <c r="F111" s="119">
        <v>2.25</v>
      </c>
      <c r="G111" s="118" t="s">
        <v>102</v>
      </c>
      <c r="H111" s="118" t="str">
        <f t="shared" si="6"/>
        <v>4 yard Special and Temporary</v>
      </c>
      <c r="I111" s="120" t="s">
        <v>268</v>
      </c>
      <c r="J111" s="120">
        <f>References!$C$41</f>
        <v>1379.25</v>
      </c>
      <c r="K111" s="121">
        <f>References!$C$14</f>
        <v>1</v>
      </c>
      <c r="L111" s="122">
        <f>IFERROR(+INDEX('Murrey''s Price Out 2022'!AG:AG,MATCH(C111,'Murrey''s Price Out 2022'!C:C,0)),0)</f>
        <v>0</v>
      </c>
      <c r="M111" s="122">
        <f t="shared" si="7"/>
        <v>12</v>
      </c>
      <c r="O111" s="7"/>
    </row>
    <row r="112" spans="1:15">
      <c r="A112" s="118" t="s">
        <v>144</v>
      </c>
      <c r="B112" s="118" t="s">
        <v>157</v>
      </c>
      <c r="C112" s="118" t="s">
        <v>238</v>
      </c>
      <c r="D112" s="118" t="s">
        <v>238</v>
      </c>
      <c r="E112" s="118" t="s">
        <v>100</v>
      </c>
      <c r="F112" s="119">
        <v>2.25</v>
      </c>
      <c r="G112" s="118" t="s">
        <v>258</v>
      </c>
      <c r="H112" s="118" t="str">
        <f t="shared" si="6"/>
        <v>6 yard Regular</v>
      </c>
      <c r="I112" s="120" t="s">
        <v>269</v>
      </c>
      <c r="J112" s="120">
        <f>References!$C$42</f>
        <v>1890</v>
      </c>
      <c r="K112" s="121">
        <f>References!$C$11</f>
        <v>4.333333333333333</v>
      </c>
      <c r="L112" s="122">
        <f>IFERROR(+INDEX('Murrey''s Price Out 2022'!AG:AG,MATCH(C112,'Murrey''s Price Out 2022'!C:C,0)),0)</f>
        <v>0</v>
      </c>
      <c r="M112" s="122">
        <f t="shared" si="7"/>
        <v>52</v>
      </c>
      <c r="O112" s="7"/>
    </row>
    <row r="113" spans="1:15">
      <c r="A113" s="118" t="s">
        <v>144</v>
      </c>
      <c r="B113" s="118" t="s">
        <v>157</v>
      </c>
      <c r="C113" s="118" t="s">
        <v>279</v>
      </c>
      <c r="D113" s="118" t="s">
        <v>279</v>
      </c>
      <c r="E113" s="118" t="s">
        <v>100</v>
      </c>
      <c r="F113" s="119">
        <v>2.25</v>
      </c>
      <c r="G113" s="118" t="s">
        <v>102</v>
      </c>
      <c r="H113" s="118" t="str">
        <f t="shared" si="6"/>
        <v>6 yard Special and Temporary</v>
      </c>
      <c r="I113" s="120" t="s">
        <v>269</v>
      </c>
      <c r="J113" s="120">
        <f>References!$C$42</f>
        <v>1890</v>
      </c>
      <c r="K113" s="121">
        <f>References!$C$14</f>
        <v>1</v>
      </c>
      <c r="L113" s="122">
        <f>IFERROR(+INDEX('Murrey''s Price Out 2022'!AG:AG,MATCH(C113,'Murrey''s Price Out 2022'!C:C,0)),0)</f>
        <v>0</v>
      </c>
      <c r="M113" s="122">
        <f t="shared" si="7"/>
        <v>12</v>
      </c>
      <c r="O113" s="7"/>
    </row>
    <row r="114" spans="1:15">
      <c r="A114" s="118" t="s">
        <v>144</v>
      </c>
      <c r="B114" s="118" t="s">
        <v>158</v>
      </c>
      <c r="C114" s="118" t="s">
        <v>247</v>
      </c>
      <c r="D114" s="118" t="s">
        <v>247</v>
      </c>
      <c r="E114" s="118" t="s">
        <v>98</v>
      </c>
      <c r="F114" s="119">
        <v>3</v>
      </c>
      <c r="G114" s="118" t="s">
        <v>258</v>
      </c>
      <c r="H114" s="118" t="str">
        <f t="shared" si="6"/>
        <v>2 yard Regular</v>
      </c>
      <c r="I114" s="120" t="s">
        <v>271</v>
      </c>
      <c r="J114" s="120">
        <f>References!$C$44</f>
        <v>972</v>
      </c>
      <c r="K114" s="121">
        <f>References!$C$11</f>
        <v>4.333333333333333</v>
      </c>
      <c r="L114" s="122">
        <f>IFERROR(+INDEX('Murrey''s Price Out 2022'!AG:AG,MATCH(C114,'Murrey''s Price Out 2022'!C:C,0)),0)</f>
        <v>0</v>
      </c>
      <c r="M114" s="122">
        <f t="shared" si="7"/>
        <v>52</v>
      </c>
      <c r="O114" s="7"/>
    </row>
    <row r="115" spans="1:15">
      <c r="A115" s="118" t="s">
        <v>144</v>
      </c>
      <c r="B115" s="118" t="s">
        <v>158</v>
      </c>
      <c r="C115" s="118" t="s">
        <v>281</v>
      </c>
      <c r="D115" s="118" t="s">
        <v>281</v>
      </c>
      <c r="E115" s="118" t="s">
        <v>98</v>
      </c>
      <c r="F115" s="119">
        <v>3</v>
      </c>
      <c r="G115" s="118" t="s">
        <v>102</v>
      </c>
      <c r="H115" s="118" t="str">
        <f t="shared" si="6"/>
        <v>2 yard Special and Temporary</v>
      </c>
      <c r="I115" s="120" t="s">
        <v>271</v>
      </c>
      <c r="J115" s="120">
        <f>References!$C$44</f>
        <v>972</v>
      </c>
      <c r="K115" s="121">
        <f>References!$C$14</f>
        <v>1</v>
      </c>
      <c r="L115" s="122">
        <f>IFERROR(+INDEX('Murrey''s Price Out 2022'!AG:AG,MATCH(C115,'Murrey''s Price Out 2022'!C:C,0)),0)</f>
        <v>0</v>
      </c>
      <c r="M115" s="122">
        <f t="shared" si="7"/>
        <v>12</v>
      </c>
      <c r="O115" s="7"/>
    </row>
    <row r="116" spans="1:15" ht="15.75" customHeight="1">
      <c r="A116" s="118" t="s">
        <v>144</v>
      </c>
      <c r="B116" s="118" t="s">
        <v>158</v>
      </c>
      <c r="C116" s="118" t="s">
        <v>248</v>
      </c>
      <c r="D116" s="118" t="s">
        <v>248</v>
      </c>
      <c r="E116" s="118" t="s">
        <v>103</v>
      </c>
      <c r="F116" s="119">
        <v>3</v>
      </c>
      <c r="G116" s="118" t="s">
        <v>258</v>
      </c>
      <c r="H116" s="118" t="str">
        <f t="shared" si="6"/>
        <v>3 yard Regular</v>
      </c>
      <c r="I116" s="120" t="s">
        <v>270</v>
      </c>
      <c r="J116" s="120">
        <f>References!$C$45</f>
        <v>1419</v>
      </c>
      <c r="K116" s="121">
        <f>References!$C$11</f>
        <v>4.333333333333333</v>
      </c>
      <c r="L116" s="122">
        <f>IFERROR(+INDEX('Murrey''s Price Out 2022'!AG:AG,MATCH(C116,'Murrey''s Price Out 2022'!C:C,0)),0)</f>
        <v>0</v>
      </c>
      <c r="M116" s="122">
        <f t="shared" si="7"/>
        <v>52</v>
      </c>
      <c r="O116" s="7"/>
    </row>
    <row r="117" spans="1:15">
      <c r="A117" s="118" t="s">
        <v>144</v>
      </c>
      <c r="B117" s="118" t="s">
        <v>158</v>
      </c>
      <c r="C117" s="118" t="s">
        <v>282</v>
      </c>
      <c r="D117" s="118" t="s">
        <v>282</v>
      </c>
      <c r="E117" s="118" t="s">
        <v>103</v>
      </c>
      <c r="F117" s="119">
        <v>3</v>
      </c>
      <c r="G117" s="118" t="s">
        <v>102</v>
      </c>
      <c r="H117" s="118" t="str">
        <f t="shared" si="6"/>
        <v>3 yard Special and Temporary</v>
      </c>
      <c r="I117" s="120" t="s">
        <v>270</v>
      </c>
      <c r="J117" s="120">
        <f>References!$C$45</f>
        <v>1419</v>
      </c>
      <c r="K117" s="121">
        <f>References!$C$14</f>
        <v>1</v>
      </c>
      <c r="L117" s="122">
        <f>IFERROR(+INDEX('Murrey''s Price Out 2022'!AG:AG,MATCH(C117,'Murrey''s Price Out 2022'!C:C,0)),0)</f>
        <v>0</v>
      </c>
      <c r="M117" s="122">
        <f t="shared" si="7"/>
        <v>12</v>
      </c>
      <c r="O117" s="7"/>
    </row>
    <row r="118" spans="1:15">
      <c r="A118" s="118" t="s">
        <v>144</v>
      </c>
      <c r="B118" s="118" t="s">
        <v>158</v>
      </c>
      <c r="C118" s="118" t="s">
        <v>249</v>
      </c>
      <c r="D118" s="118" t="s">
        <v>249</v>
      </c>
      <c r="E118" s="118" t="s">
        <v>99</v>
      </c>
      <c r="F118" s="119">
        <v>3</v>
      </c>
      <c r="G118" s="118" t="s">
        <v>258</v>
      </c>
      <c r="H118" s="118" t="str">
        <f t="shared" si="6"/>
        <v>4 yard Regular</v>
      </c>
      <c r="I118" s="120" t="s">
        <v>268</v>
      </c>
      <c r="J118" s="120">
        <f>References!$C$46</f>
        <v>1839</v>
      </c>
      <c r="K118" s="121">
        <f>References!$C$11</f>
        <v>4.333333333333333</v>
      </c>
      <c r="L118" s="122">
        <f>IFERROR(+INDEX('Murrey''s Price Out 2022'!AG:AG,MATCH(C118,'Murrey''s Price Out 2022'!C:C,0)),0)</f>
        <v>0</v>
      </c>
      <c r="M118" s="122">
        <f t="shared" si="7"/>
        <v>52</v>
      </c>
      <c r="O118" s="7"/>
    </row>
    <row r="119" spans="1:15">
      <c r="A119" s="118" t="s">
        <v>144</v>
      </c>
      <c r="B119" s="118" t="s">
        <v>158</v>
      </c>
      <c r="C119" s="118" t="s">
        <v>277</v>
      </c>
      <c r="D119" s="118" t="s">
        <v>277</v>
      </c>
      <c r="E119" s="118" t="s">
        <v>99</v>
      </c>
      <c r="F119" s="119">
        <v>3</v>
      </c>
      <c r="G119" s="118" t="s">
        <v>102</v>
      </c>
      <c r="H119" s="118" t="str">
        <f t="shared" si="6"/>
        <v>4 yard Special and Temporary</v>
      </c>
      <c r="I119" s="120" t="s">
        <v>268</v>
      </c>
      <c r="J119" s="120">
        <f>References!$C$46</f>
        <v>1839</v>
      </c>
      <c r="K119" s="121">
        <f>References!$C$14</f>
        <v>1</v>
      </c>
      <c r="L119" s="122">
        <f>IFERROR(+INDEX('Murrey''s Price Out 2022'!AG:AG,MATCH(C119,'Murrey''s Price Out 2022'!C:C,0)),0)</f>
        <v>0</v>
      </c>
      <c r="M119" s="122">
        <f t="shared" si="7"/>
        <v>12</v>
      </c>
      <c r="O119" s="7"/>
    </row>
    <row r="120" spans="1:15">
      <c r="A120" s="118" t="s">
        <v>144</v>
      </c>
      <c r="B120" s="118" t="s">
        <v>158</v>
      </c>
      <c r="C120" s="118" t="s">
        <v>241</v>
      </c>
      <c r="D120" s="118" t="s">
        <v>241</v>
      </c>
      <c r="E120" s="118" t="s">
        <v>100</v>
      </c>
      <c r="F120" s="119">
        <v>3</v>
      </c>
      <c r="G120" s="118" t="s">
        <v>258</v>
      </c>
      <c r="H120" s="118" t="str">
        <f t="shared" si="6"/>
        <v>6 yard Regular</v>
      </c>
      <c r="I120" s="120" t="s">
        <v>269</v>
      </c>
      <c r="J120" s="120">
        <f>References!$C$47</f>
        <v>2520</v>
      </c>
      <c r="K120" s="121">
        <f>References!$C$11</f>
        <v>4.333333333333333</v>
      </c>
      <c r="L120" s="122">
        <f>IFERROR(+INDEX('Murrey''s Price Out 2022'!AG:AG,MATCH(C120,'Murrey''s Price Out 2022'!C:C,0)),0)</f>
        <v>0</v>
      </c>
      <c r="M120" s="122">
        <f t="shared" si="7"/>
        <v>52</v>
      </c>
      <c r="O120" s="7"/>
    </row>
    <row r="121" spans="1:15">
      <c r="A121" s="118" t="s">
        <v>144</v>
      </c>
      <c r="B121" s="118" t="s">
        <v>158</v>
      </c>
      <c r="C121" s="118" t="s">
        <v>209</v>
      </c>
      <c r="D121" s="118" t="s">
        <v>241</v>
      </c>
      <c r="E121" s="118" t="s">
        <v>100</v>
      </c>
      <c r="F121" s="119">
        <v>3</v>
      </c>
      <c r="G121" s="118" t="s">
        <v>258</v>
      </c>
      <c r="H121" s="118" t="str">
        <f t="shared" si="6"/>
        <v>6 yard Regular</v>
      </c>
      <c r="I121" s="120" t="s">
        <v>269</v>
      </c>
      <c r="J121" s="120">
        <f>References!$C$47</f>
        <v>2520</v>
      </c>
      <c r="K121" s="121">
        <f>References!$C$10</f>
        <v>8.6666666666666661</v>
      </c>
      <c r="L121" s="122">
        <f>IFERROR(+INDEX('Murrey''s Price Out 2022'!AG:AG,MATCH(C121,'Murrey''s Price Out 2022'!C:C,0)),0)</f>
        <v>12</v>
      </c>
      <c r="M121" s="122">
        <f>IF(L121=0,K121*12,K121*L121)</f>
        <v>104</v>
      </c>
    </row>
    <row r="122" spans="1:15">
      <c r="A122" s="118" t="s">
        <v>144</v>
      </c>
      <c r="B122" s="118" t="s">
        <v>158</v>
      </c>
      <c r="C122" s="118" t="s">
        <v>283</v>
      </c>
      <c r="D122" s="118" t="s">
        <v>283</v>
      </c>
      <c r="E122" s="118" t="s">
        <v>100</v>
      </c>
      <c r="F122" s="119">
        <v>3</v>
      </c>
      <c r="G122" s="118" t="s">
        <v>102</v>
      </c>
      <c r="H122" s="118" t="str">
        <f t="shared" si="6"/>
        <v>6 yard Special and Temporary</v>
      </c>
      <c r="I122" s="120" t="s">
        <v>269</v>
      </c>
      <c r="J122" s="120">
        <f>References!$C$47</f>
        <v>2520</v>
      </c>
      <c r="K122" s="121">
        <f>References!$C$14</f>
        <v>1</v>
      </c>
      <c r="L122" s="122">
        <f>IFERROR(+INDEX('Murrey''s Price Out 2022'!AG:AG,MATCH(C122,'Murrey''s Price Out 2022'!C:C,0)),0)</f>
        <v>0</v>
      </c>
      <c r="M122" s="122">
        <f t="shared" si="7"/>
        <v>12</v>
      </c>
      <c r="O122" s="7"/>
    </row>
    <row r="123" spans="1:15">
      <c r="A123" s="118" t="s">
        <v>144</v>
      </c>
      <c r="B123" s="118" t="s">
        <v>159</v>
      </c>
      <c r="C123" s="118" t="s">
        <v>240</v>
      </c>
      <c r="D123" s="118" t="s">
        <v>240</v>
      </c>
      <c r="E123" s="118" t="s">
        <v>103</v>
      </c>
      <c r="F123" s="119">
        <v>4</v>
      </c>
      <c r="G123" s="118" t="s">
        <v>258</v>
      </c>
      <c r="H123" s="118" t="str">
        <f t="shared" si="6"/>
        <v>3 yard Regular</v>
      </c>
      <c r="I123" s="120" t="s">
        <v>270</v>
      </c>
      <c r="J123" s="120">
        <f>References!$C$49</f>
        <v>1892</v>
      </c>
      <c r="K123" s="121">
        <f>References!$C$11</f>
        <v>4.333333333333333</v>
      </c>
      <c r="L123" s="122">
        <f>IFERROR(+INDEX('Murrey''s Price Out 2022'!AG:AG,MATCH(C123,'Murrey''s Price Out 2022'!C:C,0)),0)</f>
        <v>0</v>
      </c>
      <c r="M123" s="122">
        <f t="shared" si="7"/>
        <v>52</v>
      </c>
      <c r="O123" s="7"/>
    </row>
    <row r="124" spans="1:15">
      <c r="A124" s="118" t="s">
        <v>144</v>
      </c>
      <c r="B124" s="118" t="s">
        <v>159</v>
      </c>
      <c r="C124" s="118" t="s">
        <v>284</v>
      </c>
      <c r="D124" s="118" t="s">
        <v>284</v>
      </c>
      <c r="E124" s="118" t="s">
        <v>103</v>
      </c>
      <c r="F124" s="119">
        <v>4</v>
      </c>
      <c r="G124" s="118" t="s">
        <v>102</v>
      </c>
      <c r="H124" s="118" t="str">
        <f t="shared" si="6"/>
        <v>3 yard Special and Temporary</v>
      </c>
      <c r="I124" s="120" t="s">
        <v>270</v>
      </c>
      <c r="J124" s="120">
        <f>References!$C$49</f>
        <v>1892</v>
      </c>
      <c r="K124" s="121">
        <f>References!$C$14</f>
        <v>1</v>
      </c>
      <c r="L124" s="122">
        <f>IFERROR(+INDEX('Murrey''s Price Out 2022'!AG:AG,MATCH(C124,'Murrey''s Price Out 2022'!C:C,0)),0)</f>
        <v>0</v>
      </c>
      <c r="M124" s="122">
        <f t="shared" si="7"/>
        <v>12</v>
      </c>
      <c r="O124" s="7"/>
    </row>
    <row r="125" spans="1:15">
      <c r="A125" s="118" t="s">
        <v>144</v>
      </c>
      <c r="B125" s="118" t="s">
        <v>159</v>
      </c>
      <c r="C125" s="118" t="s">
        <v>276</v>
      </c>
      <c r="D125" s="118" t="s">
        <v>276</v>
      </c>
      <c r="E125" s="118" t="s">
        <v>99</v>
      </c>
      <c r="F125" s="119">
        <v>4</v>
      </c>
      <c r="G125" s="118" t="s">
        <v>102</v>
      </c>
      <c r="H125" s="118" t="str">
        <f t="shared" si="6"/>
        <v>4 yard Special and Temporary</v>
      </c>
      <c r="I125" s="120" t="s">
        <v>268</v>
      </c>
      <c r="J125" s="120">
        <f>References!$C$50</f>
        <v>2452</v>
      </c>
      <c r="K125" s="121">
        <f>References!$C$14</f>
        <v>1</v>
      </c>
      <c r="L125" s="122">
        <f>IFERROR(+INDEX('Murrey''s Price Out 2022'!AG:AG,MATCH(C125,'Murrey''s Price Out 2022'!C:C,0)),0)</f>
        <v>0</v>
      </c>
      <c r="M125" s="122">
        <f t="shared" si="7"/>
        <v>12</v>
      </c>
      <c r="O125" s="7"/>
    </row>
    <row r="126" spans="1:15">
      <c r="A126" s="118" t="s">
        <v>144</v>
      </c>
      <c r="B126" s="118" t="s">
        <v>159</v>
      </c>
      <c r="C126" s="118" t="s">
        <v>205</v>
      </c>
      <c r="D126" s="118" t="s">
        <v>205</v>
      </c>
      <c r="E126" s="118" t="s">
        <v>99</v>
      </c>
      <c r="F126" s="119">
        <v>4</v>
      </c>
      <c r="G126" s="118" t="s">
        <v>258</v>
      </c>
      <c r="H126" s="118" t="str">
        <f t="shared" si="6"/>
        <v>4 yard Regular</v>
      </c>
      <c r="I126" s="120" t="s">
        <v>268</v>
      </c>
      <c r="J126" s="120">
        <f>References!$C$50</f>
        <v>2452</v>
      </c>
      <c r="K126" s="121">
        <f>References!$C$11</f>
        <v>4.333333333333333</v>
      </c>
      <c r="L126" s="122">
        <f>IFERROR(+INDEX('Murrey''s Price Out 2022'!AG:AG,MATCH(C126,'Murrey''s Price Out 2022'!C:C,0)),0)</f>
        <v>12</v>
      </c>
      <c r="M126" s="122">
        <f t="shared" si="7"/>
        <v>52</v>
      </c>
    </row>
    <row r="127" spans="1:15">
      <c r="A127" s="118" t="s">
        <v>144</v>
      </c>
      <c r="B127" s="118" t="s">
        <v>159</v>
      </c>
      <c r="C127" s="118" t="s">
        <v>239</v>
      </c>
      <c r="D127" s="118" t="s">
        <v>239</v>
      </c>
      <c r="E127" s="118" t="s">
        <v>100</v>
      </c>
      <c r="F127" s="119">
        <v>4</v>
      </c>
      <c r="G127" s="118" t="s">
        <v>258</v>
      </c>
      <c r="H127" s="118" t="str">
        <f t="shared" si="6"/>
        <v>6 yard Regular</v>
      </c>
      <c r="I127" s="120" t="s">
        <v>269</v>
      </c>
      <c r="J127" s="120">
        <f>References!$C$51</f>
        <v>3360</v>
      </c>
      <c r="K127" s="121">
        <f>References!$C$11</f>
        <v>4.333333333333333</v>
      </c>
      <c r="L127" s="122">
        <f>IFERROR(+INDEX('Murrey''s Price Out 2022'!AG:AG,MATCH(C127,'Murrey''s Price Out 2022'!C:C,0)),0)</f>
        <v>0</v>
      </c>
      <c r="M127" s="122">
        <f t="shared" si="7"/>
        <v>52</v>
      </c>
    </row>
    <row r="128" spans="1:15">
      <c r="A128" s="118" t="s">
        <v>144</v>
      </c>
      <c r="B128" s="118" t="s">
        <v>159</v>
      </c>
      <c r="C128" s="118" t="s">
        <v>210</v>
      </c>
      <c r="D128" s="118" t="s">
        <v>239</v>
      </c>
      <c r="E128" s="118" t="s">
        <v>100</v>
      </c>
      <c r="F128" s="119">
        <v>4</v>
      </c>
      <c r="G128" s="118" t="s">
        <v>258</v>
      </c>
      <c r="H128" s="118" t="str">
        <f t="shared" si="6"/>
        <v>6 yard Regular</v>
      </c>
      <c r="I128" s="120" t="s">
        <v>269</v>
      </c>
      <c r="J128" s="120">
        <f>References!$C$51</f>
        <v>3360</v>
      </c>
      <c r="K128" s="121">
        <f>References!$C$10</f>
        <v>8.6666666666666661</v>
      </c>
      <c r="L128" s="122">
        <f>IFERROR(+INDEX('Murrey''s Price Out 2022'!AG:AG,MATCH(C128,'Murrey''s Price Out 2022'!C:C,0)),0)</f>
        <v>12</v>
      </c>
      <c r="M128" s="122">
        <f t="shared" si="7"/>
        <v>104</v>
      </c>
    </row>
    <row r="129" spans="1:15">
      <c r="A129" s="118" t="s">
        <v>144</v>
      </c>
      <c r="B129" s="118" t="s">
        <v>159</v>
      </c>
      <c r="C129" s="118" t="s">
        <v>285</v>
      </c>
      <c r="D129" s="118" t="s">
        <v>285</v>
      </c>
      <c r="E129" s="118" t="s">
        <v>100</v>
      </c>
      <c r="F129" s="119">
        <v>4</v>
      </c>
      <c r="G129" s="118" t="s">
        <v>102</v>
      </c>
      <c r="H129" s="118" t="str">
        <f t="shared" ref="H129:H158" si="8">CONCATENATE(E129," ",G129)</f>
        <v>6 yard Special and Temporary</v>
      </c>
      <c r="I129" s="120" t="s">
        <v>269</v>
      </c>
      <c r="J129" s="120">
        <f>References!$C$51</f>
        <v>3360</v>
      </c>
      <c r="K129" s="121">
        <f>References!$C$14</f>
        <v>1</v>
      </c>
      <c r="L129" s="122">
        <f>IFERROR(+INDEX('Murrey''s Price Out 2022'!AG:AG,MATCH(C129,'Murrey''s Price Out 2022'!C:C,0)),0)</f>
        <v>0</v>
      </c>
      <c r="M129" s="122">
        <f t="shared" ref="M129:M158" si="9">IF(L129=0,K129*12,K129*L129)</f>
        <v>12</v>
      </c>
      <c r="O129" s="7"/>
    </row>
    <row r="130" spans="1:15">
      <c r="A130" s="118" t="s">
        <v>144</v>
      </c>
      <c r="B130" s="118" t="s">
        <v>160</v>
      </c>
      <c r="C130" s="118" t="s">
        <v>206</v>
      </c>
      <c r="D130" s="118" t="s">
        <v>206</v>
      </c>
      <c r="E130" s="118" t="s">
        <v>99</v>
      </c>
      <c r="F130" s="119">
        <v>5</v>
      </c>
      <c r="G130" s="118" t="s">
        <v>258</v>
      </c>
      <c r="H130" s="118" t="str">
        <f t="shared" si="8"/>
        <v>4 yard Regular</v>
      </c>
      <c r="I130" s="120" t="s">
        <v>268</v>
      </c>
      <c r="J130" s="120">
        <f>References!$C$53</f>
        <v>3065</v>
      </c>
      <c r="K130" s="121">
        <f>References!$C$11</f>
        <v>4.333333333333333</v>
      </c>
      <c r="L130" s="122">
        <f>IFERROR(+INDEX('Murrey''s Price Out 2022'!AG:AG,MATCH(C130,'Murrey''s Price Out 2022'!C:C,0)),0)</f>
        <v>12</v>
      </c>
      <c r="M130" s="122">
        <f t="shared" si="9"/>
        <v>52</v>
      </c>
    </row>
    <row r="131" spans="1:15">
      <c r="A131" s="118" t="s">
        <v>144</v>
      </c>
      <c r="B131" s="118" t="s">
        <v>160</v>
      </c>
      <c r="C131" s="118" t="s">
        <v>207</v>
      </c>
      <c r="D131" s="118" t="s">
        <v>207</v>
      </c>
      <c r="E131" s="118" t="s">
        <v>99</v>
      </c>
      <c r="F131" s="119">
        <v>5</v>
      </c>
      <c r="G131" s="118" t="s">
        <v>258</v>
      </c>
      <c r="H131" s="118" t="str">
        <f t="shared" si="8"/>
        <v>4 yard Regular</v>
      </c>
      <c r="I131" s="120" t="s">
        <v>268</v>
      </c>
      <c r="J131" s="120">
        <f>References!$C$53</f>
        <v>3065</v>
      </c>
      <c r="K131" s="121">
        <f>References!$C$12</f>
        <v>2.1666666666666665</v>
      </c>
      <c r="L131" s="122">
        <f>IFERROR(+INDEX('Murrey''s Price Out 2022'!AG:AG,MATCH(C131,'Murrey''s Price Out 2022'!C:C,0)),0)</f>
        <v>12</v>
      </c>
      <c r="M131" s="122">
        <f t="shared" si="9"/>
        <v>26</v>
      </c>
    </row>
    <row r="132" spans="1:15">
      <c r="A132" s="118" t="s">
        <v>144</v>
      </c>
      <c r="B132" s="118" t="s">
        <v>160</v>
      </c>
      <c r="C132" s="118" t="s">
        <v>208</v>
      </c>
      <c r="D132" s="118" t="s">
        <v>208</v>
      </c>
      <c r="E132" s="118" t="s">
        <v>99</v>
      </c>
      <c r="F132" s="119">
        <v>5</v>
      </c>
      <c r="G132" s="118" t="s">
        <v>102</v>
      </c>
      <c r="H132" s="118" t="str">
        <f t="shared" si="8"/>
        <v>4 yard Special and Temporary</v>
      </c>
      <c r="I132" s="120" t="s">
        <v>268</v>
      </c>
      <c r="J132" s="120">
        <f>References!$C$53</f>
        <v>3065</v>
      </c>
      <c r="K132" s="121">
        <f>References!$C$14</f>
        <v>1</v>
      </c>
      <c r="L132" s="122">
        <f>IFERROR(+INDEX('Murrey''s Price Out 2022'!AG:AG,MATCH(C132,'Murrey''s Price Out 2022'!C:C,0)),0)</f>
        <v>18.995357536488427</v>
      </c>
      <c r="M132" s="122">
        <f t="shared" si="9"/>
        <v>18.995357536488427</v>
      </c>
    </row>
    <row r="133" spans="1:15">
      <c r="A133" s="118" t="s">
        <v>144</v>
      </c>
      <c r="B133" s="118" t="s">
        <v>160</v>
      </c>
      <c r="C133" s="118" t="s">
        <v>250</v>
      </c>
      <c r="D133" s="118" t="s">
        <v>250</v>
      </c>
      <c r="E133" s="118" t="s">
        <v>100</v>
      </c>
      <c r="F133" s="119">
        <v>5</v>
      </c>
      <c r="G133" s="118" t="s">
        <v>258</v>
      </c>
      <c r="H133" s="118" t="str">
        <f t="shared" si="8"/>
        <v>6 yard Regular</v>
      </c>
      <c r="I133" s="120" t="s">
        <v>269</v>
      </c>
      <c r="J133" s="120">
        <f>References!$C$54</f>
        <v>4200</v>
      </c>
      <c r="K133" s="121">
        <f>References!$C$11</f>
        <v>4.333333333333333</v>
      </c>
      <c r="L133" s="122">
        <f>IFERROR(+INDEX('Murrey''s Price Out 2022'!AG:AG,MATCH(C133,'Murrey''s Price Out 2022'!C:C,0)),0)</f>
        <v>0</v>
      </c>
      <c r="M133" s="122">
        <f t="shared" si="9"/>
        <v>52</v>
      </c>
      <c r="O133" s="7"/>
    </row>
    <row r="134" spans="1:15">
      <c r="A134" s="118" t="s">
        <v>144</v>
      </c>
      <c r="B134" s="118" t="s">
        <v>160</v>
      </c>
      <c r="C134" s="118" t="s">
        <v>286</v>
      </c>
      <c r="D134" s="118" t="s">
        <v>286</v>
      </c>
      <c r="E134" s="118" t="s">
        <v>100</v>
      </c>
      <c r="F134" s="119">
        <v>5</v>
      </c>
      <c r="G134" s="118" t="s">
        <v>102</v>
      </c>
      <c r="H134" s="118" t="str">
        <f t="shared" si="8"/>
        <v>6 yard Special and Temporary</v>
      </c>
      <c r="I134" s="120" t="s">
        <v>269</v>
      </c>
      <c r="J134" s="120">
        <f>References!$C$54</f>
        <v>4200</v>
      </c>
      <c r="K134" s="121">
        <f>References!$C$14</f>
        <v>1</v>
      </c>
      <c r="L134" s="122">
        <f>IFERROR(+INDEX('Murrey''s Price Out 2022'!AG:AG,MATCH(C134,'Murrey''s Price Out 2022'!C:C,0)),0)</f>
        <v>0</v>
      </c>
      <c r="M134" s="122">
        <f t="shared" si="9"/>
        <v>12</v>
      </c>
      <c r="O134" s="7"/>
    </row>
    <row r="135" spans="1:15">
      <c r="A135" s="124" t="s">
        <v>237</v>
      </c>
      <c r="B135" s="124" t="s">
        <v>161</v>
      </c>
      <c r="C135" s="124" t="s">
        <v>203</v>
      </c>
      <c r="D135" s="124" t="s">
        <v>203</v>
      </c>
      <c r="E135" s="124" t="s">
        <v>98</v>
      </c>
      <c r="F135" s="125">
        <v>2.25</v>
      </c>
      <c r="G135" s="124" t="s">
        <v>258</v>
      </c>
      <c r="H135" s="124" t="str">
        <f t="shared" si="8"/>
        <v>2 yard Regular</v>
      </c>
      <c r="I135" s="126" t="s">
        <v>271</v>
      </c>
      <c r="J135" s="126">
        <f>References!$C$40</f>
        <v>729</v>
      </c>
      <c r="K135" s="127">
        <f>References!$C$11</f>
        <v>4.333333333333333</v>
      </c>
      <c r="L135" s="128">
        <f>IFERROR(+INDEX('Murrey''s Price Out 2022'!$AG$140:$AG$174,MATCH(C135,'Murrey''s Price Out 2022'!$C$140:$C$174,0)),0)</f>
        <v>0</v>
      </c>
      <c r="M135" s="128">
        <f t="shared" si="9"/>
        <v>52</v>
      </c>
    </row>
    <row r="136" spans="1:15">
      <c r="A136" s="124" t="s">
        <v>237</v>
      </c>
      <c r="B136" s="124" t="s">
        <v>161</v>
      </c>
      <c r="C136" s="124" t="s">
        <v>280</v>
      </c>
      <c r="D136" s="124" t="s">
        <v>280</v>
      </c>
      <c r="E136" s="124" t="s">
        <v>98</v>
      </c>
      <c r="F136" s="125">
        <v>2.25</v>
      </c>
      <c r="G136" s="124" t="s">
        <v>102</v>
      </c>
      <c r="H136" s="124" t="str">
        <f t="shared" si="8"/>
        <v>2 yard Special and Temporary</v>
      </c>
      <c r="I136" s="126" t="s">
        <v>271</v>
      </c>
      <c r="J136" s="126">
        <f>References!$C$40</f>
        <v>729</v>
      </c>
      <c r="K136" s="127">
        <f>References!$C$14</f>
        <v>1</v>
      </c>
      <c r="L136" s="128">
        <f>IFERROR(+INDEX('Murrey''s Price Out 2022'!$AG$140:$AG$174,MATCH(C136,'Murrey''s Price Out 2022'!$C$140:$C$174,0)),0)</f>
        <v>0</v>
      </c>
      <c r="M136" s="128">
        <f t="shared" si="9"/>
        <v>12</v>
      </c>
    </row>
    <row r="137" spans="1:15">
      <c r="A137" s="124" t="s">
        <v>237</v>
      </c>
      <c r="B137" s="124" t="s">
        <v>161</v>
      </c>
      <c r="C137" s="124" t="s">
        <v>204</v>
      </c>
      <c r="D137" s="124" t="s">
        <v>204</v>
      </c>
      <c r="E137" s="124" t="s">
        <v>99</v>
      </c>
      <c r="F137" s="125">
        <v>2.25</v>
      </c>
      <c r="G137" s="124" t="s">
        <v>258</v>
      </c>
      <c r="H137" s="124" t="str">
        <f t="shared" si="8"/>
        <v>4 yard Regular</v>
      </c>
      <c r="I137" s="126" t="s">
        <v>268</v>
      </c>
      <c r="J137" s="126">
        <f>References!$C$41</f>
        <v>1379.25</v>
      </c>
      <c r="K137" s="127">
        <f>References!$C$11</f>
        <v>4.333333333333333</v>
      </c>
      <c r="L137" s="128">
        <f>IFERROR(+INDEX('Murrey''s Price Out 2022'!$AG$140:$AG$174,MATCH(C137,'Murrey''s Price Out 2022'!$C$140:$C$174,0)),0)</f>
        <v>0</v>
      </c>
      <c r="M137" s="128">
        <f t="shared" si="9"/>
        <v>52</v>
      </c>
    </row>
    <row r="138" spans="1:15">
      <c r="A138" s="124" t="s">
        <v>237</v>
      </c>
      <c r="B138" s="124" t="s">
        <v>161</v>
      </c>
      <c r="C138" s="124" t="s">
        <v>278</v>
      </c>
      <c r="D138" s="124" t="s">
        <v>278</v>
      </c>
      <c r="E138" s="124" t="s">
        <v>99</v>
      </c>
      <c r="F138" s="125">
        <v>2.25</v>
      </c>
      <c r="G138" s="124" t="s">
        <v>102</v>
      </c>
      <c r="H138" s="124" t="str">
        <f t="shared" si="8"/>
        <v>4 yard Special and Temporary</v>
      </c>
      <c r="I138" s="126" t="s">
        <v>268</v>
      </c>
      <c r="J138" s="126">
        <f>References!$C$41</f>
        <v>1379.25</v>
      </c>
      <c r="K138" s="127">
        <f>References!$C$14</f>
        <v>1</v>
      </c>
      <c r="L138" s="128">
        <f>IFERROR(+INDEX('Murrey''s Price Out 2022'!$AG$140:$AG$174,MATCH(C138,'Murrey''s Price Out 2022'!$C$140:$C$174,0)),0)</f>
        <v>0</v>
      </c>
      <c r="M138" s="128">
        <f t="shared" si="9"/>
        <v>12</v>
      </c>
    </row>
    <row r="139" spans="1:15" ht="16.5" customHeight="1">
      <c r="A139" s="124" t="s">
        <v>237</v>
      </c>
      <c r="B139" s="124" t="s">
        <v>161</v>
      </c>
      <c r="C139" s="124" t="s">
        <v>238</v>
      </c>
      <c r="D139" s="124" t="s">
        <v>238</v>
      </c>
      <c r="E139" s="124" t="s">
        <v>100</v>
      </c>
      <c r="F139" s="125">
        <v>2.25</v>
      </c>
      <c r="G139" s="124" t="s">
        <v>258</v>
      </c>
      <c r="H139" s="124" t="str">
        <f t="shared" si="8"/>
        <v>6 yard Regular</v>
      </c>
      <c r="I139" s="126" t="s">
        <v>269</v>
      </c>
      <c r="J139" s="126">
        <f>References!$C$42</f>
        <v>1890</v>
      </c>
      <c r="K139" s="127">
        <f>References!$C$11</f>
        <v>4.333333333333333</v>
      </c>
      <c r="L139" s="128">
        <f>IFERROR(+INDEX('Murrey''s Price Out 2022'!$AG$140:$AG$174,MATCH(C139,'Murrey''s Price Out 2022'!$C$140:$C$174,0)),0)</f>
        <v>0</v>
      </c>
      <c r="M139" s="128">
        <f t="shared" si="9"/>
        <v>52</v>
      </c>
    </row>
    <row r="140" spans="1:15">
      <c r="A140" s="124" t="s">
        <v>237</v>
      </c>
      <c r="B140" s="124" t="s">
        <v>161</v>
      </c>
      <c r="C140" s="124" t="s">
        <v>279</v>
      </c>
      <c r="D140" s="124" t="s">
        <v>279</v>
      </c>
      <c r="E140" s="124" t="s">
        <v>100</v>
      </c>
      <c r="F140" s="125">
        <v>2.25</v>
      </c>
      <c r="G140" s="124" t="s">
        <v>102</v>
      </c>
      <c r="H140" s="124" t="str">
        <f t="shared" si="8"/>
        <v>6 yard Special and Temporary</v>
      </c>
      <c r="I140" s="126" t="s">
        <v>269</v>
      </c>
      <c r="J140" s="126">
        <f>References!$C$42</f>
        <v>1890</v>
      </c>
      <c r="K140" s="127">
        <f>References!$C$14</f>
        <v>1</v>
      </c>
      <c r="L140" s="128">
        <f>IFERROR(+INDEX('Murrey''s Price Out 2022'!$AG$140:$AG$174,MATCH(C140,'Murrey''s Price Out 2022'!$C$140:$C$174,0)),0)</f>
        <v>0</v>
      </c>
      <c r="M140" s="128">
        <f t="shared" si="9"/>
        <v>12</v>
      </c>
    </row>
    <row r="141" spans="1:15">
      <c r="A141" s="124" t="s">
        <v>237</v>
      </c>
      <c r="B141" s="124" t="s">
        <v>162</v>
      </c>
      <c r="C141" s="124" t="s">
        <v>247</v>
      </c>
      <c r="D141" s="124" t="s">
        <v>247</v>
      </c>
      <c r="E141" s="124" t="s">
        <v>98</v>
      </c>
      <c r="F141" s="125">
        <v>3</v>
      </c>
      <c r="G141" s="124" t="s">
        <v>258</v>
      </c>
      <c r="H141" s="124" t="str">
        <f t="shared" si="8"/>
        <v>2 yard Regular</v>
      </c>
      <c r="I141" s="126" t="s">
        <v>271</v>
      </c>
      <c r="J141" s="126">
        <f>References!$C$44</f>
        <v>972</v>
      </c>
      <c r="K141" s="127">
        <f>References!$C$11</f>
        <v>4.333333333333333</v>
      </c>
      <c r="L141" s="128">
        <f>IFERROR(+INDEX('Murrey''s Price Out 2022'!$AG$140:$AG$174,MATCH(C141,'Murrey''s Price Out 2022'!$C$140:$C$174,0)),0)</f>
        <v>0</v>
      </c>
      <c r="M141" s="128">
        <f t="shared" si="9"/>
        <v>52</v>
      </c>
    </row>
    <row r="142" spans="1:15">
      <c r="A142" s="124" t="s">
        <v>237</v>
      </c>
      <c r="B142" s="124" t="s">
        <v>162</v>
      </c>
      <c r="C142" s="124" t="s">
        <v>281</v>
      </c>
      <c r="D142" s="124" t="s">
        <v>281</v>
      </c>
      <c r="E142" s="124" t="s">
        <v>98</v>
      </c>
      <c r="F142" s="125">
        <v>3</v>
      </c>
      <c r="G142" s="124" t="s">
        <v>102</v>
      </c>
      <c r="H142" s="124" t="str">
        <f t="shared" si="8"/>
        <v>2 yard Special and Temporary</v>
      </c>
      <c r="I142" s="126" t="s">
        <v>271</v>
      </c>
      <c r="J142" s="126">
        <f>References!$C$44</f>
        <v>972</v>
      </c>
      <c r="K142" s="127">
        <f>References!$C$14</f>
        <v>1</v>
      </c>
      <c r="L142" s="128">
        <f>IFERROR(+INDEX('Murrey''s Price Out 2022'!$AG$140:$AG$174,MATCH(C142,'Murrey''s Price Out 2022'!$C$140:$C$174,0)),0)</f>
        <v>0</v>
      </c>
      <c r="M142" s="128">
        <f t="shared" si="9"/>
        <v>12</v>
      </c>
    </row>
    <row r="143" spans="1:15">
      <c r="A143" s="124" t="s">
        <v>237</v>
      </c>
      <c r="B143" s="124" t="s">
        <v>162</v>
      </c>
      <c r="C143" s="124" t="s">
        <v>248</v>
      </c>
      <c r="D143" s="124" t="s">
        <v>248</v>
      </c>
      <c r="E143" s="124" t="s">
        <v>103</v>
      </c>
      <c r="F143" s="125">
        <v>3</v>
      </c>
      <c r="G143" s="124" t="s">
        <v>258</v>
      </c>
      <c r="H143" s="124" t="str">
        <f t="shared" si="8"/>
        <v>3 yard Regular</v>
      </c>
      <c r="I143" s="126" t="s">
        <v>270</v>
      </c>
      <c r="J143" s="126">
        <f>References!$C$45</f>
        <v>1419</v>
      </c>
      <c r="K143" s="127">
        <f>References!$C$11</f>
        <v>4.333333333333333</v>
      </c>
      <c r="L143" s="128">
        <f>IFERROR(+INDEX('Murrey''s Price Out 2022'!$AG$140:$AG$174,MATCH(C143,'Murrey''s Price Out 2022'!$C$140:$C$174,0)),0)</f>
        <v>0</v>
      </c>
      <c r="M143" s="128">
        <f t="shared" si="9"/>
        <v>52</v>
      </c>
    </row>
    <row r="144" spans="1:15">
      <c r="A144" s="124" t="s">
        <v>237</v>
      </c>
      <c r="B144" s="124" t="s">
        <v>162</v>
      </c>
      <c r="C144" s="124" t="s">
        <v>282</v>
      </c>
      <c r="D144" s="124" t="s">
        <v>282</v>
      </c>
      <c r="E144" s="124" t="s">
        <v>103</v>
      </c>
      <c r="F144" s="125">
        <v>3</v>
      </c>
      <c r="G144" s="124" t="s">
        <v>102</v>
      </c>
      <c r="H144" s="124" t="str">
        <f t="shared" si="8"/>
        <v>3 yard Special and Temporary</v>
      </c>
      <c r="I144" s="126" t="s">
        <v>270</v>
      </c>
      <c r="J144" s="126">
        <f>References!$C$45</f>
        <v>1419</v>
      </c>
      <c r="K144" s="127">
        <f>References!$C$14</f>
        <v>1</v>
      </c>
      <c r="L144" s="128">
        <f>IFERROR(+INDEX('Murrey''s Price Out 2022'!$AG$140:$AG$174,MATCH(C144,'Murrey''s Price Out 2022'!$C$140:$C$174,0)),0)</f>
        <v>0</v>
      </c>
      <c r="M144" s="128">
        <f t="shared" si="9"/>
        <v>12</v>
      </c>
    </row>
    <row r="145" spans="1:13">
      <c r="A145" s="124" t="s">
        <v>237</v>
      </c>
      <c r="B145" s="124" t="s">
        <v>162</v>
      </c>
      <c r="C145" s="124" t="s">
        <v>249</v>
      </c>
      <c r="D145" s="124" t="s">
        <v>249</v>
      </c>
      <c r="E145" s="124" t="s">
        <v>99</v>
      </c>
      <c r="F145" s="125">
        <v>3</v>
      </c>
      <c r="G145" s="124" t="s">
        <v>258</v>
      </c>
      <c r="H145" s="124" t="str">
        <f t="shared" si="8"/>
        <v>4 yard Regular</v>
      </c>
      <c r="I145" s="126" t="s">
        <v>268</v>
      </c>
      <c r="J145" s="126">
        <f>References!$C$46</f>
        <v>1839</v>
      </c>
      <c r="K145" s="127">
        <f>References!$C$11</f>
        <v>4.333333333333333</v>
      </c>
      <c r="L145" s="128">
        <f>IFERROR(+INDEX('Murrey''s Price Out 2022'!$AG$140:$AG$174,MATCH(C145,'Murrey''s Price Out 2022'!$C$140:$C$174,0)),0)</f>
        <v>0</v>
      </c>
      <c r="M145" s="128">
        <f t="shared" si="9"/>
        <v>52</v>
      </c>
    </row>
    <row r="146" spans="1:13">
      <c r="A146" s="124" t="s">
        <v>237</v>
      </c>
      <c r="B146" s="124" t="s">
        <v>162</v>
      </c>
      <c r="C146" s="124" t="s">
        <v>277</v>
      </c>
      <c r="D146" s="124" t="s">
        <v>277</v>
      </c>
      <c r="E146" s="124" t="s">
        <v>99</v>
      </c>
      <c r="F146" s="125">
        <v>3</v>
      </c>
      <c r="G146" s="124" t="s">
        <v>102</v>
      </c>
      <c r="H146" s="124" t="str">
        <f t="shared" si="8"/>
        <v>4 yard Special and Temporary</v>
      </c>
      <c r="I146" s="126" t="s">
        <v>268</v>
      </c>
      <c r="J146" s="126">
        <f>References!$C$46</f>
        <v>1839</v>
      </c>
      <c r="K146" s="127">
        <f>References!$C$14</f>
        <v>1</v>
      </c>
      <c r="L146" s="128">
        <f>IFERROR(+INDEX('Murrey''s Price Out 2022'!$AG$140:$AG$174,MATCH(C146,'Murrey''s Price Out 2022'!$C$140:$C$174,0)),0)</f>
        <v>0</v>
      </c>
      <c r="M146" s="128">
        <f t="shared" si="9"/>
        <v>12</v>
      </c>
    </row>
    <row r="147" spans="1:13">
      <c r="A147" s="124" t="s">
        <v>237</v>
      </c>
      <c r="B147" s="124" t="s">
        <v>162</v>
      </c>
      <c r="C147" s="124" t="s">
        <v>241</v>
      </c>
      <c r="D147" s="124" t="s">
        <v>241</v>
      </c>
      <c r="E147" s="124" t="s">
        <v>100</v>
      </c>
      <c r="F147" s="125">
        <v>3</v>
      </c>
      <c r="G147" s="124" t="s">
        <v>258</v>
      </c>
      <c r="H147" s="124" t="str">
        <f t="shared" si="8"/>
        <v>6 yard Regular</v>
      </c>
      <c r="I147" s="126" t="s">
        <v>269</v>
      </c>
      <c r="J147" s="126">
        <f>References!$C$47</f>
        <v>2520</v>
      </c>
      <c r="K147" s="127">
        <f>References!$C$11</f>
        <v>4.333333333333333</v>
      </c>
      <c r="L147" s="128">
        <f>IFERROR(+INDEX('Murrey''s Price Out 2022'!$AG$140:$AG$174,MATCH(C147,'Murrey''s Price Out 2022'!$C$140:$C$174,0)),0)</f>
        <v>0</v>
      </c>
      <c r="M147" s="128">
        <f t="shared" si="9"/>
        <v>52</v>
      </c>
    </row>
    <row r="148" spans="1:13">
      <c r="A148" s="124" t="s">
        <v>237</v>
      </c>
      <c r="B148" s="124" t="s">
        <v>162</v>
      </c>
      <c r="C148" s="124" t="s">
        <v>283</v>
      </c>
      <c r="D148" s="124" t="s">
        <v>283</v>
      </c>
      <c r="E148" s="124" t="s">
        <v>100</v>
      </c>
      <c r="F148" s="125">
        <v>3</v>
      </c>
      <c r="G148" s="124" t="s">
        <v>102</v>
      </c>
      <c r="H148" s="124" t="str">
        <f t="shared" si="8"/>
        <v>6 yard Special and Temporary</v>
      </c>
      <c r="I148" s="126" t="s">
        <v>269</v>
      </c>
      <c r="J148" s="126">
        <f>References!$C$47</f>
        <v>2520</v>
      </c>
      <c r="K148" s="127">
        <f>References!$C$14</f>
        <v>1</v>
      </c>
      <c r="L148" s="128">
        <f>IFERROR(+INDEX('Murrey''s Price Out 2022'!$AG$140:$AG$174,MATCH(C148,'Murrey''s Price Out 2022'!$C$140:$C$174,0)),0)</f>
        <v>0</v>
      </c>
      <c r="M148" s="128">
        <f t="shared" si="9"/>
        <v>12</v>
      </c>
    </row>
    <row r="149" spans="1:13">
      <c r="A149" s="124" t="s">
        <v>237</v>
      </c>
      <c r="B149" s="124" t="s">
        <v>163</v>
      </c>
      <c r="C149" s="124" t="s">
        <v>240</v>
      </c>
      <c r="D149" s="124" t="str">
        <f>C149</f>
        <v>3 YD 4-1 COMP 1X WK</v>
      </c>
      <c r="E149" s="124" t="s">
        <v>103</v>
      </c>
      <c r="F149" s="125">
        <v>4</v>
      </c>
      <c r="G149" s="124" t="s">
        <v>258</v>
      </c>
      <c r="H149" s="124" t="str">
        <f t="shared" si="8"/>
        <v>3 yard Regular</v>
      </c>
      <c r="I149" s="126" t="s">
        <v>270</v>
      </c>
      <c r="J149" s="126">
        <f>References!$C$49</f>
        <v>1892</v>
      </c>
      <c r="K149" s="127">
        <f>References!$C$11</f>
        <v>4.333333333333333</v>
      </c>
      <c r="L149" s="128">
        <f>IFERROR(+INDEX('Murrey''s Price Out 2022'!$AG$140:$AG$174,MATCH(C149,'Murrey''s Price Out 2022'!$C$140:$C$174,0)),0)</f>
        <v>0</v>
      </c>
      <c r="M149" s="128">
        <f t="shared" ref="M149" si="10">IF(L149=0,K149*12,K149*L149)</f>
        <v>52</v>
      </c>
    </row>
    <row r="150" spans="1:13">
      <c r="A150" s="124" t="s">
        <v>237</v>
      </c>
      <c r="B150" s="124" t="s">
        <v>163</v>
      </c>
      <c r="C150" s="124" t="s">
        <v>284</v>
      </c>
      <c r="D150" s="124" t="s">
        <v>284</v>
      </c>
      <c r="E150" s="124" t="s">
        <v>103</v>
      </c>
      <c r="F150" s="125">
        <v>4</v>
      </c>
      <c r="G150" s="124" t="s">
        <v>102</v>
      </c>
      <c r="H150" s="124" t="str">
        <f t="shared" si="8"/>
        <v>3 yard Special and Temporary</v>
      </c>
      <c r="I150" s="126" t="s">
        <v>270</v>
      </c>
      <c r="J150" s="126">
        <f>References!$C$49</f>
        <v>1892</v>
      </c>
      <c r="K150" s="127">
        <f>References!$C$14</f>
        <v>1</v>
      </c>
      <c r="L150" s="128">
        <f>IFERROR(+INDEX('Murrey''s Price Out 2022'!$AG$140:$AG$174,MATCH(C150,'Murrey''s Price Out 2022'!$C$140:$C$174,0)),0)</f>
        <v>0</v>
      </c>
      <c r="M150" s="128">
        <f t="shared" si="9"/>
        <v>12</v>
      </c>
    </row>
    <row r="151" spans="1:13">
      <c r="A151" s="124" t="s">
        <v>237</v>
      </c>
      <c r="B151" s="124" t="s">
        <v>163</v>
      </c>
      <c r="C151" s="124" t="s">
        <v>287</v>
      </c>
      <c r="D151" s="124" t="s">
        <v>287</v>
      </c>
      <c r="E151" s="124" t="s">
        <v>99</v>
      </c>
      <c r="F151" s="125">
        <v>4</v>
      </c>
      <c r="G151" s="124" t="s">
        <v>258</v>
      </c>
      <c r="H151" s="124" t="str">
        <f t="shared" si="8"/>
        <v>4 yard Regular</v>
      </c>
      <c r="I151" s="126" t="s">
        <v>268</v>
      </c>
      <c r="J151" s="126">
        <f>References!$C$50</f>
        <v>2452</v>
      </c>
      <c r="K151" s="127">
        <f>References!$C$11</f>
        <v>4.333333333333333</v>
      </c>
      <c r="L151" s="128">
        <f>IFERROR(+INDEX('Murrey''s Price Out 2022'!$AG$140:$AG$174,MATCH(C151,'Murrey''s Price Out 2022'!$C$140:$C$174,0)),0)</f>
        <v>0</v>
      </c>
      <c r="M151" s="128">
        <f t="shared" si="9"/>
        <v>52</v>
      </c>
    </row>
    <row r="152" spans="1:13">
      <c r="A152" s="124" t="s">
        <v>237</v>
      </c>
      <c r="B152" s="124" t="s">
        <v>163</v>
      </c>
      <c r="C152" s="124" t="s">
        <v>276</v>
      </c>
      <c r="D152" s="124" t="s">
        <v>276</v>
      </c>
      <c r="E152" s="124" t="s">
        <v>99</v>
      </c>
      <c r="F152" s="125">
        <v>4</v>
      </c>
      <c r="G152" s="124" t="s">
        <v>102</v>
      </c>
      <c r="H152" s="124" t="str">
        <f t="shared" si="8"/>
        <v>4 yard Special and Temporary</v>
      </c>
      <c r="I152" s="126" t="s">
        <v>268</v>
      </c>
      <c r="J152" s="126">
        <f>References!$C$50</f>
        <v>2452</v>
      </c>
      <c r="K152" s="127">
        <f>References!$C$14</f>
        <v>1</v>
      </c>
      <c r="L152" s="128">
        <f>IFERROR(+INDEX('Murrey''s Price Out 2022'!$AG$140:$AG$174,MATCH(C152,'Murrey''s Price Out 2022'!$C$140:$C$174,0)),0)</f>
        <v>0</v>
      </c>
      <c r="M152" s="128">
        <f t="shared" si="9"/>
        <v>12</v>
      </c>
    </row>
    <row r="153" spans="1:13">
      <c r="A153" s="124" t="s">
        <v>237</v>
      </c>
      <c r="B153" s="124" t="s">
        <v>163</v>
      </c>
      <c r="C153" s="124" t="s">
        <v>239</v>
      </c>
      <c r="D153" s="124" t="s">
        <v>239</v>
      </c>
      <c r="E153" s="124" t="s">
        <v>100</v>
      </c>
      <c r="F153" s="125">
        <v>4</v>
      </c>
      <c r="G153" s="124" t="s">
        <v>258</v>
      </c>
      <c r="H153" s="124" t="str">
        <f t="shared" si="8"/>
        <v>6 yard Regular</v>
      </c>
      <c r="I153" s="126" t="s">
        <v>269</v>
      </c>
      <c r="J153" s="126">
        <f>References!$C$51</f>
        <v>3360</v>
      </c>
      <c r="K153" s="127">
        <f>References!$C$11</f>
        <v>4.333333333333333</v>
      </c>
      <c r="L153" s="128">
        <f>IFERROR(+INDEX('Murrey''s Price Out 2022'!$AG$140:$AG$174,MATCH(C153,'Murrey''s Price Out 2022'!$C$140:$C$174,0)),0)</f>
        <v>0</v>
      </c>
      <c r="M153" s="128">
        <f t="shared" si="9"/>
        <v>52</v>
      </c>
    </row>
    <row r="154" spans="1:13">
      <c r="A154" s="124" t="s">
        <v>237</v>
      </c>
      <c r="B154" s="124" t="s">
        <v>163</v>
      </c>
      <c r="C154" s="124" t="s">
        <v>285</v>
      </c>
      <c r="D154" s="124" t="s">
        <v>285</v>
      </c>
      <c r="E154" s="124" t="s">
        <v>100</v>
      </c>
      <c r="F154" s="125">
        <v>4</v>
      </c>
      <c r="G154" s="124" t="s">
        <v>102</v>
      </c>
      <c r="H154" s="124" t="str">
        <f t="shared" si="8"/>
        <v>6 yard Special and Temporary</v>
      </c>
      <c r="I154" s="126" t="s">
        <v>269</v>
      </c>
      <c r="J154" s="126">
        <f>References!$C$51</f>
        <v>3360</v>
      </c>
      <c r="K154" s="127">
        <f>References!$C$14</f>
        <v>1</v>
      </c>
      <c r="L154" s="128">
        <f>IFERROR(+INDEX('Murrey''s Price Out 2022'!$AG$140:$AG$174,MATCH(C154,'Murrey''s Price Out 2022'!$C$140:$C$174,0)),0)</f>
        <v>0</v>
      </c>
      <c r="M154" s="128">
        <f t="shared" si="9"/>
        <v>12</v>
      </c>
    </row>
    <row r="155" spans="1:13">
      <c r="A155" s="124" t="s">
        <v>237</v>
      </c>
      <c r="B155" s="124" t="s">
        <v>164</v>
      </c>
      <c r="C155" s="124" t="s">
        <v>206</v>
      </c>
      <c r="D155" s="124" t="s">
        <v>206</v>
      </c>
      <c r="E155" s="124" t="s">
        <v>99</v>
      </c>
      <c r="F155" s="125">
        <v>5</v>
      </c>
      <c r="G155" s="124" t="s">
        <v>258</v>
      </c>
      <c r="H155" s="124" t="str">
        <f t="shared" si="8"/>
        <v>4 yard Regular</v>
      </c>
      <c r="I155" s="126" t="s">
        <v>268</v>
      </c>
      <c r="J155" s="126">
        <f>References!$C$53</f>
        <v>3065</v>
      </c>
      <c r="K155" s="127">
        <f>References!$C$11</f>
        <v>4.333333333333333</v>
      </c>
      <c r="L155" s="128">
        <f>IFERROR(+INDEX('Murrey''s Price Out 2022'!$AG$140:$AG$174,MATCH(C155,'Murrey''s Price Out 2022'!$C$140:$C$174,0)),0)</f>
        <v>0</v>
      </c>
      <c r="M155" s="128">
        <f t="shared" si="9"/>
        <v>52</v>
      </c>
    </row>
    <row r="156" spans="1:13">
      <c r="A156" s="124" t="s">
        <v>237</v>
      </c>
      <c r="B156" s="124" t="s">
        <v>164</v>
      </c>
      <c r="C156" s="124" t="s">
        <v>208</v>
      </c>
      <c r="D156" s="124" t="s">
        <v>208</v>
      </c>
      <c r="E156" s="124" t="s">
        <v>99</v>
      </c>
      <c r="F156" s="125">
        <v>5</v>
      </c>
      <c r="G156" s="124" t="s">
        <v>102</v>
      </c>
      <c r="H156" s="124" t="str">
        <f t="shared" si="8"/>
        <v>4 yard Special and Temporary</v>
      </c>
      <c r="I156" s="126" t="s">
        <v>268</v>
      </c>
      <c r="J156" s="126">
        <f>References!$C$53</f>
        <v>3065</v>
      </c>
      <c r="K156" s="127">
        <f>References!$C$14</f>
        <v>1</v>
      </c>
      <c r="L156" s="128">
        <f>IFERROR(+INDEX('Murrey''s Price Out 2022'!$AG$140:$AG$174,MATCH(C156,'Murrey''s Price Out 2022'!$C$140:$C$174,0)),0)</f>
        <v>0</v>
      </c>
      <c r="M156" s="128">
        <f t="shared" si="9"/>
        <v>12</v>
      </c>
    </row>
    <row r="157" spans="1:13">
      <c r="A157" s="124" t="s">
        <v>237</v>
      </c>
      <c r="B157" s="124" t="s">
        <v>164</v>
      </c>
      <c r="C157" s="124" t="s">
        <v>250</v>
      </c>
      <c r="D157" s="124" t="s">
        <v>250</v>
      </c>
      <c r="E157" s="124" t="s">
        <v>100</v>
      </c>
      <c r="F157" s="125">
        <v>5</v>
      </c>
      <c r="G157" s="124" t="s">
        <v>258</v>
      </c>
      <c r="H157" s="124" t="str">
        <f t="shared" si="8"/>
        <v>6 yard Regular</v>
      </c>
      <c r="I157" s="126" t="s">
        <v>269</v>
      </c>
      <c r="J157" s="126">
        <f>References!$C$54</f>
        <v>4200</v>
      </c>
      <c r="K157" s="127">
        <f>References!$C$11</f>
        <v>4.333333333333333</v>
      </c>
      <c r="L157" s="128">
        <f>IFERROR(+INDEX('Murrey''s Price Out 2022'!$AG$140:$AG$174,MATCH(C157,'Murrey''s Price Out 2022'!$C$140:$C$174,0)),0)</f>
        <v>0</v>
      </c>
      <c r="M157" s="128">
        <f t="shared" si="9"/>
        <v>52</v>
      </c>
    </row>
    <row r="158" spans="1:13">
      <c r="A158" s="124" t="s">
        <v>237</v>
      </c>
      <c r="B158" s="124" t="s">
        <v>164</v>
      </c>
      <c r="C158" s="124" t="s">
        <v>286</v>
      </c>
      <c r="D158" s="124" t="s">
        <v>286</v>
      </c>
      <c r="E158" s="124" t="s">
        <v>100</v>
      </c>
      <c r="F158" s="125">
        <v>5</v>
      </c>
      <c r="G158" s="124" t="s">
        <v>102</v>
      </c>
      <c r="H158" s="124" t="str">
        <f t="shared" si="8"/>
        <v>6 yard Special and Temporary</v>
      </c>
      <c r="I158" s="126" t="s">
        <v>269</v>
      </c>
      <c r="J158" s="126">
        <f>References!$C$54</f>
        <v>4200</v>
      </c>
      <c r="K158" s="127">
        <f>References!$C$14</f>
        <v>1</v>
      </c>
      <c r="L158" s="128">
        <f>IFERROR(+INDEX('Murrey''s Price Out 2022'!$AG$140:$AG$174,MATCH(C158,'Murrey''s Price Out 2022'!$C$140:$C$174,0)),0)</f>
        <v>0</v>
      </c>
      <c r="M158" s="128">
        <f t="shared" si="9"/>
        <v>12</v>
      </c>
    </row>
  </sheetData>
  <autoFilter ref="A1:M158" xr:uid="{00000000-0009-0000-0000-000003000000}"/>
  <phoneticPr fontId="116" type="noConversion"/>
  <conditionalFormatting sqref="N2:N15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  <pageSetup scale="32" fitToHeight="7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A965C9-E770-41FE-A436-4167BE1B63B5}">
  <sheetPr>
    <pageSetUpPr fitToPage="1"/>
  </sheetPr>
  <dimension ref="A1:CE276"/>
  <sheetViews>
    <sheetView showGridLines="0" view="pageBreakPreview" zoomScaleNormal="85" zoomScaleSheetLayoutView="100" workbookViewId="0">
      <pane xSplit="6" ySplit="6" topLeftCell="G78" activePane="bottomRight" state="frozen"/>
      <selection activeCell="AF89" sqref="AF89"/>
      <selection pane="topRight" activeCell="AF89" sqref="AF89"/>
      <selection pane="bottomLeft" activeCell="AF89" sqref="AF89"/>
      <selection pane="bottomRight" activeCell="AF89" sqref="AF89"/>
    </sheetView>
  </sheetViews>
  <sheetFormatPr defaultColWidth="10.28515625" defaultRowHeight="15" outlineLevelRow="1" outlineLevelCol="1"/>
  <cols>
    <col min="1" max="1" width="32.5703125" style="79" hidden="1" customWidth="1" outlineLevel="1"/>
    <col min="2" max="2" width="29.140625" style="79" customWidth="1" collapsed="1"/>
    <col min="3" max="3" width="34.28515625" style="79" customWidth="1"/>
    <col min="4" max="4" width="18.85546875" style="242" customWidth="1"/>
    <col min="5" max="6" width="12" style="79" customWidth="1"/>
    <col min="7" max="7" width="15.42578125" style="241" hidden="1" customWidth="1" outlineLevel="1"/>
    <col min="8" max="9" width="14.85546875" style="241" hidden="1" customWidth="1" outlineLevel="1"/>
    <col min="10" max="10" width="15.42578125" style="241" hidden="1" customWidth="1" outlineLevel="1"/>
    <col min="11" max="12" width="14.85546875" style="241" hidden="1" customWidth="1" outlineLevel="1"/>
    <col min="13" max="15" width="15.42578125" style="79" hidden="1" customWidth="1" outlineLevel="1"/>
    <col min="16" max="16" width="14.85546875" style="79" hidden="1" customWidth="1" outlineLevel="1"/>
    <col min="17" max="18" width="15.42578125" style="79" hidden="1" customWidth="1" outlineLevel="1"/>
    <col min="19" max="19" width="16.5703125" style="240" customWidth="1" collapsed="1"/>
    <col min="20" max="20" width="4" style="240" customWidth="1"/>
    <col min="21" max="27" width="14.7109375" style="240" hidden="1" customWidth="1" outlineLevel="1"/>
    <col min="28" max="28" width="16" style="79" hidden="1" customWidth="1" outlineLevel="1"/>
    <col min="29" max="32" width="12.7109375" style="79" hidden="1" customWidth="1" outlineLevel="1"/>
    <col min="33" max="33" width="14.5703125" style="79" customWidth="1" collapsed="1"/>
    <col min="34" max="34" width="12.7109375" style="79" customWidth="1"/>
    <col min="35" max="35" width="12.7109375" style="334" customWidth="1"/>
    <col min="36" max="36" width="3.85546875" style="79" customWidth="1"/>
    <col min="37" max="37" width="5.85546875" style="79" customWidth="1"/>
    <col min="38" max="38" width="13.28515625" style="79" hidden="1" customWidth="1" outlineLevel="1"/>
    <col min="39" max="39" width="13" style="79" hidden="1" customWidth="1" outlineLevel="1"/>
    <col min="40" max="40" width="5.85546875" style="79" hidden="1" customWidth="1" outlineLevel="1"/>
    <col min="41" max="41" width="17.140625" style="79" hidden="1" customWidth="1" outlineLevel="1"/>
    <col min="42" max="42" width="10.28515625" style="79" hidden="1" customWidth="1" outlineLevel="1"/>
    <col min="43" max="50" width="11.42578125" style="79" hidden="1" customWidth="1" outlineLevel="1"/>
    <col min="51" max="53" width="10.28515625" style="79" hidden="1" customWidth="1" outlineLevel="1"/>
    <col min="54" max="54" width="11.42578125" style="79" hidden="1" customWidth="1" outlineLevel="1"/>
    <col min="55" max="55" width="10.28515625" style="79" hidden="1" customWidth="1" outlineLevel="1"/>
    <col min="56" max="56" width="12.28515625" style="79" bestFit="1" customWidth="1" collapsed="1"/>
    <col min="57" max="57" width="7.85546875" style="79" bestFit="1" customWidth="1"/>
    <col min="58" max="58" width="10.5703125" style="239" bestFit="1" customWidth="1"/>
    <col min="59" max="59" width="12.42578125" style="239" bestFit="1" customWidth="1"/>
    <col min="60" max="60" width="14.28515625" style="239" bestFit="1" customWidth="1"/>
    <col min="61" max="61" width="9" style="239" bestFit="1" customWidth="1"/>
    <col min="62" max="62" width="12.42578125" style="79" bestFit="1" customWidth="1"/>
    <col min="63" max="65" width="4.28515625" style="79" customWidth="1"/>
    <col min="66" max="66" width="14.42578125" style="104" bestFit="1" customWidth="1"/>
    <col min="67" max="67" width="10" style="79" bestFit="1" customWidth="1"/>
    <col min="68" max="68" width="13.85546875" style="79" hidden="1" customWidth="1"/>
    <col min="69" max="69" width="13.28515625" style="79" hidden="1" customWidth="1"/>
    <col min="70" max="70" width="13.28515625" style="79" bestFit="1" customWidth="1"/>
    <col min="71" max="71" width="12.42578125" style="79" bestFit="1" customWidth="1"/>
    <col min="72" max="72" width="17.5703125" style="79" customWidth="1"/>
    <col min="73" max="73" width="17" style="79" customWidth="1"/>
    <col min="74" max="74" width="3.28515625" style="79" customWidth="1"/>
    <col min="75" max="75" width="18.85546875" style="104" customWidth="1"/>
    <col min="76" max="76" width="10.5703125" style="238" bestFit="1" customWidth="1"/>
    <col min="77" max="78" width="10.28515625" style="238"/>
    <col min="79" max="79" width="24.5703125" style="238" customWidth="1"/>
    <col min="80" max="80" width="22.42578125" style="238" customWidth="1"/>
    <col min="81" max="82" width="10.28515625" style="238"/>
    <col min="83" max="16384" width="10.28515625" style="79"/>
  </cols>
  <sheetData>
    <row r="1" spans="1:82" ht="26.25">
      <c r="B1" s="94" t="s">
        <v>294</v>
      </c>
      <c r="D1" s="349" t="s">
        <v>744</v>
      </c>
      <c r="E1" s="350"/>
      <c r="F1" s="350"/>
      <c r="G1" s="286"/>
      <c r="H1" s="286"/>
      <c r="I1" s="286"/>
      <c r="J1" s="286"/>
      <c r="K1" s="286"/>
      <c r="L1" s="286"/>
      <c r="S1" s="79"/>
      <c r="T1" s="79"/>
      <c r="U1" s="79"/>
      <c r="V1" s="79"/>
      <c r="W1" s="79"/>
      <c r="X1" s="79"/>
      <c r="Y1" s="79"/>
      <c r="Z1" s="79"/>
      <c r="AA1" s="79"/>
      <c r="BO1" s="332"/>
      <c r="BP1" s="331" t="s">
        <v>741</v>
      </c>
      <c r="BQ1" s="331" t="s">
        <v>740</v>
      </c>
      <c r="BR1" s="331" t="s">
        <v>739</v>
      </c>
      <c r="BS1" s="331" t="s">
        <v>738</v>
      </c>
      <c r="BT1" s="331" t="s">
        <v>737</v>
      </c>
      <c r="BU1" s="331" t="s">
        <v>736</v>
      </c>
    </row>
    <row r="2" spans="1:82">
      <c r="B2" s="94" t="s">
        <v>295</v>
      </c>
      <c r="C2" s="94"/>
      <c r="D2" s="246"/>
      <c r="AB2" s="96" t="s">
        <v>296</v>
      </c>
      <c r="AC2" s="330">
        <v>12</v>
      </c>
      <c r="AE2" s="96"/>
      <c r="BO2" s="326" t="s">
        <v>735</v>
      </c>
      <c r="BP2" s="325">
        <v>1.0525742914270442E-2</v>
      </c>
      <c r="BQ2" s="324">
        <v>1.6800000000000001E-3</v>
      </c>
      <c r="BR2" s="323">
        <v>1.2205742914270443E-2</v>
      </c>
      <c r="BS2" s="329">
        <v>398290.6402143382</v>
      </c>
      <c r="BT2" s="321">
        <v>399176.28236883134</v>
      </c>
      <c r="BU2" s="320">
        <v>-885.64215449313633</v>
      </c>
      <c r="BW2" s="243"/>
    </row>
    <row r="3" spans="1:82">
      <c r="B3" s="94" t="s">
        <v>734</v>
      </c>
      <c r="C3" s="94"/>
      <c r="D3" s="246"/>
      <c r="G3" s="79">
        <v>6</v>
      </c>
      <c r="H3" s="79">
        <v>7</v>
      </c>
      <c r="I3" s="79">
        <v>8</v>
      </c>
      <c r="J3" s="79">
        <v>9</v>
      </c>
      <c r="K3" s="79">
        <v>10</v>
      </c>
      <c r="L3" s="79">
        <v>11</v>
      </c>
      <c r="M3" s="79">
        <v>12</v>
      </c>
      <c r="N3" s="79">
        <v>1</v>
      </c>
      <c r="O3" s="79">
        <v>2</v>
      </c>
      <c r="P3" s="79">
        <v>3</v>
      </c>
      <c r="Q3" s="79">
        <v>4</v>
      </c>
      <c r="R3" s="79">
        <v>5</v>
      </c>
      <c r="BO3" s="326" t="s">
        <v>660</v>
      </c>
      <c r="BP3" s="325">
        <v>0.2918424511501112</v>
      </c>
      <c r="BQ3" s="324">
        <v>-1.18E-2</v>
      </c>
      <c r="BR3" s="323">
        <v>0.28004245115011123</v>
      </c>
      <c r="BS3" s="329">
        <v>1783626.2138912089</v>
      </c>
      <c r="BT3" s="321">
        <v>1784062.2621444231</v>
      </c>
      <c r="BU3" s="320">
        <v>-436.04825321421959</v>
      </c>
      <c r="BW3" s="243"/>
    </row>
    <row r="4" spans="1:82">
      <c r="A4" s="79" t="s">
        <v>733</v>
      </c>
      <c r="C4" s="97"/>
      <c r="D4" s="319"/>
      <c r="G4" s="480" t="s">
        <v>297</v>
      </c>
      <c r="H4" s="480"/>
      <c r="I4" s="480"/>
      <c r="J4" s="480"/>
      <c r="K4" s="480"/>
      <c r="L4" s="480"/>
      <c r="M4" s="480"/>
      <c r="N4" s="480"/>
      <c r="O4" s="480"/>
      <c r="P4" s="480"/>
      <c r="Q4" s="480"/>
      <c r="R4" s="480"/>
      <c r="S4" s="480"/>
      <c r="U4" s="480" t="s">
        <v>298</v>
      </c>
      <c r="V4" s="480"/>
      <c r="W4" s="480"/>
      <c r="X4" s="480"/>
      <c r="Y4" s="480"/>
      <c r="Z4" s="480"/>
      <c r="AA4" s="480"/>
      <c r="AB4" s="480"/>
      <c r="AC4" s="480"/>
      <c r="AD4" s="480"/>
      <c r="AE4" s="480"/>
      <c r="AF4" s="480"/>
      <c r="AG4" s="480"/>
      <c r="AH4" s="480"/>
      <c r="AI4" s="335"/>
      <c r="AJ4" s="98"/>
      <c r="AL4" s="480" t="s">
        <v>732</v>
      </c>
      <c r="AM4" s="480"/>
      <c r="AR4" s="480" t="s">
        <v>731</v>
      </c>
      <c r="AS4" s="480"/>
      <c r="AT4" s="480"/>
      <c r="AU4" s="480"/>
      <c r="AV4" s="480"/>
      <c r="AW4" s="480"/>
      <c r="AX4" s="480"/>
      <c r="AY4" s="480"/>
      <c r="AZ4" s="480"/>
      <c r="BA4" s="480"/>
      <c r="BB4" s="480"/>
      <c r="BC4" s="480"/>
      <c r="BD4" s="327"/>
      <c r="BE4" s="327"/>
      <c r="BF4" s="480" t="s">
        <v>730</v>
      </c>
      <c r="BG4" s="480"/>
      <c r="BH4" s="480"/>
      <c r="BI4" s="480"/>
      <c r="BJ4" s="480"/>
      <c r="BO4" s="326" t="s">
        <v>729</v>
      </c>
      <c r="BP4" s="325">
        <v>0.15693221655747247</v>
      </c>
      <c r="BQ4" s="324">
        <v>1E-3</v>
      </c>
      <c r="BR4" s="323">
        <v>0.15793221655747247</v>
      </c>
      <c r="BS4" s="328">
        <v>458312.08353221178</v>
      </c>
      <c r="BT4" s="321">
        <v>458144.59820030769</v>
      </c>
      <c r="BU4" s="320">
        <v>167.48533190408489</v>
      </c>
      <c r="BW4" s="314"/>
    </row>
    <row r="5" spans="1:82">
      <c r="C5" s="97"/>
      <c r="D5" s="319"/>
      <c r="G5" s="234"/>
      <c r="H5" s="234"/>
      <c r="I5" s="234"/>
      <c r="J5" s="234"/>
      <c r="K5" s="234"/>
      <c r="L5" s="234"/>
      <c r="M5" s="234"/>
      <c r="N5" s="234"/>
      <c r="O5" s="234"/>
      <c r="P5" s="234"/>
      <c r="Q5" s="234"/>
      <c r="R5" s="234"/>
      <c r="S5" s="234"/>
      <c r="U5" s="234"/>
      <c r="V5" s="234"/>
      <c r="W5" s="234"/>
      <c r="X5" s="234"/>
      <c r="Y5" s="234"/>
      <c r="Z5" s="234"/>
      <c r="AA5" s="234"/>
      <c r="AB5" s="234"/>
      <c r="AC5" s="234"/>
      <c r="AD5" s="234"/>
      <c r="AE5" s="234"/>
      <c r="AF5" s="234"/>
      <c r="AG5" s="234"/>
      <c r="AH5" s="234"/>
      <c r="AI5" s="335"/>
      <c r="AJ5" s="98"/>
      <c r="AL5" s="234"/>
      <c r="AM5" s="234"/>
      <c r="AR5" s="234"/>
      <c r="AS5" s="234"/>
      <c r="AT5" s="234"/>
      <c r="AU5" s="234"/>
      <c r="AV5" s="234"/>
      <c r="AW5" s="234"/>
      <c r="AX5" s="234"/>
      <c r="AY5" s="234"/>
      <c r="AZ5" s="234"/>
      <c r="BA5" s="234"/>
      <c r="BB5" s="234"/>
      <c r="BC5" s="234"/>
      <c r="BD5" s="327"/>
      <c r="BE5" s="327"/>
      <c r="BF5" s="234"/>
      <c r="BG5" s="234"/>
      <c r="BH5" s="234"/>
      <c r="BI5" s="234"/>
      <c r="BJ5" s="234"/>
      <c r="BO5" s="326" t="s">
        <v>728</v>
      </c>
      <c r="BP5" s="325">
        <v>0.14058259734470324</v>
      </c>
      <c r="BQ5" s="324"/>
      <c r="BR5" s="323"/>
      <c r="BS5" s="322"/>
      <c r="BT5" s="321"/>
      <c r="BU5" s="320"/>
      <c r="BW5" s="314"/>
    </row>
    <row r="6" spans="1:82" ht="46.5" customHeight="1">
      <c r="B6" s="98" t="s">
        <v>181</v>
      </c>
      <c r="C6" s="97" t="s">
        <v>299</v>
      </c>
      <c r="D6" s="319" t="s">
        <v>727</v>
      </c>
      <c r="E6" s="97" t="s">
        <v>726</v>
      </c>
      <c r="F6" s="97" t="s">
        <v>725</v>
      </c>
      <c r="G6" s="99">
        <v>44348</v>
      </c>
      <c r="H6" s="99">
        <v>44378</v>
      </c>
      <c r="I6" s="99">
        <v>44409</v>
      </c>
      <c r="J6" s="99">
        <v>44440</v>
      </c>
      <c r="K6" s="99">
        <v>44470</v>
      </c>
      <c r="L6" s="99">
        <v>44501</v>
      </c>
      <c r="M6" s="99">
        <v>44531</v>
      </c>
      <c r="N6" s="99">
        <v>44562</v>
      </c>
      <c r="O6" s="99">
        <v>44593</v>
      </c>
      <c r="P6" s="99">
        <v>44624</v>
      </c>
      <c r="Q6" s="99">
        <v>44655</v>
      </c>
      <c r="R6" s="99">
        <v>44686</v>
      </c>
      <c r="S6" s="318" t="s">
        <v>14</v>
      </c>
      <c r="U6" s="99">
        <v>44348</v>
      </c>
      <c r="V6" s="99">
        <v>44378</v>
      </c>
      <c r="W6" s="99">
        <v>44409</v>
      </c>
      <c r="X6" s="99">
        <v>44440</v>
      </c>
      <c r="Y6" s="99">
        <v>44470</v>
      </c>
      <c r="Z6" s="99">
        <v>44501</v>
      </c>
      <c r="AA6" s="99">
        <v>44531</v>
      </c>
      <c r="AB6" s="99">
        <v>44562</v>
      </c>
      <c r="AC6" s="99">
        <v>44593</v>
      </c>
      <c r="AD6" s="99">
        <v>44624</v>
      </c>
      <c r="AE6" s="99">
        <v>44655</v>
      </c>
      <c r="AF6" s="99">
        <v>44686</v>
      </c>
      <c r="AG6" s="99" t="s">
        <v>724</v>
      </c>
      <c r="AH6" s="99" t="s">
        <v>721</v>
      </c>
      <c r="AI6" s="336"/>
      <c r="AJ6" s="99"/>
      <c r="AL6" s="97" t="s">
        <v>723</v>
      </c>
      <c r="AM6" s="97" t="s">
        <v>722</v>
      </c>
      <c r="AR6" s="99">
        <v>44348</v>
      </c>
      <c r="AS6" s="99">
        <v>44378</v>
      </c>
      <c r="AT6" s="99">
        <v>44409</v>
      </c>
      <c r="AU6" s="99">
        <v>44440</v>
      </c>
      <c r="AV6" s="99">
        <v>44470</v>
      </c>
      <c r="AW6" s="99">
        <v>44501</v>
      </c>
      <c r="AX6" s="99">
        <v>44531</v>
      </c>
      <c r="AY6" s="99">
        <v>44562</v>
      </c>
      <c r="AZ6" s="99">
        <v>44593</v>
      </c>
      <c r="BA6" s="99">
        <v>44624</v>
      </c>
      <c r="BB6" s="99">
        <v>44655</v>
      </c>
      <c r="BC6" s="99">
        <v>44686</v>
      </c>
      <c r="BD6" s="99" t="s">
        <v>721</v>
      </c>
      <c r="BE6" s="99"/>
      <c r="BF6" s="317" t="s">
        <v>720</v>
      </c>
      <c r="BG6" s="317" t="s">
        <v>719</v>
      </c>
      <c r="BH6" s="317" t="s">
        <v>718</v>
      </c>
      <c r="BI6" s="317" t="s">
        <v>717</v>
      </c>
      <c r="BJ6" s="98" t="s">
        <v>716</v>
      </c>
      <c r="BN6" s="314" t="s">
        <v>715</v>
      </c>
      <c r="BO6" s="97" t="s">
        <v>714</v>
      </c>
      <c r="BP6" s="315" t="s">
        <v>713</v>
      </c>
      <c r="BQ6" s="316" t="s">
        <v>712</v>
      </c>
      <c r="BR6" s="315" t="s">
        <v>711</v>
      </c>
      <c r="BW6" s="314"/>
    </row>
    <row r="8" spans="1:82" outlineLevel="1">
      <c r="B8" s="100" t="s">
        <v>300</v>
      </c>
      <c r="C8" s="101"/>
      <c r="D8" s="257"/>
      <c r="E8" s="102"/>
      <c r="F8" s="102"/>
      <c r="G8" s="117"/>
      <c r="H8" s="117"/>
      <c r="I8" s="117"/>
      <c r="J8" s="117"/>
      <c r="K8" s="117"/>
      <c r="L8" s="117"/>
      <c r="M8" s="102"/>
      <c r="N8" s="102"/>
      <c r="O8" s="102"/>
      <c r="P8" s="102"/>
      <c r="Q8" s="102"/>
      <c r="R8" s="102"/>
      <c r="BW8" s="256"/>
    </row>
    <row r="9" spans="1:82" outlineLevel="1">
      <c r="B9" s="100"/>
      <c r="C9" s="101"/>
      <c r="D9" s="257"/>
      <c r="E9" s="102"/>
      <c r="F9" s="102"/>
      <c r="G9" s="117"/>
      <c r="H9" s="117"/>
      <c r="I9" s="117"/>
      <c r="J9" s="117"/>
      <c r="K9" s="117"/>
      <c r="L9" s="117"/>
      <c r="M9" s="102"/>
      <c r="N9" s="102"/>
      <c r="O9" s="102"/>
      <c r="P9" s="102"/>
      <c r="Q9" s="102"/>
      <c r="R9" s="102"/>
      <c r="BW9" s="256"/>
    </row>
    <row r="10" spans="1:82" outlineLevel="1">
      <c r="A10" s="79" t="s">
        <v>104</v>
      </c>
      <c r="B10" s="103" t="s">
        <v>301</v>
      </c>
      <c r="C10" s="101"/>
      <c r="D10" s="257"/>
      <c r="E10" s="102"/>
      <c r="F10" s="102"/>
      <c r="G10" s="117"/>
      <c r="H10" s="117"/>
      <c r="I10" s="117"/>
      <c r="J10" s="117"/>
      <c r="K10" s="117"/>
      <c r="L10" s="117"/>
      <c r="M10" s="102"/>
      <c r="N10" s="102"/>
      <c r="O10" s="102"/>
      <c r="P10" s="102"/>
      <c r="Q10" s="102"/>
      <c r="R10" s="102"/>
      <c r="BJ10" s="104"/>
      <c r="BW10" s="256"/>
    </row>
    <row r="11" spans="1:82" outlineLevel="1">
      <c r="A11" s="79" t="str">
        <f t="shared" ref="A11:A24" si="0">+$A$4&amp;$A$10&amp;B11</f>
        <v>MURREYSRESIDENTIAL20RM1</v>
      </c>
      <c r="B11" s="79" t="s">
        <v>302</v>
      </c>
      <c r="C11" s="79" t="s">
        <v>182</v>
      </c>
      <c r="D11" s="242">
        <v>10.06</v>
      </c>
      <c r="E11" s="104">
        <v>10.11</v>
      </c>
      <c r="F11" s="104">
        <v>10.09</v>
      </c>
      <c r="G11" s="105">
        <v>975.82</v>
      </c>
      <c r="H11" s="105">
        <v>975.81999999999994</v>
      </c>
      <c r="I11" s="105">
        <v>961.98</v>
      </c>
      <c r="J11" s="105">
        <v>928.82000000000016</v>
      </c>
      <c r="K11" s="105">
        <v>970.56</v>
      </c>
      <c r="L11" s="105">
        <v>960.45</v>
      </c>
      <c r="M11" s="105">
        <v>914.95499999999993</v>
      </c>
      <c r="N11" s="105">
        <v>945.28500000000008</v>
      </c>
      <c r="O11" s="105">
        <v>929.63000000000011</v>
      </c>
      <c r="P11" s="105">
        <v>984.28499999999997</v>
      </c>
      <c r="Q11" s="105">
        <v>983.77500000000009</v>
      </c>
      <c r="R11" s="105">
        <v>1008.9999999999999</v>
      </c>
      <c r="S11" s="249">
        <v>11540.38</v>
      </c>
      <c r="T11" s="249"/>
      <c r="U11" s="254">
        <v>97</v>
      </c>
      <c r="V11" s="254">
        <v>96.999999999999986</v>
      </c>
      <c r="W11" s="254">
        <v>95.624254473161031</v>
      </c>
      <c r="X11" s="254">
        <v>91.871414441147394</v>
      </c>
      <c r="Y11" s="254">
        <v>96</v>
      </c>
      <c r="Z11" s="254">
        <v>95.000000000000014</v>
      </c>
      <c r="AA11" s="254">
        <v>90.5</v>
      </c>
      <c r="AB11" s="254">
        <v>93.500000000000014</v>
      </c>
      <c r="AC11" s="254">
        <v>91.951533135509408</v>
      </c>
      <c r="AD11" s="254">
        <v>97.550545094152625</v>
      </c>
      <c r="AE11" s="254">
        <v>97.500000000000014</v>
      </c>
      <c r="AF11" s="254">
        <v>99.999999999999986</v>
      </c>
      <c r="AG11" s="254">
        <v>1143.4977471439706</v>
      </c>
      <c r="AH11" s="254">
        <v>95.291478928664219</v>
      </c>
      <c r="AI11" s="337">
        <v>0</v>
      </c>
      <c r="AJ11" s="106"/>
      <c r="AL11" s="106"/>
      <c r="AM11" s="106"/>
      <c r="BF11" s="239">
        <v>20</v>
      </c>
      <c r="BI11" s="239">
        <v>1</v>
      </c>
      <c r="BJ11" s="104">
        <v>95.291478928664219</v>
      </c>
      <c r="BN11" s="104">
        <v>10.039999999999999</v>
      </c>
      <c r="BO11" s="108">
        <v>0.12254565885927524</v>
      </c>
      <c r="BP11" s="108">
        <v>140.13068482785479</v>
      </c>
      <c r="BQ11" s="108">
        <v>10.162545658859274</v>
      </c>
      <c r="BR11" s="262">
        <v>11680.510684827854</v>
      </c>
    </row>
    <row r="12" spans="1:82" s="241" customFormat="1" outlineLevel="1">
      <c r="A12" s="241" t="str">
        <f t="shared" si="0"/>
        <v>MURREYSRESIDENTIAL20RW1</v>
      </c>
      <c r="B12" s="241" t="s">
        <v>710</v>
      </c>
      <c r="C12" s="241" t="s">
        <v>709</v>
      </c>
      <c r="D12" s="247">
        <v>16.68</v>
      </c>
      <c r="E12" s="247">
        <v>16.760000000000002</v>
      </c>
      <c r="F12" s="247">
        <v>16.68</v>
      </c>
      <c r="G12" s="312">
        <v>0</v>
      </c>
      <c r="H12" s="312">
        <v>0</v>
      </c>
      <c r="I12" s="312">
        <v>0</v>
      </c>
      <c r="J12" s="312">
        <v>0</v>
      </c>
      <c r="K12" s="312">
        <v>-15.4</v>
      </c>
      <c r="L12" s="312">
        <v>0</v>
      </c>
      <c r="M12" s="312">
        <v>0</v>
      </c>
      <c r="N12" s="312">
        <v>-3.87</v>
      </c>
      <c r="O12" s="312">
        <v>0</v>
      </c>
      <c r="P12" s="312">
        <v>0</v>
      </c>
      <c r="Q12" s="312">
        <v>0</v>
      </c>
      <c r="R12" s="312">
        <v>0</v>
      </c>
      <c r="S12" s="311">
        <v>-19.27</v>
      </c>
      <c r="T12" s="311"/>
      <c r="U12" s="310">
        <v>0</v>
      </c>
      <c r="V12" s="310">
        <v>0</v>
      </c>
      <c r="W12" s="310">
        <v>0</v>
      </c>
      <c r="X12" s="310">
        <v>0</v>
      </c>
      <c r="Y12" s="310">
        <v>-0.91885441527446299</v>
      </c>
      <c r="Z12" s="310">
        <v>0</v>
      </c>
      <c r="AA12" s="310">
        <v>0</v>
      </c>
      <c r="AB12" s="310">
        <v>-0.23090692124105011</v>
      </c>
      <c r="AC12" s="310">
        <v>0</v>
      </c>
      <c r="AD12" s="310">
        <v>0</v>
      </c>
      <c r="AE12" s="310">
        <v>0</v>
      </c>
      <c r="AF12" s="310">
        <v>0</v>
      </c>
      <c r="AG12" s="310">
        <v>-1.149761336515513</v>
      </c>
      <c r="AH12" s="310">
        <v>-9.5813444709626092E-2</v>
      </c>
      <c r="AI12" s="337">
        <v>9.5813444709626092E-2</v>
      </c>
      <c r="AJ12" s="309"/>
      <c r="AL12" s="309"/>
      <c r="AM12" s="309"/>
      <c r="BF12" s="308">
        <v>20</v>
      </c>
      <c r="BG12" s="239"/>
      <c r="BH12" s="308"/>
      <c r="BI12" s="308">
        <v>1</v>
      </c>
      <c r="BJ12" s="247">
        <v>-9.5813444709626092E-2</v>
      </c>
      <c r="BN12" s="247"/>
      <c r="BO12" s="307">
        <v>0</v>
      </c>
      <c r="BP12" s="307">
        <v>0</v>
      </c>
      <c r="BQ12" s="307">
        <v>0</v>
      </c>
      <c r="BR12" s="306">
        <v>-19.27</v>
      </c>
      <c r="BW12" s="247"/>
      <c r="BX12" s="305"/>
      <c r="BY12" s="305"/>
      <c r="BZ12" s="305"/>
      <c r="CA12" s="305"/>
      <c r="CB12" s="305"/>
      <c r="CC12" s="305"/>
      <c r="CD12" s="305"/>
    </row>
    <row r="13" spans="1:82" outlineLevel="1">
      <c r="A13" s="79" t="str">
        <f t="shared" si="0"/>
        <v>MURREYSRESIDENTIAL20RW1N</v>
      </c>
      <c r="B13" s="79" t="s">
        <v>303</v>
      </c>
      <c r="C13" s="79" t="s">
        <v>183</v>
      </c>
      <c r="D13" s="242">
        <v>17.68</v>
      </c>
      <c r="E13" s="104">
        <v>17.760000000000002</v>
      </c>
      <c r="F13" s="104">
        <v>17.68</v>
      </c>
      <c r="G13" s="105">
        <v>671.84</v>
      </c>
      <c r="H13" s="105">
        <v>707.2</v>
      </c>
      <c r="I13" s="105">
        <v>672.72</v>
      </c>
      <c r="J13" s="105">
        <v>678.43999999999994</v>
      </c>
      <c r="K13" s="105">
        <v>674.88</v>
      </c>
      <c r="L13" s="105">
        <v>674.88</v>
      </c>
      <c r="M13" s="105">
        <v>674.88</v>
      </c>
      <c r="N13" s="105">
        <v>674.88</v>
      </c>
      <c r="O13" s="105">
        <v>709.52</v>
      </c>
      <c r="P13" s="105">
        <v>694.86000000000013</v>
      </c>
      <c r="Q13" s="105">
        <v>724.88</v>
      </c>
      <c r="R13" s="105">
        <v>682.8900000000001</v>
      </c>
      <c r="S13" s="249">
        <v>8241.8700000000008</v>
      </c>
      <c r="T13" s="249"/>
      <c r="U13" s="254">
        <v>38</v>
      </c>
      <c r="V13" s="254">
        <v>40</v>
      </c>
      <c r="W13" s="254">
        <v>38.049773755656112</v>
      </c>
      <c r="X13" s="254">
        <v>38.200450450450447</v>
      </c>
      <c r="Y13" s="254">
        <v>37.999999999999993</v>
      </c>
      <c r="Z13" s="254">
        <v>37.999999999999993</v>
      </c>
      <c r="AA13" s="254">
        <v>37.999999999999993</v>
      </c>
      <c r="AB13" s="254">
        <v>37.999999999999993</v>
      </c>
      <c r="AC13" s="254">
        <v>39.950450450450447</v>
      </c>
      <c r="AD13" s="254">
        <v>39.302036199095028</v>
      </c>
      <c r="AE13" s="254">
        <v>41</v>
      </c>
      <c r="AF13" s="254">
        <v>38.625000000000007</v>
      </c>
      <c r="AG13" s="254">
        <v>465.12771085565203</v>
      </c>
      <c r="AH13" s="254">
        <v>38.760642571304338</v>
      </c>
      <c r="AI13" s="337">
        <v>0</v>
      </c>
      <c r="AJ13" s="106"/>
      <c r="AL13" s="106"/>
      <c r="AM13" s="106"/>
      <c r="BF13" s="239">
        <v>20</v>
      </c>
      <c r="BI13" s="239">
        <v>1</v>
      </c>
      <c r="BJ13" s="104">
        <v>38.760642571304338</v>
      </c>
      <c r="BN13" s="104">
        <v>17.600000000000001</v>
      </c>
      <c r="BO13" s="271">
        <v>0.20261533237688936</v>
      </c>
      <c r="BP13" s="108">
        <v>94.242005732719633</v>
      </c>
      <c r="BQ13" s="108">
        <v>17.802615332376892</v>
      </c>
      <c r="BR13" s="262">
        <v>8336.1120057327207</v>
      </c>
    </row>
    <row r="14" spans="1:82" s="241" customFormat="1" outlineLevel="1">
      <c r="A14" s="241" t="str">
        <f t="shared" si="0"/>
        <v>MURREYSRESIDENTIAL20RW1R</v>
      </c>
      <c r="B14" s="241" t="s">
        <v>304</v>
      </c>
      <c r="C14" s="241" t="s">
        <v>184</v>
      </c>
      <c r="D14" s="313">
        <v>16.68</v>
      </c>
      <c r="E14" s="247">
        <v>16.760000000000002</v>
      </c>
      <c r="F14" s="247">
        <v>16.68</v>
      </c>
      <c r="G14" s="312">
        <v>55609.465000000004</v>
      </c>
      <c r="H14" s="312">
        <v>55824.654999999992</v>
      </c>
      <c r="I14" s="312">
        <v>55956.83</v>
      </c>
      <c r="J14" s="312">
        <v>56456.844999999994</v>
      </c>
      <c r="K14" s="312">
        <v>56364.335000000006</v>
      </c>
      <c r="L14" s="312">
        <v>56119.72</v>
      </c>
      <c r="M14" s="312">
        <v>56063.834999999999</v>
      </c>
      <c r="N14" s="312">
        <v>55913.285000000003</v>
      </c>
      <c r="O14" s="312">
        <v>55698.45</v>
      </c>
      <c r="P14" s="312">
        <v>55674.080000000002</v>
      </c>
      <c r="Q14" s="312">
        <v>55982.674999999988</v>
      </c>
      <c r="R14" s="312">
        <v>56134.080000000002</v>
      </c>
      <c r="S14" s="311">
        <v>671798.255</v>
      </c>
      <c r="T14" s="311"/>
      <c r="U14" s="310">
        <v>3333.900779376499</v>
      </c>
      <c r="V14" s="310">
        <v>3346.801858513189</v>
      </c>
      <c r="W14" s="310">
        <v>3354.7260191846526</v>
      </c>
      <c r="X14" s="310">
        <v>3368.54683770883</v>
      </c>
      <c r="Y14" s="310">
        <v>3363.0271479713606</v>
      </c>
      <c r="Z14" s="310">
        <v>3348.4319809069211</v>
      </c>
      <c r="AA14" s="310">
        <v>3345.0975536992837</v>
      </c>
      <c r="AB14" s="310">
        <v>3336.1148568019094</v>
      </c>
      <c r="AC14" s="310">
        <v>3323.2965393794743</v>
      </c>
      <c r="AD14" s="310">
        <v>3337.7745803357316</v>
      </c>
      <c r="AE14" s="310">
        <v>3356.2754796163063</v>
      </c>
      <c r="AF14" s="310">
        <v>3365.3525179856115</v>
      </c>
      <c r="AG14" s="310">
        <v>40179.346151479767</v>
      </c>
      <c r="AH14" s="310">
        <v>3348.2788459566473</v>
      </c>
      <c r="AI14" s="337">
        <v>0</v>
      </c>
      <c r="AJ14" s="309"/>
      <c r="AL14" s="309"/>
      <c r="AM14" s="309"/>
      <c r="BF14" s="308">
        <v>20</v>
      </c>
      <c r="BG14" s="308"/>
      <c r="BH14" s="308"/>
      <c r="BI14" s="308">
        <v>1</v>
      </c>
      <c r="BJ14" s="247">
        <v>3348.2788459566473</v>
      </c>
      <c r="BN14" s="247">
        <v>16.600000000000001</v>
      </c>
      <c r="BO14" s="307">
        <v>0.20261533237688936</v>
      </c>
      <c r="BP14" s="307">
        <v>8140.9515751681629</v>
      </c>
      <c r="BQ14" s="307">
        <v>16.802615332376892</v>
      </c>
      <c r="BR14" s="306">
        <v>679939.20657516818</v>
      </c>
      <c r="BW14" s="247"/>
      <c r="BX14" s="305"/>
      <c r="BY14" s="305"/>
      <c r="BZ14" s="305"/>
      <c r="CA14" s="305"/>
      <c r="CB14" s="305"/>
      <c r="CC14" s="305"/>
      <c r="CD14" s="305"/>
    </row>
    <row r="15" spans="1:82" s="241" customFormat="1" outlineLevel="1">
      <c r="A15" s="241" t="str">
        <f t="shared" si="0"/>
        <v>MURREYSRESIDENTIAL35RM1</v>
      </c>
      <c r="B15" s="241" t="s">
        <v>305</v>
      </c>
      <c r="C15" s="241" t="s">
        <v>185</v>
      </c>
      <c r="D15" s="313">
        <v>12.56</v>
      </c>
      <c r="E15" s="247">
        <v>12.62</v>
      </c>
      <c r="F15" s="247">
        <v>12.59</v>
      </c>
      <c r="G15" s="312">
        <v>6217.2</v>
      </c>
      <c r="H15" s="312">
        <v>6123</v>
      </c>
      <c r="I15" s="312">
        <v>6076.61</v>
      </c>
      <c r="J15" s="312">
        <v>6085.3599999999988</v>
      </c>
      <c r="K15" s="312">
        <v>6139.57</v>
      </c>
      <c r="L15" s="312">
        <v>6063.91</v>
      </c>
      <c r="M15" s="312">
        <v>6000.8099999999995</v>
      </c>
      <c r="N15" s="312">
        <v>6070.2199999999993</v>
      </c>
      <c r="O15" s="312">
        <v>6079.4349999999995</v>
      </c>
      <c r="P15" s="312">
        <v>5958.39</v>
      </c>
      <c r="Q15" s="312">
        <v>5954.6849999999995</v>
      </c>
      <c r="R15" s="312">
        <v>5989.6850000000004</v>
      </c>
      <c r="S15" s="311">
        <v>72758.874999999985</v>
      </c>
      <c r="T15" s="311"/>
      <c r="U15" s="310">
        <v>494.99999999999994</v>
      </c>
      <c r="V15" s="310">
        <v>487.5</v>
      </c>
      <c r="W15" s="310">
        <v>483.80652866242036</v>
      </c>
      <c r="X15" s="310">
        <v>482.19968304278916</v>
      </c>
      <c r="Y15" s="310">
        <v>486.49524564183838</v>
      </c>
      <c r="Z15" s="310">
        <v>480.5</v>
      </c>
      <c r="AA15" s="310">
        <v>475.5</v>
      </c>
      <c r="AB15" s="310">
        <v>481</v>
      </c>
      <c r="AC15" s="310">
        <v>481.73019017432648</v>
      </c>
      <c r="AD15" s="310">
        <v>473.26370135027804</v>
      </c>
      <c r="AE15" s="310">
        <v>472.9694201747418</v>
      </c>
      <c r="AF15" s="310">
        <v>475.74940428911839</v>
      </c>
      <c r="AG15" s="310">
        <v>5775.714173335512</v>
      </c>
      <c r="AH15" s="310">
        <v>481.30951444462602</v>
      </c>
      <c r="AI15" s="337">
        <v>0</v>
      </c>
      <c r="AJ15" s="309"/>
      <c r="AL15" s="309"/>
      <c r="AM15" s="309"/>
      <c r="BF15" s="308">
        <v>35</v>
      </c>
      <c r="BG15" s="308"/>
      <c r="BH15" s="308"/>
      <c r="BI15" s="308">
        <v>1</v>
      </c>
      <c r="BJ15" s="247">
        <v>481.30951444462602</v>
      </c>
      <c r="BN15" s="247">
        <v>12.53</v>
      </c>
      <c r="BO15" s="307">
        <v>0.15293795871580865</v>
      </c>
      <c r="BP15" s="307">
        <v>883.32593579589752</v>
      </c>
      <c r="BQ15" s="307">
        <v>12.682937958715808</v>
      </c>
      <c r="BR15" s="306">
        <v>73642.200935795889</v>
      </c>
      <c r="BW15" s="247"/>
      <c r="BX15" s="305"/>
      <c r="BY15" s="305"/>
      <c r="BZ15" s="305"/>
      <c r="CA15" s="305"/>
      <c r="CB15" s="305"/>
      <c r="CC15" s="305"/>
      <c r="CD15" s="305"/>
    </row>
    <row r="16" spans="1:82" outlineLevel="1">
      <c r="A16" s="79" t="str">
        <f t="shared" si="0"/>
        <v>MURREYSRESIDENTIAL35RW1N</v>
      </c>
      <c r="B16" s="79" t="s">
        <v>306</v>
      </c>
      <c r="C16" s="79" t="s">
        <v>186</v>
      </c>
      <c r="D16" s="242">
        <v>22.26</v>
      </c>
      <c r="E16" s="104">
        <v>22.36</v>
      </c>
      <c r="F16" s="104">
        <v>22.23</v>
      </c>
      <c r="G16" s="105">
        <v>7267.8850000000002</v>
      </c>
      <c r="H16" s="105">
        <v>7231.7</v>
      </c>
      <c r="I16" s="105">
        <v>7212.6449999999995</v>
      </c>
      <c r="J16" s="105">
        <v>7227.9349999999995</v>
      </c>
      <c r="K16" s="105">
        <v>7177.5599999999995</v>
      </c>
      <c r="L16" s="105">
        <v>6936.6249999999991</v>
      </c>
      <c r="M16" s="105">
        <v>6844.954999999999</v>
      </c>
      <c r="N16" s="105">
        <v>6742.1999999999989</v>
      </c>
      <c r="O16" s="105">
        <v>6679.9000000000005</v>
      </c>
      <c r="P16" s="105">
        <v>6711.5749999999998</v>
      </c>
      <c r="Q16" s="105">
        <v>6741.34</v>
      </c>
      <c r="R16" s="105">
        <v>6852.380000000001</v>
      </c>
      <c r="S16" s="249">
        <v>83626.7</v>
      </c>
      <c r="T16" s="249"/>
      <c r="U16" s="254">
        <v>326.49977538185084</v>
      </c>
      <c r="V16" s="254">
        <v>324.87421383647796</v>
      </c>
      <c r="W16" s="254">
        <v>324.01819407008082</v>
      </c>
      <c r="X16" s="254">
        <v>323.25290697674416</v>
      </c>
      <c r="Y16" s="254">
        <v>321</v>
      </c>
      <c r="Z16" s="254">
        <v>310.22473166368513</v>
      </c>
      <c r="AA16" s="254">
        <v>306.12499999999994</v>
      </c>
      <c r="AB16" s="254">
        <v>301.52951699463324</v>
      </c>
      <c r="AC16" s="254">
        <v>298.74329159212886</v>
      </c>
      <c r="AD16" s="254">
        <v>301.91520467836256</v>
      </c>
      <c r="AE16" s="254">
        <v>303.25416104363472</v>
      </c>
      <c r="AF16" s="254">
        <v>308.24921277552863</v>
      </c>
      <c r="AG16" s="254">
        <v>3749.6862090131267</v>
      </c>
      <c r="AH16" s="254">
        <v>312.47385075109389</v>
      </c>
      <c r="AI16" s="337">
        <v>0</v>
      </c>
      <c r="AJ16" s="106"/>
      <c r="AL16" s="106"/>
      <c r="AM16" s="106"/>
      <c r="BF16" s="239">
        <v>35</v>
      </c>
      <c r="BI16" s="239">
        <v>1</v>
      </c>
      <c r="BJ16" s="104">
        <v>312.47385075109389</v>
      </c>
      <c r="BN16" s="104">
        <v>22.13</v>
      </c>
      <c r="BO16" s="271">
        <v>0.25790734777853447</v>
      </c>
      <c r="BP16" s="108">
        <v>967.07162516832295</v>
      </c>
      <c r="BQ16" s="108">
        <v>22.387907347778533</v>
      </c>
      <c r="BR16" s="262">
        <v>84593.771625168316</v>
      </c>
    </row>
    <row r="17" spans="1:82" s="241" customFormat="1" outlineLevel="1">
      <c r="A17" s="241" t="str">
        <f t="shared" si="0"/>
        <v>MURREYSRESIDENTIAL35RW1R</v>
      </c>
      <c r="B17" s="241" t="s">
        <v>307</v>
      </c>
      <c r="C17" s="241" t="s">
        <v>187</v>
      </c>
      <c r="D17" s="313">
        <v>21.26</v>
      </c>
      <c r="E17" s="247">
        <v>21.36</v>
      </c>
      <c r="F17" s="247">
        <v>21.23</v>
      </c>
      <c r="G17" s="312">
        <v>657817.5149999999</v>
      </c>
      <c r="H17" s="312">
        <v>658537.33000000007</v>
      </c>
      <c r="I17" s="312">
        <v>656184.63000000012</v>
      </c>
      <c r="J17" s="312">
        <v>650503.61500000011</v>
      </c>
      <c r="K17" s="312">
        <v>647505.12</v>
      </c>
      <c r="L17" s="312">
        <v>645435.99</v>
      </c>
      <c r="M17" s="312">
        <v>641576.07499999995</v>
      </c>
      <c r="N17" s="312">
        <v>638885.80000000005</v>
      </c>
      <c r="O17" s="312">
        <v>635553.85499999986</v>
      </c>
      <c r="P17" s="312">
        <v>630992.52500000026</v>
      </c>
      <c r="Q17" s="312">
        <v>633903.01499999978</v>
      </c>
      <c r="R17" s="312">
        <v>634471.74500000011</v>
      </c>
      <c r="S17" s="311">
        <v>7731367.2149999999</v>
      </c>
      <c r="T17" s="311"/>
      <c r="U17" s="310">
        <v>30941.557619943549</v>
      </c>
      <c r="V17" s="310">
        <v>30975.415333960489</v>
      </c>
      <c r="W17" s="310">
        <v>30864.752116650991</v>
      </c>
      <c r="X17" s="310">
        <v>30454.289091760307</v>
      </c>
      <c r="Y17" s="310">
        <v>30313.91011235955</v>
      </c>
      <c r="Z17" s="310">
        <v>30217.040730337078</v>
      </c>
      <c r="AA17" s="310">
        <v>30036.333099250936</v>
      </c>
      <c r="AB17" s="310">
        <v>29910.38389513109</v>
      </c>
      <c r="AC17" s="310">
        <v>29754.393960674151</v>
      </c>
      <c r="AD17" s="310">
        <v>29721.739284032043</v>
      </c>
      <c r="AE17" s="310">
        <v>29858.832548280723</v>
      </c>
      <c r="AF17" s="310">
        <v>29885.621526142255</v>
      </c>
      <c r="AG17" s="310">
        <v>362934.26931852312</v>
      </c>
      <c r="AH17" s="310">
        <v>30244.522443210259</v>
      </c>
      <c r="AI17" s="337">
        <v>0</v>
      </c>
      <c r="AJ17" s="309"/>
      <c r="AL17" s="309"/>
      <c r="AM17" s="309"/>
      <c r="BF17" s="308">
        <v>35</v>
      </c>
      <c r="BG17" s="308"/>
      <c r="BH17" s="308"/>
      <c r="BI17" s="308">
        <v>1</v>
      </c>
      <c r="BJ17" s="247">
        <v>30244.522443210259</v>
      </c>
      <c r="BN17" s="247">
        <v>21.13</v>
      </c>
      <c r="BO17" s="307">
        <v>0.25790734777853447</v>
      </c>
      <c r="BP17" s="307">
        <v>93603.414817880635</v>
      </c>
      <c r="BQ17" s="307">
        <v>21.387907347778533</v>
      </c>
      <c r="BR17" s="306">
        <v>7824970.6298178807</v>
      </c>
      <c r="BW17" s="247"/>
      <c r="BX17" s="305"/>
      <c r="BY17" s="305"/>
      <c r="BZ17" s="305"/>
      <c r="CA17" s="305"/>
      <c r="CB17" s="305"/>
      <c r="CC17" s="305"/>
      <c r="CD17" s="305"/>
    </row>
    <row r="18" spans="1:82" s="241" customFormat="1" outlineLevel="1">
      <c r="A18" s="241" t="str">
        <f t="shared" si="0"/>
        <v>MURREYSRESIDENTIAL65RM1</v>
      </c>
      <c r="B18" s="241" t="s">
        <v>308</v>
      </c>
      <c r="C18" s="241" t="s">
        <v>188</v>
      </c>
      <c r="D18" s="313">
        <v>18.760000000000002</v>
      </c>
      <c r="E18" s="247">
        <v>18.850000000000001</v>
      </c>
      <c r="F18" s="247">
        <v>18.809999999999999</v>
      </c>
      <c r="G18" s="312">
        <v>1716.54</v>
      </c>
      <c r="H18" s="312">
        <v>1697.78</v>
      </c>
      <c r="I18" s="312">
        <v>1643.3</v>
      </c>
      <c r="J18" s="312">
        <v>1675.9399999999998</v>
      </c>
      <c r="K18" s="312">
        <v>1705.8799999999999</v>
      </c>
      <c r="L18" s="312">
        <v>1715.35</v>
      </c>
      <c r="M18" s="312">
        <v>1762.4750000000001</v>
      </c>
      <c r="N18" s="312">
        <v>1771.8999999999999</v>
      </c>
      <c r="O18" s="312">
        <v>1723.94</v>
      </c>
      <c r="P18" s="312">
        <v>1985.3549999999998</v>
      </c>
      <c r="Q18" s="312">
        <v>1770.49</v>
      </c>
      <c r="R18" s="312">
        <v>1808.1100000000001</v>
      </c>
      <c r="S18" s="311">
        <v>20977.06</v>
      </c>
      <c r="T18" s="311"/>
      <c r="U18" s="310">
        <v>91.499999999999986</v>
      </c>
      <c r="V18" s="310">
        <v>90.499999999999986</v>
      </c>
      <c r="W18" s="310">
        <v>87.595948827292105</v>
      </c>
      <c r="X18" s="310">
        <v>88.909283819628627</v>
      </c>
      <c r="Y18" s="310">
        <v>90.497612732095476</v>
      </c>
      <c r="Z18" s="310">
        <v>90.999999999999986</v>
      </c>
      <c r="AA18" s="310">
        <v>93.5</v>
      </c>
      <c r="AB18" s="310">
        <v>93.999999999999986</v>
      </c>
      <c r="AC18" s="310">
        <v>91.455702917771873</v>
      </c>
      <c r="AD18" s="310">
        <v>105.54784688995215</v>
      </c>
      <c r="AE18" s="310">
        <v>94.124933545986181</v>
      </c>
      <c r="AF18" s="310">
        <v>96.124933545986195</v>
      </c>
      <c r="AG18" s="310">
        <v>1114.7562622787127</v>
      </c>
      <c r="AH18" s="310">
        <v>92.896355189892731</v>
      </c>
      <c r="AI18" s="337">
        <v>0</v>
      </c>
      <c r="AJ18" s="309"/>
      <c r="AL18" s="309"/>
      <c r="AM18" s="309"/>
      <c r="BF18" s="308">
        <v>65</v>
      </c>
      <c r="BG18" s="308"/>
      <c r="BH18" s="308"/>
      <c r="BI18" s="308">
        <v>1</v>
      </c>
      <c r="BJ18" s="247">
        <v>92.896355189892731</v>
      </c>
      <c r="BN18" s="247">
        <v>18.72</v>
      </c>
      <c r="BO18" s="307">
        <v>0.22849150735514268</v>
      </c>
      <c r="BP18" s="307">
        <v>254.71233870164784</v>
      </c>
      <c r="BQ18" s="307">
        <v>18.94849150735514</v>
      </c>
      <c r="BR18" s="306">
        <v>21231.772338701649</v>
      </c>
      <c r="BW18" s="247"/>
      <c r="BX18" s="305"/>
      <c r="BY18" s="305"/>
      <c r="BZ18" s="305"/>
      <c r="CA18" s="305"/>
      <c r="CB18" s="305"/>
      <c r="CC18" s="305"/>
      <c r="CD18" s="305"/>
    </row>
    <row r="19" spans="1:82" outlineLevel="1">
      <c r="A19" s="79" t="str">
        <f t="shared" si="0"/>
        <v>MURREYSRESIDENTIAL65RW1N</v>
      </c>
      <c r="B19" s="79" t="s">
        <v>309</v>
      </c>
      <c r="C19" s="79" t="s">
        <v>189</v>
      </c>
      <c r="D19" s="242">
        <v>33.19</v>
      </c>
      <c r="E19" s="104">
        <v>33.340000000000003</v>
      </c>
      <c r="F19" s="104">
        <v>33.159999999999997</v>
      </c>
      <c r="G19" s="105">
        <v>6079.420000000001</v>
      </c>
      <c r="H19" s="105">
        <v>6099.4900000000007</v>
      </c>
      <c r="I19" s="105">
        <v>6029.9649999999992</v>
      </c>
      <c r="J19" s="105">
        <v>6040.9749999999995</v>
      </c>
      <c r="K19" s="105">
        <v>6080.38</v>
      </c>
      <c r="L19" s="105">
        <v>6047.0349999999999</v>
      </c>
      <c r="M19" s="105">
        <v>6013.7000000000007</v>
      </c>
      <c r="N19" s="105">
        <v>6042.0150000000003</v>
      </c>
      <c r="O19" s="105">
        <v>6044.2750000000005</v>
      </c>
      <c r="P19" s="105">
        <v>5917.81</v>
      </c>
      <c r="Q19" s="105">
        <v>5960.53</v>
      </c>
      <c r="R19" s="105">
        <v>5885.9000000000005</v>
      </c>
      <c r="S19" s="249">
        <v>72241.494999999995</v>
      </c>
      <c r="T19" s="249"/>
      <c r="U19" s="254">
        <v>183.17023199758967</v>
      </c>
      <c r="V19" s="254">
        <v>183.77493220849658</v>
      </c>
      <c r="W19" s="254">
        <v>181.68017475143114</v>
      </c>
      <c r="X19" s="254">
        <v>181.19301139772043</v>
      </c>
      <c r="Y19" s="254">
        <v>182.37492501499699</v>
      </c>
      <c r="Z19" s="254">
        <v>181.37477504499097</v>
      </c>
      <c r="AA19" s="254">
        <v>180.37492501499702</v>
      </c>
      <c r="AB19" s="254">
        <v>181.2242051589682</v>
      </c>
      <c r="AC19" s="254">
        <v>181.29199160167965</v>
      </c>
      <c r="AD19" s="254">
        <v>178.46230398069966</v>
      </c>
      <c r="AE19" s="254">
        <v>179.75060313630883</v>
      </c>
      <c r="AF19" s="254">
        <v>177.50000000000003</v>
      </c>
      <c r="AG19" s="254">
        <v>2172.1720793078794</v>
      </c>
      <c r="AH19" s="254">
        <v>181.01433994232329</v>
      </c>
      <c r="AI19" s="337">
        <v>0</v>
      </c>
      <c r="AJ19" s="106"/>
      <c r="AL19" s="106"/>
      <c r="AM19" s="106"/>
      <c r="BF19" s="239">
        <v>65</v>
      </c>
      <c r="BI19" s="239">
        <v>1</v>
      </c>
      <c r="BJ19" s="104">
        <v>181.01433994232329</v>
      </c>
      <c r="BN19" s="104">
        <v>33.01</v>
      </c>
      <c r="BO19" s="271">
        <v>0.37850008777152644</v>
      </c>
      <c r="BP19" s="108">
        <v>822.16732267289149</v>
      </c>
      <c r="BQ19" s="108">
        <v>33.388500087771526</v>
      </c>
      <c r="BR19" s="262">
        <v>73063.662322672884</v>
      </c>
    </row>
    <row r="20" spans="1:82" s="241" customFormat="1" outlineLevel="1">
      <c r="A20" s="241" t="str">
        <f t="shared" si="0"/>
        <v>MURREYSRESIDENTIAL65RW1R</v>
      </c>
      <c r="B20" s="241" t="s">
        <v>310</v>
      </c>
      <c r="C20" s="241" t="s">
        <v>190</v>
      </c>
      <c r="D20" s="313">
        <v>31.19</v>
      </c>
      <c r="E20" s="247">
        <v>31.34</v>
      </c>
      <c r="F20" s="247">
        <v>31.16</v>
      </c>
      <c r="G20" s="312">
        <v>689672.7649999999</v>
      </c>
      <c r="H20" s="312">
        <v>691613.40499999991</v>
      </c>
      <c r="I20" s="312">
        <v>696106.29</v>
      </c>
      <c r="J20" s="312">
        <v>701977.67999999993</v>
      </c>
      <c r="K20" s="312">
        <v>704505.4850000001</v>
      </c>
      <c r="L20" s="312">
        <v>710090.32</v>
      </c>
      <c r="M20" s="312">
        <v>711501.17</v>
      </c>
      <c r="N20" s="312">
        <v>713769.15</v>
      </c>
      <c r="O20" s="312">
        <v>716502.27500000014</v>
      </c>
      <c r="P20" s="312">
        <v>715050.28000000014</v>
      </c>
      <c r="Q20" s="312">
        <v>717454.35499999986</v>
      </c>
      <c r="R20" s="312">
        <v>721160.15999999992</v>
      </c>
      <c r="S20" s="311">
        <v>8489403.3350000009</v>
      </c>
      <c r="T20" s="311"/>
      <c r="U20" s="310">
        <v>22111.983488297526</v>
      </c>
      <c r="V20" s="310">
        <v>22174.203430586724</v>
      </c>
      <c r="W20" s="310">
        <v>22318.25232446297</v>
      </c>
      <c r="X20" s="310">
        <v>22398.77728142948</v>
      </c>
      <c r="Y20" s="310">
        <v>22479.434747925978</v>
      </c>
      <c r="Z20" s="310">
        <v>22657.63624760689</v>
      </c>
      <c r="AA20" s="310">
        <v>22702.653797064457</v>
      </c>
      <c r="AB20" s="310">
        <v>22775.020740268028</v>
      </c>
      <c r="AC20" s="310">
        <v>22862.229578813021</v>
      </c>
      <c r="AD20" s="310">
        <v>22947.698331193842</v>
      </c>
      <c r="AE20" s="310">
        <v>23024.850930680353</v>
      </c>
      <c r="AF20" s="310">
        <v>23143.779204107828</v>
      </c>
      <c r="AG20" s="310">
        <v>271596.52010243706</v>
      </c>
      <c r="AH20" s="310">
        <v>22633.043341869754</v>
      </c>
      <c r="AI20" s="337">
        <v>0</v>
      </c>
      <c r="AJ20" s="309"/>
      <c r="AL20" s="309"/>
      <c r="AM20" s="309"/>
      <c r="BF20" s="308">
        <v>65</v>
      </c>
      <c r="BG20" s="308"/>
      <c r="BH20" s="308"/>
      <c r="BI20" s="308">
        <v>1</v>
      </c>
      <c r="BJ20" s="247">
        <v>22633.043341869754</v>
      </c>
      <c r="BN20" s="247">
        <v>31.01</v>
      </c>
      <c r="BO20" s="307">
        <v>0.37850008777152644</v>
      </c>
      <c r="BP20" s="307">
        <v>102799.30669721356</v>
      </c>
      <c r="BQ20" s="307">
        <v>31.388500087771529</v>
      </c>
      <c r="BR20" s="306">
        <v>8592202.6416972149</v>
      </c>
      <c r="BW20" s="247"/>
      <c r="BX20" s="305"/>
      <c r="BY20" s="305"/>
      <c r="BZ20" s="305"/>
      <c r="CA20" s="305"/>
      <c r="CB20" s="305"/>
      <c r="CC20" s="305"/>
      <c r="CD20" s="305"/>
    </row>
    <row r="21" spans="1:82" s="241" customFormat="1" outlineLevel="1">
      <c r="A21" s="241" t="str">
        <f t="shared" si="0"/>
        <v>MURREYSRESIDENTIAL95RM1</v>
      </c>
      <c r="B21" s="241" t="s">
        <v>311</v>
      </c>
      <c r="C21" s="241" t="s">
        <v>191</v>
      </c>
      <c r="D21" s="313">
        <v>26.32</v>
      </c>
      <c r="E21" s="247">
        <v>26.44</v>
      </c>
      <c r="F21" s="247">
        <v>26.38</v>
      </c>
      <c r="G21" s="312">
        <v>447.43999999999994</v>
      </c>
      <c r="H21" s="312">
        <v>434.28</v>
      </c>
      <c r="I21" s="312">
        <v>474.29999999999995</v>
      </c>
      <c r="J21" s="312">
        <v>422.44000000000005</v>
      </c>
      <c r="K21" s="312">
        <v>489.14</v>
      </c>
      <c r="L21" s="312">
        <v>515.57999999999993</v>
      </c>
      <c r="M21" s="312">
        <v>489.14</v>
      </c>
      <c r="N21" s="312">
        <v>542.02</v>
      </c>
      <c r="O21" s="312">
        <v>515.28</v>
      </c>
      <c r="P21" s="312">
        <v>409.07</v>
      </c>
      <c r="Q21" s="312">
        <v>395.7</v>
      </c>
      <c r="R21" s="312">
        <v>448.46</v>
      </c>
      <c r="S21" s="311">
        <v>5582.8499999999995</v>
      </c>
      <c r="T21" s="311"/>
      <c r="U21" s="310">
        <v>16.999999999999996</v>
      </c>
      <c r="V21" s="310">
        <v>16.5</v>
      </c>
      <c r="W21" s="310">
        <v>18.020516717325226</v>
      </c>
      <c r="X21" s="310">
        <v>15.97730711043873</v>
      </c>
      <c r="Y21" s="310">
        <v>18.5</v>
      </c>
      <c r="Z21" s="310">
        <v>19.499999999999996</v>
      </c>
      <c r="AA21" s="310">
        <v>18.5</v>
      </c>
      <c r="AB21" s="310">
        <v>20.5</v>
      </c>
      <c r="AC21" s="310">
        <v>19.488653555219361</v>
      </c>
      <c r="AD21" s="310">
        <v>15.506823351023503</v>
      </c>
      <c r="AE21" s="310">
        <v>15</v>
      </c>
      <c r="AF21" s="310">
        <v>17</v>
      </c>
      <c r="AG21" s="310">
        <v>211.49330073400685</v>
      </c>
      <c r="AH21" s="310">
        <v>17.624441727833904</v>
      </c>
      <c r="AI21" s="337">
        <v>0</v>
      </c>
      <c r="AJ21" s="309"/>
      <c r="AL21" s="309"/>
      <c r="AM21" s="309"/>
      <c r="BF21" s="308">
        <v>95</v>
      </c>
      <c r="BG21" s="308"/>
      <c r="BH21" s="308"/>
      <c r="BI21" s="308">
        <v>1</v>
      </c>
      <c r="BJ21" s="247">
        <v>17.624441727833904</v>
      </c>
      <c r="BN21" s="247">
        <v>26.26</v>
      </c>
      <c r="BO21" s="307">
        <v>0.32052280892874185</v>
      </c>
      <c r="BP21" s="307">
        <v>67.788426820875017</v>
      </c>
      <c r="BQ21" s="307">
        <v>26.580522808928745</v>
      </c>
      <c r="BR21" s="306">
        <v>5650.6384268208749</v>
      </c>
      <c r="BW21" s="247"/>
      <c r="BX21" s="305"/>
      <c r="BY21" s="305"/>
      <c r="BZ21" s="305"/>
      <c r="CA21" s="305"/>
      <c r="CB21" s="305"/>
      <c r="CC21" s="305"/>
      <c r="CD21" s="305"/>
    </row>
    <row r="22" spans="1:82" outlineLevel="1">
      <c r="A22" s="79" t="str">
        <f t="shared" si="0"/>
        <v>MURREYSRESIDENTIAL95RW1N</v>
      </c>
      <c r="B22" s="79" t="s">
        <v>312</v>
      </c>
      <c r="C22" s="79" t="s">
        <v>192</v>
      </c>
      <c r="D22" s="242">
        <v>46.47</v>
      </c>
      <c r="E22" s="104">
        <v>46.67</v>
      </c>
      <c r="F22" s="104">
        <v>46.41</v>
      </c>
      <c r="G22" s="105">
        <v>1562.55</v>
      </c>
      <c r="H22" s="105">
        <v>1701.9549999999999</v>
      </c>
      <c r="I22" s="105">
        <v>1785.49</v>
      </c>
      <c r="J22" s="105">
        <v>1660.4849999999999</v>
      </c>
      <c r="K22" s="105">
        <v>1691.78</v>
      </c>
      <c r="L22" s="105">
        <v>1645.115</v>
      </c>
      <c r="M22" s="105">
        <v>1773.46</v>
      </c>
      <c r="N22" s="105">
        <v>1808.46</v>
      </c>
      <c r="O22" s="105">
        <v>1724.19</v>
      </c>
      <c r="P22" s="105">
        <v>1603.7449999999999</v>
      </c>
      <c r="Q22" s="105">
        <v>1612.7399999999998</v>
      </c>
      <c r="R22" s="105">
        <v>1624.345</v>
      </c>
      <c r="S22" s="249">
        <v>20194.315000000002</v>
      </c>
      <c r="T22" s="249"/>
      <c r="U22" s="254">
        <v>33.624919302775986</v>
      </c>
      <c r="V22" s="254">
        <v>36.624811706477296</v>
      </c>
      <c r="W22" s="254">
        <v>38.422423068646438</v>
      </c>
      <c r="X22" s="254">
        <v>35.579280051424895</v>
      </c>
      <c r="Y22" s="254">
        <v>36.249839297193056</v>
      </c>
      <c r="Z22" s="254">
        <v>35.249946432397685</v>
      </c>
      <c r="AA22" s="254">
        <v>38</v>
      </c>
      <c r="AB22" s="254">
        <v>38.749946432397685</v>
      </c>
      <c r="AC22" s="254">
        <v>36.944289693593312</v>
      </c>
      <c r="AD22" s="254">
        <v>34.556022408963585</v>
      </c>
      <c r="AE22" s="254">
        <v>34.749838396897218</v>
      </c>
      <c r="AF22" s="254">
        <v>34.999892264598152</v>
      </c>
      <c r="AG22" s="254">
        <v>433.75120905536534</v>
      </c>
      <c r="AH22" s="254">
        <v>36.145934087947111</v>
      </c>
      <c r="AI22" s="337">
        <v>0</v>
      </c>
      <c r="AJ22" s="106"/>
      <c r="AL22" s="106"/>
      <c r="AM22" s="106"/>
      <c r="BF22" s="239">
        <v>95</v>
      </c>
      <c r="BI22" s="239">
        <v>1</v>
      </c>
      <c r="BJ22" s="104">
        <v>36.145934087947111</v>
      </c>
      <c r="BN22" s="104">
        <v>46.21</v>
      </c>
      <c r="BO22" s="271">
        <v>0.52741015132562585</v>
      </c>
      <c r="BP22" s="108">
        <v>228.76479080556339</v>
      </c>
      <c r="BQ22" s="108">
        <v>46.737410151325626</v>
      </c>
      <c r="BR22" s="262">
        <v>20423.079790805565</v>
      </c>
    </row>
    <row r="23" spans="1:82" s="241" customFormat="1" outlineLevel="1">
      <c r="A23" s="241" t="str">
        <f t="shared" si="0"/>
        <v>MURREYSRESIDENTIAL95RW1R</v>
      </c>
      <c r="B23" s="241" t="s">
        <v>313</v>
      </c>
      <c r="C23" s="241" t="s">
        <v>193</v>
      </c>
      <c r="D23" s="313">
        <v>43.47</v>
      </c>
      <c r="E23" s="247">
        <v>43.67</v>
      </c>
      <c r="F23" s="247">
        <v>43.41</v>
      </c>
      <c r="G23" s="312">
        <v>241556.80499999999</v>
      </c>
      <c r="H23" s="312">
        <v>246952.09499999997</v>
      </c>
      <c r="I23" s="312">
        <v>253949.01499999998</v>
      </c>
      <c r="J23" s="312">
        <v>258941.72</v>
      </c>
      <c r="K23" s="312">
        <v>262650.87499999988</v>
      </c>
      <c r="L23" s="312">
        <v>269984.73999999993</v>
      </c>
      <c r="M23" s="312">
        <v>274557.61</v>
      </c>
      <c r="N23" s="312">
        <v>276928.11000000004</v>
      </c>
      <c r="O23" s="312">
        <v>279860.77499999997</v>
      </c>
      <c r="P23" s="312">
        <v>281878.58999999997</v>
      </c>
      <c r="Q23" s="312">
        <v>287431.47000000003</v>
      </c>
      <c r="R23" s="312">
        <v>292025.755</v>
      </c>
      <c r="S23" s="311">
        <v>3226717.56</v>
      </c>
      <c r="T23" s="311"/>
      <c r="U23" s="310">
        <v>5556.86231884058</v>
      </c>
      <c r="V23" s="310">
        <v>5680.9775707384397</v>
      </c>
      <c r="W23" s="310">
        <v>5841.9373130894865</v>
      </c>
      <c r="X23" s="310">
        <v>5929.5104190519805</v>
      </c>
      <c r="Y23" s="310">
        <v>6014.4464163040957</v>
      </c>
      <c r="Z23" s="310">
        <v>6182.3847034577493</v>
      </c>
      <c r="AA23" s="310">
        <v>6287.0989237462782</v>
      </c>
      <c r="AB23" s="310">
        <v>6341.3810396152976</v>
      </c>
      <c r="AC23" s="310">
        <v>6408.53618044424</v>
      </c>
      <c r="AD23" s="310">
        <v>6493.402211472011</v>
      </c>
      <c r="AE23" s="310">
        <v>6621.3192812715979</v>
      </c>
      <c r="AF23" s="310">
        <v>6727.1539967749377</v>
      </c>
      <c r="AG23" s="310">
        <v>74085.010374806705</v>
      </c>
      <c r="AH23" s="310">
        <v>6173.7508645672251</v>
      </c>
      <c r="AI23" s="337">
        <v>0</v>
      </c>
      <c r="AJ23" s="309"/>
      <c r="AL23" s="309"/>
      <c r="AM23" s="309"/>
      <c r="BF23" s="308">
        <v>95</v>
      </c>
      <c r="BG23" s="308"/>
      <c r="BH23" s="308"/>
      <c r="BI23" s="308">
        <v>1</v>
      </c>
      <c r="BJ23" s="247">
        <v>6173.7508645672251</v>
      </c>
      <c r="BN23" s="247">
        <v>43.21</v>
      </c>
      <c r="BO23" s="307">
        <v>0.52741015132562585</v>
      </c>
      <c r="BP23" s="307">
        <v>39073.186532737367</v>
      </c>
      <c r="BQ23" s="307">
        <v>43.737410151325626</v>
      </c>
      <c r="BR23" s="306">
        <v>3265790.7465327373</v>
      </c>
      <c r="BW23" s="247"/>
      <c r="BX23" s="305"/>
      <c r="BY23" s="305"/>
      <c r="BZ23" s="305"/>
      <c r="CA23" s="305"/>
      <c r="CB23" s="305"/>
      <c r="CC23" s="305"/>
      <c r="CD23" s="305"/>
    </row>
    <row r="24" spans="1:82" outlineLevel="1">
      <c r="A24" s="79" t="str">
        <f t="shared" si="0"/>
        <v>MURREYSRESIDENTIALADJRES</v>
      </c>
      <c r="B24" s="79" t="s">
        <v>314</v>
      </c>
      <c r="C24" s="79" t="s">
        <v>315</v>
      </c>
      <c r="D24" s="104">
        <v>0</v>
      </c>
      <c r="E24" s="104">
        <v>0</v>
      </c>
      <c r="F24" s="104">
        <v>0</v>
      </c>
      <c r="G24" s="105">
        <v>0</v>
      </c>
      <c r="H24" s="105">
        <v>-0.71999999999999886</v>
      </c>
      <c r="I24" s="105">
        <v>-0.90000000000009095</v>
      </c>
      <c r="J24" s="105">
        <v>-3.5500000000000114</v>
      </c>
      <c r="K24" s="105">
        <v>0</v>
      </c>
      <c r="L24" s="105">
        <v>0</v>
      </c>
      <c r="M24" s="105">
        <v>0</v>
      </c>
      <c r="N24" s="105">
        <v>-0.36000000000000032</v>
      </c>
      <c r="O24" s="105">
        <v>0</v>
      </c>
      <c r="P24" s="105">
        <v>205.55999999999997</v>
      </c>
      <c r="Q24" s="105">
        <v>-22.53</v>
      </c>
      <c r="R24" s="105">
        <v>0</v>
      </c>
      <c r="S24" s="249">
        <v>177.49999999999986</v>
      </c>
      <c r="T24" s="249"/>
      <c r="U24" s="106">
        <v>0</v>
      </c>
      <c r="V24" s="106">
        <v>0</v>
      </c>
      <c r="W24" s="106">
        <v>0</v>
      </c>
      <c r="X24" s="106">
        <v>0</v>
      </c>
      <c r="Y24" s="106">
        <v>0</v>
      </c>
      <c r="Z24" s="106">
        <v>0</v>
      </c>
      <c r="AA24" s="106">
        <v>0</v>
      </c>
      <c r="AB24" s="106">
        <v>0</v>
      </c>
      <c r="AC24" s="106">
        <v>0</v>
      </c>
      <c r="AD24" s="106">
        <v>0</v>
      </c>
      <c r="AE24" s="106">
        <v>0</v>
      </c>
      <c r="AF24" s="106">
        <v>0</v>
      </c>
      <c r="AG24" s="106">
        <v>0</v>
      </c>
      <c r="AH24" s="106">
        <v>0</v>
      </c>
      <c r="AI24" s="337"/>
      <c r="AJ24" s="106"/>
      <c r="AL24" s="106"/>
      <c r="AM24" s="106"/>
      <c r="BJ24" s="104">
        <v>0</v>
      </c>
      <c r="BO24" s="108">
        <v>0</v>
      </c>
      <c r="BP24" s="108">
        <v>0</v>
      </c>
      <c r="BQ24" s="108">
        <v>0</v>
      </c>
      <c r="BR24" s="262">
        <v>177.49999999999986</v>
      </c>
      <c r="BS24" s="242"/>
    </row>
    <row r="25" spans="1:82" outlineLevel="1">
      <c r="A25" s="79" t="str">
        <f>+$A$4&amp;"ONCALL"&amp;B25</f>
        <v>MURREYSONCALLDRIVEPRVT-RES</v>
      </c>
      <c r="B25" s="79" t="s">
        <v>316</v>
      </c>
      <c r="C25" s="79" t="s">
        <v>317</v>
      </c>
      <c r="D25" s="104">
        <v>11.24</v>
      </c>
      <c r="E25" s="104">
        <v>11.24</v>
      </c>
      <c r="F25" s="104">
        <v>11.24</v>
      </c>
      <c r="G25" s="105">
        <v>13.96</v>
      </c>
      <c r="H25" s="105">
        <v>13.96</v>
      </c>
      <c r="I25" s="105">
        <v>13.96</v>
      </c>
      <c r="J25" s="105">
        <v>19</v>
      </c>
      <c r="K25" s="105">
        <v>19</v>
      </c>
      <c r="L25" s="105">
        <v>8.92</v>
      </c>
      <c r="M25" s="105">
        <v>19</v>
      </c>
      <c r="N25" s="105">
        <v>19</v>
      </c>
      <c r="O25" s="105">
        <v>5.04</v>
      </c>
      <c r="P25" s="105">
        <v>-5.04</v>
      </c>
      <c r="Q25" s="105">
        <v>0</v>
      </c>
      <c r="R25" s="105">
        <v>0</v>
      </c>
      <c r="S25" s="249">
        <v>126.8</v>
      </c>
      <c r="T25" s="249"/>
      <c r="U25" s="106">
        <v>1.2419928825622777</v>
      </c>
      <c r="V25" s="106">
        <v>1.2419928825622777</v>
      </c>
      <c r="W25" s="106">
        <v>1.2419928825622777</v>
      </c>
      <c r="X25" s="106">
        <v>1.6903914590747331</v>
      </c>
      <c r="Y25" s="106">
        <v>1.6903914590747331</v>
      </c>
      <c r="Z25" s="106">
        <v>0.79359430604982206</v>
      </c>
      <c r="AA25" s="106">
        <v>1.6903914590747331</v>
      </c>
      <c r="AB25" s="106">
        <v>1.6903914590747331</v>
      </c>
      <c r="AC25" s="106">
        <v>0.44839857651245552</v>
      </c>
      <c r="AD25" s="106">
        <v>-0.44839857651245552</v>
      </c>
      <c r="AE25" s="106">
        <v>0</v>
      </c>
      <c r="AF25" s="106">
        <v>0</v>
      </c>
      <c r="AG25" s="106">
        <v>11.281138790035589</v>
      </c>
      <c r="AH25" s="106">
        <v>0.9400948991696324</v>
      </c>
      <c r="AI25" s="337"/>
      <c r="AJ25" s="106"/>
      <c r="AL25" s="106"/>
      <c r="AM25" s="106"/>
      <c r="BD25" s="79">
        <v>0</v>
      </c>
      <c r="BJ25" s="104">
        <v>0</v>
      </c>
      <c r="BN25" s="104">
        <v>15.2416</v>
      </c>
      <c r="BO25" s="108">
        <v>0.18603505120214439</v>
      </c>
      <c r="BP25" s="108">
        <v>2.0986872324227681</v>
      </c>
      <c r="BQ25" s="108">
        <v>15.427635051202145</v>
      </c>
      <c r="BR25" s="262">
        <v>128.89868723242276</v>
      </c>
    </row>
    <row r="26" spans="1:82" outlineLevel="1">
      <c r="A26" s="79" t="str">
        <f>+$A$4&amp;$A$10&amp;B26</f>
        <v>MURREYSRESIDENTIALDRVNRW1</v>
      </c>
      <c r="B26" s="79" t="s">
        <v>318</v>
      </c>
      <c r="C26" s="79" t="s">
        <v>319</v>
      </c>
      <c r="D26" s="242">
        <v>5.04</v>
      </c>
      <c r="E26" s="104">
        <v>5.0599999999999996</v>
      </c>
      <c r="F26" s="104">
        <v>5.0599999999999996</v>
      </c>
      <c r="G26" s="105">
        <v>994.06000000000006</v>
      </c>
      <c r="H26" s="105">
        <v>990.86</v>
      </c>
      <c r="I26" s="105">
        <v>995.21</v>
      </c>
      <c r="J26" s="105">
        <v>987.18999999999994</v>
      </c>
      <c r="K26" s="105">
        <v>959.04</v>
      </c>
      <c r="L26" s="105">
        <v>927.40499999999997</v>
      </c>
      <c r="M26" s="105">
        <v>974.13499999999999</v>
      </c>
      <c r="N26" s="105">
        <v>970.96999999999991</v>
      </c>
      <c r="O26" s="105">
        <v>991.20500000000004</v>
      </c>
      <c r="P26" s="105">
        <v>965.12</v>
      </c>
      <c r="Q26" s="105">
        <v>975.80000000000007</v>
      </c>
      <c r="R26" s="105">
        <v>914.14499999999998</v>
      </c>
      <c r="S26" s="249">
        <v>11645.140000000001</v>
      </c>
      <c r="T26" s="249"/>
      <c r="U26" s="106">
        <v>197.23412698412699</v>
      </c>
      <c r="V26" s="106">
        <v>196.59920634920636</v>
      </c>
      <c r="W26" s="106">
        <v>197.4623015873016</v>
      </c>
      <c r="X26" s="106">
        <v>195.09683794466403</v>
      </c>
      <c r="Y26" s="106">
        <v>189.53359683794469</v>
      </c>
      <c r="Z26" s="106">
        <v>183.28162055335969</v>
      </c>
      <c r="AA26" s="106">
        <v>192.51679841897234</v>
      </c>
      <c r="AB26" s="106">
        <v>191.89130434782609</v>
      </c>
      <c r="AC26" s="106">
        <v>195.89031620553362</v>
      </c>
      <c r="AD26" s="106">
        <v>190.73517786561266</v>
      </c>
      <c r="AE26" s="106">
        <v>192.84584980237156</v>
      </c>
      <c r="AF26" s="106">
        <v>180.6610671936759</v>
      </c>
      <c r="AG26" s="106">
        <v>2303.7482040905957</v>
      </c>
      <c r="AH26" s="106">
        <v>191.97901700754963</v>
      </c>
      <c r="AI26" s="337"/>
      <c r="AJ26" s="106"/>
      <c r="AL26" s="106"/>
      <c r="AM26" s="106"/>
      <c r="BJ26" s="104">
        <v>0</v>
      </c>
      <c r="BN26" s="104">
        <v>5.04</v>
      </c>
      <c r="BO26" s="108">
        <v>6.151694428792303E-2</v>
      </c>
      <c r="BP26" s="108">
        <v>141.7195499244439</v>
      </c>
      <c r="BQ26" s="108">
        <v>5.1015169442879227</v>
      </c>
      <c r="BR26" s="262">
        <v>11786.859549924446</v>
      </c>
    </row>
    <row r="27" spans="1:82" outlineLevel="1">
      <c r="A27" s="79" t="str">
        <f>+$A$4&amp;"ONCALL"&amp;B27</f>
        <v>MURREYSONCALLDRVNRW2</v>
      </c>
      <c r="B27" s="79" t="s">
        <v>320</v>
      </c>
      <c r="C27" s="79" t="s">
        <v>321</v>
      </c>
      <c r="D27" s="104">
        <v>5.04</v>
      </c>
      <c r="E27" s="104">
        <v>5.0599999999999996</v>
      </c>
      <c r="F27" s="104">
        <v>5.0599999999999996</v>
      </c>
      <c r="G27" s="104">
        <v>5.03</v>
      </c>
      <c r="H27" s="105">
        <v>5.03</v>
      </c>
      <c r="I27" s="105">
        <v>5.03</v>
      </c>
      <c r="J27" s="105">
        <v>5.03</v>
      </c>
      <c r="K27" s="105">
        <v>5.03</v>
      </c>
      <c r="L27" s="105">
        <v>5.03</v>
      </c>
      <c r="M27" s="105">
        <v>5.03</v>
      </c>
      <c r="N27" s="105">
        <v>5.03</v>
      </c>
      <c r="O27" s="105">
        <v>0</v>
      </c>
      <c r="P27" s="105">
        <v>0</v>
      </c>
      <c r="Q27" s="105">
        <v>0</v>
      </c>
      <c r="R27" s="105">
        <v>0</v>
      </c>
      <c r="S27" s="249">
        <v>40.24</v>
      </c>
      <c r="T27" s="249"/>
      <c r="U27" s="106">
        <v>0.99801587301587302</v>
      </c>
      <c r="V27" s="106">
        <v>0.99801587301587302</v>
      </c>
      <c r="W27" s="106">
        <v>0.99801587301587302</v>
      </c>
      <c r="X27" s="106">
        <v>0.99407114624505943</v>
      </c>
      <c r="Y27" s="106">
        <v>0.99407114624505943</v>
      </c>
      <c r="Z27" s="106">
        <v>0.99407114624505943</v>
      </c>
      <c r="AA27" s="106">
        <v>0.99407114624505943</v>
      </c>
      <c r="AB27" s="106">
        <v>0.99407114624505943</v>
      </c>
      <c r="AC27" s="106">
        <v>0</v>
      </c>
      <c r="AD27" s="106">
        <v>0</v>
      </c>
      <c r="AE27" s="106">
        <v>0</v>
      </c>
      <c r="AF27" s="106">
        <v>0</v>
      </c>
      <c r="AG27" s="106">
        <v>7.9644033502729163</v>
      </c>
      <c r="AH27" s="106">
        <v>0.66370027918940966</v>
      </c>
      <c r="AI27" s="337"/>
      <c r="AJ27" s="106"/>
      <c r="AL27" s="106"/>
      <c r="AM27" s="106"/>
      <c r="BJ27" s="104">
        <v>0</v>
      </c>
      <c r="BN27" s="304"/>
      <c r="BO27" s="108">
        <v>0</v>
      </c>
      <c r="BP27" s="108">
        <v>0</v>
      </c>
      <c r="BQ27" s="108">
        <v>0</v>
      </c>
      <c r="BR27" s="262">
        <v>40.24</v>
      </c>
    </row>
    <row r="28" spans="1:82" outlineLevel="1">
      <c r="A28" s="79" t="str">
        <f t="shared" ref="A28:A38" si="1">+$A$4&amp;$A$10&amp;B28</f>
        <v>MURREYSRESIDENTIALOBSR</v>
      </c>
      <c r="B28" s="79" t="s">
        <v>324</v>
      </c>
      <c r="C28" s="79" t="s">
        <v>325</v>
      </c>
      <c r="D28" s="242">
        <v>0.84</v>
      </c>
      <c r="E28" s="104">
        <v>0.84</v>
      </c>
      <c r="F28" s="104">
        <v>0.84</v>
      </c>
      <c r="G28" s="105">
        <v>5.04</v>
      </c>
      <c r="H28" s="105">
        <v>5.04</v>
      </c>
      <c r="I28" s="105">
        <v>5.04</v>
      </c>
      <c r="J28" s="105">
        <v>5.88</v>
      </c>
      <c r="K28" s="105">
        <v>5.88</v>
      </c>
      <c r="L28" s="105">
        <v>5.88</v>
      </c>
      <c r="M28" s="105">
        <v>5.88</v>
      </c>
      <c r="N28" s="105">
        <v>5.88</v>
      </c>
      <c r="O28" s="105">
        <v>5.88</v>
      </c>
      <c r="P28" s="105">
        <v>5.88</v>
      </c>
      <c r="Q28" s="105">
        <v>5.88</v>
      </c>
      <c r="R28" s="105">
        <v>5.88</v>
      </c>
      <c r="S28" s="249">
        <v>68.040000000000006</v>
      </c>
      <c r="T28" s="249"/>
      <c r="U28" s="106">
        <v>6</v>
      </c>
      <c r="V28" s="106">
        <v>6</v>
      </c>
      <c r="W28" s="106">
        <v>6</v>
      </c>
      <c r="X28" s="106">
        <v>7</v>
      </c>
      <c r="Y28" s="106">
        <v>7</v>
      </c>
      <c r="Z28" s="106">
        <v>7</v>
      </c>
      <c r="AA28" s="106">
        <v>7</v>
      </c>
      <c r="AB28" s="106">
        <v>7</v>
      </c>
      <c r="AC28" s="106">
        <v>7</v>
      </c>
      <c r="AD28" s="106">
        <v>7</v>
      </c>
      <c r="AE28" s="106">
        <v>7</v>
      </c>
      <c r="AF28" s="106">
        <v>7</v>
      </c>
      <c r="AG28" s="106">
        <v>81</v>
      </c>
      <c r="AH28" s="106">
        <v>6.75</v>
      </c>
      <c r="AI28" s="337"/>
      <c r="AJ28" s="106"/>
      <c r="AL28" s="106"/>
      <c r="AM28" s="106"/>
      <c r="BJ28" s="104">
        <v>0</v>
      </c>
      <c r="BN28" s="104">
        <v>0.84</v>
      </c>
      <c r="BO28" s="108">
        <v>1.0252824047987172E-2</v>
      </c>
      <c r="BP28" s="108">
        <v>0.83047874788696086</v>
      </c>
      <c r="BQ28" s="108">
        <v>0.85025282404798719</v>
      </c>
      <c r="BR28" s="262">
        <v>68.870478747886963</v>
      </c>
    </row>
    <row r="29" spans="1:82" outlineLevel="1">
      <c r="A29" s="79" t="str">
        <f t="shared" si="1"/>
        <v>MURREYSRESIDENTIALPACKR</v>
      </c>
      <c r="B29" s="79" t="s">
        <v>326</v>
      </c>
      <c r="C29" s="79" t="s">
        <v>327</v>
      </c>
      <c r="D29" s="242">
        <v>5.41</v>
      </c>
      <c r="E29" s="104">
        <v>5.44</v>
      </c>
      <c r="F29" s="104">
        <v>5.44</v>
      </c>
      <c r="G29" s="105">
        <v>391.73</v>
      </c>
      <c r="H29" s="105">
        <v>390.38499999999999</v>
      </c>
      <c r="I29" s="105">
        <v>413.74</v>
      </c>
      <c r="J29" s="105">
        <v>411.435</v>
      </c>
      <c r="K29" s="105">
        <v>403.96500000000003</v>
      </c>
      <c r="L29" s="105">
        <v>406.38499999999999</v>
      </c>
      <c r="M29" s="105">
        <v>398.22499999999997</v>
      </c>
      <c r="N29" s="105">
        <v>406.70499999999993</v>
      </c>
      <c r="O29" s="105">
        <v>389.32499999999999</v>
      </c>
      <c r="P29" s="105">
        <v>381.16499999999996</v>
      </c>
      <c r="Q29" s="105">
        <v>388.21499999999997</v>
      </c>
      <c r="R29" s="105">
        <v>250.76499999999999</v>
      </c>
      <c r="S29" s="249">
        <v>4632.04</v>
      </c>
      <c r="T29" s="249"/>
      <c r="U29" s="106">
        <v>72.40850277264326</v>
      </c>
      <c r="V29" s="106">
        <v>72.159889094269872</v>
      </c>
      <c r="W29" s="106">
        <v>76.476894639556377</v>
      </c>
      <c r="X29" s="106">
        <v>75.631433823529406</v>
      </c>
      <c r="Y29" s="106">
        <v>74.258272058823536</v>
      </c>
      <c r="Z29" s="106">
        <v>74.703125</v>
      </c>
      <c r="AA29" s="106">
        <v>73.203124999999986</v>
      </c>
      <c r="AB29" s="106">
        <v>74.76194852941174</v>
      </c>
      <c r="AC29" s="106">
        <v>71.56709558823529</v>
      </c>
      <c r="AD29" s="106">
        <v>70.067095588235276</v>
      </c>
      <c r="AE29" s="106">
        <v>71.363051470588232</v>
      </c>
      <c r="AF29" s="106">
        <v>46.096507352941174</v>
      </c>
      <c r="AG29" s="106">
        <v>852.69694091823408</v>
      </c>
      <c r="AH29" s="106">
        <v>71.05807840985284</v>
      </c>
      <c r="AI29" s="337"/>
      <c r="AJ29" s="106"/>
      <c r="AL29" s="106"/>
      <c r="AM29" s="106"/>
      <c r="BJ29" s="104">
        <v>0</v>
      </c>
      <c r="BN29" s="104">
        <v>5.41</v>
      </c>
      <c r="BO29" s="108">
        <v>6.6033069166203093E-2</v>
      </c>
      <c r="BP29" s="108">
        <v>56.306196077463539</v>
      </c>
      <c r="BQ29" s="108">
        <v>5.4760330691662036</v>
      </c>
      <c r="BR29" s="262">
        <v>4688.3461960774639</v>
      </c>
    </row>
    <row r="30" spans="1:82" outlineLevel="1">
      <c r="A30" s="79" t="str">
        <f t="shared" si="1"/>
        <v>MURREYSRESIDENTIALRESTART FEE</v>
      </c>
      <c r="B30" s="79" t="s">
        <v>328</v>
      </c>
      <c r="C30" s="79" t="s">
        <v>328</v>
      </c>
      <c r="D30" s="242">
        <v>11.22</v>
      </c>
      <c r="E30" s="104">
        <v>11.27</v>
      </c>
      <c r="F30" s="104">
        <v>11.27</v>
      </c>
      <c r="G30" s="105">
        <v>4507.6350000000002</v>
      </c>
      <c r="H30" s="105">
        <v>4344.9449999999997</v>
      </c>
      <c r="I30" s="105">
        <v>4936.7999999999993</v>
      </c>
      <c r="J30" s="105">
        <v>5146.8899999999994</v>
      </c>
      <c r="K30" s="105">
        <v>3685.29</v>
      </c>
      <c r="L30" s="105">
        <v>4547.4449999999997</v>
      </c>
      <c r="M30" s="105">
        <v>3259.85</v>
      </c>
      <c r="N30" s="105">
        <v>5068.33</v>
      </c>
      <c r="O30" s="105">
        <v>5587.1049999999996</v>
      </c>
      <c r="P30" s="105">
        <v>4936.3100000000004</v>
      </c>
      <c r="Q30" s="105">
        <v>6097.0700000000015</v>
      </c>
      <c r="R30" s="105">
        <v>5161.66</v>
      </c>
      <c r="S30" s="249">
        <v>57279.329999999987</v>
      </c>
      <c r="T30" s="249"/>
      <c r="U30" s="106">
        <v>401.75</v>
      </c>
      <c r="V30" s="106">
        <v>387.24999999999994</v>
      </c>
      <c r="W30" s="106">
        <v>439.99999999999989</v>
      </c>
      <c r="X30" s="106">
        <v>456.68944099378876</v>
      </c>
      <c r="Y30" s="106">
        <v>327</v>
      </c>
      <c r="Z30" s="106">
        <v>403.5</v>
      </c>
      <c r="AA30" s="106">
        <v>289.25022182786159</v>
      </c>
      <c r="AB30" s="106">
        <v>449.71872227151732</v>
      </c>
      <c r="AC30" s="106">
        <v>495.75022182786154</v>
      </c>
      <c r="AD30" s="106">
        <v>438.00443655723166</v>
      </c>
      <c r="AE30" s="106">
        <v>541.00000000000011</v>
      </c>
      <c r="AF30" s="106">
        <v>458</v>
      </c>
      <c r="AG30" s="106">
        <v>5087.913043478261</v>
      </c>
      <c r="AH30" s="106">
        <v>423.99275362318843</v>
      </c>
      <c r="AI30" s="337"/>
      <c r="AJ30" s="106"/>
      <c r="AL30" s="106"/>
      <c r="AM30" s="106"/>
      <c r="BJ30" s="104">
        <v>0</v>
      </c>
      <c r="BN30" s="104">
        <v>11.22</v>
      </c>
      <c r="BO30" s="108">
        <v>0.13694843549811436</v>
      </c>
      <c r="BP30" s="108">
        <v>696.78173125479736</v>
      </c>
      <c r="BQ30" s="108">
        <v>11.356948435498115</v>
      </c>
      <c r="BR30" s="262">
        <v>57976.111731254787</v>
      </c>
    </row>
    <row r="31" spans="1:82" outlineLevel="1">
      <c r="A31" s="79" t="str">
        <f t="shared" si="1"/>
        <v>MURREYSRESIDENTIALREXTRA</v>
      </c>
      <c r="B31" s="79" t="s">
        <v>329</v>
      </c>
      <c r="C31" s="79" t="s">
        <v>105</v>
      </c>
      <c r="D31" s="242">
        <v>4.8600000000000003</v>
      </c>
      <c r="E31" s="104">
        <v>4.88</v>
      </c>
      <c r="F31" s="104">
        <v>4.8499999999999996</v>
      </c>
      <c r="G31" s="105">
        <v>18124.050000000003</v>
      </c>
      <c r="H31" s="105">
        <v>19022.04</v>
      </c>
      <c r="I31" s="105">
        <v>13943.279999999999</v>
      </c>
      <c r="J31" s="105">
        <v>14374.359999999999</v>
      </c>
      <c r="K31" s="105">
        <v>11984.800000000001</v>
      </c>
      <c r="L31" s="105">
        <v>13527.3</v>
      </c>
      <c r="M31" s="105">
        <v>12106.93</v>
      </c>
      <c r="N31" s="105">
        <v>16133.299999999996</v>
      </c>
      <c r="O31" s="105">
        <v>11897.98</v>
      </c>
      <c r="P31" s="105">
        <v>14182.630000000001</v>
      </c>
      <c r="Q31" s="105">
        <v>13482.490000000002</v>
      </c>
      <c r="R31" s="105">
        <v>16300.55</v>
      </c>
      <c r="S31" s="249">
        <v>175079.71</v>
      </c>
      <c r="T31" s="249"/>
      <c r="U31" s="106">
        <v>3729.2283950617289</v>
      </c>
      <c r="V31" s="106">
        <v>3914</v>
      </c>
      <c r="W31" s="106">
        <v>2868.9876543209871</v>
      </c>
      <c r="X31" s="106">
        <v>2945.5655737704915</v>
      </c>
      <c r="Y31" s="106">
        <v>2455.9016393442625</v>
      </c>
      <c r="Z31" s="106">
        <v>2771.9877049180327</v>
      </c>
      <c r="AA31" s="106">
        <v>2480.9282786885246</v>
      </c>
      <c r="AB31" s="106">
        <v>3306.004098360655</v>
      </c>
      <c r="AC31" s="106">
        <v>2438.1106557377047</v>
      </c>
      <c r="AD31" s="106">
        <v>2924.253608247423</v>
      </c>
      <c r="AE31" s="106">
        <v>2779.8948453608255</v>
      </c>
      <c r="AF31" s="106">
        <v>3360.9381443298971</v>
      </c>
      <c r="AG31" s="106">
        <v>35975.800598140529</v>
      </c>
      <c r="AH31" s="106">
        <v>2997.9833831783776</v>
      </c>
      <c r="AI31" s="337"/>
      <c r="AJ31" s="106"/>
      <c r="AL31" s="106"/>
      <c r="AM31" s="106"/>
      <c r="BJ31" s="104">
        <v>0</v>
      </c>
      <c r="BN31" s="104">
        <v>4.83</v>
      </c>
      <c r="BO31" s="108">
        <v>5.8953738275926239E-2</v>
      </c>
      <c r="BP31" s="108">
        <v>2120.9079327296877</v>
      </c>
      <c r="BQ31" s="108">
        <v>4.8889537382759265</v>
      </c>
      <c r="BR31" s="262">
        <v>177200.61793272968</v>
      </c>
    </row>
    <row r="32" spans="1:82" outlineLevel="1">
      <c r="A32" s="79" t="str">
        <f t="shared" si="1"/>
        <v>MURREYSRESIDENTIALSUNKENR</v>
      </c>
      <c r="B32" s="79" t="s">
        <v>330</v>
      </c>
      <c r="C32" s="79" t="s">
        <v>331</v>
      </c>
      <c r="D32" s="242">
        <v>0.84</v>
      </c>
      <c r="E32" s="104">
        <v>0.84</v>
      </c>
      <c r="F32" s="104">
        <v>0.84</v>
      </c>
      <c r="G32" s="105">
        <v>0.84</v>
      </c>
      <c r="H32" s="105">
        <v>0.84</v>
      </c>
      <c r="I32" s="105">
        <v>0.84</v>
      </c>
      <c r="J32" s="105">
        <v>0.84</v>
      </c>
      <c r="K32" s="105">
        <v>0.84</v>
      </c>
      <c r="L32" s="105">
        <v>0.84</v>
      </c>
      <c r="M32" s="105">
        <v>0.84</v>
      </c>
      <c r="N32" s="105">
        <v>0.84</v>
      </c>
      <c r="O32" s="105">
        <v>0.84</v>
      </c>
      <c r="P32" s="105">
        <v>0.84</v>
      </c>
      <c r="Q32" s="105">
        <v>0</v>
      </c>
      <c r="R32" s="105">
        <v>0</v>
      </c>
      <c r="S32" s="249">
        <v>8.4</v>
      </c>
      <c r="T32" s="249"/>
      <c r="U32" s="106">
        <v>1</v>
      </c>
      <c r="V32" s="106">
        <v>1</v>
      </c>
      <c r="W32" s="106">
        <v>1</v>
      </c>
      <c r="X32" s="106">
        <v>1</v>
      </c>
      <c r="Y32" s="106">
        <v>1</v>
      </c>
      <c r="Z32" s="106">
        <v>1</v>
      </c>
      <c r="AA32" s="106">
        <v>1</v>
      </c>
      <c r="AB32" s="106">
        <v>1</v>
      </c>
      <c r="AC32" s="106">
        <v>1</v>
      </c>
      <c r="AD32" s="106">
        <v>1</v>
      </c>
      <c r="AE32" s="106">
        <v>0</v>
      </c>
      <c r="AF32" s="106">
        <v>0</v>
      </c>
      <c r="AG32" s="106">
        <v>10</v>
      </c>
      <c r="AH32" s="106">
        <v>0.83333333333333337</v>
      </c>
      <c r="AI32" s="337"/>
      <c r="AJ32" s="106"/>
      <c r="AL32" s="106"/>
      <c r="AM32" s="106"/>
      <c r="BJ32" s="104">
        <v>0</v>
      </c>
      <c r="BN32" s="104">
        <v>0.84</v>
      </c>
      <c r="BO32" s="108">
        <v>1.0252824047987172E-2</v>
      </c>
      <c r="BP32" s="108">
        <v>0.10252824047987172</v>
      </c>
      <c r="BQ32" s="108">
        <v>0.85025282404798719</v>
      </c>
      <c r="BR32" s="262">
        <v>8.5025282404798723</v>
      </c>
    </row>
    <row r="33" spans="1:75" outlineLevel="1">
      <c r="A33" s="79" t="str">
        <f t="shared" si="1"/>
        <v>MURREYSRESIDENTIALTRIPRCANS</v>
      </c>
      <c r="B33" s="79" t="s">
        <v>332</v>
      </c>
      <c r="C33" s="79" t="s">
        <v>333</v>
      </c>
      <c r="D33" s="242">
        <v>8.99</v>
      </c>
      <c r="E33" s="104">
        <v>9.0299999999999994</v>
      </c>
      <c r="F33" s="104">
        <v>9.0299999999999994</v>
      </c>
      <c r="G33" s="105">
        <v>593.33999999999992</v>
      </c>
      <c r="H33" s="105">
        <v>737.18</v>
      </c>
      <c r="I33" s="105">
        <v>566.36999999999989</v>
      </c>
      <c r="J33" s="105">
        <v>424.45</v>
      </c>
      <c r="K33" s="105">
        <v>496.68999999999994</v>
      </c>
      <c r="L33" s="105">
        <v>541.80000000000007</v>
      </c>
      <c r="M33" s="105">
        <v>478.59000000000003</v>
      </c>
      <c r="N33" s="105">
        <v>325.08</v>
      </c>
      <c r="O33" s="105">
        <v>388.28999999999996</v>
      </c>
      <c r="P33" s="105">
        <v>632.1</v>
      </c>
      <c r="Q33" s="105">
        <v>532.77</v>
      </c>
      <c r="R33" s="105">
        <v>460.53000000000003</v>
      </c>
      <c r="S33" s="249">
        <v>6177.19</v>
      </c>
      <c r="T33" s="249"/>
      <c r="U33" s="106">
        <v>65.999999999999986</v>
      </c>
      <c r="V33" s="106">
        <v>81.999999999999986</v>
      </c>
      <c r="W33" s="106">
        <v>62.999999999999986</v>
      </c>
      <c r="X33" s="106">
        <v>47.004429678848282</v>
      </c>
      <c r="Y33" s="106">
        <v>55.004429678848282</v>
      </c>
      <c r="Z33" s="106">
        <v>60.000000000000014</v>
      </c>
      <c r="AA33" s="106">
        <v>53.000000000000007</v>
      </c>
      <c r="AB33" s="106">
        <v>36</v>
      </c>
      <c r="AC33" s="106">
        <v>43</v>
      </c>
      <c r="AD33" s="106">
        <v>70.000000000000014</v>
      </c>
      <c r="AE33" s="106">
        <v>59</v>
      </c>
      <c r="AF33" s="106">
        <v>51.000000000000007</v>
      </c>
      <c r="AG33" s="106">
        <v>685.00885935769656</v>
      </c>
      <c r="AH33" s="106">
        <v>57.084071613141383</v>
      </c>
      <c r="AI33" s="337"/>
      <c r="AJ33" s="106"/>
      <c r="AL33" s="106"/>
      <c r="AM33" s="106"/>
      <c r="BJ33" s="104">
        <v>0</v>
      </c>
      <c r="BN33" s="104">
        <v>8.99</v>
      </c>
      <c r="BO33" s="108">
        <v>0.10972962879929128</v>
      </c>
      <c r="BP33" s="108">
        <v>75.165767861545973</v>
      </c>
      <c r="BQ33" s="108">
        <v>9.0997296287992917</v>
      </c>
      <c r="BR33" s="262">
        <v>6252.3557678615452</v>
      </c>
    </row>
    <row r="34" spans="1:75" outlineLevel="1">
      <c r="A34" s="79" t="str">
        <f t="shared" si="1"/>
        <v>MURREYSRESIDENTIALTRIPRCARTS</v>
      </c>
      <c r="B34" s="79" t="s">
        <v>334</v>
      </c>
      <c r="C34" s="79" t="s">
        <v>335</v>
      </c>
      <c r="D34" s="242">
        <v>12.91</v>
      </c>
      <c r="E34" s="104">
        <v>12.97</v>
      </c>
      <c r="F34" s="104">
        <v>12.97</v>
      </c>
      <c r="G34" s="105">
        <v>167.82999999999998</v>
      </c>
      <c r="H34" s="105">
        <v>142.01</v>
      </c>
      <c r="I34" s="105">
        <v>110.66000000000001</v>
      </c>
      <c r="J34" s="105">
        <v>116.78999999999999</v>
      </c>
      <c r="K34" s="105">
        <v>181.57999999999998</v>
      </c>
      <c r="L34" s="105">
        <v>207.57999999999998</v>
      </c>
      <c r="M34" s="105">
        <v>64.850000000000009</v>
      </c>
      <c r="N34" s="105">
        <v>96.38</v>
      </c>
      <c r="O34" s="105">
        <v>103.76</v>
      </c>
      <c r="P34" s="105">
        <v>155.64000000000001</v>
      </c>
      <c r="Q34" s="105">
        <v>90.789999999999992</v>
      </c>
      <c r="R34" s="105">
        <v>51.879999999999995</v>
      </c>
      <c r="S34" s="249">
        <v>1489.75</v>
      </c>
      <c r="T34" s="249"/>
      <c r="U34" s="106">
        <v>12.999999999999998</v>
      </c>
      <c r="V34" s="106">
        <v>11</v>
      </c>
      <c r="W34" s="106">
        <v>8.5716498838110002</v>
      </c>
      <c r="X34" s="106">
        <v>9.0046260601387811</v>
      </c>
      <c r="Y34" s="106">
        <v>13.999999999999998</v>
      </c>
      <c r="Z34" s="106">
        <v>16.004626060138779</v>
      </c>
      <c r="AA34" s="106">
        <v>5</v>
      </c>
      <c r="AB34" s="106">
        <v>7.4309946029298377</v>
      </c>
      <c r="AC34" s="106">
        <v>8</v>
      </c>
      <c r="AD34" s="106">
        <v>12</v>
      </c>
      <c r="AE34" s="106">
        <v>6.9999999999999991</v>
      </c>
      <c r="AF34" s="106">
        <v>3.9999999999999996</v>
      </c>
      <c r="AG34" s="106">
        <v>115.0118966070184</v>
      </c>
      <c r="AH34" s="106">
        <v>9.5843247172515333</v>
      </c>
      <c r="AI34" s="337"/>
      <c r="AJ34" s="106"/>
      <c r="AL34" s="106"/>
      <c r="AM34" s="106"/>
      <c r="BJ34" s="104">
        <v>0</v>
      </c>
      <c r="BN34" s="104">
        <v>12.91</v>
      </c>
      <c r="BO34" s="108">
        <v>0.15757614102323142</v>
      </c>
      <c r="BP34" s="108">
        <v>18.123130839096845</v>
      </c>
      <c r="BQ34" s="108">
        <v>13.067576141023231</v>
      </c>
      <c r="BR34" s="262">
        <v>1507.8731308390968</v>
      </c>
    </row>
    <row r="35" spans="1:75" outlineLevel="1">
      <c r="A35" s="79" t="str">
        <f t="shared" si="1"/>
        <v>MURREYSRESIDENTIAL35ROCPU</v>
      </c>
      <c r="B35" s="79" t="s">
        <v>708</v>
      </c>
      <c r="C35" s="79" t="s">
        <v>707</v>
      </c>
      <c r="D35" s="242">
        <v>13.97</v>
      </c>
      <c r="E35" s="104">
        <v>14.04</v>
      </c>
      <c r="F35" s="104">
        <v>14</v>
      </c>
      <c r="G35" s="105">
        <v>0</v>
      </c>
      <c r="H35" s="105">
        <v>0</v>
      </c>
      <c r="I35" s="105">
        <v>0</v>
      </c>
      <c r="J35" s="105">
        <v>0</v>
      </c>
      <c r="K35" s="105">
        <v>0</v>
      </c>
      <c r="L35" s="105">
        <v>0</v>
      </c>
      <c r="M35" s="105">
        <v>14.04</v>
      </c>
      <c r="N35" s="105">
        <v>0</v>
      </c>
      <c r="O35" s="105">
        <v>0</v>
      </c>
      <c r="P35" s="105">
        <v>0</v>
      </c>
      <c r="Q35" s="105">
        <v>0</v>
      </c>
      <c r="R35" s="105">
        <v>0</v>
      </c>
      <c r="S35" s="249">
        <v>14.04</v>
      </c>
      <c r="T35" s="249"/>
      <c r="U35" s="106">
        <v>0</v>
      </c>
      <c r="V35" s="106">
        <v>0</v>
      </c>
      <c r="W35" s="106">
        <v>0</v>
      </c>
      <c r="X35" s="106">
        <v>0</v>
      </c>
      <c r="Y35" s="106">
        <v>0</v>
      </c>
      <c r="Z35" s="106">
        <v>0</v>
      </c>
      <c r="AA35" s="106">
        <v>1</v>
      </c>
      <c r="AB35" s="106">
        <v>0</v>
      </c>
      <c r="AC35" s="106">
        <v>0</v>
      </c>
      <c r="AD35" s="106">
        <v>0</v>
      </c>
      <c r="AE35" s="106">
        <v>0</v>
      </c>
      <c r="AF35" s="106">
        <v>0</v>
      </c>
      <c r="AG35" s="106">
        <v>1</v>
      </c>
      <c r="AH35" s="106">
        <v>8.3333333333333329E-2</v>
      </c>
      <c r="AI35" s="337">
        <v>0</v>
      </c>
      <c r="AJ35" s="106"/>
      <c r="AL35" s="106"/>
      <c r="AM35" s="106"/>
      <c r="BF35" s="239">
        <v>35</v>
      </c>
      <c r="BI35" s="239">
        <v>1</v>
      </c>
      <c r="BJ35" s="104">
        <v>8.3333333333333329E-2</v>
      </c>
      <c r="BN35" s="104">
        <v>13.94</v>
      </c>
      <c r="BO35" s="108">
        <v>0.17014805622492996</v>
      </c>
      <c r="BP35" s="108">
        <v>0.17014805622492996</v>
      </c>
      <c r="BQ35" s="108">
        <v>14.110148056224929</v>
      </c>
      <c r="BR35" s="262">
        <v>14.210148056224929</v>
      </c>
    </row>
    <row r="36" spans="1:75" outlineLevel="1">
      <c r="A36" s="79" t="str">
        <f t="shared" si="1"/>
        <v>MURREYSRESIDENTIAL65ROCPU</v>
      </c>
      <c r="B36" s="79" t="s">
        <v>706</v>
      </c>
      <c r="C36" s="79" t="s">
        <v>705</v>
      </c>
      <c r="D36" s="242">
        <v>20.88</v>
      </c>
      <c r="E36" s="104">
        <v>20.98</v>
      </c>
      <c r="F36" s="104">
        <v>20.94</v>
      </c>
      <c r="G36" s="105">
        <v>0</v>
      </c>
      <c r="H36" s="105">
        <v>0</v>
      </c>
      <c r="I36" s="105">
        <v>0</v>
      </c>
      <c r="J36" s="105">
        <v>0</v>
      </c>
      <c r="K36" s="105">
        <v>0</v>
      </c>
      <c r="L36" s="105">
        <v>0</v>
      </c>
      <c r="M36" s="105">
        <v>0</v>
      </c>
      <c r="N36" s="105">
        <v>0</v>
      </c>
      <c r="O36" s="105">
        <v>0</v>
      </c>
      <c r="P36" s="105">
        <v>41.88</v>
      </c>
      <c r="Q36" s="105">
        <v>20.94</v>
      </c>
      <c r="R36" s="105">
        <v>0</v>
      </c>
      <c r="S36" s="249">
        <v>62.820000000000007</v>
      </c>
      <c r="T36" s="249"/>
      <c r="U36" s="106">
        <v>0</v>
      </c>
      <c r="V36" s="106">
        <v>0</v>
      </c>
      <c r="W36" s="106">
        <v>0</v>
      </c>
      <c r="X36" s="106">
        <v>0</v>
      </c>
      <c r="Y36" s="106">
        <v>0</v>
      </c>
      <c r="Z36" s="106">
        <v>0</v>
      </c>
      <c r="AA36" s="106">
        <v>0</v>
      </c>
      <c r="AB36" s="106">
        <v>0</v>
      </c>
      <c r="AC36" s="106">
        <v>0</v>
      </c>
      <c r="AD36" s="106">
        <v>2</v>
      </c>
      <c r="AE36" s="106">
        <v>1</v>
      </c>
      <c r="AF36" s="106">
        <v>0</v>
      </c>
      <c r="AG36" s="106">
        <v>3</v>
      </c>
      <c r="AH36" s="106">
        <v>0.25</v>
      </c>
      <c r="AI36" s="337">
        <v>0</v>
      </c>
      <c r="AJ36" s="106"/>
      <c r="AL36" s="106"/>
      <c r="AM36" s="106"/>
      <c r="BF36" s="239">
        <v>65</v>
      </c>
      <c r="BI36" s="239">
        <v>1</v>
      </c>
      <c r="BJ36" s="104">
        <v>0.25</v>
      </c>
      <c r="BN36" s="104">
        <v>20.84</v>
      </c>
      <c r="BO36" s="108">
        <v>0.25436768233339602</v>
      </c>
      <c r="BP36" s="108">
        <v>0.76310304700018805</v>
      </c>
      <c r="BQ36" s="108">
        <v>21.094367682333395</v>
      </c>
      <c r="BR36" s="262">
        <v>63.583103047000193</v>
      </c>
    </row>
    <row r="37" spans="1:75" outlineLevel="1">
      <c r="A37" s="79" t="str">
        <f t="shared" si="1"/>
        <v>MURREYSRESIDENTIALBULKY-RES</v>
      </c>
      <c r="B37" s="346" t="s">
        <v>704</v>
      </c>
      <c r="C37" s="346" t="s">
        <v>694</v>
      </c>
      <c r="D37" s="304">
        <v>25.8</v>
      </c>
      <c r="E37" s="304">
        <v>25.92</v>
      </c>
      <c r="F37" s="304">
        <v>25.81</v>
      </c>
      <c r="G37" s="347">
        <v>1481.1100000000001</v>
      </c>
      <c r="H37" s="347">
        <v>1352.36</v>
      </c>
      <c r="I37" s="347">
        <v>1660.63</v>
      </c>
      <c r="J37" s="347">
        <v>2243.83</v>
      </c>
      <c r="K37" s="347">
        <v>1182.5999999999999</v>
      </c>
      <c r="L37" s="347">
        <v>1266.56</v>
      </c>
      <c r="M37" s="347">
        <v>979.98</v>
      </c>
      <c r="N37" s="347">
        <v>1165.25</v>
      </c>
      <c r="O37" s="347">
        <v>1010.91</v>
      </c>
      <c r="P37" s="347">
        <v>1665.1699999999998</v>
      </c>
      <c r="Q37" s="347">
        <v>1268.1099999999999</v>
      </c>
      <c r="R37" s="347">
        <v>2002.6</v>
      </c>
      <c r="S37" s="348">
        <v>17279.11</v>
      </c>
      <c r="T37" s="348"/>
      <c r="U37" s="347">
        <v>57.407364341085277</v>
      </c>
      <c r="V37" s="347">
        <v>52.417054263565888</v>
      </c>
      <c r="W37" s="347">
        <v>64.365503875968997</v>
      </c>
      <c r="X37" s="347">
        <v>86.567515432098759</v>
      </c>
      <c r="Y37" s="347">
        <v>45.624999999999993</v>
      </c>
      <c r="Z37" s="347">
        <v>48.864197530864189</v>
      </c>
      <c r="AA37" s="347">
        <v>37.807870370370367</v>
      </c>
      <c r="AB37" s="347">
        <v>44.955632716049379</v>
      </c>
      <c r="AC37" s="347">
        <v>39.001157407407405</v>
      </c>
      <c r="AD37" s="347">
        <v>64.516466485858189</v>
      </c>
      <c r="AE37" s="347">
        <v>49.132506780317705</v>
      </c>
      <c r="AF37" s="347">
        <v>77.590081363812473</v>
      </c>
      <c r="AG37" s="347">
        <v>668.25035056739875</v>
      </c>
      <c r="AH37" s="347">
        <v>55.687529213949894</v>
      </c>
      <c r="AI37" s="337">
        <v>-55.687529213949894</v>
      </c>
      <c r="AJ37" s="106"/>
      <c r="AL37" s="106"/>
      <c r="AM37" s="106"/>
      <c r="BJ37" s="104">
        <v>0</v>
      </c>
      <c r="BN37" s="104">
        <v>25.69</v>
      </c>
      <c r="BO37" s="108">
        <v>0.31356553546760768</v>
      </c>
      <c r="BP37" s="108">
        <v>209.54027900208291</v>
      </c>
      <c r="BQ37" s="108">
        <v>26.003565535467608</v>
      </c>
      <c r="BR37" s="262">
        <v>17488.650279002082</v>
      </c>
    </row>
    <row r="38" spans="1:75" outlineLevel="1">
      <c r="A38" s="79" t="str">
        <f t="shared" si="1"/>
        <v>MURREYSRESIDENTIALDELCART</v>
      </c>
      <c r="B38" s="79" t="s">
        <v>703</v>
      </c>
      <c r="C38" s="79" t="s">
        <v>702</v>
      </c>
      <c r="D38" s="242">
        <v>22.53</v>
      </c>
      <c r="E38" s="104">
        <v>22.64</v>
      </c>
      <c r="F38" s="104">
        <v>22.64</v>
      </c>
      <c r="G38" s="105">
        <v>90.12</v>
      </c>
      <c r="H38" s="105">
        <v>67.59</v>
      </c>
      <c r="I38" s="105">
        <v>67.59</v>
      </c>
      <c r="J38" s="105">
        <v>113.09</v>
      </c>
      <c r="K38" s="105">
        <v>113.2</v>
      </c>
      <c r="L38" s="105">
        <v>135.84</v>
      </c>
      <c r="M38" s="105">
        <v>384.88</v>
      </c>
      <c r="N38" s="105">
        <v>135.84</v>
      </c>
      <c r="O38" s="105">
        <v>22.64</v>
      </c>
      <c r="P38" s="105">
        <v>135.84</v>
      </c>
      <c r="Q38" s="105">
        <v>45.28</v>
      </c>
      <c r="R38" s="105">
        <v>22.64</v>
      </c>
      <c r="S38" s="249">
        <v>1334.55</v>
      </c>
      <c r="T38" s="249"/>
      <c r="U38" s="106">
        <v>4</v>
      </c>
      <c r="V38" s="106">
        <v>3</v>
      </c>
      <c r="W38" s="106">
        <v>3</v>
      </c>
      <c r="X38" s="106">
        <v>4.9951413427561837</v>
      </c>
      <c r="Y38" s="106">
        <v>5</v>
      </c>
      <c r="Z38" s="106">
        <v>6</v>
      </c>
      <c r="AA38" s="106">
        <v>17</v>
      </c>
      <c r="AB38" s="106">
        <v>6</v>
      </c>
      <c r="AC38" s="106">
        <v>1</v>
      </c>
      <c r="AD38" s="106">
        <v>6</v>
      </c>
      <c r="AE38" s="106">
        <v>2</v>
      </c>
      <c r="AF38" s="106">
        <v>1</v>
      </c>
      <c r="AG38" s="106">
        <v>58.995141342756185</v>
      </c>
      <c r="AH38" s="106">
        <v>4.9162617785630154</v>
      </c>
      <c r="AI38" s="337"/>
      <c r="AJ38" s="106"/>
      <c r="AL38" s="106"/>
      <c r="AM38" s="106"/>
      <c r="BJ38" s="104">
        <v>0</v>
      </c>
      <c r="BN38" s="104">
        <v>22.53</v>
      </c>
      <c r="BO38" s="108">
        <v>0.27499538785851307</v>
      </c>
      <c r="BP38" s="108">
        <v>16.223391775319037</v>
      </c>
      <c r="BQ38" s="108">
        <v>22.804995387858515</v>
      </c>
      <c r="BR38" s="262">
        <v>1350.7733917753189</v>
      </c>
    </row>
    <row r="39" spans="1:75" outlineLevel="1">
      <c r="A39" s="79" t="str">
        <f>+$A$4&amp;"ONCALL"&amp;B39</f>
        <v>MURREYSONCALLGWCR</v>
      </c>
      <c r="B39" s="79" t="s">
        <v>322</v>
      </c>
      <c r="C39" s="79" t="s">
        <v>323</v>
      </c>
      <c r="D39" s="242">
        <v>0</v>
      </c>
      <c r="E39" s="104">
        <v>0</v>
      </c>
      <c r="F39" s="104">
        <v>0</v>
      </c>
      <c r="G39" s="105">
        <v>-65</v>
      </c>
      <c r="H39" s="105">
        <v>-170</v>
      </c>
      <c r="I39" s="105">
        <v>-170</v>
      </c>
      <c r="J39" s="105">
        <v>-54</v>
      </c>
      <c r="K39" s="105">
        <v>-15</v>
      </c>
      <c r="L39" s="105">
        <v>-60</v>
      </c>
      <c r="M39" s="105">
        <v>-15</v>
      </c>
      <c r="N39" s="105">
        <v>-660</v>
      </c>
      <c r="O39" s="105">
        <v>-290</v>
      </c>
      <c r="P39" s="105">
        <v>-94.91</v>
      </c>
      <c r="Q39" s="105">
        <v>-15</v>
      </c>
      <c r="R39" s="105">
        <v>-290</v>
      </c>
      <c r="S39" s="249">
        <v>-1898.91</v>
      </c>
      <c r="T39" s="249"/>
      <c r="U39" s="106">
        <v>0</v>
      </c>
      <c r="V39" s="106">
        <v>0</v>
      </c>
      <c r="W39" s="106">
        <v>0</v>
      </c>
      <c r="X39" s="106">
        <v>0</v>
      </c>
      <c r="Y39" s="106">
        <v>0</v>
      </c>
      <c r="Z39" s="106">
        <v>0</v>
      </c>
      <c r="AA39" s="106">
        <v>0</v>
      </c>
      <c r="AB39" s="106">
        <v>0</v>
      </c>
      <c r="AC39" s="106">
        <v>0</v>
      </c>
      <c r="AD39" s="106">
        <v>0</v>
      </c>
      <c r="AE39" s="106">
        <v>0</v>
      </c>
      <c r="AF39" s="106">
        <v>0</v>
      </c>
      <c r="AG39" s="106">
        <v>0</v>
      </c>
      <c r="AH39" s="106">
        <v>0</v>
      </c>
      <c r="AI39" s="337"/>
      <c r="AJ39" s="106"/>
      <c r="AL39" s="106"/>
      <c r="AM39" s="106"/>
      <c r="BJ39" s="104">
        <v>0</v>
      </c>
      <c r="BO39" s="108">
        <v>0</v>
      </c>
      <c r="BP39" s="108">
        <v>0</v>
      </c>
      <c r="BQ39" s="108">
        <v>0</v>
      </c>
      <c r="BR39" s="262">
        <v>-1898.91</v>
      </c>
    </row>
    <row r="40" spans="1:75" outlineLevel="1">
      <c r="E40" s="104"/>
      <c r="F40" s="104"/>
      <c r="G40" s="247"/>
      <c r="H40" s="247"/>
      <c r="I40" s="247"/>
      <c r="J40" s="247"/>
      <c r="K40" s="247"/>
      <c r="L40" s="247"/>
      <c r="M40" s="104"/>
      <c r="N40" s="105"/>
      <c r="O40" s="105"/>
      <c r="P40" s="105"/>
      <c r="Q40" s="105"/>
      <c r="R40" s="105"/>
      <c r="S40" s="249"/>
      <c r="T40" s="249"/>
      <c r="U40" s="249"/>
      <c r="V40" s="249"/>
      <c r="W40" s="249"/>
      <c r="X40" s="249"/>
      <c r="Y40" s="249"/>
      <c r="Z40" s="249"/>
      <c r="AA40" s="249"/>
      <c r="AB40" s="106"/>
      <c r="AC40" s="106"/>
      <c r="AD40" s="106"/>
      <c r="AE40" s="106"/>
      <c r="AF40" s="106"/>
      <c r="AG40" s="106"/>
      <c r="AH40" s="106"/>
      <c r="AI40" s="337"/>
      <c r="AJ40" s="106"/>
      <c r="AL40" s="106"/>
      <c r="AM40" s="106"/>
      <c r="BD40" s="95">
        <v>1144.0565547455044</v>
      </c>
      <c r="BF40" s="239" t="s">
        <v>634</v>
      </c>
      <c r="BI40" s="239" t="s">
        <v>634</v>
      </c>
      <c r="BJ40" s="104">
        <v>0</v>
      </c>
      <c r="BO40" s="108">
        <v>0</v>
      </c>
      <c r="BP40" s="108">
        <v>0</v>
      </c>
      <c r="BQ40" s="108">
        <v>0</v>
      </c>
      <c r="BR40" s="262">
        <v>0</v>
      </c>
    </row>
    <row r="41" spans="1:75" outlineLevel="1">
      <c r="E41" s="104"/>
      <c r="F41" s="104"/>
      <c r="G41" s="247"/>
      <c r="H41" s="247"/>
      <c r="I41" s="247"/>
      <c r="J41" s="247"/>
      <c r="K41" s="247"/>
      <c r="L41" s="247"/>
      <c r="M41" s="104"/>
      <c r="N41" s="105"/>
      <c r="O41" s="105"/>
      <c r="P41" s="105"/>
      <c r="Q41" s="105"/>
      <c r="R41" s="105"/>
      <c r="AB41" s="106"/>
      <c r="AC41" s="106"/>
      <c r="AD41" s="106"/>
      <c r="AE41" s="106"/>
      <c r="AF41" s="106"/>
      <c r="AG41" s="106"/>
      <c r="AH41" s="106"/>
      <c r="AI41" s="337"/>
      <c r="AJ41" s="106"/>
      <c r="AL41" s="106"/>
      <c r="AM41" s="106"/>
      <c r="BD41" s="79">
        <v>1.8094688276377308E-2</v>
      </c>
      <c r="BF41" s="239" t="s">
        <v>634</v>
      </c>
      <c r="BI41" s="239" t="s">
        <v>634</v>
      </c>
      <c r="BJ41" s="104"/>
      <c r="BO41" s="108">
        <v>0</v>
      </c>
      <c r="BP41" s="108">
        <v>0</v>
      </c>
      <c r="BQ41" s="108">
        <v>0</v>
      </c>
      <c r="BR41" s="262">
        <v>0</v>
      </c>
    </row>
    <row r="42" spans="1:75" outlineLevel="1">
      <c r="C42" s="107" t="s">
        <v>336</v>
      </c>
      <c r="D42" s="248"/>
      <c r="E42" s="104"/>
      <c r="F42" s="104"/>
      <c r="G42" s="109">
        <v>1695904.9900000002</v>
      </c>
      <c r="H42" s="109">
        <v>1704800.2300000004</v>
      </c>
      <c r="I42" s="109">
        <v>1709602.0250000004</v>
      </c>
      <c r="J42" s="109">
        <v>1716391.49</v>
      </c>
      <c r="K42" s="109">
        <v>1714963.0800000003</v>
      </c>
      <c r="L42" s="109">
        <v>1727710.7000000002</v>
      </c>
      <c r="M42" s="109">
        <v>1726850.2950000002</v>
      </c>
      <c r="N42" s="109">
        <v>1733761.7000000004</v>
      </c>
      <c r="O42" s="109">
        <v>1732134.4999999995</v>
      </c>
      <c r="P42" s="109">
        <v>1731068.7500000009</v>
      </c>
      <c r="Q42" s="109">
        <v>1741785.4699999997</v>
      </c>
      <c r="R42" s="109">
        <v>1752973.16</v>
      </c>
      <c r="S42" s="109">
        <v>20687946.389999997</v>
      </c>
      <c r="T42" s="109"/>
      <c r="U42" s="109">
        <v>63226.099133140364</v>
      </c>
      <c r="V42" s="109">
        <v>63454.172151550294</v>
      </c>
      <c r="W42" s="109">
        <v>63646.885587714118</v>
      </c>
      <c r="X42" s="109">
        <v>63408.30696724094</v>
      </c>
      <c r="Y42" s="109">
        <v>63439.01719283183</v>
      </c>
      <c r="Z42" s="109">
        <v>63656.343115449708</v>
      </c>
      <c r="AA42" s="109">
        <v>63611.683298775955</v>
      </c>
      <c r="AB42" s="109">
        <v>63611.173293481093</v>
      </c>
      <c r="AC42" s="109">
        <v>63590.012362431575</v>
      </c>
      <c r="AD42" s="109">
        <v>63746.718890986151</v>
      </c>
      <c r="AE42" s="109">
        <v>64099.627196146554</v>
      </c>
      <c r="AF42" s="109">
        <v>64370.155687885868</v>
      </c>
      <c r="AG42" s="109">
        <v>763860.19487763441</v>
      </c>
      <c r="AH42" s="109">
        <v>63655.016239802862</v>
      </c>
      <c r="AI42" s="338"/>
      <c r="AJ42" s="110">
        <v>800508.24582634238</v>
      </c>
      <c r="AL42" s="106"/>
      <c r="AM42" s="106"/>
      <c r="BF42" s="252">
        <v>63655.349573136198</v>
      </c>
      <c r="BG42" s="252"/>
      <c r="BH42" s="252">
        <v>0</v>
      </c>
      <c r="BI42" s="252"/>
      <c r="BJ42" s="109">
        <v>63655.349573136198</v>
      </c>
      <c r="BK42" s="251" t="s">
        <v>591</v>
      </c>
      <c r="BL42" s="250">
        <v>0</v>
      </c>
      <c r="BN42" s="109">
        <v>446.77160000000003</v>
      </c>
      <c r="BO42" s="109">
        <v>5.3677390905973761</v>
      </c>
      <c r="BP42" s="109">
        <v>250413.795678314</v>
      </c>
      <c r="BQ42" s="109">
        <v>452.13933909059733</v>
      </c>
      <c r="BR42" s="109">
        <v>20938360.185678311</v>
      </c>
      <c r="BW42" s="244"/>
    </row>
    <row r="43" spans="1:75" outlineLevel="1">
      <c r="E43" s="104"/>
      <c r="F43" s="104"/>
      <c r="G43" s="247"/>
      <c r="H43" s="247"/>
      <c r="I43" s="247"/>
      <c r="J43" s="247"/>
      <c r="K43" s="247"/>
      <c r="L43" s="247"/>
      <c r="M43" s="104"/>
      <c r="N43" s="105"/>
      <c r="O43" s="105"/>
      <c r="P43" s="105"/>
      <c r="Q43" s="105"/>
      <c r="R43" s="105"/>
      <c r="T43" s="303" t="s">
        <v>701</v>
      </c>
      <c r="U43" s="254">
        <v>62765.553077280194</v>
      </c>
      <c r="V43" s="254">
        <v>62995.147516292069</v>
      </c>
      <c r="W43" s="254">
        <v>63184.831056664698</v>
      </c>
      <c r="X43" s="254">
        <v>62950.949112556547</v>
      </c>
      <c r="Y43" s="254">
        <v>62970.392428519655</v>
      </c>
      <c r="Z43" s="254">
        <v>63204.24366230864</v>
      </c>
      <c r="AA43" s="254">
        <v>63164.551179516355</v>
      </c>
      <c r="AB43" s="254">
        <v>63165.16962489509</v>
      </c>
      <c r="AC43" s="254">
        <v>63146.130805958208</v>
      </c>
      <c r="AD43" s="254">
        <v>63299.778863233354</v>
      </c>
      <c r="AE43" s="254">
        <v>63646.622368547214</v>
      </c>
      <c r="AF43" s="254">
        <v>63912.321186806133</v>
      </c>
      <c r="AG43" s="254">
        <v>758405.69088257791</v>
      </c>
      <c r="AH43" s="254">
        <v>63200.474240214833</v>
      </c>
      <c r="AI43" s="337"/>
      <c r="AJ43" s="106"/>
      <c r="AL43" s="106"/>
      <c r="AM43" s="106"/>
      <c r="BE43" s="79" t="s">
        <v>660</v>
      </c>
      <c r="BF43" s="261">
        <v>63200.474240214833</v>
      </c>
      <c r="BG43" s="261"/>
      <c r="BH43" s="261"/>
      <c r="BI43" s="261" t="s">
        <v>634</v>
      </c>
      <c r="BJ43" s="260">
        <v>63200.474240214833</v>
      </c>
      <c r="BO43" s="108"/>
      <c r="BP43" s="108"/>
      <c r="BQ43" s="108"/>
      <c r="BR43" s="95"/>
    </row>
    <row r="44" spans="1:75" outlineLevel="1">
      <c r="B44" s="94" t="s">
        <v>337</v>
      </c>
      <c r="E44" s="104"/>
      <c r="F44" s="104"/>
      <c r="G44" s="247"/>
      <c r="H44" s="247"/>
      <c r="I44" s="247"/>
      <c r="J44" s="247"/>
      <c r="K44" s="247"/>
      <c r="L44" s="247"/>
      <c r="M44" s="104"/>
      <c r="N44" s="105"/>
      <c r="O44" s="105"/>
      <c r="P44" s="105"/>
      <c r="Q44" s="105"/>
      <c r="R44" s="105"/>
      <c r="AB44" s="106"/>
      <c r="AC44" s="106"/>
      <c r="AD44" s="106"/>
      <c r="AE44" s="106"/>
      <c r="AF44" s="106"/>
      <c r="AG44" s="106"/>
      <c r="AH44" s="106"/>
      <c r="AI44" s="337"/>
      <c r="AJ44" s="106"/>
      <c r="AL44" s="106"/>
      <c r="AM44" s="106"/>
      <c r="BI44" s="239" t="s">
        <v>634</v>
      </c>
      <c r="BJ44" s="104">
        <v>0</v>
      </c>
      <c r="BO44" s="108"/>
      <c r="BP44" s="108"/>
      <c r="BQ44" s="108"/>
      <c r="BR44" s="95"/>
    </row>
    <row r="45" spans="1:75" outlineLevel="1">
      <c r="A45" s="79" t="str">
        <f t="shared" ref="A45:A51" si="2">+$A$4&amp;$A$10&amp;B45</f>
        <v>MURREYSRESIDENTIALrecyonly</v>
      </c>
      <c r="B45" s="79" t="s">
        <v>700</v>
      </c>
      <c r="C45" s="79" t="s">
        <v>338</v>
      </c>
      <c r="D45" s="242">
        <v>11.07</v>
      </c>
      <c r="E45" s="104">
        <v>11.12</v>
      </c>
      <c r="F45" s="104">
        <v>11.11</v>
      </c>
      <c r="G45" s="105">
        <v>2410.48</v>
      </c>
      <c r="H45" s="105">
        <v>2471.37</v>
      </c>
      <c r="I45" s="105">
        <v>2388.2449999999999</v>
      </c>
      <c r="J45" s="105">
        <v>2365.6600000000003</v>
      </c>
      <c r="K45" s="105">
        <v>2279.6000000000004</v>
      </c>
      <c r="L45" s="105">
        <v>2310.1799999999998</v>
      </c>
      <c r="M45" s="105">
        <v>2289.25</v>
      </c>
      <c r="N45" s="105">
        <v>2301.8399999999997</v>
      </c>
      <c r="O45" s="105">
        <v>2279.6000000000004</v>
      </c>
      <c r="P45" s="105">
        <v>2275.84</v>
      </c>
      <c r="Q45" s="105">
        <v>2258.105</v>
      </c>
      <c r="R45" s="105">
        <v>2239.105</v>
      </c>
      <c r="S45" s="249">
        <v>27869.275000000005</v>
      </c>
      <c r="T45" s="249"/>
      <c r="U45" s="254">
        <v>217.74887082204154</v>
      </c>
      <c r="V45" s="254">
        <v>223.24932249322492</v>
      </c>
      <c r="W45" s="254">
        <v>215.74028906955735</v>
      </c>
      <c r="X45" s="254">
        <v>212.73920863309357</v>
      </c>
      <c r="Y45" s="254">
        <v>205.00000000000006</v>
      </c>
      <c r="Z45" s="254">
        <v>207.75</v>
      </c>
      <c r="AA45" s="254">
        <v>205.86780575539569</v>
      </c>
      <c r="AB45" s="254">
        <v>207</v>
      </c>
      <c r="AC45" s="254">
        <v>205.00000000000006</v>
      </c>
      <c r="AD45" s="254">
        <v>204.84608460846087</v>
      </c>
      <c r="AE45" s="254">
        <v>203.24977497749776</v>
      </c>
      <c r="AF45" s="254">
        <v>201.53960396039605</v>
      </c>
      <c r="AG45" s="254">
        <v>2509.7309603196682</v>
      </c>
      <c r="AH45" s="254">
        <v>209.14424669330569</v>
      </c>
      <c r="AI45" s="337"/>
      <c r="AJ45" s="106"/>
      <c r="AL45" s="106"/>
      <c r="AM45" s="106"/>
      <c r="BF45" s="239">
        <v>96</v>
      </c>
      <c r="BI45" s="239">
        <v>1</v>
      </c>
      <c r="BJ45" s="104">
        <v>209.14424669330569</v>
      </c>
      <c r="BN45" s="104">
        <v>11.07</v>
      </c>
      <c r="BO45" s="108">
        <v>3.1000699342317315</v>
      </c>
      <c r="BP45" s="108">
        <v>7780.3414930975341</v>
      </c>
      <c r="BQ45" s="108">
        <v>14.170069934231732</v>
      </c>
      <c r="BR45" s="95">
        <v>35649.616493097536</v>
      </c>
    </row>
    <row r="46" spans="1:75" outlineLevel="1">
      <c r="A46" s="79" t="str">
        <f t="shared" si="2"/>
        <v>MURREYSRESIDENTIALRECYR</v>
      </c>
      <c r="B46" s="79" t="s">
        <v>339</v>
      </c>
      <c r="C46" s="79" t="s">
        <v>340</v>
      </c>
      <c r="D46" s="242">
        <v>7.38</v>
      </c>
      <c r="E46" s="104">
        <v>7.41</v>
      </c>
      <c r="F46" s="104">
        <v>7.41</v>
      </c>
      <c r="G46" s="105">
        <v>461138.87500000006</v>
      </c>
      <c r="H46" s="105">
        <v>462136.69500000001</v>
      </c>
      <c r="I46" s="105">
        <v>463687.93</v>
      </c>
      <c r="J46" s="105">
        <v>466173.01499999984</v>
      </c>
      <c r="K46" s="105">
        <v>466205.74999999994</v>
      </c>
      <c r="L46" s="105">
        <v>467978.00999999995</v>
      </c>
      <c r="M46" s="105">
        <v>467661.12499999994</v>
      </c>
      <c r="N46" s="105">
        <v>466973.77</v>
      </c>
      <c r="O46" s="105">
        <v>468208.73499999993</v>
      </c>
      <c r="P46" s="105">
        <v>468398.10999999993</v>
      </c>
      <c r="Q46" s="105">
        <v>471862.09</v>
      </c>
      <c r="R46" s="105">
        <v>474431.90500000003</v>
      </c>
      <c r="S46" s="249">
        <v>5604856.0099999998</v>
      </c>
      <c r="T46" s="249"/>
      <c r="U46" s="254">
        <v>62484.94241192413</v>
      </c>
      <c r="V46" s="254">
        <v>62620.148373983742</v>
      </c>
      <c r="W46" s="254">
        <v>62830.342818428187</v>
      </c>
      <c r="X46" s="254">
        <v>62911.338056680142</v>
      </c>
      <c r="Y46" s="254">
        <v>62915.755735492567</v>
      </c>
      <c r="Z46" s="254">
        <v>63154.927125506067</v>
      </c>
      <c r="AA46" s="254">
        <v>63112.162618083661</v>
      </c>
      <c r="AB46" s="254">
        <v>63019.402159244266</v>
      </c>
      <c r="AC46" s="254">
        <v>63186.064102564094</v>
      </c>
      <c r="AD46" s="254">
        <v>63211.620782726037</v>
      </c>
      <c r="AE46" s="254">
        <v>63679.094466936571</v>
      </c>
      <c r="AF46" s="254">
        <v>64025.89811066127</v>
      </c>
      <c r="AG46" s="254">
        <v>757151.6967622306</v>
      </c>
      <c r="AH46" s="254">
        <v>63095.974730185881</v>
      </c>
      <c r="AI46" s="337"/>
      <c r="AJ46" s="106"/>
      <c r="AL46" s="106"/>
      <c r="AM46" s="106"/>
      <c r="BJ46" s="104">
        <v>0</v>
      </c>
      <c r="BN46" s="104">
        <v>7.38</v>
      </c>
      <c r="BO46" s="108">
        <v>2.0667132894878208</v>
      </c>
      <c r="BP46" s="108">
        <v>1564815.4738567546</v>
      </c>
      <c r="BQ46" s="108">
        <v>9.4467132894878212</v>
      </c>
      <c r="BR46" s="95">
        <v>7169671.4838567544</v>
      </c>
    </row>
    <row r="47" spans="1:75" outlineLevel="1">
      <c r="A47" s="79" t="str">
        <f t="shared" si="2"/>
        <v>MURREYSRESIDENTIALRECYRNB</v>
      </c>
      <c r="B47" s="79" t="s">
        <v>341</v>
      </c>
      <c r="C47" s="79" t="s">
        <v>342</v>
      </c>
      <c r="D47" s="242">
        <v>7.38</v>
      </c>
      <c r="E47" s="104">
        <v>7.41</v>
      </c>
      <c r="F47" s="104">
        <v>7.41</v>
      </c>
      <c r="G47" s="105">
        <v>4717.6649999999991</v>
      </c>
      <c r="H47" s="105">
        <v>4699.7950000000001</v>
      </c>
      <c r="I47" s="105">
        <v>4659.9049999999988</v>
      </c>
      <c r="J47" s="105">
        <v>4613.5149999999994</v>
      </c>
      <c r="K47" s="105">
        <v>4566.3899999999994</v>
      </c>
      <c r="L47" s="105">
        <v>4465.375</v>
      </c>
      <c r="M47" s="105">
        <v>4432.0949999999993</v>
      </c>
      <c r="N47" s="105">
        <v>4402.45</v>
      </c>
      <c r="O47" s="105">
        <v>4403.37</v>
      </c>
      <c r="P47" s="105">
        <v>4411.3750000000009</v>
      </c>
      <c r="Q47" s="105">
        <v>4414.835</v>
      </c>
      <c r="R47" s="105">
        <v>4421.8900000000003</v>
      </c>
      <c r="S47" s="249">
        <v>54208.659999999996</v>
      </c>
      <c r="T47" s="249"/>
      <c r="U47" s="254">
        <v>639.24999999999989</v>
      </c>
      <c r="V47" s="254">
        <v>636.82859078590786</v>
      </c>
      <c r="W47" s="254">
        <v>631.42344173441722</v>
      </c>
      <c r="X47" s="254">
        <v>622.60661268555998</v>
      </c>
      <c r="Y47" s="254">
        <v>616.24696356275297</v>
      </c>
      <c r="Z47" s="254">
        <v>602.61470985155199</v>
      </c>
      <c r="AA47" s="254">
        <v>598.12348178137643</v>
      </c>
      <c r="AB47" s="254">
        <v>594.12280701754378</v>
      </c>
      <c r="AC47" s="254">
        <v>594.24696356275297</v>
      </c>
      <c r="AD47" s="254">
        <v>595.32726045883953</v>
      </c>
      <c r="AE47" s="254">
        <v>595.79419703103918</v>
      </c>
      <c r="AF47" s="254">
        <v>596.74628879892043</v>
      </c>
      <c r="AG47" s="254">
        <v>7323.3313172706621</v>
      </c>
      <c r="AH47" s="254">
        <v>610.27760977255514</v>
      </c>
      <c r="AI47" s="337"/>
      <c r="AJ47" s="106"/>
      <c r="AL47" s="106"/>
      <c r="AM47" s="106"/>
      <c r="BJ47" s="104">
        <v>0</v>
      </c>
      <c r="BN47" s="104">
        <v>7.38</v>
      </c>
      <c r="BO47" s="108">
        <v>2.0667132894878208</v>
      </c>
      <c r="BP47" s="108">
        <v>15135.226156725625</v>
      </c>
      <c r="BQ47" s="108">
        <v>9.4467132894878212</v>
      </c>
      <c r="BR47" s="95">
        <v>69343.886156725624</v>
      </c>
    </row>
    <row r="48" spans="1:75" outlineLevel="1">
      <c r="A48" s="79" t="str">
        <f t="shared" si="2"/>
        <v>MURREYSRESIDENTIALDRVNR-RECYCLE</v>
      </c>
      <c r="B48" s="79" t="s">
        <v>343</v>
      </c>
      <c r="C48" s="79" t="s">
        <v>344</v>
      </c>
      <c r="D48" s="242">
        <v>4.6100000000000003</v>
      </c>
      <c r="E48" s="104">
        <v>4.63</v>
      </c>
      <c r="F48" s="104">
        <v>4.63</v>
      </c>
      <c r="G48" s="105">
        <v>558.06999999999994</v>
      </c>
      <c r="H48" s="105">
        <v>562.67999999999995</v>
      </c>
      <c r="I48" s="105">
        <v>563.255</v>
      </c>
      <c r="J48" s="105">
        <v>569.0100000000001</v>
      </c>
      <c r="K48" s="105">
        <v>544.80499999999995</v>
      </c>
      <c r="L48" s="105">
        <v>544.12500000000011</v>
      </c>
      <c r="M48" s="105">
        <v>563</v>
      </c>
      <c r="N48" s="105">
        <v>558.01</v>
      </c>
      <c r="O48" s="105">
        <v>571.90499999999997</v>
      </c>
      <c r="P48" s="105">
        <v>547.65499999999997</v>
      </c>
      <c r="Q48" s="105">
        <v>544.74</v>
      </c>
      <c r="R48" s="105">
        <v>355.63500000000005</v>
      </c>
      <c r="S48" s="249">
        <v>6482.8899999999994</v>
      </c>
      <c r="T48" s="249"/>
      <c r="U48" s="106">
        <v>121.05639913232102</v>
      </c>
      <c r="V48" s="106">
        <v>122.05639913232102</v>
      </c>
      <c r="W48" s="106">
        <v>122.18112798264642</v>
      </c>
      <c r="X48" s="106">
        <v>122.89632829373653</v>
      </c>
      <c r="Y48" s="106">
        <v>117.66846652267817</v>
      </c>
      <c r="Z48" s="106">
        <v>117.52159827213826</v>
      </c>
      <c r="AA48" s="106">
        <v>121.59827213822895</v>
      </c>
      <c r="AB48" s="106">
        <v>120.52051835853132</v>
      </c>
      <c r="AC48" s="106">
        <v>123.52159827213822</v>
      </c>
      <c r="AD48" s="106">
        <v>118.28401727861771</v>
      </c>
      <c r="AE48" s="106">
        <v>117.65442764578835</v>
      </c>
      <c r="AF48" s="106">
        <v>76.811015118790507</v>
      </c>
      <c r="AG48" s="106">
        <v>1401.7701681479364</v>
      </c>
      <c r="AH48" s="106">
        <v>116.8141806789947</v>
      </c>
      <c r="AI48" s="337"/>
      <c r="AJ48" s="106"/>
      <c r="AL48" s="106"/>
      <c r="AM48" s="106"/>
      <c r="BJ48" s="104">
        <v>0</v>
      </c>
      <c r="BN48" s="104">
        <v>4.6100000000000003</v>
      </c>
      <c r="BO48" s="108">
        <v>1.2909956998020129</v>
      </c>
      <c r="BP48" s="108">
        <v>1809.6792591897306</v>
      </c>
      <c r="BQ48" s="108">
        <v>5.9009956998020137</v>
      </c>
      <c r="BR48" s="95">
        <v>8292.5692591897296</v>
      </c>
    </row>
    <row r="49" spans="1:75" outlineLevel="1">
      <c r="A49" s="79" t="str">
        <f t="shared" si="2"/>
        <v>MURREYSRESIDENTIALPACKR-RECYCLE</v>
      </c>
      <c r="B49" s="79" t="s">
        <v>345</v>
      </c>
      <c r="C49" s="79" t="s">
        <v>346</v>
      </c>
      <c r="D49" s="242">
        <v>5.41</v>
      </c>
      <c r="E49" s="104">
        <v>5.44</v>
      </c>
      <c r="F49" s="104">
        <v>5.44</v>
      </c>
      <c r="G49" s="105">
        <v>202.17</v>
      </c>
      <c r="H49" s="105">
        <v>201.95500000000001</v>
      </c>
      <c r="I49" s="105">
        <v>225.64500000000001</v>
      </c>
      <c r="J49" s="105">
        <v>227.63</v>
      </c>
      <c r="K49" s="105">
        <v>217.36499999999998</v>
      </c>
      <c r="L49" s="105">
        <v>222.38499999999999</v>
      </c>
      <c r="M49" s="105">
        <v>218.98500000000001</v>
      </c>
      <c r="N49" s="105">
        <v>224.42500000000001</v>
      </c>
      <c r="O49" s="105">
        <v>222.38499999999999</v>
      </c>
      <c r="P49" s="105">
        <v>233.26499999999999</v>
      </c>
      <c r="Q49" s="105">
        <v>241.39500000000004</v>
      </c>
      <c r="R49" s="105">
        <v>229.16499999999999</v>
      </c>
      <c r="S49" s="249">
        <v>2666.7699999999995</v>
      </c>
      <c r="T49" s="249"/>
      <c r="U49" s="106">
        <v>37.369685767097963</v>
      </c>
      <c r="V49" s="106">
        <v>37.329944547134936</v>
      </c>
      <c r="W49" s="106">
        <v>41.708872458410355</v>
      </c>
      <c r="X49" s="106">
        <v>41.843749999999993</v>
      </c>
      <c r="Y49" s="106">
        <v>39.956801470588232</v>
      </c>
      <c r="Z49" s="106">
        <v>40.87959558823529</v>
      </c>
      <c r="AA49" s="106">
        <v>40.254595588235297</v>
      </c>
      <c r="AB49" s="106">
        <v>41.25459558823529</v>
      </c>
      <c r="AC49" s="106">
        <v>40.87959558823529</v>
      </c>
      <c r="AD49" s="106">
        <v>42.87959558823529</v>
      </c>
      <c r="AE49" s="106">
        <v>44.374080882352942</v>
      </c>
      <c r="AF49" s="106">
        <v>42.125919117647051</v>
      </c>
      <c r="AG49" s="106">
        <v>490.85703218440801</v>
      </c>
      <c r="AH49" s="106">
        <v>40.904752682034001</v>
      </c>
      <c r="AI49" s="337"/>
      <c r="AJ49" s="106"/>
      <c r="AL49" s="106"/>
      <c r="AM49" s="106"/>
      <c r="BJ49" s="104">
        <v>0</v>
      </c>
      <c r="BN49" s="104">
        <v>5.41</v>
      </c>
      <c r="BO49" s="108">
        <v>1.5150296607221019</v>
      </c>
      <c r="BP49" s="108">
        <v>743.66296293340156</v>
      </c>
      <c r="BQ49" s="108">
        <v>6.9250296607221022</v>
      </c>
      <c r="BR49" s="95">
        <v>3410.4329629334011</v>
      </c>
    </row>
    <row r="50" spans="1:75" outlineLevel="1">
      <c r="A50" s="79" t="str">
        <f t="shared" si="2"/>
        <v>MURREYSRESIDENTIALRECYDEL</v>
      </c>
      <c r="B50" s="79" t="s">
        <v>348</v>
      </c>
      <c r="C50" s="79" t="s">
        <v>347</v>
      </c>
      <c r="D50" s="242">
        <v>22.53</v>
      </c>
      <c r="E50" s="104">
        <v>22.64</v>
      </c>
      <c r="F50" s="104">
        <v>22.64</v>
      </c>
      <c r="G50" s="105">
        <v>0</v>
      </c>
      <c r="H50" s="105">
        <v>45.06</v>
      </c>
      <c r="I50" s="105">
        <v>0</v>
      </c>
      <c r="J50" s="105">
        <v>0</v>
      </c>
      <c r="K50" s="105">
        <v>0</v>
      </c>
      <c r="L50" s="105">
        <v>0</v>
      </c>
      <c r="M50" s="105">
        <v>0</v>
      </c>
      <c r="N50" s="105">
        <v>0</v>
      </c>
      <c r="O50" s="105">
        <v>0</v>
      </c>
      <c r="P50" s="105">
        <v>0</v>
      </c>
      <c r="Q50" s="105">
        <v>0</v>
      </c>
      <c r="R50" s="105">
        <v>0</v>
      </c>
      <c r="S50" s="249">
        <v>45.06</v>
      </c>
      <c r="T50" s="249"/>
      <c r="U50" s="106">
        <v>0</v>
      </c>
      <c r="V50" s="106">
        <v>2</v>
      </c>
      <c r="W50" s="106">
        <v>0</v>
      </c>
      <c r="X50" s="106">
        <v>0</v>
      </c>
      <c r="Y50" s="106">
        <v>0</v>
      </c>
      <c r="Z50" s="106">
        <v>0</v>
      </c>
      <c r="AA50" s="106">
        <v>0</v>
      </c>
      <c r="AB50" s="106">
        <v>0</v>
      </c>
      <c r="AC50" s="106">
        <v>0</v>
      </c>
      <c r="AD50" s="106">
        <v>0</v>
      </c>
      <c r="AE50" s="106">
        <v>0</v>
      </c>
      <c r="AF50" s="106">
        <v>0</v>
      </c>
      <c r="AG50" s="106">
        <v>2</v>
      </c>
      <c r="AH50" s="106">
        <v>0.16666666666666666</v>
      </c>
      <c r="AI50" s="337"/>
      <c r="AJ50" s="106"/>
      <c r="AL50" s="106"/>
      <c r="AM50" s="106"/>
      <c r="BJ50" s="104">
        <v>0</v>
      </c>
      <c r="BN50" s="104">
        <v>22.53</v>
      </c>
      <c r="BO50" s="108">
        <v>6.3093564244120062</v>
      </c>
      <c r="BP50" s="108">
        <v>12.618712848824011</v>
      </c>
      <c r="BQ50" s="108">
        <v>28.839356424412006</v>
      </c>
      <c r="BR50" s="95">
        <v>57.678712848824013</v>
      </c>
    </row>
    <row r="51" spans="1:75" outlineLevel="1">
      <c r="A51" s="79" t="str">
        <f t="shared" si="2"/>
        <v>MURREYSRESIDENTIALPACKR-RECYADL</v>
      </c>
      <c r="B51" s="79" t="s">
        <v>699</v>
      </c>
      <c r="C51" s="79" t="s">
        <v>698</v>
      </c>
      <c r="D51" s="242">
        <v>1.17</v>
      </c>
      <c r="E51" s="104">
        <v>1.17</v>
      </c>
      <c r="F51" s="104">
        <v>1.17</v>
      </c>
      <c r="G51" s="105">
        <v>25.795000000000002</v>
      </c>
      <c r="H51" s="105">
        <v>18.594999999999999</v>
      </c>
      <c r="I51" s="105">
        <v>25.784999999999997</v>
      </c>
      <c r="J51" s="105">
        <v>22.869999999999997</v>
      </c>
      <c r="K51" s="105">
        <v>22.869999999999997</v>
      </c>
      <c r="L51" s="105">
        <v>22.285</v>
      </c>
      <c r="M51" s="105">
        <v>23.454999999999998</v>
      </c>
      <c r="N51" s="105">
        <v>21.114999999999998</v>
      </c>
      <c r="O51" s="105">
        <v>21.114999999999998</v>
      </c>
      <c r="P51" s="105">
        <v>13.51</v>
      </c>
      <c r="Q51" s="105">
        <v>10</v>
      </c>
      <c r="R51" s="105">
        <v>14.68</v>
      </c>
      <c r="S51" s="249">
        <v>242.07499999999999</v>
      </c>
      <c r="T51" s="249"/>
      <c r="U51" s="106">
        <v>22.047008547008549</v>
      </c>
      <c r="V51" s="106">
        <v>15.893162393162394</v>
      </c>
      <c r="W51" s="106">
        <v>22.038461538461537</v>
      </c>
      <c r="X51" s="106">
        <v>19.547008547008545</v>
      </c>
      <c r="Y51" s="106">
        <v>19.547008547008545</v>
      </c>
      <c r="Z51" s="106">
        <v>19.047008547008549</v>
      </c>
      <c r="AA51" s="106">
        <v>20.047008547008545</v>
      </c>
      <c r="AB51" s="106">
        <v>18.047008547008545</v>
      </c>
      <c r="AC51" s="106">
        <v>18.047008547008545</v>
      </c>
      <c r="AD51" s="106">
        <v>11.547008547008547</v>
      </c>
      <c r="AE51" s="106">
        <v>8.5470085470085468</v>
      </c>
      <c r="AF51" s="106">
        <v>12.547008547008547</v>
      </c>
      <c r="AG51" s="106">
        <v>206.90170940170938</v>
      </c>
      <c r="AH51" s="106">
        <v>17.241809116809115</v>
      </c>
      <c r="AI51" s="337"/>
      <c r="AJ51" s="106"/>
      <c r="AL51" s="106"/>
      <c r="AM51" s="106"/>
      <c r="BJ51" s="104">
        <v>0</v>
      </c>
      <c r="BN51" s="104">
        <v>1.1599999999999999</v>
      </c>
      <c r="BO51" s="108">
        <v>0.32484924333412901</v>
      </c>
      <c r="BP51" s="108">
        <v>67.211863743683139</v>
      </c>
      <c r="BQ51" s="108">
        <v>1.4848492433341289</v>
      </c>
      <c r="BR51" s="95">
        <v>309.28686374368311</v>
      </c>
    </row>
    <row r="52" spans="1:75" outlineLevel="1">
      <c r="E52" s="104"/>
      <c r="F52" s="104"/>
      <c r="G52" s="247"/>
      <c r="H52" s="247"/>
      <c r="I52" s="247"/>
      <c r="J52" s="247"/>
      <c r="K52" s="247"/>
      <c r="L52" s="247"/>
      <c r="M52" s="104"/>
      <c r="N52" s="105"/>
      <c r="O52" s="105"/>
      <c r="P52" s="105"/>
      <c r="Q52" s="105"/>
      <c r="R52" s="105"/>
      <c r="S52" s="249">
        <v>0</v>
      </c>
      <c r="T52" s="249"/>
      <c r="U52" s="249"/>
      <c r="V52" s="249"/>
      <c r="W52" s="249"/>
      <c r="X52" s="249"/>
      <c r="Y52" s="249"/>
      <c r="Z52" s="249"/>
      <c r="AA52" s="249"/>
      <c r="AB52" s="106"/>
      <c r="AC52" s="106"/>
      <c r="AD52" s="106"/>
      <c r="AE52" s="106"/>
      <c r="AF52" s="106"/>
      <c r="AG52" s="106"/>
      <c r="AH52" s="106"/>
      <c r="AI52" s="337"/>
      <c r="AJ52" s="106"/>
      <c r="AL52" s="106"/>
      <c r="AM52" s="106"/>
      <c r="BF52" s="239" t="s">
        <v>634</v>
      </c>
      <c r="BG52" s="239" t="s">
        <v>635</v>
      </c>
      <c r="BI52" s="239" t="s">
        <v>634</v>
      </c>
      <c r="BJ52" s="104"/>
      <c r="BO52" s="108">
        <v>0</v>
      </c>
      <c r="BP52" s="108">
        <v>0</v>
      </c>
      <c r="BQ52" s="108">
        <v>0</v>
      </c>
      <c r="BR52" s="95">
        <v>0</v>
      </c>
    </row>
    <row r="53" spans="1:75" outlineLevel="1">
      <c r="C53" s="107" t="s">
        <v>349</v>
      </c>
      <c r="D53" s="248"/>
      <c r="E53" s="104"/>
      <c r="F53" s="104"/>
      <c r="G53" s="109">
        <v>469053.05499999999</v>
      </c>
      <c r="H53" s="109">
        <v>470136.14999999997</v>
      </c>
      <c r="I53" s="109">
        <v>471550.76499999996</v>
      </c>
      <c r="J53" s="109">
        <v>473971.69999999984</v>
      </c>
      <c r="K53" s="109">
        <v>473836.77999999991</v>
      </c>
      <c r="L53" s="109">
        <v>475542.35999999993</v>
      </c>
      <c r="M53" s="109">
        <v>475187.90999999992</v>
      </c>
      <c r="N53" s="109">
        <v>474481.61000000004</v>
      </c>
      <c r="O53" s="109">
        <v>475707.10999999993</v>
      </c>
      <c r="P53" s="109">
        <v>475879.755</v>
      </c>
      <c r="Q53" s="109">
        <v>479331.16500000004</v>
      </c>
      <c r="R53" s="109">
        <v>481692.38</v>
      </c>
      <c r="S53" s="109">
        <v>5696370.7399999993</v>
      </c>
      <c r="T53" s="109"/>
      <c r="U53" s="109">
        <v>63341.941282746171</v>
      </c>
      <c r="V53" s="109">
        <v>63480.226287262878</v>
      </c>
      <c r="W53" s="109">
        <v>63677.506549232166</v>
      </c>
      <c r="X53" s="109">
        <v>63746.683877998796</v>
      </c>
      <c r="Y53" s="109">
        <v>63737.002699055316</v>
      </c>
      <c r="Z53" s="109">
        <v>63965.291835357617</v>
      </c>
      <c r="AA53" s="109">
        <v>63916.153905620435</v>
      </c>
      <c r="AB53" s="109">
        <v>63820.524966261808</v>
      </c>
      <c r="AC53" s="109">
        <v>63985.311066126844</v>
      </c>
      <c r="AD53" s="109">
        <v>64011.794127793342</v>
      </c>
      <c r="AE53" s="109">
        <v>64478.138438945112</v>
      </c>
      <c r="AF53" s="109">
        <v>64824.184003420582</v>
      </c>
      <c r="AG53" s="109">
        <v>769086.28794955497</v>
      </c>
      <c r="AH53" s="109">
        <v>63915.396586651746</v>
      </c>
      <c r="AI53" s="338"/>
      <c r="AJ53" s="110"/>
      <c r="AL53" s="106"/>
      <c r="AM53" s="106"/>
      <c r="BF53" s="298">
        <v>209.14424669330569</v>
      </c>
      <c r="BG53" s="298">
        <v>0</v>
      </c>
      <c r="BH53" s="298">
        <v>0</v>
      </c>
      <c r="BI53" s="298"/>
      <c r="BJ53" s="297">
        <v>209.14424669330569</v>
      </c>
      <c r="BK53" s="251" t="s">
        <v>591</v>
      </c>
      <c r="BL53" s="250">
        <v>0</v>
      </c>
      <c r="BN53" s="297">
        <v>59.539999999999992</v>
      </c>
      <c r="BO53" s="297">
        <v>16.673727541477621</v>
      </c>
      <c r="BP53" s="297">
        <v>1590364.214305293</v>
      </c>
      <c r="BQ53" s="297">
        <v>76.21372754147761</v>
      </c>
      <c r="BR53" s="109">
        <v>7286734.954305293</v>
      </c>
      <c r="BW53" s="244"/>
    </row>
    <row r="54" spans="1:75" outlineLevel="1">
      <c r="C54" s="107"/>
      <c r="D54" s="248"/>
      <c r="E54" s="104"/>
      <c r="F54" s="104"/>
      <c r="G54" s="247"/>
      <c r="H54" s="247"/>
      <c r="I54" s="247"/>
      <c r="J54" s="247"/>
      <c r="K54" s="247"/>
      <c r="L54" s="247"/>
      <c r="M54" s="104"/>
      <c r="N54" s="110"/>
      <c r="O54" s="110"/>
      <c r="P54" s="110"/>
      <c r="Q54" s="110"/>
      <c r="R54" s="110"/>
      <c r="AB54" s="106"/>
      <c r="AC54" s="106"/>
      <c r="AD54" s="106"/>
      <c r="AE54" s="106"/>
      <c r="AF54" s="106"/>
      <c r="AG54" s="106"/>
      <c r="AH54" s="106"/>
      <c r="AI54" s="337"/>
      <c r="AJ54" s="106"/>
      <c r="AL54" s="106"/>
      <c r="AM54" s="106"/>
      <c r="BF54" s="239" t="s">
        <v>634</v>
      </c>
      <c r="BG54" s="239" t="s">
        <v>635</v>
      </c>
      <c r="BI54" s="239" t="s">
        <v>634</v>
      </c>
      <c r="BJ54" s="104"/>
      <c r="BO54" s="108">
        <v>0</v>
      </c>
      <c r="BP54" s="108">
        <v>0</v>
      </c>
      <c r="BQ54" s="108">
        <v>0</v>
      </c>
      <c r="BR54" s="95">
        <v>0</v>
      </c>
      <c r="BW54" s="244"/>
    </row>
    <row r="55" spans="1:75" outlineLevel="1">
      <c r="B55" s="94" t="s">
        <v>350</v>
      </c>
      <c r="E55" s="104"/>
      <c r="F55" s="104"/>
      <c r="G55" s="247"/>
      <c r="H55" s="247"/>
      <c r="I55" s="247"/>
      <c r="J55" s="247"/>
      <c r="K55" s="247"/>
      <c r="L55" s="247"/>
      <c r="M55" s="104"/>
      <c r="N55" s="105"/>
      <c r="O55" s="105"/>
      <c r="P55" s="105"/>
      <c r="Q55" s="105"/>
      <c r="R55" s="105"/>
      <c r="AB55" s="106"/>
      <c r="AC55" s="106"/>
      <c r="AD55" s="106"/>
      <c r="AE55" s="106"/>
      <c r="AF55" s="106"/>
      <c r="AG55" s="106"/>
      <c r="AH55" s="106"/>
      <c r="AI55" s="337"/>
      <c r="AJ55" s="106"/>
      <c r="AL55" s="106"/>
      <c r="AM55" s="106"/>
      <c r="BF55" s="239" t="s">
        <v>634</v>
      </c>
      <c r="BG55" s="239" t="s">
        <v>635</v>
      </c>
      <c r="BI55" s="239" t="s">
        <v>634</v>
      </c>
      <c r="BJ55" s="104"/>
      <c r="BO55" s="108">
        <v>0</v>
      </c>
      <c r="BP55" s="108">
        <v>0</v>
      </c>
      <c r="BQ55" s="108">
        <v>0</v>
      </c>
      <c r="BR55" s="95">
        <v>0</v>
      </c>
    </row>
    <row r="56" spans="1:75" outlineLevel="1">
      <c r="A56" s="79" t="str">
        <f>+$A$4&amp;$A$10&amp;B56</f>
        <v>MURREYSRESIDENTIALYDW90</v>
      </c>
      <c r="B56" s="79" t="s">
        <v>351</v>
      </c>
      <c r="C56" s="79" t="s">
        <v>352</v>
      </c>
      <c r="D56" s="242">
        <v>6.2</v>
      </c>
      <c r="E56" s="104">
        <v>6.23</v>
      </c>
      <c r="F56" s="104">
        <v>6.23</v>
      </c>
      <c r="G56" s="105">
        <v>232246.56500000003</v>
      </c>
      <c r="H56" s="105">
        <v>233893.26000000004</v>
      </c>
      <c r="I56" s="105">
        <v>235277.63500000001</v>
      </c>
      <c r="J56" s="105">
        <v>237255.15500000003</v>
      </c>
      <c r="K56" s="105">
        <v>236949.535</v>
      </c>
      <c r="L56" s="105">
        <v>237835.43500000006</v>
      </c>
      <c r="M56" s="105">
        <v>237228.33499999996</v>
      </c>
      <c r="N56" s="105">
        <v>236208.77499999999</v>
      </c>
      <c r="O56" s="105">
        <v>236310.88</v>
      </c>
      <c r="P56" s="105">
        <v>236699.09</v>
      </c>
      <c r="Q56" s="105">
        <v>238819.39500000002</v>
      </c>
      <c r="R56" s="105">
        <v>241251.69500000001</v>
      </c>
      <c r="S56" s="249">
        <v>2839975.7549999999</v>
      </c>
      <c r="T56" s="249"/>
      <c r="U56" s="254">
        <v>37459.123387096777</v>
      </c>
      <c r="V56" s="254">
        <v>37724.719354838715</v>
      </c>
      <c r="W56" s="254">
        <v>37948.005645161291</v>
      </c>
      <c r="X56" s="254">
        <v>38082.689406099518</v>
      </c>
      <c r="Y56" s="254">
        <v>38033.633226324237</v>
      </c>
      <c r="Z56" s="254">
        <v>38175.832263242381</v>
      </c>
      <c r="AA56" s="254">
        <v>38078.384430176557</v>
      </c>
      <c r="AB56" s="254">
        <v>37914.731139646865</v>
      </c>
      <c r="AC56" s="254">
        <v>37931.120385232745</v>
      </c>
      <c r="AD56" s="254">
        <v>37993.433386837874</v>
      </c>
      <c r="AE56" s="254">
        <v>38333.771268057782</v>
      </c>
      <c r="AF56" s="254">
        <v>38724.1886035313</v>
      </c>
      <c r="AG56" s="254">
        <v>456399.63249624608</v>
      </c>
      <c r="AH56" s="254">
        <v>38033.302708020507</v>
      </c>
      <c r="AI56" s="337"/>
      <c r="AJ56" s="106"/>
      <c r="AL56" s="106"/>
      <c r="AM56" s="106"/>
      <c r="BF56" s="239">
        <v>96</v>
      </c>
      <c r="BG56" s="239">
        <v>0</v>
      </c>
      <c r="BI56" s="239">
        <v>1</v>
      </c>
      <c r="BJ56" s="104">
        <v>38033.302708020507</v>
      </c>
      <c r="BN56" s="104">
        <v>6.2</v>
      </c>
      <c r="BO56" s="108">
        <v>0.97917974265632934</v>
      </c>
      <c r="BP56" s="108">
        <v>446897.2746961175</v>
      </c>
      <c r="BQ56" s="108">
        <v>7.1791797426563297</v>
      </c>
      <c r="BR56" s="95">
        <v>3286873.0296961172</v>
      </c>
    </row>
    <row r="57" spans="1:75" outlineLevel="1">
      <c r="A57" s="302" t="str">
        <f>+$A$4&amp;$A$139&amp;B57</f>
        <v>MURREYSMULTI-FAMILYMYDW90</v>
      </c>
      <c r="B57" s="302" t="s">
        <v>363</v>
      </c>
      <c r="C57" s="302" t="s">
        <v>364</v>
      </c>
      <c r="D57" s="301">
        <v>3.1</v>
      </c>
      <c r="E57" s="301">
        <v>3.1150000000000002</v>
      </c>
      <c r="F57" s="301">
        <v>3.1150000000000002</v>
      </c>
      <c r="G57" s="299">
        <v>5308.75</v>
      </c>
      <c r="H57" s="299">
        <v>5378.5</v>
      </c>
      <c r="I57" s="299">
        <v>5379.2849999999999</v>
      </c>
      <c r="J57" s="299">
        <v>5445.7550000000001</v>
      </c>
      <c r="K57" s="299">
        <v>5466.8050000000003</v>
      </c>
      <c r="L57" s="299">
        <v>5460.5750000000007</v>
      </c>
      <c r="M57" s="299">
        <v>5462.1450000000004</v>
      </c>
      <c r="N57" s="299">
        <v>5507.3050000000003</v>
      </c>
      <c r="O57" s="299">
        <v>5515.0999999999995</v>
      </c>
      <c r="P57" s="299">
        <v>5501.55</v>
      </c>
      <c r="Q57" s="299">
        <v>5701.97</v>
      </c>
      <c r="R57" s="299">
        <v>5675.6100000000006</v>
      </c>
      <c r="S57" s="249">
        <v>65803.350000000006</v>
      </c>
      <c r="T57" s="300"/>
      <c r="U57" s="299">
        <v>1712.5</v>
      </c>
      <c r="V57" s="299">
        <v>1735</v>
      </c>
      <c r="W57" s="299">
        <v>1735.2532258064516</v>
      </c>
      <c r="X57" s="299">
        <v>1748.2359550561796</v>
      </c>
      <c r="Y57" s="299">
        <v>1754.9935794542537</v>
      </c>
      <c r="Z57" s="299">
        <v>1752.9935794542537</v>
      </c>
      <c r="AA57" s="299">
        <v>1753.4975922953452</v>
      </c>
      <c r="AB57" s="299">
        <v>1767.9951845906901</v>
      </c>
      <c r="AC57" s="299">
        <v>1770.4975922953447</v>
      </c>
      <c r="AD57" s="299">
        <v>1766.1476725521668</v>
      </c>
      <c r="AE57" s="299">
        <v>1830.4879614767256</v>
      </c>
      <c r="AF57" s="299">
        <v>1822.0256821829855</v>
      </c>
      <c r="AG57" s="299">
        <v>21149.628025164402</v>
      </c>
      <c r="AH57" s="299">
        <v>1762.4690020970336</v>
      </c>
      <c r="AI57" s="337"/>
      <c r="AJ57" s="106"/>
      <c r="AL57" s="106"/>
      <c r="AM57" s="106"/>
      <c r="BF57" s="239">
        <v>96</v>
      </c>
      <c r="BG57" s="239">
        <v>0</v>
      </c>
      <c r="BI57" s="239">
        <v>1</v>
      </c>
      <c r="BJ57" s="104">
        <v>1762.4690020970336</v>
      </c>
      <c r="BN57" s="104">
        <v>3.1</v>
      </c>
      <c r="BO57" s="108">
        <v>0.48958987132816467</v>
      </c>
      <c r="BP57" s="108">
        <v>10354.643663478786</v>
      </c>
      <c r="BQ57" s="108">
        <v>3.5895898713281649</v>
      </c>
      <c r="BR57" s="95">
        <v>76157.993663478788</v>
      </c>
    </row>
    <row r="58" spans="1:75" outlineLevel="1">
      <c r="A58" s="79" t="str">
        <f t="shared" ref="A58:A63" si="3">+$A$4&amp;$A$10&amp;B58</f>
        <v>MURREYSRESIDENTIALYDWDEL</v>
      </c>
      <c r="B58" s="79" t="s">
        <v>353</v>
      </c>
      <c r="C58" s="79" t="s">
        <v>354</v>
      </c>
      <c r="D58" s="242">
        <v>22.53</v>
      </c>
      <c r="E58" s="104">
        <v>22.64</v>
      </c>
      <c r="F58" s="104">
        <v>22.64</v>
      </c>
      <c r="G58" s="105">
        <v>87.295000000000002</v>
      </c>
      <c r="H58" s="105">
        <v>30.975000000000001</v>
      </c>
      <c r="I58" s="105">
        <v>67.59</v>
      </c>
      <c r="J58" s="105">
        <v>22.64</v>
      </c>
      <c r="K58" s="105">
        <v>0</v>
      </c>
      <c r="L58" s="105">
        <v>67.92</v>
      </c>
      <c r="M58" s="105">
        <v>45.28</v>
      </c>
      <c r="N58" s="105">
        <v>22.64</v>
      </c>
      <c r="O58" s="105">
        <v>0</v>
      </c>
      <c r="P58" s="105">
        <v>67.92</v>
      </c>
      <c r="Q58" s="105">
        <v>181.12</v>
      </c>
      <c r="R58" s="105">
        <v>67.92</v>
      </c>
      <c r="S58" s="249">
        <v>661.30000000000007</v>
      </c>
      <c r="T58" s="249"/>
      <c r="U58" s="106">
        <v>3.8746116289391921</v>
      </c>
      <c r="V58" s="106">
        <v>1.3748335552596538</v>
      </c>
      <c r="W58" s="106">
        <v>3</v>
      </c>
      <c r="X58" s="106">
        <v>1</v>
      </c>
      <c r="Y58" s="106">
        <v>0</v>
      </c>
      <c r="Z58" s="106">
        <v>3</v>
      </c>
      <c r="AA58" s="106">
        <v>2</v>
      </c>
      <c r="AB58" s="106">
        <v>1</v>
      </c>
      <c r="AC58" s="106">
        <v>0</v>
      </c>
      <c r="AD58" s="106">
        <v>3</v>
      </c>
      <c r="AE58" s="106">
        <v>8</v>
      </c>
      <c r="AF58" s="106">
        <v>3</v>
      </c>
      <c r="AG58" s="106">
        <v>29.249445184198848</v>
      </c>
      <c r="AH58" s="106">
        <v>2.437453765349904</v>
      </c>
      <c r="AI58" s="337"/>
      <c r="AJ58" s="106"/>
      <c r="AL58" s="106"/>
      <c r="AM58" s="106"/>
      <c r="BJ58" s="104">
        <v>0</v>
      </c>
      <c r="BN58" s="104">
        <v>22.53</v>
      </c>
      <c r="BO58" s="108">
        <v>3.5582128390398551</v>
      </c>
      <c r="BP58" s="108">
        <v>104.0757513892088</v>
      </c>
      <c r="BQ58" s="108">
        <v>26.088212839039855</v>
      </c>
      <c r="BR58" s="95">
        <v>765.37575138920886</v>
      </c>
    </row>
    <row r="59" spans="1:75" outlineLevel="1">
      <c r="A59" s="79" t="str">
        <f t="shared" si="3"/>
        <v>MURREYSRESIDENTIALYDWEX</v>
      </c>
      <c r="B59" s="79" t="s">
        <v>355</v>
      </c>
      <c r="C59" s="79" t="s">
        <v>356</v>
      </c>
      <c r="D59" s="242">
        <v>2</v>
      </c>
      <c r="E59" s="104">
        <v>2.0099999999999998</v>
      </c>
      <c r="F59" s="104">
        <v>2.0099999999999998</v>
      </c>
      <c r="G59" s="105">
        <v>328</v>
      </c>
      <c r="H59" s="105">
        <v>270</v>
      </c>
      <c r="I59" s="105">
        <v>398</v>
      </c>
      <c r="J59" s="105">
        <v>295</v>
      </c>
      <c r="K59" s="105">
        <v>239.19</v>
      </c>
      <c r="L59" s="105">
        <v>747.72</v>
      </c>
      <c r="M59" s="105">
        <v>176.88</v>
      </c>
      <c r="N59" s="105">
        <v>64.319999999999993</v>
      </c>
      <c r="O59" s="105">
        <v>154.76999999999998</v>
      </c>
      <c r="P59" s="105">
        <v>243.21</v>
      </c>
      <c r="Q59" s="105">
        <v>476.37</v>
      </c>
      <c r="R59" s="105">
        <v>675.3599999999999</v>
      </c>
      <c r="S59" s="249">
        <v>4068.8199999999997</v>
      </c>
      <c r="T59" s="249"/>
      <c r="U59" s="106">
        <v>164</v>
      </c>
      <c r="V59" s="106">
        <v>135</v>
      </c>
      <c r="W59" s="106">
        <v>199</v>
      </c>
      <c r="X59" s="106">
        <v>146.76616915422886</v>
      </c>
      <c r="Y59" s="106">
        <v>119.00000000000001</v>
      </c>
      <c r="Z59" s="106">
        <v>372.00000000000006</v>
      </c>
      <c r="AA59" s="106">
        <v>88</v>
      </c>
      <c r="AB59" s="106">
        <v>32</v>
      </c>
      <c r="AC59" s="106">
        <v>77</v>
      </c>
      <c r="AD59" s="106">
        <v>121.00000000000001</v>
      </c>
      <c r="AE59" s="106">
        <v>237.00000000000003</v>
      </c>
      <c r="AF59" s="106">
        <v>336</v>
      </c>
      <c r="AG59" s="106">
        <v>2026.7661691542289</v>
      </c>
      <c r="AH59" s="106">
        <v>168.8971807628524</v>
      </c>
      <c r="AI59" s="337"/>
      <c r="AJ59" s="106"/>
      <c r="AL59" s="106"/>
      <c r="AM59" s="106"/>
      <c r="BJ59" s="104">
        <v>0</v>
      </c>
      <c r="BN59" s="104">
        <v>2</v>
      </c>
      <c r="BO59" s="108">
        <v>0.31586443311494494</v>
      </c>
      <c r="BP59" s="108">
        <v>640.18334707644908</v>
      </c>
      <c r="BQ59" s="108">
        <v>2.3158644331149452</v>
      </c>
      <c r="BR59" s="95">
        <v>4709.0033470764483</v>
      </c>
    </row>
    <row r="60" spans="1:75" outlineLevel="1">
      <c r="A60" s="79" t="str">
        <f t="shared" si="3"/>
        <v>MURREYSRESIDENTIALDRVNR-YARDWASTE</v>
      </c>
      <c r="B60" s="79" t="s">
        <v>357</v>
      </c>
      <c r="C60" s="79" t="s">
        <v>358</v>
      </c>
      <c r="D60" s="242">
        <v>4.3099999999999996</v>
      </c>
      <c r="E60" s="104">
        <v>4.33</v>
      </c>
      <c r="F60" s="104">
        <v>4.33</v>
      </c>
      <c r="G60" s="105">
        <v>86.205000000000013</v>
      </c>
      <c r="H60" s="105">
        <v>94.820000000000007</v>
      </c>
      <c r="I60" s="105">
        <v>99.235000000000014</v>
      </c>
      <c r="J60" s="105">
        <v>97.3</v>
      </c>
      <c r="K60" s="105">
        <v>78.02</v>
      </c>
      <c r="L60" s="105">
        <v>95.259999999999991</v>
      </c>
      <c r="M60" s="105">
        <v>95.259999999999991</v>
      </c>
      <c r="N60" s="105">
        <v>95.259999999999991</v>
      </c>
      <c r="O60" s="105">
        <v>99.59</v>
      </c>
      <c r="P60" s="105">
        <v>95.259999999999991</v>
      </c>
      <c r="Q60" s="105">
        <v>85.51</v>
      </c>
      <c r="R60" s="105">
        <v>81.185000000000002</v>
      </c>
      <c r="S60" s="249">
        <v>1102.905</v>
      </c>
      <c r="T60" s="249"/>
      <c r="U60" s="106">
        <v>20.001160092807428</v>
      </c>
      <c r="V60" s="106">
        <v>22.000000000000004</v>
      </c>
      <c r="W60" s="106">
        <v>23.024361948955921</v>
      </c>
      <c r="X60" s="106">
        <v>22.471131639722863</v>
      </c>
      <c r="Y60" s="106">
        <v>18.018475750577366</v>
      </c>
      <c r="Z60" s="106">
        <v>21.999999999999996</v>
      </c>
      <c r="AA60" s="106">
        <v>21.999999999999996</v>
      </c>
      <c r="AB60" s="106">
        <v>21.999999999999996</v>
      </c>
      <c r="AC60" s="106">
        <v>23</v>
      </c>
      <c r="AD60" s="106">
        <v>21.999999999999996</v>
      </c>
      <c r="AE60" s="106">
        <v>19.748267898383371</v>
      </c>
      <c r="AF60" s="106">
        <v>18.749422632794456</v>
      </c>
      <c r="AG60" s="106">
        <v>255.01281996324138</v>
      </c>
      <c r="AH60" s="106">
        <v>21.251068330270115</v>
      </c>
      <c r="AI60" s="337"/>
      <c r="AJ60" s="106"/>
      <c r="AL60" s="106"/>
      <c r="AM60" s="106"/>
      <c r="BJ60" s="104">
        <v>0</v>
      </c>
      <c r="BN60" s="104">
        <v>4.3099999999999996</v>
      </c>
      <c r="BO60" s="108">
        <v>0.68068785336270632</v>
      </c>
      <c r="BP60" s="108">
        <v>173.58412900074907</v>
      </c>
      <c r="BQ60" s="108">
        <v>4.9906878533627062</v>
      </c>
      <c r="BR60" s="95">
        <v>1276.489129000749</v>
      </c>
    </row>
    <row r="61" spans="1:75" outlineLevel="1">
      <c r="A61" s="79" t="str">
        <f t="shared" si="3"/>
        <v>MURREYSRESIDENTIALPACKR-YARDWASTE</v>
      </c>
      <c r="B61" s="79" t="s">
        <v>359</v>
      </c>
      <c r="C61" s="79" t="s">
        <v>360</v>
      </c>
      <c r="D61" s="242">
        <v>5.41</v>
      </c>
      <c r="E61" s="104">
        <v>5.44</v>
      </c>
      <c r="F61" s="104">
        <v>5.44</v>
      </c>
      <c r="G61" s="105">
        <v>40.064999999999998</v>
      </c>
      <c r="H61" s="105">
        <v>42.77</v>
      </c>
      <c r="I61" s="105">
        <v>42.814999999999998</v>
      </c>
      <c r="J61" s="105">
        <v>42.875</v>
      </c>
      <c r="K61" s="105">
        <v>42.92</v>
      </c>
      <c r="L61" s="105">
        <v>42.92</v>
      </c>
      <c r="M61" s="105">
        <v>42.92</v>
      </c>
      <c r="N61" s="105">
        <v>42.92</v>
      </c>
      <c r="O61" s="105">
        <v>42.92</v>
      </c>
      <c r="P61" s="105">
        <v>48.36</v>
      </c>
      <c r="Q61" s="105">
        <v>32.64</v>
      </c>
      <c r="R61" s="105">
        <v>32.64</v>
      </c>
      <c r="S61" s="249">
        <v>496.76500000000004</v>
      </c>
      <c r="T61" s="249"/>
      <c r="U61" s="106">
        <v>7.405730129390018</v>
      </c>
      <c r="V61" s="106">
        <v>7.9057301293900188</v>
      </c>
      <c r="W61" s="106">
        <v>7.9140480591497218</v>
      </c>
      <c r="X61" s="106">
        <v>7.8814338235294112</v>
      </c>
      <c r="Y61" s="106">
        <v>7.8897058823529411</v>
      </c>
      <c r="Z61" s="106">
        <v>7.8897058823529411</v>
      </c>
      <c r="AA61" s="106">
        <v>7.8897058823529411</v>
      </c>
      <c r="AB61" s="106">
        <v>7.8897058823529411</v>
      </c>
      <c r="AC61" s="106">
        <v>7.8897058823529411</v>
      </c>
      <c r="AD61" s="106">
        <v>8.8897058823529402</v>
      </c>
      <c r="AE61" s="106">
        <v>6</v>
      </c>
      <c r="AF61" s="106">
        <v>6</v>
      </c>
      <c r="AG61" s="106">
        <v>91.445177435576824</v>
      </c>
      <c r="AH61" s="106">
        <v>7.620431452964735</v>
      </c>
      <c r="AI61" s="337"/>
      <c r="AJ61" s="106"/>
      <c r="AL61" s="106"/>
      <c r="AM61" s="106"/>
      <c r="BJ61" s="104">
        <v>0</v>
      </c>
      <c r="BN61" s="104">
        <v>5.41</v>
      </c>
      <c r="BO61" s="108">
        <v>0.85441329157592605</v>
      </c>
      <c r="BP61" s="108">
        <v>78.131975051475791</v>
      </c>
      <c r="BQ61" s="108">
        <v>6.2644132915759263</v>
      </c>
      <c r="BR61" s="95">
        <v>574.89697505147581</v>
      </c>
    </row>
    <row r="62" spans="1:75" outlineLevel="1">
      <c r="A62" s="79" t="str">
        <f t="shared" si="3"/>
        <v>MURREYSRESIDENTIALTRIPYCARTS</v>
      </c>
      <c r="B62" s="79" t="s">
        <v>361</v>
      </c>
      <c r="C62" s="79" t="s">
        <v>362</v>
      </c>
      <c r="D62" s="242">
        <v>11</v>
      </c>
      <c r="E62" s="104">
        <v>11.05</v>
      </c>
      <c r="F62" s="104">
        <v>11.05</v>
      </c>
      <c r="G62" s="105">
        <v>77</v>
      </c>
      <c r="H62" s="105">
        <v>33</v>
      </c>
      <c r="I62" s="105">
        <v>11</v>
      </c>
      <c r="J62" s="105">
        <v>11.050000000000004</v>
      </c>
      <c r="K62" s="105">
        <v>33.15</v>
      </c>
      <c r="L62" s="105">
        <v>66.3</v>
      </c>
      <c r="M62" s="105">
        <v>11.05</v>
      </c>
      <c r="N62" s="105">
        <v>-11.05</v>
      </c>
      <c r="O62" s="105">
        <v>22.1</v>
      </c>
      <c r="P62" s="105">
        <v>44.2</v>
      </c>
      <c r="Q62" s="105">
        <v>66.3</v>
      </c>
      <c r="R62" s="105">
        <v>33.150000000000006</v>
      </c>
      <c r="S62" s="249">
        <v>397.25</v>
      </c>
      <c r="T62" s="249"/>
      <c r="U62" s="106">
        <v>7</v>
      </c>
      <c r="V62" s="106">
        <v>3</v>
      </c>
      <c r="W62" s="106">
        <v>1</v>
      </c>
      <c r="X62" s="106">
        <v>1.0000000000000002</v>
      </c>
      <c r="Y62" s="106">
        <v>2.9999999999999996</v>
      </c>
      <c r="Z62" s="106">
        <v>5.9999999999999991</v>
      </c>
      <c r="AA62" s="106">
        <v>1</v>
      </c>
      <c r="AB62" s="106">
        <v>-1</v>
      </c>
      <c r="AC62" s="106">
        <v>2</v>
      </c>
      <c r="AD62" s="106">
        <v>4</v>
      </c>
      <c r="AE62" s="106">
        <v>5.9999999999999991</v>
      </c>
      <c r="AF62" s="106">
        <v>3.0000000000000004</v>
      </c>
      <c r="AG62" s="106">
        <v>36</v>
      </c>
      <c r="AH62" s="106">
        <v>3</v>
      </c>
      <c r="AI62" s="337"/>
      <c r="AJ62" s="106"/>
      <c r="AL62" s="106"/>
      <c r="AM62" s="106"/>
      <c r="BJ62" s="104">
        <v>0</v>
      </c>
      <c r="BN62" s="104">
        <v>11</v>
      </c>
      <c r="BO62" s="108">
        <v>1.7372543821321971</v>
      </c>
      <c r="BP62" s="108">
        <v>62.541157756759091</v>
      </c>
      <c r="BQ62" s="108">
        <v>12.737254382132196</v>
      </c>
      <c r="BR62" s="95">
        <v>459.79115775675911</v>
      </c>
    </row>
    <row r="63" spans="1:75" outlineLevel="1">
      <c r="A63" s="79" t="str">
        <f t="shared" si="3"/>
        <v>MURREYSRESIDENTIALPACKR-YARDAD</v>
      </c>
      <c r="B63" s="79" t="s">
        <v>697</v>
      </c>
      <c r="C63" s="79" t="s">
        <v>696</v>
      </c>
      <c r="D63" s="242">
        <v>1.17</v>
      </c>
      <c r="E63" s="104">
        <v>1.17</v>
      </c>
      <c r="F63" s="104">
        <v>1.17</v>
      </c>
      <c r="G63" s="105">
        <v>1.17</v>
      </c>
      <c r="H63" s="105">
        <v>1.17</v>
      </c>
      <c r="I63" s="105">
        <v>1.17</v>
      </c>
      <c r="J63" s="105">
        <v>1.17</v>
      </c>
      <c r="K63" s="105">
        <v>1.17</v>
      </c>
      <c r="L63" s="105">
        <v>1.17</v>
      </c>
      <c r="M63" s="105">
        <v>1.17</v>
      </c>
      <c r="N63" s="105">
        <v>1.17</v>
      </c>
      <c r="O63" s="105">
        <v>1.17</v>
      </c>
      <c r="P63" s="105">
        <v>0</v>
      </c>
      <c r="Q63" s="105">
        <v>0</v>
      </c>
      <c r="R63" s="105">
        <v>0</v>
      </c>
      <c r="S63" s="249">
        <v>10.53</v>
      </c>
      <c r="T63" s="249"/>
      <c r="U63" s="106">
        <v>1</v>
      </c>
      <c r="V63" s="106">
        <v>1</v>
      </c>
      <c r="W63" s="106">
        <v>1</v>
      </c>
      <c r="X63" s="106">
        <v>1</v>
      </c>
      <c r="Y63" s="106">
        <v>1</v>
      </c>
      <c r="Z63" s="106">
        <v>1</v>
      </c>
      <c r="AA63" s="106">
        <v>1</v>
      </c>
      <c r="AB63" s="106">
        <v>1</v>
      </c>
      <c r="AC63" s="106">
        <v>1</v>
      </c>
      <c r="AD63" s="106">
        <v>0</v>
      </c>
      <c r="AE63" s="106">
        <v>0</v>
      </c>
      <c r="AF63" s="106">
        <v>0</v>
      </c>
      <c r="AG63" s="106">
        <v>9</v>
      </c>
      <c r="AH63" s="106">
        <v>0.75</v>
      </c>
      <c r="AI63" s="337"/>
      <c r="AJ63" s="106"/>
      <c r="AL63" s="106"/>
      <c r="AM63" s="106"/>
      <c r="BJ63" s="104">
        <v>0</v>
      </c>
      <c r="BN63" s="104">
        <v>1.1599999999999999</v>
      </c>
      <c r="BO63" s="108">
        <v>0.18320137120666805</v>
      </c>
      <c r="BP63" s="108">
        <v>1.6488123408600126</v>
      </c>
      <c r="BQ63" s="108">
        <v>1.3432013712066679</v>
      </c>
      <c r="BR63" s="95">
        <v>12.178812340860013</v>
      </c>
    </row>
    <row r="64" spans="1:75" outlineLevel="1">
      <c r="E64" s="104"/>
      <c r="F64" s="104"/>
      <c r="G64" s="247"/>
      <c r="H64" s="247"/>
      <c r="I64" s="247"/>
      <c r="J64" s="247"/>
      <c r="K64" s="247"/>
      <c r="L64" s="247"/>
      <c r="M64" s="104"/>
      <c r="N64" s="105"/>
      <c r="O64" s="105"/>
      <c r="P64" s="105"/>
      <c r="Q64" s="105"/>
      <c r="R64" s="105"/>
      <c r="AB64" s="106"/>
      <c r="AC64" s="106"/>
      <c r="AD64" s="106"/>
      <c r="AE64" s="106"/>
      <c r="AF64" s="106"/>
      <c r="AG64" s="106"/>
      <c r="AH64" s="106"/>
      <c r="AI64" s="337"/>
      <c r="AJ64" s="106"/>
      <c r="AL64" s="106"/>
      <c r="AM64" s="106"/>
      <c r="BF64" s="239" t="s">
        <v>634</v>
      </c>
      <c r="BG64" s="239" t="s">
        <v>635</v>
      </c>
      <c r="BJ64" s="104"/>
      <c r="BO64" s="108">
        <v>0</v>
      </c>
      <c r="BP64" s="108">
        <v>0</v>
      </c>
      <c r="BQ64" s="108">
        <v>0</v>
      </c>
      <c r="BR64" s="95">
        <v>0</v>
      </c>
    </row>
    <row r="65" spans="1:75" outlineLevel="1">
      <c r="C65" s="107" t="s">
        <v>365</v>
      </c>
      <c r="D65" s="248"/>
      <c r="E65" s="104"/>
      <c r="F65" s="104"/>
      <c r="G65" s="109">
        <v>238175.05000000005</v>
      </c>
      <c r="H65" s="109">
        <v>239744.49500000005</v>
      </c>
      <c r="I65" s="109">
        <v>241276.73</v>
      </c>
      <c r="J65" s="109">
        <v>243170.94500000004</v>
      </c>
      <c r="K65" s="109">
        <v>242810.79</v>
      </c>
      <c r="L65" s="109">
        <v>244317.3000000001</v>
      </c>
      <c r="M65" s="109">
        <v>243063.03999999998</v>
      </c>
      <c r="N65" s="109">
        <v>241931.34000000005</v>
      </c>
      <c r="O65" s="109">
        <v>242146.53000000003</v>
      </c>
      <c r="P65" s="109">
        <v>242699.59</v>
      </c>
      <c r="Q65" s="109">
        <v>245363.30500000002</v>
      </c>
      <c r="R65" s="109">
        <v>247817.56</v>
      </c>
      <c r="S65" s="109">
        <v>2912516.6749999993</v>
      </c>
      <c r="T65" s="109"/>
      <c r="U65" s="109">
        <v>39171.623387096777</v>
      </c>
      <c r="V65" s="109">
        <v>39459.719354838715</v>
      </c>
      <c r="W65" s="109">
        <v>39683.258870967744</v>
      </c>
      <c r="X65" s="109">
        <v>39830.9253611557</v>
      </c>
      <c r="Y65" s="109">
        <v>39788.626805778491</v>
      </c>
      <c r="Z65" s="109">
        <v>39928.825842696635</v>
      </c>
      <c r="AA65" s="109">
        <v>39831.882022471902</v>
      </c>
      <c r="AB65" s="109">
        <v>39682.726324237556</v>
      </c>
      <c r="AC65" s="109">
        <v>39701.617977528091</v>
      </c>
      <c r="AD65" s="109">
        <v>39759.581059390039</v>
      </c>
      <c r="AE65" s="109">
        <v>40164.259229534509</v>
      </c>
      <c r="AF65" s="109">
        <v>40546.214285714283</v>
      </c>
      <c r="AG65" s="109">
        <v>477549.2605214105</v>
      </c>
      <c r="AH65" s="109">
        <v>39795.771710117537</v>
      </c>
      <c r="AI65" s="338"/>
      <c r="AJ65" s="110"/>
      <c r="AL65" s="106"/>
      <c r="AM65" s="106"/>
      <c r="BF65" s="298">
        <v>39795.771710117537</v>
      </c>
      <c r="BG65" s="298">
        <v>0</v>
      </c>
      <c r="BH65" s="298">
        <v>0</v>
      </c>
      <c r="BI65" s="298"/>
      <c r="BJ65" s="297">
        <v>39795.771710117537</v>
      </c>
      <c r="BK65" s="251" t="s">
        <v>591</v>
      </c>
      <c r="BL65" s="250">
        <v>0</v>
      </c>
      <c r="BN65" s="297">
        <v>55.709999999999994</v>
      </c>
      <c r="BO65" s="297">
        <v>8.7984037844167915</v>
      </c>
      <c r="BP65" s="297">
        <v>458312.08353221178</v>
      </c>
      <c r="BQ65" s="297">
        <v>64.508403784416799</v>
      </c>
      <c r="BR65" s="297">
        <v>3370828.7585322117</v>
      </c>
      <c r="BW65" s="244"/>
    </row>
    <row r="66" spans="1:75" outlineLevel="1">
      <c r="C66" s="107"/>
      <c r="D66" s="248"/>
      <c r="E66" s="104"/>
      <c r="F66" s="104"/>
      <c r="G66" s="247"/>
      <c r="H66" s="247"/>
      <c r="I66" s="247"/>
      <c r="J66" s="247"/>
      <c r="K66" s="247"/>
      <c r="L66" s="247"/>
      <c r="M66" s="104"/>
      <c r="N66" s="105"/>
      <c r="O66" s="105"/>
      <c r="P66" s="105"/>
      <c r="Q66" s="105"/>
      <c r="R66" s="105"/>
      <c r="AB66" s="105"/>
      <c r="AC66" s="105"/>
      <c r="AD66" s="105"/>
      <c r="AE66" s="105"/>
      <c r="AF66" s="105"/>
      <c r="AG66" s="105"/>
      <c r="AH66" s="105"/>
      <c r="AI66" s="337"/>
      <c r="AJ66" s="105"/>
      <c r="AL66" s="106"/>
      <c r="AM66" s="106"/>
      <c r="BF66" s="239" t="s">
        <v>634</v>
      </c>
      <c r="BG66" s="239" t="s">
        <v>634</v>
      </c>
      <c r="BH66" s="239" t="s">
        <v>635</v>
      </c>
      <c r="BI66" s="239" t="s">
        <v>634</v>
      </c>
      <c r="BJ66" s="104"/>
      <c r="BO66" s="108"/>
      <c r="BP66" s="108"/>
      <c r="BQ66" s="108"/>
      <c r="BR66" s="108"/>
      <c r="BW66" s="244"/>
    </row>
    <row r="67" spans="1:75" outlineLevel="1">
      <c r="E67" s="104"/>
      <c r="F67" s="104"/>
      <c r="G67" s="247"/>
      <c r="H67" s="247"/>
      <c r="I67" s="247"/>
      <c r="J67" s="247"/>
      <c r="K67" s="247"/>
      <c r="L67" s="247"/>
      <c r="M67" s="104"/>
      <c r="N67" s="105"/>
      <c r="O67" s="105"/>
      <c r="P67" s="105"/>
      <c r="Q67" s="105"/>
      <c r="R67" s="105"/>
      <c r="AB67" s="105"/>
      <c r="AC67" s="105"/>
      <c r="AD67" s="105"/>
      <c r="AE67" s="105"/>
      <c r="AF67" s="105"/>
      <c r="AG67" s="105"/>
      <c r="AH67" s="105"/>
      <c r="AI67" s="337"/>
      <c r="AJ67" s="105"/>
      <c r="AL67" s="106"/>
      <c r="AM67" s="106"/>
      <c r="BF67" s="239" t="s">
        <v>634</v>
      </c>
      <c r="BG67" s="239" t="s">
        <v>634</v>
      </c>
      <c r="BH67" s="239" t="s">
        <v>635</v>
      </c>
      <c r="BI67" s="239" t="s">
        <v>634</v>
      </c>
      <c r="BJ67" s="104"/>
      <c r="BO67" s="108"/>
      <c r="BP67" s="108"/>
      <c r="BQ67" s="108"/>
      <c r="BR67" s="108"/>
    </row>
    <row r="68" spans="1:75" s="94" customFormat="1">
      <c r="B68" s="94" t="s">
        <v>366</v>
      </c>
      <c r="D68" s="246"/>
      <c r="E68" s="104"/>
      <c r="F68" s="104"/>
      <c r="G68" s="111">
        <v>2403133.0950000007</v>
      </c>
      <c r="H68" s="111">
        <v>2414680.8750000005</v>
      </c>
      <c r="I68" s="111">
        <v>2422429.5200000005</v>
      </c>
      <c r="J68" s="111">
        <v>2433534.1349999998</v>
      </c>
      <c r="K68" s="111">
        <v>2431610.6500000004</v>
      </c>
      <c r="L68" s="111">
        <v>2447570.3600000003</v>
      </c>
      <c r="M68" s="111">
        <v>2445101.2450000001</v>
      </c>
      <c r="N68" s="111">
        <v>2450174.6500000004</v>
      </c>
      <c r="O68" s="111">
        <v>2449988.1399999997</v>
      </c>
      <c r="P68" s="111">
        <v>2449648.0950000007</v>
      </c>
      <c r="Q68" s="111">
        <v>2466479.94</v>
      </c>
      <c r="R68" s="111">
        <v>2482483.1</v>
      </c>
      <c r="S68" s="111">
        <v>29296833.804999996</v>
      </c>
      <c r="T68" s="111"/>
      <c r="U68" s="111">
        <v>165739.6638029833</v>
      </c>
      <c r="V68" s="111">
        <v>166394.11779365188</v>
      </c>
      <c r="W68" s="111">
        <v>167007.65100791404</v>
      </c>
      <c r="X68" s="111">
        <v>166985.91620639543</v>
      </c>
      <c r="Y68" s="111">
        <v>166964.64669766562</v>
      </c>
      <c r="Z68" s="111">
        <v>167550.46079350397</v>
      </c>
      <c r="AA68" s="111">
        <v>167359.7192268683</v>
      </c>
      <c r="AB68" s="111">
        <v>167114.42458398046</v>
      </c>
      <c r="AC68" s="111">
        <v>167276.94140608649</v>
      </c>
      <c r="AD68" s="111">
        <v>167518.09407816952</v>
      </c>
      <c r="AE68" s="111">
        <v>168742.02486462618</v>
      </c>
      <c r="AF68" s="111">
        <v>169740.55397702073</v>
      </c>
      <c r="AG68" s="111">
        <v>2010495.7433485999</v>
      </c>
      <c r="AH68" s="111">
        <v>166651.26219013525</v>
      </c>
      <c r="AI68" s="339"/>
      <c r="AJ68" s="111"/>
      <c r="AL68" s="111"/>
      <c r="AM68" s="111"/>
      <c r="BF68" s="239" t="s">
        <v>634</v>
      </c>
      <c r="BG68" s="239" t="s">
        <v>634</v>
      </c>
      <c r="BH68" s="239" t="s">
        <v>635</v>
      </c>
      <c r="BI68" s="239" t="s">
        <v>634</v>
      </c>
      <c r="BJ68" s="104"/>
      <c r="BN68" s="243"/>
      <c r="BO68" s="79"/>
      <c r="BP68" s="79"/>
      <c r="BQ68" s="79"/>
      <c r="BR68" s="79"/>
      <c r="BW68" s="243"/>
    </row>
    <row r="69" spans="1:75" s="94" customFormat="1" outlineLevel="1">
      <c r="D69" s="246"/>
      <c r="E69" s="104"/>
      <c r="F69" s="104"/>
      <c r="G69" s="247"/>
      <c r="H69" s="247"/>
      <c r="I69" s="247"/>
      <c r="J69" s="247"/>
      <c r="K69" s="247"/>
      <c r="L69" s="247"/>
      <c r="M69" s="104"/>
      <c r="N69" s="105"/>
      <c r="O69" s="105"/>
      <c r="P69" s="105"/>
      <c r="Q69" s="105"/>
      <c r="R69" s="105"/>
      <c r="S69" s="240"/>
      <c r="T69" s="240"/>
      <c r="U69" s="240"/>
      <c r="V69" s="240"/>
      <c r="W69" s="240"/>
      <c r="X69" s="240"/>
      <c r="Y69" s="240"/>
      <c r="Z69" s="240"/>
      <c r="AA69" s="240"/>
      <c r="AB69" s="111"/>
      <c r="AC69" s="111"/>
      <c r="AD69" s="111"/>
      <c r="AE69" s="111"/>
      <c r="AF69" s="111"/>
      <c r="AG69" s="111"/>
      <c r="AH69" s="111"/>
      <c r="AI69" s="339"/>
      <c r="AJ69" s="111"/>
      <c r="AL69" s="111"/>
      <c r="AM69" s="111"/>
      <c r="BF69" s="239" t="s">
        <v>634</v>
      </c>
      <c r="BG69" s="239" t="s">
        <v>634</v>
      </c>
      <c r="BH69" s="239" t="s">
        <v>635</v>
      </c>
      <c r="BI69" s="239" t="s">
        <v>634</v>
      </c>
      <c r="BJ69" s="104"/>
      <c r="BN69" s="243"/>
      <c r="BO69" s="108"/>
      <c r="BP69" s="108"/>
      <c r="BQ69" s="108"/>
      <c r="BR69" s="108"/>
      <c r="BW69" s="243"/>
    </row>
    <row r="70" spans="1:75" s="94" customFormat="1" outlineLevel="1">
      <c r="D70" s="246"/>
      <c r="E70" s="104"/>
      <c r="F70" s="104"/>
      <c r="G70" s="247"/>
      <c r="H70" s="247"/>
      <c r="I70" s="247"/>
      <c r="J70" s="247"/>
      <c r="K70" s="247"/>
      <c r="L70" s="247"/>
      <c r="M70" s="104"/>
      <c r="N70" s="105"/>
      <c r="O70" s="105"/>
      <c r="P70" s="105"/>
      <c r="Q70" s="105"/>
      <c r="R70" s="105"/>
      <c r="S70" s="240"/>
      <c r="T70" s="240"/>
      <c r="U70" s="240"/>
      <c r="V70" s="240"/>
      <c r="W70" s="240"/>
      <c r="X70" s="240"/>
      <c r="Y70" s="240"/>
      <c r="Z70" s="240"/>
      <c r="AA70" s="240"/>
      <c r="AB70" s="111"/>
      <c r="AC70" s="111"/>
      <c r="AD70" s="111"/>
      <c r="AE70" s="111"/>
      <c r="AF70" s="111"/>
      <c r="AG70" s="111"/>
      <c r="AH70" s="111"/>
      <c r="AI70" s="339"/>
      <c r="AJ70" s="111"/>
      <c r="AL70" s="111"/>
      <c r="AM70" s="111"/>
      <c r="BF70" s="239" t="s">
        <v>634</v>
      </c>
      <c r="BG70" s="239" t="s">
        <v>634</v>
      </c>
      <c r="BH70" s="239" t="s">
        <v>635</v>
      </c>
      <c r="BI70" s="239" t="s">
        <v>634</v>
      </c>
      <c r="BJ70" s="104"/>
      <c r="BN70" s="243"/>
      <c r="BO70" s="108"/>
      <c r="BP70" s="108"/>
      <c r="BQ70" s="108"/>
      <c r="BR70" s="108"/>
      <c r="BW70" s="243"/>
    </row>
    <row r="71" spans="1:75" outlineLevel="1">
      <c r="B71" s="100" t="s">
        <v>367</v>
      </c>
      <c r="C71" s="101"/>
      <c r="D71" s="257"/>
      <c r="E71" s="104"/>
      <c r="F71" s="104"/>
      <c r="G71" s="247"/>
      <c r="H71" s="247"/>
      <c r="I71" s="247"/>
      <c r="J71" s="247"/>
      <c r="K71" s="247"/>
      <c r="L71" s="247"/>
      <c r="M71" s="104"/>
      <c r="N71" s="105"/>
      <c r="O71" s="105"/>
      <c r="P71" s="105"/>
      <c r="Q71" s="105"/>
      <c r="R71" s="105"/>
      <c r="AB71" s="106"/>
      <c r="AC71" s="106"/>
      <c r="AD71" s="106"/>
      <c r="AE71" s="106"/>
      <c r="AF71" s="106"/>
      <c r="AG71" s="106"/>
      <c r="AH71" s="106"/>
      <c r="AI71" s="337"/>
      <c r="AJ71" s="106"/>
      <c r="AL71" s="106"/>
      <c r="AM71" s="106"/>
      <c r="BF71" s="239" t="s">
        <v>634</v>
      </c>
      <c r="BG71" s="239" t="s">
        <v>634</v>
      </c>
      <c r="BH71" s="239" t="s">
        <v>635</v>
      </c>
      <c r="BI71" s="239" t="s">
        <v>634</v>
      </c>
      <c r="BJ71" s="104"/>
      <c r="BO71" s="108"/>
      <c r="BP71" s="108"/>
      <c r="BQ71" s="108"/>
      <c r="BR71" s="108"/>
      <c r="BW71" s="256"/>
    </row>
    <row r="72" spans="1:75" outlineLevel="1">
      <c r="B72" s="100"/>
      <c r="C72" s="101"/>
      <c r="D72" s="257"/>
      <c r="E72" s="104"/>
      <c r="F72" s="104"/>
      <c r="G72" s="247"/>
      <c r="H72" s="247"/>
      <c r="I72" s="247"/>
      <c r="J72" s="247"/>
      <c r="K72" s="247"/>
      <c r="L72" s="247"/>
      <c r="M72" s="104"/>
      <c r="N72" s="105"/>
      <c r="O72" s="105"/>
      <c r="P72" s="105"/>
      <c r="Q72" s="105"/>
      <c r="R72" s="105"/>
      <c r="AB72" s="106"/>
      <c r="AC72" s="106"/>
      <c r="AD72" s="106"/>
      <c r="AE72" s="106"/>
      <c r="AF72" s="106"/>
      <c r="AG72" s="106"/>
      <c r="AH72" s="106"/>
      <c r="AI72" s="337"/>
      <c r="AJ72" s="106"/>
      <c r="AL72" s="106"/>
      <c r="AM72" s="106"/>
      <c r="BF72" s="239" t="s">
        <v>634</v>
      </c>
      <c r="BG72" s="239" t="s">
        <v>634</v>
      </c>
      <c r="BH72" s="239" t="s">
        <v>635</v>
      </c>
      <c r="BI72" s="239" t="s">
        <v>634</v>
      </c>
      <c r="BJ72" s="104"/>
      <c r="BO72" s="108"/>
      <c r="BP72" s="108"/>
      <c r="BQ72" s="108"/>
      <c r="BR72" s="108"/>
      <c r="BW72" s="256"/>
    </row>
    <row r="73" spans="1:75" outlineLevel="1">
      <c r="A73" s="79" t="s">
        <v>144</v>
      </c>
      <c r="B73" s="103" t="s">
        <v>368</v>
      </c>
      <c r="C73" s="101"/>
      <c r="D73" s="257"/>
      <c r="E73" s="104"/>
      <c r="F73" s="104"/>
      <c r="G73" s="247"/>
      <c r="H73" s="247"/>
      <c r="I73" s="247"/>
      <c r="J73" s="247"/>
      <c r="K73" s="247"/>
      <c r="L73" s="247"/>
      <c r="M73" s="104"/>
      <c r="N73" s="105"/>
      <c r="O73" s="105"/>
      <c r="P73" s="105"/>
      <c r="Q73" s="105"/>
      <c r="R73" s="105"/>
      <c r="AB73" s="106"/>
      <c r="AC73" s="106"/>
      <c r="AD73" s="106"/>
      <c r="AE73" s="106"/>
      <c r="AF73" s="106"/>
      <c r="AG73" s="106"/>
      <c r="AH73" s="106"/>
      <c r="AI73" s="337"/>
      <c r="AJ73" s="106"/>
      <c r="AL73" s="106"/>
      <c r="AM73" s="106"/>
      <c r="BF73" s="239" t="s">
        <v>634</v>
      </c>
      <c r="BG73" s="239" t="s">
        <v>634</v>
      </c>
      <c r="BI73" s="239" t="s">
        <v>634</v>
      </c>
      <c r="BJ73" s="104"/>
      <c r="BO73" s="108"/>
      <c r="BP73" s="108"/>
      <c r="BQ73" s="108"/>
      <c r="BR73" s="108"/>
      <c r="BW73" s="256"/>
    </row>
    <row r="74" spans="1:75" s="286" customFormat="1" outlineLevel="1">
      <c r="A74" s="286" t="str">
        <f t="shared" ref="A74:A105" si="4">+$A$4&amp;$A$73&amp;B74</f>
        <v>MURREYSCOMMERCIAL20CW1</v>
      </c>
      <c r="B74" s="286" t="s">
        <v>369</v>
      </c>
      <c r="C74" s="286" t="s">
        <v>194</v>
      </c>
      <c r="D74" s="292">
        <v>17.12</v>
      </c>
      <c r="E74" s="288">
        <v>17.2</v>
      </c>
      <c r="F74" s="288">
        <v>17.12</v>
      </c>
      <c r="G74" s="291">
        <v>59.92</v>
      </c>
      <c r="H74" s="291">
        <v>94.16</v>
      </c>
      <c r="I74" s="291">
        <v>89.88000000000001</v>
      </c>
      <c r="J74" s="291">
        <v>107.48</v>
      </c>
      <c r="K74" s="291">
        <v>90.3</v>
      </c>
      <c r="L74" s="291">
        <v>60.319999999999993</v>
      </c>
      <c r="M74" s="291">
        <v>108.57499999999999</v>
      </c>
      <c r="N74" s="291">
        <v>108.57499999999999</v>
      </c>
      <c r="O74" s="291">
        <v>103.19999999999999</v>
      </c>
      <c r="P74" s="291">
        <v>102.72</v>
      </c>
      <c r="Q74" s="291">
        <v>102.72</v>
      </c>
      <c r="R74" s="291">
        <v>102.72</v>
      </c>
      <c r="S74" s="290">
        <v>1130.5700000000002</v>
      </c>
      <c r="T74" s="290"/>
      <c r="U74" s="295">
        <v>3.5</v>
      </c>
      <c r="V74" s="295">
        <v>5.4999999999999991</v>
      </c>
      <c r="W74" s="295">
        <v>5.25</v>
      </c>
      <c r="X74" s="295">
        <v>6.2488372093023257</v>
      </c>
      <c r="Y74" s="295">
        <v>5.25</v>
      </c>
      <c r="Z74" s="295">
        <v>3.5069767441860464</v>
      </c>
      <c r="AA74" s="295">
        <v>6.3125</v>
      </c>
      <c r="AB74" s="295">
        <v>6.3125</v>
      </c>
      <c r="AC74" s="295">
        <v>6</v>
      </c>
      <c r="AD74" s="295">
        <v>6</v>
      </c>
      <c r="AE74" s="295">
        <v>6</v>
      </c>
      <c r="AF74" s="295">
        <v>6</v>
      </c>
      <c r="AG74" s="295">
        <v>65.880813953488371</v>
      </c>
      <c r="AH74" s="295">
        <v>5.4900678294573639</v>
      </c>
      <c r="AI74" s="337">
        <f>+SUMIFS(Mapping!L:L,Mapping!A:A,"COMMERCIAL",Mapping!D:D,'Murrey''s Price Out 2022'!C74)-AG74</f>
        <v>0</v>
      </c>
      <c r="AJ74" s="289"/>
      <c r="AL74" s="289"/>
      <c r="AM74" s="289"/>
      <c r="BF74" s="239">
        <v>20</v>
      </c>
      <c r="BG74" s="239" t="s">
        <v>635</v>
      </c>
      <c r="BH74" s="239"/>
      <c r="BI74" s="239">
        <v>1</v>
      </c>
      <c r="BJ74" s="104">
        <v>5.4900678294573639</v>
      </c>
      <c r="BK74" s="79"/>
      <c r="BN74" s="288">
        <v>17.04</v>
      </c>
      <c r="BO74" s="108">
        <v>0.20798585925916832</v>
      </c>
      <c r="BP74" s="108">
        <v>13.702277698809684</v>
      </c>
      <c r="BQ74" s="108">
        <v>17.247985859259167</v>
      </c>
      <c r="BR74" s="95">
        <v>1144.2722776988098</v>
      </c>
      <c r="BW74" s="288"/>
    </row>
    <row r="75" spans="1:75" s="286" customFormat="1" outlineLevel="1">
      <c r="A75" s="286" t="str">
        <f t="shared" si="4"/>
        <v>MURREYSCOMMERCIAL35CW1</v>
      </c>
      <c r="B75" s="286" t="s">
        <v>370</v>
      </c>
      <c r="C75" s="286" t="s">
        <v>195</v>
      </c>
      <c r="D75" s="292">
        <v>21.54</v>
      </c>
      <c r="E75" s="288">
        <v>21.64</v>
      </c>
      <c r="F75" s="288">
        <v>21.51</v>
      </c>
      <c r="G75" s="291">
        <v>1554.92</v>
      </c>
      <c r="H75" s="291">
        <v>1546.83</v>
      </c>
      <c r="I75" s="291">
        <v>1467.58</v>
      </c>
      <c r="J75" s="291">
        <v>1511.7800000000002</v>
      </c>
      <c r="K75" s="291">
        <v>1437.7049999999999</v>
      </c>
      <c r="L75" s="291">
        <v>1399.835</v>
      </c>
      <c r="M75" s="291">
        <v>1296.8400000000001</v>
      </c>
      <c r="N75" s="291">
        <v>1333.5650000000001</v>
      </c>
      <c r="O75" s="291">
        <v>1371.405</v>
      </c>
      <c r="P75" s="291">
        <v>1344.34</v>
      </c>
      <c r="Q75" s="291">
        <v>1312.1100000000001</v>
      </c>
      <c r="R75" s="291">
        <v>1247.58</v>
      </c>
      <c r="S75" s="290">
        <v>16824.490000000005</v>
      </c>
      <c r="T75" s="290"/>
      <c r="U75" s="295">
        <v>72.187558031569182</v>
      </c>
      <c r="V75" s="295">
        <v>71.811977715877433</v>
      </c>
      <c r="W75" s="295">
        <v>68.132776230269272</v>
      </c>
      <c r="X75" s="295">
        <v>69.860443622920528</v>
      </c>
      <c r="Y75" s="295">
        <v>66.437384473197781</v>
      </c>
      <c r="Z75" s="295">
        <v>64.687384473197781</v>
      </c>
      <c r="AA75" s="295">
        <v>59.927911275415902</v>
      </c>
      <c r="AB75" s="295">
        <v>61.625</v>
      </c>
      <c r="AC75" s="295">
        <v>63.373613678373381</v>
      </c>
      <c r="AD75" s="295">
        <v>62.498372849837274</v>
      </c>
      <c r="AE75" s="295">
        <v>61</v>
      </c>
      <c r="AF75" s="295">
        <v>57.999999999999993</v>
      </c>
      <c r="AG75" s="295">
        <v>779.54242235065863</v>
      </c>
      <c r="AH75" s="295">
        <v>64.961868529221547</v>
      </c>
      <c r="AI75" s="337">
        <f>+SUMIFS(Mapping!L:L,Mapping!A:A,"COMMERCIAL",Mapping!D:D,'Murrey''s Price Out 2022'!C75)-AG75</f>
        <v>0</v>
      </c>
      <c r="AJ75" s="289"/>
      <c r="AL75" s="289"/>
      <c r="AM75" s="289"/>
      <c r="BF75" s="239">
        <v>35</v>
      </c>
      <c r="BG75" s="239"/>
      <c r="BH75" s="239"/>
      <c r="BI75" s="239">
        <v>1</v>
      </c>
      <c r="BJ75" s="104">
        <v>64.961868529221547</v>
      </c>
      <c r="BK75" s="79"/>
      <c r="BN75" s="288">
        <v>21.41</v>
      </c>
      <c r="BO75" s="108">
        <v>0.26132495579453019</v>
      </c>
      <c r="BP75" s="108">
        <v>203.71388906074685</v>
      </c>
      <c r="BQ75" s="108">
        <v>21.671324955794532</v>
      </c>
      <c r="BR75" s="95">
        <v>17028.203889060751</v>
      </c>
      <c r="BW75" s="288"/>
    </row>
    <row r="76" spans="1:75" s="286" customFormat="1" outlineLevel="1">
      <c r="A76" s="286" t="str">
        <f t="shared" si="4"/>
        <v>MURREYSCOMMERCIAL65CW1</v>
      </c>
      <c r="B76" s="286" t="s">
        <v>371</v>
      </c>
      <c r="C76" s="286" t="s">
        <v>196</v>
      </c>
      <c r="D76" s="292">
        <v>32.159999999999997</v>
      </c>
      <c r="E76" s="288">
        <v>32.31</v>
      </c>
      <c r="F76" s="288">
        <v>32.130000000000003</v>
      </c>
      <c r="G76" s="291">
        <v>2327.58</v>
      </c>
      <c r="H76" s="291">
        <v>2259.2400000000002</v>
      </c>
      <c r="I76" s="291">
        <v>2186.92</v>
      </c>
      <c r="J76" s="291">
        <v>2221.27</v>
      </c>
      <c r="K76" s="291">
        <v>2302.98</v>
      </c>
      <c r="L76" s="291">
        <v>2326.31</v>
      </c>
      <c r="M76" s="291">
        <v>2358.63</v>
      </c>
      <c r="N76" s="291">
        <v>2358.62</v>
      </c>
      <c r="O76" s="291">
        <v>2358.63</v>
      </c>
      <c r="P76" s="291">
        <v>2345.4900000000002</v>
      </c>
      <c r="Q76" s="291">
        <v>2337.4500000000003</v>
      </c>
      <c r="R76" s="291">
        <v>2385.64</v>
      </c>
      <c r="S76" s="290">
        <v>27768.760000000002</v>
      </c>
      <c r="T76" s="290"/>
      <c r="U76" s="295">
        <v>72.375</v>
      </c>
      <c r="V76" s="295">
        <v>70.250000000000014</v>
      </c>
      <c r="W76" s="295">
        <v>68.00124378109453</v>
      </c>
      <c r="X76" s="295">
        <v>68.748684617765392</v>
      </c>
      <c r="Y76" s="295">
        <v>71.277623026926648</v>
      </c>
      <c r="Z76" s="295">
        <v>71.999690498297738</v>
      </c>
      <c r="AA76" s="295">
        <v>73</v>
      </c>
      <c r="AB76" s="295">
        <v>72.999690498297738</v>
      </c>
      <c r="AC76" s="295">
        <v>73</v>
      </c>
      <c r="AD76" s="295">
        <v>73</v>
      </c>
      <c r="AE76" s="295">
        <v>72.749766573295986</v>
      </c>
      <c r="AF76" s="295">
        <v>74.249610955493296</v>
      </c>
      <c r="AG76" s="295">
        <v>861.65130995117136</v>
      </c>
      <c r="AH76" s="295">
        <v>71.804275829264284</v>
      </c>
      <c r="AI76" s="337">
        <f>+SUMIFS(Mapping!L:L,Mapping!A:A,"COMMERCIAL",Mapping!D:D,'Murrey''s Price Out 2022'!C76)-AG76</f>
        <v>0</v>
      </c>
      <c r="AJ76" s="289"/>
      <c r="AL76" s="289"/>
      <c r="AM76" s="289"/>
      <c r="BF76" s="239">
        <v>65</v>
      </c>
      <c r="BG76" s="239"/>
      <c r="BH76" s="239"/>
      <c r="BI76" s="239">
        <v>1</v>
      </c>
      <c r="BJ76" s="104">
        <v>71.804275829264284</v>
      </c>
      <c r="BK76" s="79"/>
      <c r="BN76" s="288">
        <v>31.98</v>
      </c>
      <c r="BO76" s="108">
        <v>0.39033965839836876</v>
      </c>
      <c r="BP76" s="108">
        <v>336.3366779848472</v>
      </c>
      <c r="BQ76" s="108">
        <v>32.370339658398372</v>
      </c>
      <c r="BR76" s="95">
        <v>28105.09667798485</v>
      </c>
      <c r="BW76" s="288"/>
    </row>
    <row r="77" spans="1:75" s="286" customFormat="1" outlineLevel="1">
      <c r="A77" s="286" t="str">
        <f t="shared" si="4"/>
        <v>MURREYSCOMMERCIAL95CW1</v>
      </c>
      <c r="B77" s="286" t="s">
        <v>372</v>
      </c>
      <c r="C77" s="286" t="s">
        <v>197</v>
      </c>
      <c r="D77" s="292">
        <v>45.04</v>
      </c>
      <c r="E77" s="288">
        <v>45.25</v>
      </c>
      <c r="F77" s="288">
        <v>44.99</v>
      </c>
      <c r="G77" s="291">
        <v>3468.08</v>
      </c>
      <c r="H77" s="291">
        <v>4188.72</v>
      </c>
      <c r="I77" s="291">
        <v>3862.1800000000003</v>
      </c>
      <c r="J77" s="291">
        <v>3710.47</v>
      </c>
      <c r="K77" s="291">
        <v>3642.59</v>
      </c>
      <c r="L77" s="291">
        <v>3778.37</v>
      </c>
      <c r="M77" s="291">
        <v>3834.93</v>
      </c>
      <c r="N77" s="291">
        <v>3738.75</v>
      </c>
      <c r="O77" s="291">
        <v>3546.4700000000003</v>
      </c>
      <c r="P77" s="291">
        <v>3644.19</v>
      </c>
      <c r="Q77" s="291">
        <v>3756.58</v>
      </c>
      <c r="R77" s="291">
        <v>4060.37</v>
      </c>
      <c r="S77" s="290">
        <v>45231.700000000004</v>
      </c>
      <c r="T77" s="290"/>
      <c r="U77" s="295">
        <v>77</v>
      </c>
      <c r="V77" s="295">
        <v>93.000000000000014</v>
      </c>
      <c r="W77" s="295">
        <v>85.750000000000014</v>
      </c>
      <c r="X77" s="295">
        <v>81.999337016574586</v>
      </c>
      <c r="Y77" s="295">
        <v>80.499226519337014</v>
      </c>
      <c r="Z77" s="295">
        <v>83.499889502762429</v>
      </c>
      <c r="AA77" s="295">
        <v>84.749834254143636</v>
      </c>
      <c r="AB77" s="295">
        <v>82.624309392265189</v>
      </c>
      <c r="AC77" s="295">
        <v>78.375027624309396</v>
      </c>
      <c r="AD77" s="295">
        <v>81</v>
      </c>
      <c r="AE77" s="295">
        <v>83.498110691264714</v>
      </c>
      <c r="AF77" s="295">
        <v>90.250500111135807</v>
      </c>
      <c r="AG77" s="295">
        <v>1002.2462351117928</v>
      </c>
      <c r="AH77" s="295">
        <v>83.520519592649393</v>
      </c>
      <c r="AI77" s="337">
        <f>+SUMIFS(Mapping!L:L,Mapping!A:A,"COMMERCIAL",Mapping!D:D,'Murrey''s Price Out 2022'!C77)-AG77</f>
        <v>0</v>
      </c>
      <c r="AJ77" s="289"/>
      <c r="AL77" s="289"/>
      <c r="AM77" s="289"/>
      <c r="BF77" s="239">
        <v>95</v>
      </c>
      <c r="BG77" s="239"/>
      <c r="BH77" s="239"/>
      <c r="BI77" s="239">
        <v>1</v>
      </c>
      <c r="BJ77" s="104">
        <v>83.520519592649393</v>
      </c>
      <c r="BK77" s="79"/>
      <c r="BN77" s="288">
        <v>44.78</v>
      </c>
      <c r="BO77" s="108">
        <v>0.54657316770103048</v>
      </c>
      <c r="BP77" s="108">
        <v>547.80089954148434</v>
      </c>
      <c r="BQ77" s="108">
        <v>45.326573167701035</v>
      </c>
      <c r="BR77" s="95">
        <v>45779.50089954149</v>
      </c>
      <c r="BW77" s="288"/>
    </row>
    <row r="78" spans="1:75" outlineLevel="1">
      <c r="A78" s="79" t="str">
        <f t="shared" si="4"/>
        <v>MURREYSCOMMERCIALF1YD1W</v>
      </c>
      <c r="B78" s="79" t="s">
        <v>374</v>
      </c>
      <c r="C78" s="79" t="s">
        <v>83</v>
      </c>
      <c r="D78" s="242">
        <v>103.57</v>
      </c>
      <c r="E78" s="104">
        <v>104.05</v>
      </c>
      <c r="F78" s="104">
        <v>103.4</v>
      </c>
      <c r="G78" s="105">
        <v>621.41999999999996</v>
      </c>
      <c r="H78" s="105">
        <v>621.41999999999996</v>
      </c>
      <c r="I78" s="105">
        <v>621.41999999999996</v>
      </c>
      <c r="J78" s="105">
        <v>624.29999999999995</v>
      </c>
      <c r="K78" s="105">
        <v>624.29999999999995</v>
      </c>
      <c r="L78" s="105">
        <v>624.29999999999995</v>
      </c>
      <c r="M78" s="105">
        <v>676.31999999999994</v>
      </c>
      <c r="N78" s="105">
        <v>728.34999999999991</v>
      </c>
      <c r="O78" s="105">
        <v>676.32999999999993</v>
      </c>
      <c r="P78" s="105">
        <v>723.80000000000007</v>
      </c>
      <c r="Q78" s="105">
        <v>827.2</v>
      </c>
      <c r="R78" s="105">
        <v>827.2</v>
      </c>
      <c r="S78" s="290">
        <v>8196.36</v>
      </c>
      <c r="T78" s="249"/>
      <c r="U78" s="254">
        <v>6</v>
      </c>
      <c r="V78" s="254">
        <v>6</v>
      </c>
      <c r="W78" s="254">
        <v>6</v>
      </c>
      <c r="X78" s="254">
        <v>6</v>
      </c>
      <c r="Y78" s="254">
        <v>6</v>
      </c>
      <c r="Z78" s="254">
        <v>6</v>
      </c>
      <c r="AA78" s="254">
        <v>6.4999519461797206</v>
      </c>
      <c r="AB78" s="254">
        <v>6.9999999999999991</v>
      </c>
      <c r="AC78" s="254">
        <v>6.5000480538202785</v>
      </c>
      <c r="AD78" s="254">
        <v>7</v>
      </c>
      <c r="AE78" s="254">
        <v>8</v>
      </c>
      <c r="AF78" s="254">
        <v>8</v>
      </c>
      <c r="AG78" s="254">
        <v>79</v>
      </c>
      <c r="AH78" s="254">
        <v>6.583333333333333</v>
      </c>
      <c r="AI78" s="337">
        <v>0</v>
      </c>
      <c r="AJ78" s="106"/>
      <c r="AL78" s="106"/>
      <c r="AM78" s="106"/>
      <c r="BH78" s="239">
        <v>1</v>
      </c>
      <c r="BI78" s="239">
        <v>1</v>
      </c>
      <c r="BJ78" s="104">
        <v>6.583333333333333</v>
      </c>
      <c r="BN78" s="104">
        <v>102.9241</v>
      </c>
      <c r="BO78" s="108">
        <v>1.2562651042826625</v>
      </c>
      <c r="BP78" s="108">
        <v>99.244943238330322</v>
      </c>
      <c r="BQ78" s="108">
        <v>104.18036510428266</v>
      </c>
      <c r="BR78" s="95">
        <v>8295.6049432383315</v>
      </c>
    </row>
    <row r="79" spans="1:75" outlineLevel="1">
      <c r="A79" s="79" t="str">
        <f t="shared" si="4"/>
        <v>MURREYSCOMMERCIALR1YD1W</v>
      </c>
      <c r="B79" s="79" t="s">
        <v>405</v>
      </c>
      <c r="C79" s="79" t="s">
        <v>406</v>
      </c>
      <c r="D79" s="242">
        <v>103.57</v>
      </c>
      <c r="E79" s="104">
        <v>104.05</v>
      </c>
      <c r="F79" s="104">
        <v>103.4</v>
      </c>
      <c r="G79" s="105">
        <v>38263.279999999999</v>
      </c>
      <c r="H79" s="105">
        <v>38269.07</v>
      </c>
      <c r="I79" s="105">
        <v>37523.010000000009</v>
      </c>
      <c r="J79" s="105">
        <v>37241.11</v>
      </c>
      <c r="K79" s="105">
        <v>37171.79</v>
      </c>
      <c r="L79" s="105">
        <v>36495.509999999995</v>
      </c>
      <c r="M79" s="105">
        <v>36443.35</v>
      </c>
      <c r="N79" s="105">
        <v>35819.160000000003</v>
      </c>
      <c r="O79" s="105">
        <v>36053.31</v>
      </c>
      <c r="P79" s="105">
        <v>35802.25</v>
      </c>
      <c r="Q79" s="105">
        <v>35285.250000000007</v>
      </c>
      <c r="R79" s="105">
        <v>35466.199999999997</v>
      </c>
      <c r="S79" s="290">
        <v>439833.29000000004</v>
      </c>
      <c r="T79" s="249"/>
      <c r="U79" s="254">
        <v>369.44366129187989</v>
      </c>
      <c r="V79" s="254">
        <v>369.49956551124848</v>
      </c>
      <c r="W79" s="254">
        <v>362.29612822245838</v>
      </c>
      <c r="X79" s="254">
        <v>357.91552138395002</v>
      </c>
      <c r="Y79" s="254">
        <v>357.24930321960596</v>
      </c>
      <c r="Z79" s="254">
        <v>350.74973570398845</v>
      </c>
      <c r="AA79" s="254">
        <v>350.24843825084093</v>
      </c>
      <c r="AB79" s="254">
        <v>344.24949543488714</v>
      </c>
      <c r="AC79" s="254">
        <v>346.49985583853913</v>
      </c>
      <c r="AD79" s="254">
        <v>346.25</v>
      </c>
      <c r="AE79" s="254">
        <v>341.25000000000006</v>
      </c>
      <c r="AF79" s="254">
        <v>342.99999999999994</v>
      </c>
      <c r="AG79" s="254">
        <v>4238.6517048573987</v>
      </c>
      <c r="AH79" s="254">
        <v>353.22097540478325</v>
      </c>
      <c r="AI79" s="337">
        <f>+SUMIFS(Mapping!L:L,Mapping!A:A,"COMMERCIAL",Mapping!D:D,'Murrey''s Price Out 2022'!C79)-AG79</f>
        <v>0</v>
      </c>
      <c r="AJ79" s="106"/>
      <c r="AL79" s="106"/>
      <c r="AM79" s="106"/>
      <c r="BH79" s="239">
        <v>1</v>
      </c>
      <c r="BI79" s="239">
        <v>1</v>
      </c>
      <c r="BJ79" s="104">
        <v>353.22097540478325</v>
      </c>
      <c r="BN79" s="104">
        <v>102.9241</v>
      </c>
      <c r="BO79" s="108">
        <v>1.2562651042826625</v>
      </c>
      <c r="BP79" s="108">
        <v>5324.8702260205655</v>
      </c>
      <c r="BQ79" s="108">
        <v>104.18036510428266</v>
      </c>
      <c r="BR79" s="95">
        <v>445158.16022602061</v>
      </c>
    </row>
    <row r="80" spans="1:75" outlineLevel="1">
      <c r="A80" s="79" t="str">
        <f t="shared" si="4"/>
        <v>MURREYSCOMMERCIALR1YD2W</v>
      </c>
      <c r="B80" s="79" t="s">
        <v>407</v>
      </c>
      <c r="C80" s="79" t="s">
        <v>129</v>
      </c>
      <c r="D80" s="104">
        <v>207.14</v>
      </c>
      <c r="E80" s="104">
        <v>208.1</v>
      </c>
      <c r="F80" s="104">
        <v>206.8</v>
      </c>
      <c r="G80" s="105">
        <v>621.41999999999996</v>
      </c>
      <c r="H80" s="105">
        <v>595.52</v>
      </c>
      <c r="I80" s="105">
        <v>621.41999999999996</v>
      </c>
      <c r="J80" s="105">
        <v>624.29999999999995</v>
      </c>
      <c r="K80" s="105">
        <v>624.29999999999995</v>
      </c>
      <c r="L80" s="105">
        <v>702.32999999999993</v>
      </c>
      <c r="M80" s="105">
        <v>884.42000000000007</v>
      </c>
      <c r="N80" s="105">
        <v>1144.55</v>
      </c>
      <c r="O80" s="105">
        <v>1248.5999999999999</v>
      </c>
      <c r="P80" s="105">
        <v>1240.8000000000002</v>
      </c>
      <c r="Q80" s="105">
        <v>1240.8000000000002</v>
      </c>
      <c r="R80" s="105">
        <v>1240.8000000000002</v>
      </c>
      <c r="S80" s="290">
        <v>10789.259999999998</v>
      </c>
      <c r="T80" s="249"/>
      <c r="U80" s="254">
        <v>3</v>
      </c>
      <c r="V80" s="254">
        <v>2.8749637926040359</v>
      </c>
      <c r="W80" s="254">
        <v>3</v>
      </c>
      <c r="X80" s="254">
        <v>3</v>
      </c>
      <c r="Y80" s="254">
        <v>3</v>
      </c>
      <c r="Z80" s="254">
        <v>3.3749639596347909</v>
      </c>
      <c r="AA80" s="254">
        <v>4.2499759730898612</v>
      </c>
      <c r="AB80" s="254">
        <v>5.5</v>
      </c>
      <c r="AC80" s="254">
        <v>6</v>
      </c>
      <c r="AD80" s="254">
        <v>6.0000000000000009</v>
      </c>
      <c r="AE80" s="254">
        <v>6.0000000000000009</v>
      </c>
      <c r="AF80" s="254">
        <v>6.0000000000000009</v>
      </c>
      <c r="AG80" s="254">
        <v>51.999903725328686</v>
      </c>
      <c r="AH80" s="254">
        <v>4.3333253104440574</v>
      </c>
      <c r="AI80" s="337">
        <v>0</v>
      </c>
      <c r="AJ80" s="106"/>
      <c r="AL80" s="106"/>
      <c r="AM80" s="106"/>
      <c r="BH80" s="239">
        <v>1</v>
      </c>
      <c r="BI80" s="239">
        <v>1</v>
      </c>
      <c r="BJ80" s="104">
        <v>4.3333253104440574</v>
      </c>
      <c r="BN80" s="104">
        <v>205.84819999999999</v>
      </c>
      <c r="BO80" s="108">
        <v>2.5125302085653249</v>
      </c>
      <c r="BP80" s="108">
        <v>130.6513289523769</v>
      </c>
      <c r="BQ80" s="108">
        <v>208.36073020856531</v>
      </c>
      <c r="BR80" s="95">
        <v>10919.911328952376</v>
      </c>
    </row>
    <row r="81" spans="1:75" outlineLevel="1">
      <c r="A81" s="79" t="str">
        <f t="shared" si="4"/>
        <v>MURREYSCOMMERCIALR1YD3W</v>
      </c>
      <c r="B81" s="79" t="s">
        <v>408</v>
      </c>
      <c r="C81" s="79" t="s">
        <v>130</v>
      </c>
      <c r="D81" s="104">
        <v>310.70999999999998</v>
      </c>
      <c r="E81" s="104">
        <v>312.14999999999998</v>
      </c>
      <c r="F81" s="104">
        <v>310.2</v>
      </c>
      <c r="G81" s="105">
        <v>1864.26</v>
      </c>
      <c r="H81" s="105">
        <v>1864.26</v>
      </c>
      <c r="I81" s="105">
        <v>1864.26</v>
      </c>
      <c r="J81" s="105">
        <v>1872.9</v>
      </c>
      <c r="K81" s="105">
        <v>1872.9</v>
      </c>
      <c r="L81" s="105">
        <v>1872.9</v>
      </c>
      <c r="M81" s="105">
        <v>1872.9</v>
      </c>
      <c r="N81" s="105">
        <v>1872.9</v>
      </c>
      <c r="O81" s="105">
        <v>1872.9</v>
      </c>
      <c r="P81" s="105">
        <v>1861.2</v>
      </c>
      <c r="Q81" s="105">
        <v>1861.2</v>
      </c>
      <c r="R81" s="105">
        <v>1861.2</v>
      </c>
      <c r="S81" s="290">
        <v>22413.780000000002</v>
      </c>
      <c r="T81" s="249"/>
      <c r="U81" s="254">
        <v>6</v>
      </c>
      <c r="V81" s="254">
        <v>6</v>
      </c>
      <c r="W81" s="254">
        <v>6</v>
      </c>
      <c r="X81" s="254">
        <v>6.0000000000000009</v>
      </c>
      <c r="Y81" s="254">
        <v>6.0000000000000009</v>
      </c>
      <c r="Z81" s="254">
        <v>6.0000000000000009</v>
      </c>
      <c r="AA81" s="254">
        <v>6.0000000000000009</v>
      </c>
      <c r="AB81" s="254">
        <v>6.0000000000000009</v>
      </c>
      <c r="AC81" s="254">
        <v>6.0000000000000009</v>
      </c>
      <c r="AD81" s="254">
        <v>6</v>
      </c>
      <c r="AE81" s="254">
        <v>6</v>
      </c>
      <c r="AF81" s="254">
        <v>6</v>
      </c>
      <c r="AG81" s="254">
        <v>72</v>
      </c>
      <c r="AH81" s="254">
        <v>6</v>
      </c>
      <c r="AI81" s="337">
        <v>0</v>
      </c>
      <c r="AJ81" s="106"/>
      <c r="AL81" s="106"/>
      <c r="AM81" s="106"/>
      <c r="BH81" s="239">
        <v>1</v>
      </c>
      <c r="BI81" s="239">
        <v>1</v>
      </c>
      <c r="BJ81" s="104">
        <v>6</v>
      </c>
      <c r="BN81" s="104">
        <v>308.77229999999997</v>
      </c>
      <c r="BO81" s="108">
        <v>3.768795312847987</v>
      </c>
      <c r="BP81" s="108">
        <v>271.35326252505507</v>
      </c>
      <c r="BQ81" s="108">
        <v>312.54109531284797</v>
      </c>
      <c r="BR81" s="95">
        <v>22685.133262525058</v>
      </c>
    </row>
    <row r="82" spans="1:75" outlineLevel="1">
      <c r="A82" s="79" t="str">
        <f t="shared" si="4"/>
        <v>MURREYSCOMMERCIALR1YDTPU</v>
      </c>
      <c r="B82" s="79" t="s">
        <v>410</v>
      </c>
      <c r="C82" s="79" t="s">
        <v>214</v>
      </c>
      <c r="D82" s="104">
        <v>26.09</v>
      </c>
      <c r="E82" s="104">
        <v>26.21</v>
      </c>
      <c r="F82" s="104">
        <v>26.06</v>
      </c>
      <c r="G82" s="105">
        <v>225.94</v>
      </c>
      <c r="H82" s="105">
        <v>338.9</v>
      </c>
      <c r="I82" s="105">
        <v>338.9</v>
      </c>
      <c r="J82" s="105">
        <v>198.2</v>
      </c>
      <c r="K82" s="105">
        <v>224.83</v>
      </c>
      <c r="L82" s="105">
        <v>368.83</v>
      </c>
      <c r="M82" s="105">
        <v>113.49</v>
      </c>
      <c r="N82" s="105">
        <v>50.95</v>
      </c>
      <c r="O82" s="105">
        <v>198.6</v>
      </c>
      <c r="P82" s="105">
        <v>197.63</v>
      </c>
      <c r="Q82" s="105">
        <v>169.26</v>
      </c>
      <c r="R82" s="105">
        <v>256.31</v>
      </c>
      <c r="S82" s="290">
        <v>2681.8399999999997</v>
      </c>
      <c r="T82" s="249"/>
      <c r="U82" s="254">
        <v>8.6600229973169789</v>
      </c>
      <c r="V82" s="254">
        <v>12.98965120735914</v>
      </c>
      <c r="W82" s="254">
        <v>12.98965120735914</v>
      </c>
      <c r="X82" s="254">
        <v>7.5619992369324676</v>
      </c>
      <c r="Y82" s="254">
        <v>8.5780236550934763</v>
      </c>
      <c r="Z82" s="254">
        <v>14.072109881724531</v>
      </c>
      <c r="AA82" s="254">
        <v>4.3300267073636016</v>
      </c>
      <c r="AB82" s="254">
        <v>1.9439145364364747</v>
      </c>
      <c r="AC82" s="254">
        <v>7.5772605875619989</v>
      </c>
      <c r="AD82" s="254">
        <v>7.583653108211819</v>
      </c>
      <c r="AE82" s="254">
        <v>6.4950115118956253</v>
      </c>
      <c r="AF82" s="254">
        <v>9.8353798925556415</v>
      </c>
      <c r="AG82" s="254">
        <v>102.61670452981089</v>
      </c>
      <c r="AH82" s="254">
        <v>8.5513920441509068</v>
      </c>
      <c r="AI82" s="337">
        <f>+SUMIFS(Mapping!L:L,Mapping!A:A,"COMMERCIAL",Mapping!D:D,'Murrey''s Price Out 2022'!C82)-AG82</f>
        <v>0</v>
      </c>
      <c r="AJ82" s="106"/>
      <c r="AL82" s="106"/>
      <c r="AM82" s="106"/>
      <c r="BH82" s="239">
        <v>1</v>
      </c>
      <c r="BI82" s="239">
        <v>1</v>
      </c>
      <c r="BJ82" s="104">
        <v>8.5513920441509068</v>
      </c>
      <c r="BN82" s="104">
        <v>112.32020000000001</v>
      </c>
      <c r="BO82" s="108">
        <v>1.3709514852794391</v>
      </c>
      <c r="BP82" s="108">
        <v>140.68252348962557</v>
      </c>
      <c r="BQ82" s="108">
        <v>113.69115148527945</v>
      </c>
      <c r="BR82" s="95">
        <v>2822.5225234896252</v>
      </c>
    </row>
    <row r="83" spans="1:75" ht="17.25" customHeight="1" outlineLevel="1">
      <c r="A83" s="79" t="str">
        <f t="shared" si="4"/>
        <v>MURREYSCOMMERCIALR1.5YD1W</v>
      </c>
      <c r="B83" s="79" t="s">
        <v>400</v>
      </c>
      <c r="C83" s="79" t="s">
        <v>401</v>
      </c>
      <c r="D83" s="104">
        <v>143.32</v>
      </c>
      <c r="E83" s="104">
        <v>143.97</v>
      </c>
      <c r="F83" s="104">
        <v>143.02000000000001</v>
      </c>
      <c r="G83" s="105">
        <v>11662.53</v>
      </c>
      <c r="H83" s="105">
        <v>11395.48</v>
      </c>
      <c r="I83" s="105">
        <v>11931.39</v>
      </c>
      <c r="J83" s="105">
        <v>11824.520000000002</v>
      </c>
      <c r="K83" s="105">
        <v>11697.550000000001</v>
      </c>
      <c r="L83" s="105">
        <v>12093.46</v>
      </c>
      <c r="M83" s="105">
        <v>12165.449999999999</v>
      </c>
      <c r="N83" s="105">
        <v>11805.54</v>
      </c>
      <c r="O83" s="105">
        <v>11985.49</v>
      </c>
      <c r="P83" s="105">
        <v>12092.330000000002</v>
      </c>
      <c r="Q83" s="105">
        <v>12195.17</v>
      </c>
      <c r="R83" s="105">
        <v>12585.760000000002</v>
      </c>
      <c r="S83" s="290">
        <v>143434.67000000001</v>
      </c>
      <c r="T83" s="249"/>
      <c r="U83" s="254">
        <v>81.374058051911817</v>
      </c>
      <c r="V83" s="254">
        <v>79.510745185598665</v>
      </c>
      <c r="W83" s="254">
        <v>83.25</v>
      </c>
      <c r="X83" s="254">
        <v>82.131833020768227</v>
      </c>
      <c r="Y83" s="254">
        <v>81.249913176356188</v>
      </c>
      <c r="Z83" s="254">
        <v>83.999861082169886</v>
      </c>
      <c r="AA83" s="254">
        <v>84.499895811627411</v>
      </c>
      <c r="AB83" s="254">
        <v>82</v>
      </c>
      <c r="AC83" s="254">
        <v>83.249913176356188</v>
      </c>
      <c r="AD83" s="254">
        <v>84.549923087680057</v>
      </c>
      <c r="AE83" s="254">
        <v>85.268983358970772</v>
      </c>
      <c r="AF83" s="254">
        <v>88.000000000000014</v>
      </c>
      <c r="AG83" s="254">
        <v>999.08512595143918</v>
      </c>
      <c r="AH83" s="254">
        <v>83.257093829286603</v>
      </c>
      <c r="AI83" s="337">
        <f>+SUMIFS(Mapping!L:L,Mapping!A:A,"COMMERCIAL",Mapping!D:D,'Murrey''s Price Out 2022'!C83)-AG83</f>
        <v>0</v>
      </c>
      <c r="AJ83" s="106"/>
      <c r="AL83" s="106"/>
      <c r="AM83" s="106"/>
      <c r="BH83" s="239">
        <v>1.5</v>
      </c>
      <c r="BI83" s="239">
        <v>1</v>
      </c>
      <c r="BJ83" s="104">
        <v>83.257093829286603</v>
      </c>
      <c r="BN83" s="104">
        <v>142.37040000000002</v>
      </c>
      <c r="BO83" s="108">
        <v>1.7377365010018488</v>
      </c>
      <c r="BP83" s="108">
        <v>1736.1466909738454</v>
      </c>
      <c r="BQ83" s="108">
        <v>144.10813650100187</v>
      </c>
      <c r="BR83" s="95">
        <v>145170.81669097385</v>
      </c>
    </row>
    <row r="84" spans="1:75" s="286" customFormat="1" outlineLevel="1">
      <c r="A84" s="286" t="str">
        <f t="shared" si="4"/>
        <v>MURREYSCOMMERCIALF1.5YD1W</v>
      </c>
      <c r="B84" s="286" t="s">
        <v>373</v>
      </c>
      <c r="C84" s="286" t="s">
        <v>84</v>
      </c>
      <c r="D84" s="288">
        <v>143.32</v>
      </c>
      <c r="E84" s="288">
        <v>143.97</v>
      </c>
      <c r="F84" s="288">
        <v>143.02000000000001</v>
      </c>
      <c r="G84" s="291">
        <v>465.79</v>
      </c>
      <c r="H84" s="291">
        <v>573.28</v>
      </c>
      <c r="I84" s="291">
        <v>429.96</v>
      </c>
      <c r="J84" s="291">
        <v>431.90999999999997</v>
      </c>
      <c r="K84" s="291">
        <v>431.90999999999997</v>
      </c>
      <c r="L84" s="291">
        <v>431.90999999999997</v>
      </c>
      <c r="M84" s="291">
        <v>431.90999999999997</v>
      </c>
      <c r="N84" s="291">
        <v>431.90999999999997</v>
      </c>
      <c r="O84" s="291">
        <v>395.90999999999997</v>
      </c>
      <c r="P84" s="291">
        <v>286.04000000000002</v>
      </c>
      <c r="Q84" s="291">
        <v>286.04000000000002</v>
      </c>
      <c r="R84" s="291">
        <v>286.04000000000002</v>
      </c>
      <c r="S84" s="290">
        <v>4882.6099999999997</v>
      </c>
      <c r="T84" s="290"/>
      <c r="U84" s="295">
        <v>3.2500000000000004</v>
      </c>
      <c r="V84" s="295">
        <v>4</v>
      </c>
      <c r="W84" s="295">
        <v>3</v>
      </c>
      <c r="X84" s="295">
        <v>3</v>
      </c>
      <c r="Y84" s="295">
        <v>3</v>
      </c>
      <c r="Z84" s="295">
        <v>3</v>
      </c>
      <c r="AA84" s="295">
        <v>3</v>
      </c>
      <c r="AB84" s="295">
        <v>3</v>
      </c>
      <c r="AC84" s="295">
        <v>2.7499479058137108</v>
      </c>
      <c r="AD84" s="295">
        <v>2</v>
      </c>
      <c r="AE84" s="295">
        <v>2</v>
      </c>
      <c r="AF84" s="295">
        <v>2</v>
      </c>
      <c r="AG84" s="295">
        <v>33.999947905813713</v>
      </c>
      <c r="AH84" s="295">
        <v>2.8333289921511429</v>
      </c>
      <c r="AI84" s="337">
        <v>0</v>
      </c>
      <c r="AJ84" s="289"/>
      <c r="AL84" s="289"/>
      <c r="AM84" s="289"/>
      <c r="BF84" s="239"/>
      <c r="BG84" s="239"/>
      <c r="BH84" s="239">
        <v>1.5</v>
      </c>
      <c r="BI84" s="239">
        <v>1</v>
      </c>
      <c r="BJ84" s="104">
        <v>2.8333289921511429</v>
      </c>
      <c r="BK84" s="79"/>
      <c r="BN84" s="104">
        <v>142.37040000000002</v>
      </c>
      <c r="BO84" s="108">
        <v>1.7377365010018488</v>
      </c>
      <c r="BP84" s="108">
        <v>59.082950508093859</v>
      </c>
      <c r="BQ84" s="108">
        <v>144.10813650100187</v>
      </c>
      <c r="BR84" s="95">
        <v>4941.6929505080934</v>
      </c>
      <c r="BW84" s="288"/>
    </row>
    <row r="85" spans="1:75" s="286" customFormat="1" outlineLevel="1">
      <c r="A85" s="286" t="str">
        <f t="shared" si="4"/>
        <v>MURREYSCOMMERCIALR1.5YD2W</v>
      </c>
      <c r="B85" s="286" t="s">
        <v>402</v>
      </c>
      <c r="C85" s="286" t="s">
        <v>131</v>
      </c>
      <c r="D85" s="288">
        <v>286.64</v>
      </c>
      <c r="E85" s="288">
        <v>287.95</v>
      </c>
      <c r="F85" s="288">
        <v>286.04000000000002</v>
      </c>
      <c r="G85" s="291">
        <v>1146.56</v>
      </c>
      <c r="H85" s="291">
        <v>1433.2</v>
      </c>
      <c r="I85" s="291">
        <v>1576.5200000000002</v>
      </c>
      <c r="J85" s="291">
        <v>1583.72</v>
      </c>
      <c r="K85" s="291">
        <v>1511.73</v>
      </c>
      <c r="L85" s="291">
        <v>1439.75</v>
      </c>
      <c r="M85" s="291">
        <v>1223.78</v>
      </c>
      <c r="N85" s="291">
        <v>1151.8</v>
      </c>
      <c r="O85" s="291">
        <v>1151.8</v>
      </c>
      <c r="P85" s="291">
        <v>1144.1599999999999</v>
      </c>
      <c r="Q85" s="291">
        <v>1144.1599999999999</v>
      </c>
      <c r="R85" s="291">
        <v>1144.1599999999999</v>
      </c>
      <c r="S85" s="290">
        <v>15651.34</v>
      </c>
      <c r="T85" s="290"/>
      <c r="U85" s="295">
        <v>4</v>
      </c>
      <c r="V85" s="295">
        <v>5</v>
      </c>
      <c r="W85" s="295">
        <v>5.5000000000000009</v>
      </c>
      <c r="X85" s="295">
        <v>5.499982635874284</v>
      </c>
      <c r="Y85" s="295">
        <v>5.2499739538114261</v>
      </c>
      <c r="Z85" s="295">
        <v>5</v>
      </c>
      <c r="AA85" s="295">
        <v>4.2499739538114261</v>
      </c>
      <c r="AB85" s="295">
        <v>4</v>
      </c>
      <c r="AC85" s="295">
        <v>4</v>
      </c>
      <c r="AD85" s="295">
        <v>3.9999999999999991</v>
      </c>
      <c r="AE85" s="295">
        <v>3.9999999999999991</v>
      </c>
      <c r="AF85" s="295">
        <v>3.9999999999999991</v>
      </c>
      <c r="AG85" s="295">
        <v>54.499930543497136</v>
      </c>
      <c r="AH85" s="295">
        <v>4.5416608786247616</v>
      </c>
      <c r="AI85" s="337">
        <v>0</v>
      </c>
      <c r="AJ85" s="289"/>
      <c r="AL85" s="289"/>
      <c r="AM85" s="289"/>
      <c r="BF85" s="239"/>
      <c r="BG85" s="239"/>
      <c r="BH85" s="239">
        <v>1.5</v>
      </c>
      <c r="BI85" s="239">
        <v>1</v>
      </c>
      <c r="BJ85" s="104">
        <v>4.5416608786247616</v>
      </c>
      <c r="BK85" s="79"/>
      <c r="BN85" s="288">
        <v>284.74080000000004</v>
      </c>
      <c r="BO85" s="108">
        <v>3.4754730020036977</v>
      </c>
      <c r="BP85" s="108">
        <v>189.41303721500103</v>
      </c>
      <c r="BQ85" s="108">
        <v>288.21627300200373</v>
      </c>
      <c r="BR85" s="95">
        <v>15840.753037215001</v>
      </c>
      <c r="BW85" s="288"/>
    </row>
    <row r="86" spans="1:75" s="286" customFormat="1" outlineLevel="1">
      <c r="A86" s="286" t="str">
        <f t="shared" si="4"/>
        <v>MURREYSCOMMERCIALR1.5YDTPU</v>
      </c>
      <c r="B86" s="286" t="s">
        <v>404</v>
      </c>
      <c r="C86" s="286" t="s">
        <v>137</v>
      </c>
      <c r="D86" s="288">
        <v>35.29</v>
      </c>
      <c r="E86" s="288">
        <v>35.46</v>
      </c>
      <c r="F86" s="288">
        <v>35.24</v>
      </c>
      <c r="G86" s="291">
        <v>114.74000000000001</v>
      </c>
      <c r="H86" s="291">
        <v>152.81</v>
      </c>
      <c r="I86" s="291">
        <v>229.21</v>
      </c>
      <c r="J86" s="291">
        <v>153.54</v>
      </c>
      <c r="K86" s="291">
        <v>230.3</v>
      </c>
      <c r="L86" s="291">
        <v>230.3</v>
      </c>
      <c r="M86" s="291">
        <v>460.61</v>
      </c>
      <c r="N86" s="291">
        <v>230.3</v>
      </c>
      <c r="O86" s="291">
        <v>0</v>
      </c>
      <c r="P86" s="291">
        <v>0</v>
      </c>
      <c r="Q86" s="291">
        <v>0</v>
      </c>
      <c r="R86" s="291">
        <v>0</v>
      </c>
      <c r="S86" s="290">
        <v>1801.8099999999997</v>
      </c>
      <c r="T86" s="290"/>
      <c r="U86" s="295">
        <v>3.2513459903655431</v>
      </c>
      <c r="V86" s="295">
        <v>4.330121847548881</v>
      </c>
      <c r="W86" s="295">
        <v>6.4950410881269489</v>
      </c>
      <c r="X86" s="295">
        <v>4.3299492385786795</v>
      </c>
      <c r="Y86" s="295">
        <v>6.4946418499717993</v>
      </c>
      <c r="Z86" s="295">
        <v>6.4946418499717993</v>
      </c>
      <c r="AA86" s="295">
        <v>12.989565707839819</v>
      </c>
      <c r="AB86" s="295">
        <v>6.4946418499717993</v>
      </c>
      <c r="AC86" s="295">
        <v>0</v>
      </c>
      <c r="AD86" s="295">
        <v>0</v>
      </c>
      <c r="AE86" s="295">
        <v>0</v>
      </c>
      <c r="AF86" s="295">
        <v>0</v>
      </c>
      <c r="AG86" s="295">
        <v>50.879949422375276</v>
      </c>
      <c r="AH86" s="295">
        <v>4.23999578519794</v>
      </c>
      <c r="AI86" s="337">
        <f>+SUMIFS(Mapping!L:L,Mapping!A:A,"COMMERCIAL",Mapping!D:D,'Murrey''s Price Out 2022'!C86)-AG86</f>
        <v>0</v>
      </c>
      <c r="AJ86" s="289"/>
      <c r="AL86" s="289"/>
      <c r="AM86" s="289"/>
      <c r="BF86" s="239"/>
      <c r="BG86" s="239"/>
      <c r="BH86" s="239">
        <v>1.5</v>
      </c>
      <c r="BI86" s="239">
        <v>1</v>
      </c>
      <c r="BJ86" s="104">
        <v>4.23999578519794</v>
      </c>
      <c r="BK86" s="79"/>
      <c r="BN86" s="288">
        <v>151.85310000000001</v>
      </c>
      <c r="BO86" s="108">
        <v>1.853479899335001</v>
      </c>
      <c r="BP86" s="108">
        <v>94.304963533554087</v>
      </c>
      <c r="BQ86" s="108">
        <v>153.70657989933503</v>
      </c>
      <c r="BR86" s="95">
        <v>1896.1149635335537</v>
      </c>
      <c r="BW86" s="288"/>
    </row>
    <row r="87" spans="1:75" s="286" customFormat="1" outlineLevel="1">
      <c r="A87" s="286" t="str">
        <f t="shared" si="4"/>
        <v>MURREYSCOMMERCIALF2YD1W</v>
      </c>
      <c r="B87" s="286" t="s">
        <v>376</v>
      </c>
      <c r="C87" s="286" t="s">
        <v>85</v>
      </c>
      <c r="D87" s="288">
        <v>178.87</v>
      </c>
      <c r="E87" s="288">
        <v>179.7</v>
      </c>
      <c r="F87" s="288">
        <v>178.48</v>
      </c>
      <c r="G87" s="291">
        <v>5276.66</v>
      </c>
      <c r="H87" s="291">
        <v>4382.29</v>
      </c>
      <c r="I87" s="291">
        <v>4382.2700000000004</v>
      </c>
      <c r="J87" s="291">
        <v>5121.4400000000005</v>
      </c>
      <c r="K87" s="291">
        <v>4986.67</v>
      </c>
      <c r="L87" s="291">
        <v>4986.67</v>
      </c>
      <c r="M87" s="291">
        <v>5121.4500000000007</v>
      </c>
      <c r="N87" s="291">
        <v>5166.37</v>
      </c>
      <c r="O87" s="291">
        <v>5211.3</v>
      </c>
      <c r="P87" s="291">
        <v>4997.4399999999996</v>
      </c>
      <c r="Q87" s="291">
        <v>5220.54</v>
      </c>
      <c r="R87" s="291">
        <v>4105.04</v>
      </c>
      <c r="S87" s="290">
        <v>58958.140000000007</v>
      </c>
      <c r="T87" s="290"/>
      <c r="U87" s="295">
        <v>29.499972046737852</v>
      </c>
      <c r="V87" s="295">
        <v>24.499860233689272</v>
      </c>
      <c r="W87" s="295">
        <v>24.499748420640692</v>
      </c>
      <c r="X87" s="295">
        <v>28.499944351697277</v>
      </c>
      <c r="Y87" s="295">
        <v>27.74997217584864</v>
      </c>
      <c r="Z87" s="295">
        <v>27.74997217584864</v>
      </c>
      <c r="AA87" s="295">
        <v>28.500000000000007</v>
      </c>
      <c r="AB87" s="295">
        <v>28.749972175848637</v>
      </c>
      <c r="AC87" s="295">
        <v>29.000000000000004</v>
      </c>
      <c r="AD87" s="295">
        <v>28</v>
      </c>
      <c r="AE87" s="295">
        <v>29.25</v>
      </c>
      <c r="AF87" s="295">
        <v>23</v>
      </c>
      <c r="AG87" s="295">
        <v>328.99944158031099</v>
      </c>
      <c r="AH87" s="295">
        <v>27.416620131692582</v>
      </c>
      <c r="AI87" s="337">
        <v>0</v>
      </c>
      <c r="AJ87" s="289"/>
      <c r="AL87" s="289"/>
      <c r="AM87" s="289"/>
      <c r="BF87" s="239"/>
      <c r="BG87" s="239"/>
      <c r="BH87" s="239">
        <v>2</v>
      </c>
      <c r="BI87" s="239">
        <v>1</v>
      </c>
      <c r="BJ87" s="104">
        <v>27.416620131692582</v>
      </c>
      <c r="BK87" s="79"/>
      <c r="BN87" s="288">
        <v>177.65990000000002</v>
      </c>
      <c r="BO87" s="108">
        <v>2.1684710655749955</v>
      </c>
      <c r="BP87" s="108">
        <v>713.42576965723538</v>
      </c>
      <c r="BQ87" s="108">
        <v>179.82837106557503</v>
      </c>
      <c r="BR87" s="95">
        <v>59671.565769657245</v>
      </c>
      <c r="BW87" s="288"/>
    </row>
    <row r="88" spans="1:75" s="286" customFormat="1" outlineLevel="1">
      <c r="A88" s="286" t="str">
        <f t="shared" si="4"/>
        <v>MURREYSCOMMERCIALR2YD1W</v>
      </c>
      <c r="B88" s="286" t="s">
        <v>411</v>
      </c>
      <c r="C88" s="286" t="s">
        <v>132</v>
      </c>
      <c r="D88" s="288">
        <v>178.87</v>
      </c>
      <c r="E88" s="288">
        <v>179.7</v>
      </c>
      <c r="F88" s="288">
        <v>178.48</v>
      </c>
      <c r="G88" s="291">
        <v>80314.39</v>
      </c>
      <c r="H88" s="291">
        <v>78903.929999999993</v>
      </c>
      <c r="I88" s="291">
        <v>79540.900000000009</v>
      </c>
      <c r="J88" s="291">
        <v>82795.069999999992</v>
      </c>
      <c r="K88" s="291">
        <v>79832.47</v>
      </c>
      <c r="L88" s="291">
        <v>79274.59</v>
      </c>
      <c r="M88" s="291">
        <v>78573.76999999999</v>
      </c>
      <c r="N88" s="291">
        <v>76197.26999999999</v>
      </c>
      <c r="O88" s="291">
        <v>76237.709999999992</v>
      </c>
      <c r="P88" s="291">
        <v>78575.820000000007</v>
      </c>
      <c r="Q88" s="291">
        <v>78620.44</v>
      </c>
      <c r="R88" s="291">
        <v>78798.92</v>
      </c>
      <c r="S88" s="290">
        <v>947665.27999999991</v>
      </c>
      <c r="T88" s="290"/>
      <c r="U88" s="295">
        <v>449.00983954827529</v>
      </c>
      <c r="V88" s="295">
        <v>441.12444792307258</v>
      </c>
      <c r="W88" s="295">
        <v>444.685525800861</v>
      </c>
      <c r="X88" s="295">
        <v>460.74051196438506</v>
      </c>
      <c r="Y88" s="295">
        <v>444.25414579855317</v>
      </c>
      <c r="Z88" s="295">
        <v>441.14963828603226</v>
      </c>
      <c r="AA88" s="295">
        <v>437.24969393433497</v>
      </c>
      <c r="AB88" s="295">
        <v>424.02487479131884</v>
      </c>
      <c r="AC88" s="295">
        <v>424.24991652754591</v>
      </c>
      <c r="AD88" s="295">
        <v>440.25000000000006</v>
      </c>
      <c r="AE88" s="295">
        <v>440.50000000000006</v>
      </c>
      <c r="AF88" s="295">
        <v>441.5</v>
      </c>
      <c r="AG88" s="295">
        <v>5288.738594574379</v>
      </c>
      <c r="AH88" s="295">
        <v>440.72821621453159</v>
      </c>
      <c r="AI88" s="337">
        <v>0</v>
      </c>
      <c r="AJ88" s="289"/>
      <c r="AL88" s="289"/>
      <c r="AM88" s="289"/>
      <c r="BF88" s="239"/>
      <c r="BG88" s="239"/>
      <c r="BH88" s="239">
        <v>2</v>
      </c>
      <c r="BI88" s="239">
        <v>1</v>
      </c>
      <c r="BJ88" s="104">
        <v>440.72821621453159</v>
      </c>
      <c r="BK88" s="79"/>
      <c r="BN88" s="288">
        <v>177.65990000000002</v>
      </c>
      <c r="BO88" s="108">
        <v>2.1684710655749955</v>
      </c>
      <c r="BP88" s="108">
        <v>11468.476615724308</v>
      </c>
      <c r="BQ88" s="108">
        <v>179.82837106557503</v>
      </c>
      <c r="BR88" s="95">
        <v>959133.75661572418</v>
      </c>
      <c r="BW88" s="288"/>
    </row>
    <row r="89" spans="1:75" s="286" customFormat="1" outlineLevel="1">
      <c r="A89" s="286" t="str">
        <f t="shared" si="4"/>
        <v>MURREYSCOMMERCIALF2YD2W</v>
      </c>
      <c r="B89" s="286" t="s">
        <v>377</v>
      </c>
      <c r="C89" s="286" t="s">
        <v>86</v>
      </c>
      <c r="D89" s="288">
        <v>357.74</v>
      </c>
      <c r="E89" s="288">
        <v>359.39</v>
      </c>
      <c r="F89" s="288">
        <v>356.97</v>
      </c>
      <c r="G89" s="291">
        <v>2504.1800000000003</v>
      </c>
      <c r="H89" s="291">
        <v>2504.1800000000003</v>
      </c>
      <c r="I89" s="291">
        <v>2225.9300000000003</v>
      </c>
      <c r="J89" s="291">
        <v>2156.34</v>
      </c>
      <c r="K89" s="291">
        <v>1796.94</v>
      </c>
      <c r="L89" s="291">
        <v>1437.56</v>
      </c>
      <c r="M89" s="291">
        <v>1437.56</v>
      </c>
      <c r="N89" s="291">
        <v>1437.56</v>
      </c>
      <c r="O89" s="291">
        <v>2156.3200000000002</v>
      </c>
      <c r="P89" s="291">
        <v>3569.7</v>
      </c>
      <c r="Q89" s="291">
        <v>3569.7</v>
      </c>
      <c r="R89" s="291">
        <v>2141.8200000000002</v>
      </c>
      <c r="S89" s="290">
        <v>26937.79</v>
      </c>
      <c r="T89" s="290"/>
      <c r="U89" s="295">
        <v>7.0000000000000009</v>
      </c>
      <c r="V89" s="295">
        <v>7.0000000000000009</v>
      </c>
      <c r="W89" s="295">
        <v>6.2222004807961095</v>
      </c>
      <c r="X89" s="295">
        <v>6.0000000000000009</v>
      </c>
      <c r="Y89" s="295">
        <v>4.9999721750744319</v>
      </c>
      <c r="Z89" s="295">
        <v>4</v>
      </c>
      <c r="AA89" s="295">
        <v>4</v>
      </c>
      <c r="AB89" s="295">
        <v>4</v>
      </c>
      <c r="AC89" s="295">
        <v>5.9999443501488638</v>
      </c>
      <c r="AD89" s="295">
        <v>9.9999999999999982</v>
      </c>
      <c r="AE89" s="295">
        <v>9.9999999999999982</v>
      </c>
      <c r="AF89" s="295">
        <v>6</v>
      </c>
      <c r="AG89" s="295">
        <v>75.222117006019403</v>
      </c>
      <c r="AH89" s="295">
        <v>6.2685097505016172</v>
      </c>
      <c r="AI89" s="337">
        <v>0</v>
      </c>
      <c r="AJ89" s="289"/>
      <c r="AL89" s="289"/>
      <c r="AM89" s="289"/>
      <c r="BF89" s="239"/>
      <c r="BG89" s="239"/>
      <c r="BH89" s="239">
        <v>2</v>
      </c>
      <c r="BI89" s="239">
        <v>1</v>
      </c>
      <c r="BJ89" s="104">
        <v>6.2685097505016172</v>
      </c>
      <c r="BK89" s="79"/>
      <c r="BN89" s="288">
        <v>355.31980000000004</v>
      </c>
      <c r="BO89" s="108">
        <v>4.3369421311499909</v>
      </c>
      <c r="BP89" s="108">
        <v>326.23396843769979</v>
      </c>
      <c r="BQ89" s="108">
        <v>359.65674213115005</v>
      </c>
      <c r="BR89" s="95">
        <v>27264.023968437701</v>
      </c>
      <c r="BW89" s="288"/>
    </row>
    <row r="90" spans="1:75" s="286" customFormat="1" outlineLevel="1">
      <c r="A90" s="286" t="str">
        <f t="shared" si="4"/>
        <v>MURREYSCOMMERCIALR2YD2W</v>
      </c>
      <c r="B90" s="286" t="s">
        <v>412</v>
      </c>
      <c r="C90" s="286" t="s">
        <v>133</v>
      </c>
      <c r="D90" s="288">
        <v>357.74</v>
      </c>
      <c r="E90" s="288">
        <v>359.39</v>
      </c>
      <c r="F90" s="288">
        <v>356.97</v>
      </c>
      <c r="G90" s="291">
        <v>35460.99</v>
      </c>
      <c r="H90" s="291">
        <v>35773.980000000003</v>
      </c>
      <c r="I90" s="291">
        <v>35639.83</v>
      </c>
      <c r="J90" s="291">
        <v>32709.39</v>
      </c>
      <c r="K90" s="291">
        <v>33513.120000000003</v>
      </c>
      <c r="L90" s="291">
        <v>33018.960000000006</v>
      </c>
      <c r="M90" s="291">
        <v>32974.020000000004</v>
      </c>
      <c r="N90" s="291">
        <v>33558.04</v>
      </c>
      <c r="O90" s="291">
        <v>33602.959999999999</v>
      </c>
      <c r="P90" s="291">
        <v>32469.37</v>
      </c>
      <c r="Q90" s="291">
        <v>33956.770000000004</v>
      </c>
      <c r="R90" s="291">
        <v>37347.97</v>
      </c>
      <c r="S90" s="290">
        <v>410025.4</v>
      </c>
      <c r="T90" s="290"/>
      <c r="U90" s="295">
        <v>99.125034941577667</v>
      </c>
      <c r="V90" s="295">
        <v>99.999944093475719</v>
      </c>
      <c r="W90" s="295">
        <v>99.624951081791252</v>
      </c>
      <c r="X90" s="295">
        <v>91.013634213528476</v>
      </c>
      <c r="Y90" s="295">
        <v>93.250006956231402</v>
      </c>
      <c r="Z90" s="295">
        <v>91.875010434347104</v>
      </c>
      <c r="AA90" s="295">
        <v>91.749965218843059</v>
      </c>
      <c r="AB90" s="295">
        <v>93.374996521884313</v>
      </c>
      <c r="AC90" s="295">
        <v>93.499986087537224</v>
      </c>
      <c r="AD90" s="295">
        <v>90.958259797742102</v>
      </c>
      <c r="AE90" s="295">
        <v>95.12499649830518</v>
      </c>
      <c r="AF90" s="295">
        <v>104.62495447796734</v>
      </c>
      <c r="AG90" s="295">
        <v>1144.2217403232307</v>
      </c>
      <c r="AH90" s="295">
        <v>95.351811693602556</v>
      </c>
      <c r="AI90" s="337">
        <v>0</v>
      </c>
      <c r="AJ90" s="289"/>
      <c r="AL90" s="289"/>
      <c r="AM90" s="289"/>
      <c r="BF90" s="239"/>
      <c r="BG90" s="239"/>
      <c r="BH90" s="239">
        <v>2</v>
      </c>
      <c r="BI90" s="239">
        <v>1</v>
      </c>
      <c r="BJ90" s="104">
        <v>95.351811693602556</v>
      </c>
      <c r="BK90" s="79"/>
      <c r="BN90" s="288">
        <v>355.31980000000004</v>
      </c>
      <c r="BO90" s="108">
        <v>4.3369421311499909</v>
      </c>
      <c r="BP90" s="108">
        <v>4962.4234729855834</v>
      </c>
      <c r="BQ90" s="108">
        <v>359.65674213115005</v>
      </c>
      <c r="BR90" s="95">
        <v>414987.82347298559</v>
      </c>
      <c r="BW90" s="288"/>
    </row>
    <row r="91" spans="1:75" s="286" customFormat="1" outlineLevel="1">
      <c r="A91" s="286" t="str">
        <f t="shared" si="4"/>
        <v>MURREYSCOMMERCIALF2YD3W</v>
      </c>
      <c r="B91" s="286" t="s">
        <v>378</v>
      </c>
      <c r="C91" s="286" t="s">
        <v>120</v>
      </c>
      <c r="D91" s="288">
        <v>536.61</v>
      </c>
      <c r="E91" s="288">
        <v>539.09</v>
      </c>
      <c r="F91" s="288">
        <v>535.45000000000005</v>
      </c>
      <c r="G91" s="291">
        <v>1073.22</v>
      </c>
      <c r="H91" s="291">
        <v>1073.22</v>
      </c>
      <c r="I91" s="291">
        <v>1073.22</v>
      </c>
      <c r="J91" s="291">
        <v>1078.18</v>
      </c>
      <c r="K91" s="291">
        <v>1078.18</v>
      </c>
      <c r="L91" s="291">
        <v>1078.18</v>
      </c>
      <c r="M91" s="291">
        <v>1078.18</v>
      </c>
      <c r="N91" s="291">
        <v>1078.18</v>
      </c>
      <c r="O91" s="291">
        <v>1078.18</v>
      </c>
      <c r="P91" s="291">
        <v>1070.9000000000001</v>
      </c>
      <c r="Q91" s="291">
        <v>1070.9000000000001</v>
      </c>
      <c r="R91" s="291">
        <v>1070.9000000000001</v>
      </c>
      <c r="S91" s="290">
        <v>12901.44</v>
      </c>
      <c r="T91" s="290"/>
      <c r="U91" s="295">
        <v>2</v>
      </c>
      <c r="V91" s="295">
        <v>2</v>
      </c>
      <c r="W91" s="295">
        <v>2</v>
      </c>
      <c r="X91" s="295">
        <v>2</v>
      </c>
      <c r="Y91" s="295">
        <v>2</v>
      </c>
      <c r="Z91" s="295">
        <v>2</v>
      </c>
      <c r="AA91" s="295">
        <v>2</v>
      </c>
      <c r="AB91" s="295">
        <v>2</v>
      </c>
      <c r="AC91" s="295">
        <v>2</v>
      </c>
      <c r="AD91" s="295">
        <v>2</v>
      </c>
      <c r="AE91" s="295">
        <v>2</v>
      </c>
      <c r="AF91" s="295">
        <v>2</v>
      </c>
      <c r="AG91" s="295">
        <v>24</v>
      </c>
      <c r="AH91" s="295">
        <v>2</v>
      </c>
      <c r="AI91" s="337">
        <v>0</v>
      </c>
      <c r="AJ91" s="289"/>
      <c r="AL91" s="289"/>
      <c r="AM91" s="289"/>
      <c r="BF91" s="239"/>
      <c r="BG91" s="239"/>
      <c r="BH91" s="239">
        <v>2</v>
      </c>
      <c r="BI91" s="239">
        <v>1</v>
      </c>
      <c r="BJ91" s="104">
        <v>2</v>
      </c>
      <c r="BK91" s="79"/>
      <c r="BN91" s="288">
        <v>532.97970000000009</v>
      </c>
      <c r="BO91" s="108">
        <v>6.5054131967249873</v>
      </c>
      <c r="BP91" s="108">
        <v>156.1299167213997</v>
      </c>
      <c r="BQ91" s="108">
        <v>539.48511319672502</v>
      </c>
      <c r="BR91" s="95">
        <v>13057.569916721401</v>
      </c>
      <c r="BW91" s="288"/>
    </row>
    <row r="92" spans="1:75" s="286" customFormat="1" outlineLevel="1">
      <c r="A92" s="286" t="str">
        <f t="shared" si="4"/>
        <v>MURREYSCOMMERCIALR2YD3W</v>
      </c>
      <c r="B92" s="286" t="s">
        <v>413</v>
      </c>
      <c r="C92" s="286" t="s">
        <v>134</v>
      </c>
      <c r="D92" s="288">
        <v>536.61</v>
      </c>
      <c r="E92" s="288">
        <v>539.09</v>
      </c>
      <c r="F92" s="288">
        <v>535.45000000000005</v>
      </c>
      <c r="G92" s="291">
        <v>14622.62</v>
      </c>
      <c r="H92" s="291">
        <v>15025.080000000002</v>
      </c>
      <c r="I92" s="291">
        <v>15025.080000000002</v>
      </c>
      <c r="J92" s="291">
        <v>14824.970000000001</v>
      </c>
      <c r="K92" s="291">
        <v>13117.85</v>
      </c>
      <c r="L92" s="291">
        <v>13342.470000000001</v>
      </c>
      <c r="M92" s="291">
        <v>12354.150000000001</v>
      </c>
      <c r="N92" s="291">
        <v>12399.070000000002</v>
      </c>
      <c r="O92" s="291">
        <v>12938.160000000002</v>
      </c>
      <c r="P92" s="291">
        <v>13891.95</v>
      </c>
      <c r="Q92" s="291">
        <v>13921.700000000003</v>
      </c>
      <c r="R92" s="291">
        <v>13475.49</v>
      </c>
      <c r="S92" s="290">
        <v>164938.59000000003</v>
      </c>
      <c r="T92" s="290"/>
      <c r="U92" s="295">
        <v>27.249995341122975</v>
      </c>
      <c r="V92" s="295">
        <v>28.000000000000004</v>
      </c>
      <c r="W92" s="295">
        <v>28.000000000000004</v>
      </c>
      <c r="X92" s="295">
        <v>27.499990725110834</v>
      </c>
      <c r="Y92" s="295">
        <v>24.333320966814444</v>
      </c>
      <c r="Z92" s="295">
        <v>24.749986087666255</v>
      </c>
      <c r="AA92" s="295">
        <v>22.916674395740973</v>
      </c>
      <c r="AB92" s="295">
        <v>23</v>
      </c>
      <c r="AC92" s="295">
        <v>24</v>
      </c>
      <c r="AD92" s="295">
        <v>25.944439256699972</v>
      </c>
      <c r="AE92" s="295">
        <v>26.000000000000004</v>
      </c>
      <c r="AF92" s="295">
        <v>25.16666355401998</v>
      </c>
      <c r="AG92" s="295">
        <v>306.86107032717547</v>
      </c>
      <c r="AH92" s="295">
        <v>25.571755860597957</v>
      </c>
      <c r="AI92" s="337">
        <v>0</v>
      </c>
      <c r="AJ92" s="289"/>
      <c r="AL92" s="289"/>
      <c r="AM92" s="289"/>
      <c r="BF92" s="239"/>
      <c r="BG92" s="239"/>
      <c r="BH92" s="239">
        <v>2</v>
      </c>
      <c r="BI92" s="239">
        <v>1</v>
      </c>
      <c r="BJ92" s="104">
        <v>25.571755860597957</v>
      </c>
      <c r="BK92" s="79"/>
      <c r="BN92" s="288">
        <v>532.97970000000009</v>
      </c>
      <c r="BO92" s="108">
        <v>6.5054131967249873</v>
      </c>
      <c r="BP92" s="108">
        <v>1996.2580564675618</v>
      </c>
      <c r="BQ92" s="108">
        <v>539.48511319672502</v>
      </c>
      <c r="BR92" s="95">
        <v>166934.8480564676</v>
      </c>
      <c r="BW92" s="288"/>
    </row>
    <row r="93" spans="1:75" s="286" customFormat="1" outlineLevel="1">
      <c r="A93" s="286" t="str">
        <f t="shared" si="4"/>
        <v>MURREYSCOMMERCIALR2YD4W</v>
      </c>
      <c r="B93" s="286" t="s">
        <v>414</v>
      </c>
      <c r="C93" s="286" t="s">
        <v>135</v>
      </c>
      <c r="D93" s="288">
        <v>715.48</v>
      </c>
      <c r="E93" s="288">
        <v>718.78</v>
      </c>
      <c r="F93" s="288">
        <v>713.93</v>
      </c>
      <c r="G93" s="291">
        <v>0</v>
      </c>
      <c r="H93" s="291">
        <v>0</v>
      </c>
      <c r="I93" s="291">
        <v>0</v>
      </c>
      <c r="J93" s="291">
        <v>0</v>
      </c>
      <c r="K93" s="291">
        <v>1437.56</v>
      </c>
      <c r="L93" s="291">
        <v>1437.56</v>
      </c>
      <c r="M93" s="291">
        <v>1437.56</v>
      </c>
      <c r="N93" s="291">
        <v>1437.56</v>
      </c>
      <c r="O93" s="291">
        <v>1437.56</v>
      </c>
      <c r="P93" s="291">
        <v>1427.86</v>
      </c>
      <c r="Q93" s="291">
        <v>1427.86</v>
      </c>
      <c r="R93" s="291">
        <v>1427.86</v>
      </c>
      <c r="S93" s="290">
        <v>11471.380000000001</v>
      </c>
      <c r="T93" s="290"/>
      <c r="U93" s="295">
        <v>0</v>
      </c>
      <c r="V93" s="295">
        <v>0</v>
      </c>
      <c r="W93" s="295">
        <v>0</v>
      </c>
      <c r="X93" s="295">
        <v>0</v>
      </c>
      <c r="Y93" s="295">
        <v>2</v>
      </c>
      <c r="Z93" s="295">
        <v>2</v>
      </c>
      <c r="AA93" s="295">
        <v>2</v>
      </c>
      <c r="AB93" s="295">
        <v>2</v>
      </c>
      <c r="AC93" s="295">
        <v>2</v>
      </c>
      <c r="AD93" s="295">
        <v>2</v>
      </c>
      <c r="AE93" s="295">
        <v>2</v>
      </c>
      <c r="AF93" s="295">
        <v>2</v>
      </c>
      <c r="AG93" s="295">
        <v>16</v>
      </c>
      <c r="AH93" s="295">
        <v>1.3333333333333333</v>
      </c>
      <c r="AI93" s="337">
        <v>0</v>
      </c>
      <c r="AJ93" s="289"/>
      <c r="AL93" s="289"/>
      <c r="AM93" s="289"/>
      <c r="BF93" s="239"/>
      <c r="BG93" s="239"/>
      <c r="BH93" s="239">
        <v>2</v>
      </c>
      <c r="BI93" s="239">
        <v>1</v>
      </c>
      <c r="BJ93" s="104">
        <v>1.3333333333333333</v>
      </c>
      <c r="BK93" s="79"/>
      <c r="BN93" s="288">
        <v>710.63960000000009</v>
      </c>
      <c r="BO93" s="108">
        <v>8.6738842622999819</v>
      </c>
      <c r="BP93" s="108">
        <v>138.78214819679971</v>
      </c>
      <c r="BQ93" s="108">
        <v>719.31348426230011</v>
      </c>
      <c r="BR93" s="95">
        <v>11610.162148196801</v>
      </c>
      <c r="BW93" s="288"/>
    </row>
    <row r="94" spans="1:75" s="286" customFormat="1" outlineLevel="1">
      <c r="A94" s="286" t="str">
        <f t="shared" si="4"/>
        <v>MURREYSCOMMERCIALR2YD5W</v>
      </c>
      <c r="B94" s="286" t="s">
        <v>415</v>
      </c>
      <c r="C94" s="286" t="s">
        <v>136</v>
      </c>
      <c r="D94" s="288">
        <v>894.35</v>
      </c>
      <c r="E94" s="288">
        <v>898.48</v>
      </c>
      <c r="F94" s="288">
        <v>892.41</v>
      </c>
      <c r="G94" s="291">
        <v>3577.4</v>
      </c>
      <c r="H94" s="291">
        <v>3577.4</v>
      </c>
      <c r="I94" s="291">
        <v>2683.05</v>
      </c>
      <c r="J94" s="291">
        <v>2695.44</v>
      </c>
      <c r="K94" s="291">
        <v>2695.44</v>
      </c>
      <c r="L94" s="291">
        <v>2695.44</v>
      </c>
      <c r="M94" s="291">
        <v>2695.44</v>
      </c>
      <c r="N94" s="291">
        <v>2695.44</v>
      </c>
      <c r="O94" s="291">
        <v>2695.44</v>
      </c>
      <c r="P94" s="291">
        <v>2677.23</v>
      </c>
      <c r="Q94" s="291">
        <v>2677.23</v>
      </c>
      <c r="R94" s="291">
        <v>2677.23</v>
      </c>
      <c r="S94" s="290">
        <v>34042.18</v>
      </c>
      <c r="T94" s="290"/>
      <c r="U94" s="295">
        <v>4</v>
      </c>
      <c r="V94" s="295">
        <v>4</v>
      </c>
      <c r="W94" s="295">
        <v>3</v>
      </c>
      <c r="X94" s="295">
        <v>3</v>
      </c>
      <c r="Y94" s="295">
        <v>3</v>
      </c>
      <c r="Z94" s="295">
        <v>3</v>
      </c>
      <c r="AA94" s="295">
        <v>3</v>
      </c>
      <c r="AB94" s="295">
        <v>3</v>
      </c>
      <c r="AC94" s="295">
        <v>3</v>
      </c>
      <c r="AD94" s="295">
        <v>3</v>
      </c>
      <c r="AE94" s="295">
        <v>3</v>
      </c>
      <c r="AF94" s="295">
        <v>3</v>
      </c>
      <c r="AG94" s="295">
        <v>38</v>
      </c>
      <c r="AH94" s="295">
        <v>3.1666666666666665</v>
      </c>
      <c r="AI94" s="337">
        <v>0</v>
      </c>
      <c r="AJ94" s="289"/>
      <c r="AL94" s="289"/>
      <c r="AM94" s="289"/>
      <c r="BF94" s="239"/>
      <c r="BG94" s="239"/>
      <c r="BH94" s="239">
        <v>2</v>
      </c>
      <c r="BI94" s="239">
        <v>1</v>
      </c>
      <c r="BJ94" s="104">
        <v>3.1666666666666665</v>
      </c>
      <c r="BK94" s="79"/>
      <c r="BN94" s="288">
        <v>888.29950000000008</v>
      </c>
      <c r="BO94" s="108">
        <v>10.842355327874978</v>
      </c>
      <c r="BP94" s="108">
        <v>412.00950245924912</v>
      </c>
      <c r="BQ94" s="108">
        <v>899.14185532787508</v>
      </c>
      <c r="BR94" s="95">
        <v>34454.189502459252</v>
      </c>
      <c r="BW94" s="288"/>
    </row>
    <row r="95" spans="1:75" s="286" customFormat="1" outlineLevel="1">
      <c r="A95" s="286" t="str">
        <f t="shared" si="4"/>
        <v>MURREYSCOMMERCIALR2YDTPU</v>
      </c>
      <c r="B95" s="286" t="s">
        <v>417</v>
      </c>
      <c r="C95" s="286" t="s">
        <v>138</v>
      </c>
      <c r="D95" s="288">
        <v>43.49</v>
      </c>
      <c r="E95" s="288">
        <v>43.69</v>
      </c>
      <c r="F95" s="288">
        <v>43.41</v>
      </c>
      <c r="G95" s="291">
        <v>2108.31</v>
      </c>
      <c r="H95" s="291">
        <v>2593.54</v>
      </c>
      <c r="I95" s="291">
        <v>3194.43</v>
      </c>
      <c r="J95" s="291">
        <v>1326.0200000000004</v>
      </c>
      <c r="K95" s="291">
        <v>1694.24</v>
      </c>
      <c r="L95" s="291">
        <v>2361.98</v>
      </c>
      <c r="M95" s="291">
        <v>2615.64</v>
      </c>
      <c r="N95" s="291">
        <v>1418.83</v>
      </c>
      <c r="O95" s="291">
        <v>2175.52</v>
      </c>
      <c r="P95" s="291">
        <v>747.5</v>
      </c>
      <c r="Q95" s="291">
        <v>1644.68</v>
      </c>
      <c r="R95" s="291">
        <v>1879.62</v>
      </c>
      <c r="S95" s="290">
        <v>23760.309999999998</v>
      </c>
      <c r="T95" s="290"/>
      <c r="U95" s="295">
        <v>48.478040928949177</v>
      </c>
      <c r="V95" s="295">
        <v>59.635318464014709</v>
      </c>
      <c r="W95" s="295">
        <v>73.452057944355019</v>
      </c>
      <c r="X95" s="295">
        <v>30.350652323186097</v>
      </c>
      <c r="Y95" s="295">
        <v>38.778667887388423</v>
      </c>
      <c r="Z95" s="295">
        <v>54.062256809338521</v>
      </c>
      <c r="AA95" s="295">
        <v>59.868162050812543</v>
      </c>
      <c r="AB95" s="295">
        <v>32.474937056534678</v>
      </c>
      <c r="AC95" s="295">
        <v>49.7944609750515</v>
      </c>
      <c r="AD95" s="295">
        <v>17.21953466943101</v>
      </c>
      <c r="AE95" s="295">
        <v>37.887122782768955</v>
      </c>
      <c r="AF95" s="295">
        <v>43.299239806496203</v>
      </c>
      <c r="AG95" s="295">
        <v>545.30045169832681</v>
      </c>
      <c r="AH95" s="295">
        <v>45.441704308193898</v>
      </c>
      <c r="AI95" s="337">
        <f>+SUMIFS(Mapping!L:L,Mapping!A:A,"COMMERCIAL",Mapping!D:D,'Murrey''s Price Out 2022'!C95)-AG95</f>
        <v>0</v>
      </c>
      <c r="AJ95" s="289"/>
      <c r="AL95" s="289"/>
      <c r="AM95" s="289"/>
      <c r="BF95" s="239"/>
      <c r="BG95" s="239"/>
      <c r="BH95" s="239">
        <v>2</v>
      </c>
      <c r="BI95" s="239">
        <v>1</v>
      </c>
      <c r="BJ95" s="104">
        <v>45.441704308193898</v>
      </c>
      <c r="BK95" s="79"/>
      <c r="BN95" s="288">
        <v>184.58790000000002</v>
      </c>
      <c r="BO95" s="108">
        <v>2.2530324524850611</v>
      </c>
      <c r="BP95" s="108">
        <v>1228.5796140310929</v>
      </c>
      <c r="BQ95" s="108">
        <v>186.84093245248508</v>
      </c>
      <c r="BR95" s="95">
        <v>24988.88961403109</v>
      </c>
      <c r="BW95" s="288"/>
    </row>
    <row r="96" spans="1:75" s="286" customFormat="1" outlineLevel="1">
      <c r="A96" s="286" t="str">
        <f t="shared" si="4"/>
        <v>MURREYSCOMMERCIALF4YD1W</v>
      </c>
      <c r="B96" s="286" t="s">
        <v>380</v>
      </c>
      <c r="C96" s="286" t="s">
        <v>121</v>
      </c>
      <c r="D96" s="288">
        <v>336.09</v>
      </c>
      <c r="E96" s="288">
        <v>337.65</v>
      </c>
      <c r="F96" s="288">
        <v>335.36</v>
      </c>
      <c r="G96" s="291">
        <v>61515.29</v>
      </c>
      <c r="H96" s="291">
        <v>61460.11</v>
      </c>
      <c r="I96" s="291">
        <v>59824.009999999995</v>
      </c>
      <c r="J96" s="291">
        <v>60354.909999999989</v>
      </c>
      <c r="K96" s="291">
        <v>61199.05</v>
      </c>
      <c r="L96" s="291">
        <v>60945.81</v>
      </c>
      <c r="M96" s="291">
        <v>61283.45</v>
      </c>
      <c r="N96" s="291">
        <v>61452.290000000008</v>
      </c>
      <c r="O96" s="291">
        <v>60776.989999999991</v>
      </c>
      <c r="P96" s="291">
        <v>59868.15</v>
      </c>
      <c r="Q96" s="291">
        <v>59777.920000000006</v>
      </c>
      <c r="R96" s="291">
        <v>58268.800000000003</v>
      </c>
      <c r="S96" s="290">
        <v>726726.78</v>
      </c>
      <c r="T96" s="290"/>
      <c r="U96" s="295">
        <v>183.03219375762447</v>
      </c>
      <c r="V96" s="295">
        <v>182.86801154452678</v>
      </c>
      <c r="W96" s="295">
        <v>177.99997024606503</v>
      </c>
      <c r="X96" s="295">
        <v>178.7499185547164</v>
      </c>
      <c r="Y96" s="295">
        <v>181.24996297941658</v>
      </c>
      <c r="Z96" s="295">
        <v>180.49995557529988</v>
      </c>
      <c r="AA96" s="295">
        <v>181.4999259588331</v>
      </c>
      <c r="AB96" s="295">
        <v>181.99997038353328</v>
      </c>
      <c r="AC96" s="295">
        <v>179.99997038353322</v>
      </c>
      <c r="AD96" s="295">
        <v>178.51905415076337</v>
      </c>
      <c r="AE96" s="295">
        <v>178.25</v>
      </c>
      <c r="AF96" s="295">
        <v>173.75</v>
      </c>
      <c r="AG96" s="295">
        <v>2158.4189335343121</v>
      </c>
      <c r="AH96" s="295">
        <v>179.86824446119269</v>
      </c>
      <c r="AI96" s="337">
        <v>0</v>
      </c>
      <c r="AJ96" s="289"/>
      <c r="AL96" s="289"/>
      <c r="AM96" s="289"/>
      <c r="BF96" s="239"/>
      <c r="BG96" s="239"/>
      <c r="BH96" s="239">
        <v>4</v>
      </c>
      <c r="BI96" s="239">
        <v>1</v>
      </c>
      <c r="BJ96" s="104">
        <v>179.86824446119269</v>
      </c>
      <c r="BK96" s="79"/>
      <c r="BN96" s="288">
        <v>333.79970000000003</v>
      </c>
      <c r="BO96" s="108">
        <v>4.0742733230605994</v>
      </c>
      <c r="BP96" s="108">
        <v>8793.9886808877582</v>
      </c>
      <c r="BQ96" s="108">
        <v>337.87397332306062</v>
      </c>
      <c r="BR96" s="95">
        <v>735520.76868088776</v>
      </c>
      <c r="BW96" s="288"/>
    </row>
    <row r="97" spans="1:75" s="286" customFormat="1" outlineLevel="1">
      <c r="A97" s="286" t="str">
        <f t="shared" si="4"/>
        <v>MURREYSCOMMERCIALF4YD2W</v>
      </c>
      <c r="B97" s="286" t="s">
        <v>381</v>
      </c>
      <c r="C97" s="286" t="s">
        <v>122</v>
      </c>
      <c r="D97" s="288">
        <v>672.18</v>
      </c>
      <c r="E97" s="288">
        <v>675.31</v>
      </c>
      <c r="F97" s="288">
        <v>670.72</v>
      </c>
      <c r="G97" s="291">
        <v>20753.55</v>
      </c>
      <c r="H97" s="291">
        <v>19894.16</v>
      </c>
      <c r="I97" s="291">
        <v>21192.329999999998</v>
      </c>
      <c r="J97" s="291">
        <v>21272.260000000002</v>
      </c>
      <c r="K97" s="291">
        <v>20090.47</v>
      </c>
      <c r="L97" s="291">
        <v>20259.3</v>
      </c>
      <c r="M97" s="291">
        <v>20259.3</v>
      </c>
      <c r="N97" s="291">
        <v>20259.3</v>
      </c>
      <c r="O97" s="291">
        <v>20259.280000000002</v>
      </c>
      <c r="P97" s="291">
        <v>20960</v>
      </c>
      <c r="Q97" s="291">
        <v>21379.199999999997</v>
      </c>
      <c r="R97" s="291">
        <v>21295.360000000001</v>
      </c>
      <c r="S97" s="290">
        <v>247874.50999999995</v>
      </c>
      <c r="T97" s="290"/>
      <c r="U97" s="295">
        <v>30.874988842274391</v>
      </c>
      <c r="V97" s="295">
        <v>29.596477134100986</v>
      </c>
      <c r="W97" s="295">
        <v>31.527760421315719</v>
      </c>
      <c r="X97" s="295">
        <v>31.499992595992957</v>
      </c>
      <c r="Y97" s="295">
        <v>29.749996297996478</v>
      </c>
      <c r="Z97" s="295">
        <v>30</v>
      </c>
      <c r="AA97" s="295">
        <v>30</v>
      </c>
      <c r="AB97" s="295">
        <v>30</v>
      </c>
      <c r="AC97" s="295">
        <v>29.99997038397181</v>
      </c>
      <c r="AD97" s="295">
        <v>31.25</v>
      </c>
      <c r="AE97" s="295">
        <v>31.874999999999993</v>
      </c>
      <c r="AF97" s="295">
        <v>31.75</v>
      </c>
      <c r="AG97" s="295">
        <v>368.12418567565237</v>
      </c>
      <c r="AH97" s="295">
        <v>30.677015472971032</v>
      </c>
      <c r="AI97" s="337">
        <v>0</v>
      </c>
      <c r="AJ97" s="289"/>
      <c r="AL97" s="289"/>
      <c r="AM97" s="289"/>
      <c r="BF97" s="239"/>
      <c r="BG97" s="239"/>
      <c r="BH97" s="239">
        <v>4</v>
      </c>
      <c r="BI97" s="239">
        <v>1</v>
      </c>
      <c r="BJ97" s="104">
        <v>30.677015472971032</v>
      </c>
      <c r="BK97" s="79"/>
      <c r="BN97" s="288">
        <v>667.59940000000006</v>
      </c>
      <c r="BO97" s="108">
        <v>8.1485466461211988</v>
      </c>
      <c r="BP97" s="108">
        <v>2999.6770985434346</v>
      </c>
      <c r="BQ97" s="108">
        <v>675.74794664612125</v>
      </c>
      <c r="BR97" s="95">
        <v>250874.18709854339</v>
      </c>
      <c r="BW97" s="288"/>
    </row>
    <row r="98" spans="1:75" s="286" customFormat="1" outlineLevel="1">
      <c r="A98" s="286" t="str">
        <f t="shared" si="4"/>
        <v>MURREYSCOMMERCIALF4YD3W</v>
      </c>
      <c r="B98" s="286" t="s">
        <v>382</v>
      </c>
      <c r="C98" s="286" t="s">
        <v>123</v>
      </c>
      <c r="D98" s="288">
        <v>1008.27</v>
      </c>
      <c r="E98" s="288">
        <v>1012.96</v>
      </c>
      <c r="F98" s="288">
        <v>1006.08</v>
      </c>
      <c r="G98" s="291">
        <v>4033.079999999999</v>
      </c>
      <c r="H98" s="291">
        <v>4033.079999999999</v>
      </c>
      <c r="I98" s="291">
        <v>4033.079999999999</v>
      </c>
      <c r="J98" s="291">
        <v>5064.8</v>
      </c>
      <c r="K98" s="291">
        <v>4051.84</v>
      </c>
      <c r="L98" s="291">
        <v>4051.84</v>
      </c>
      <c r="M98" s="291">
        <v>4051.84</v>
      </c>
      <c r="N98" s="291">
        <v>4051.84</v>
      </c>
      <c r="O98" s="291">
        <v>4051.84</v>
      </c>
      <c r="P98" s="291">
        <v>4024.3199999999997</v>
      </c>
      <c r="Q98" s="291">
        <v>4024.3199999999997</v>
      </c>
      <c r="R98" s="291">
        <v>4024.3199999999997</v>
      </c>
      <c r="S98" s="290">
        <v>49496.19999999999</v>
      </c>
      <c r="T98" s="290"/>
      <c r="U98" s="295">
        <v>3.9999999999999991</v>
      </c>
      <c r="V98" s="295">
        <v>3.9999999999999991</v>
      </c>
      <c r="W98" s="295">
        <v>3.9999999999999991</v>
      </c>
      <c r="X98" s="295">
        <v>5</v>
      </c>
      <c r="Y98" s="295">
        <v>4</v>
      </c>
      <c r="Z98" s="295">
        <v>4</v>
      </c>
      <c r="AA98" s="295">
        <v>4</v>
      </c>
      <c r="AB98" s="295">
        <v>4</v>
      </c>
      <c r="AC98" s="295">
        <v>4</v>
      </c>
      <c r="AD98" s="295">
        <v>3.9999999999999996</v>
      </c>
      <c r="AE98" s="295">
        <v>3.9999999999999996</v>
      </c>
      <c r="AF98" s="295">
        <v>3.9999999999999996</v>
      </c>
      <c r="AG98" s="295">
        <v>49</v>
      </c>
      <c r="AH98" s="295">
        <v>4.083333333333333</v>
      </c>
      <c r="AI98" s="337">
        <v>0</v>
      </c>
      <c r="AJ98" s="289"/>
      <c r="AL98" s="289"/>
      <c r="AM98" s="289"/>
      <c r="BF98" s="239"/>
      <c r="BG98" s="239"/>
      <c r="BH98" s="239">
        <v>4</v>
      </c>
      <c r="BI98" s="239">
        <v>1</v>
      </c>
      <c r="BJ98" s="104">
        <v>4.083333333333333</v>
      </c>
      <c r="BK98" s="79"/>
      <c r="BN98" s="288">
        <v>1001.3991000000001</v>
      </c>
      <c r="BO98" s="108">
        <v>12.222819969181799</v>
      </c>
      <c r="BP98" s="108">
        <v>598.91817848990809</v>
      </c>
      <c r="BQ98" s="108">
        <v>1013.6219199691819</v>
      </c>
      <c r="BR98" s="95">
        <v>50095.118178489894</v>
      </c>
      <c r="BW98" s="288"/>
    </row>
    <row r="99" spans="1:75" s="286" customFormat="1" outlineLevel="1">
      <c r="A99" s="286" t="str">
        <f t="shared" si="4"/>
        <v>MURREYSCOMMERCIALF4YD4W</v>
      </c>
      <c r="B99" s="286" t="s">
        <v>383</v>
      </c>
      <c r="C99" s="286" t="s">
        <v>200</v>
      </c>
      <c r="D99" s="288">
        <v>1344.36</v>
      </c>
      <c r="E99" s="288">
        <v>1350.61</v>
      </c>
      <c r="F99" s="288">
        <v>1341.43</v>
      </c>
      <c r="G99" s="291">
        <v>0</v>
      </c>
      <c r="H99" s="291">
        <v>0</v>
      </c>
      <c r="I99" s="291">
        <v>0</v>
      </c>
      <c r="J99" s="291">
        <v>0</v>
      </c>
      <c r="K99" s="291">
        <v>0</v>
      </c>
      <c r="L99" s="291">
        <v>0</v>
      </c>
      <c r="M99" s="291">
        <v>0</v>
      </c>
      <c r="N99" s="291">
        <v>0</v>
      </c>
      <c r="O99" s="291">
        <v>0</v>
      </c>
      <c r="P99" s="291">
        <v>0</v>
      </c>
      <c r="Q99" s="291">
        <v>0</v>
      </c>
      <c r="R99" s="291">
        <v>670.71</v>
      </c>
      <c r="S99" s="290">
        <v>670.71</v>
      </c>
      <c r="T99" s="290"/>
      <c r="U99" s="295">
        <v>0</v>
      </c>
      <c r="V99" s="295">
        <v>0</v>
      </c>
      <c r="W99" s="295">
        <v>0</v>
      </c>
      <c r="X99" s="295">
        <v>0</v>
      </c>
      <c r="Y99" s="295">
        <v>0</v>
      </c>
      <c r="Z99" s="295">
        <v>0</v>
      </c>
      <c r="AA99" s="295">
        <v>0</v>
      </c>
      <c r="AB99" s="295">
        <v>0</v>
      </c>
      <c r="AC99" s="295">
        <v>0</v>
      </c>
      <c r="AD99" s="295">
        <v>0</v>
      </c>
      <c r="AE99" s="295">
        <v>0</v>
      </c>
      <c r="AF99" s="295">
        <v>0.49999627263442742</v>
      </c>
      <c r="AG99" s="295">
        <v>0.49999627263442742</v>
      </c>
      <c r="AH99" s="295">
        <v>4.1666356052868954E-2</v>
      </c>
      <c r="AI99" s="337">
        <v>0</v>
      </c>
      <c r="AJ99" s="289"/>
      <c r="AL99" s="289"/>
      <c r="AM99" s="289"/>
      <c r="BF99" s="239"/>
      <c r="BG99" s="239"/>
      <c r="BH99" s="239">
        <v>4</v>
      </c>
      <c r="BI99" s="239">
        <v>1</v>
      </c>
      <c r="BJ99" s="104">
        <v>4.1666356052868954E-2</v>
      </c>
      <c r="BK99" s="79"/>
      <c r="BN99" s="288">
        <v>1335.1988000000001</v>
      </c>
      <c r="BO99" s="108">
        <v>16.297093292242398</v>
      </c>
      <c r="BP99" s="108">
        <v>8.1484859008967288</v>
      </c>
      <c r="BQ99" s="108">
        <v>1351.4958932922425</v>
      </c>
      <c r="BR99" s="95">
        <v>678.85848590089677</v>
      </c>
      <c r="BW99" s="288"/>
    </row>
    <row r="100" spans="1:75" s="286" customFormat="1" outlineLevel="1">
      <c r="A100" s="286" t="str">
        <f t="shared" si="4"/>
        <v>MURREYSCOMMERCIALF6YD1W</v>
      </c>
      <c r="B100" s="286" t="s">
        <v>385</v>
      </c>
      <c r="C100" s="286" t="s">
        <v>124</v>
      </c>
      <c r="D100" s="292">
        <v>464.44</v>
      </c>
      <c r="E100" s="288">
        <v>466.6</v>
      </c>
      <c r="F100" s="288">
        <v>463.44</v>
      </c>
      <c r="G100" s="291">
        <v>74310.399999999994</v>
      </c>
      <c r="H100" s="291">
        <v>68388.790000000008</v>
      </c>
      <c r="I100" s="291">
        <v>68195.270000000019</v>
      </c>
      <c r="J100" s="291">
        <v>68940.149999999994</v>
      </c>
      <c r="K100" s="291">
        <v>67540.350000000006</v>
      </c>
      <c r="L100" s="291">
        <v>67073.75</v>
      </c>
      <c r="M100" s="291">
        <v>68940.150000000009</v>
      </c>
      <c r="N100" s="291">
        <v>68823.5</v>
      </c>
      <c r="O100" s="291">
        <v>68823.5</v>
      </c>
      <c r="P100" s="291">
        <v>67556</v>
      </c>
      <c r="Q100" s="291">
        <v>69022.77</v>
      </c>
      <c r="R100" s="291">
        <v>67546.38</v>
      </c>
      <c r="S100" s="290">
        <v>825161.01</v>
      </c>
      <c r="T100" s="290"/>
      <c r="U100" s="295">
        <v>160</v>
      </c>
      <c r="V100" s="295">
        <v>147.25000000000003</v>
      </c>
      <c r="W100" s="295">
        <v>146.83332615623121</v>
      </c>
      <c r="X100" s="295">
        <v>147.74999999999997</v>
      </c>
      <c r="Y100" s="295">
        <v>144.75</v>
      </c>
      <c r="Z100" s="295">
        <v>143.75</v>
      </c>
      <c r="AA100" s="295">
        <v>147.75</v>
      </c>
      <c r="AB100" s="295">
        <v>147.5</v>
      </c>
      <c r="AC100" s="295">
        <v>147.5</v>
      </c>
      <c r="AD100" s="295">
        <v>145.77075781115138</v>
      </c>
      <c r="AE100" s="295">
        <v>148.93571983428276</v>
      </c>
      <c r="AF100" s="295">
        <v>145.75</v>
      </c>
      <c r="AG100" s="295">
        <v>1773.5398038016651</v>
      </c>
      <c r="AH100" s="295">
        <v>147.79498365013876</v>
      </c>
      <c r="AI100" s="337">
        <v>0</v>
      </c>
      <c r="AJ100" s="289"/>
      <c r="AL100" s="289"/>
      <c r="AM100" s="289"/>
      <c r="BF100" s="239"/>
      <c r="BG100" s="239"/>
      <c r="BH100" s="239">
        <v>6</v>
      </c>
      <c r="BI100" s="239">
        <v>1</v>
      </c>
      <c r="BJ100" s="104">
        <v>147.79498365013876</v>
      </c>
      <c r="BK100" s="79"/>
      <c r="BN100" s="288">
        <v>461.2749</v>
      </c>
      <c r="BO100" s="108">
        <v>5.630202842205807</v>
      </c>
      <c r="BP100" s="108">
        <v>9985.3888441292638</v>
      </c>
      <c r="BQ100" s="108">
        <v>466.90510284220579</v>
      </c>
      <c r="BR100" s="95">
        <v>835146.39884412929</v>
      </c>
      <c r="BW100" s="288"/>
    </row>
    <row r="101" spans="1:75" s="286" customFormat="1" outlineLevel="1">
      <c r="A101" s="286" t="str">
        <f t="shared" si="4"/>
        <v>MURREYSCOMMERCIALF6YD2W</v>
      </c>
      <c r="B101" s="286" t="s">
        <v>386</v>
      </c>
      <c r="C101" s="286" t="s">
        <v>125</v>
      </c>
      <c r="D101" s="292">
        <v>928.88</v>
      </c>
      <c r="E101" s="288">
        <v>933.2</v>
      </c>
      <c r="F101" s="288">
        <v>926.88</v>
      </c>
      <c r="G101" s="291">
        <v>95467.24</v>
      </c>
      <c r="H101" s="291">
        <v>94538.36</v>
      </c>
      <c r="I101" s="291">
        <v>96377.54</v>
      </c>
      <c r="J101" s="291">
        <v>101487.42</v>
      </c>
      <c r="K101" s="291">
        <v>102485.42</v>
      </c>
      <c r="L101" s="291">
        <v>106075.64</v>
      </c>
      <c r="M101" s="291">
        <v>105103.57</v>
      </c>
      <c r="N101" s="291">
        <v>106036.76999999999</v>
      </c>
      <c r="O101" s="291">
        <v>104403.67</v>
      </c>
      <c r="P101" s="291">
        <v>106695.92</v>
      </c>
      <c r="Q101" s="291">
        <v>104513.95999999999</v>
      </c>
      <c r="R101" s="291">
        <v>107294.59999999999</v>
      </c>
      <c r="S101" s="290">
        <v>1230480.1100000001</v>
      </c>
      <c r="T101" s="290"/>
      <c r="U101" s="295">
        <v>102.77672035139094</v>
      </c>
      <c r="V101" s="295">
        <v>101.77672035139092</v>
      </c>
      <c r="W101" s="295">
        <v>103.75671776763413</v>
      </c>
      <c r="X101" s="295">
        <v>108.75205743677668</v>
      </c>
      <c r="Y101" s="295">
        <v>109.8214959279897</v>
      </c>
      <c r="Z101" s="295">
        <v>113.66870981568795</v>
      </c>
      <c r="AA101" s="295">
        <v>112.62705743677668</v>
      </c>
      <c r="AB101" s="295">
        <v>113.62705743677667</v>
      </c>
      <c r="AC101" s="295">
        <v>111.87705743677668</v>
      </c>
      <c r="AD101" s="295">
        <v>115.11298118418782</v>
      </c>
      <c r="AE101" s="295">
        <v>112.75889003970308</v>
      </c>
      <c r="AF101" s="295">
        <v>115.75889003970308</v>
      </c>
      <c r="AG101" s="295">
        <v>1322.3143552247946</v>
      </c>
      <c r="AH101" s="295">
        <v>110.19286293539955</v>
      </c>
      <c r="AI101" s="337">
        <v>0</v>
      </c>
      <c r="AJ101" s="289"/>
      <c r="AL101" s="289"/>
      <c r="AM101" s="289"/>
      <c r="BF101" s="239"/>
      <c r="BG101" s="239"/>
      <c r="BH101" s="239">
        <v>6</v>
      </c>
      <c r="BI101" s="239">
        <v>1</v>
      </c>
      <c r="BJ101" s="104">
        <v>110.19286293539955</v>
      </c>
      <c r="BK101" s="79"/>
      <c r="BN101" s="288">
        <v>922.5498</v>
      </c>
      <c r="BO101" s="108">
        <v>11.260405684411614</v>
      </c>
      <c r="BP101" s="108">
        <v>14889.796082152356</v>
      </c>
      <c r="BQ101" s="108">
        <v>933.81020568441159</v>
      </c>
      <c r="BR101" s="95">
        <v>1245369.9060821524</v>
      </c>
      <c r="BW101" s="288"/>
    </row>
    <row r="102" spans="1:75" s="286" customFormat="1" outlineLevel="1">
      <c r="A102" s="286" t="str">
        <f t="shared" si="4"/>
        <v>MURREYSCOMMERCIALF6YD3W</v>
      </c>
      <c r="B102" s="286" t="s">
        <v>387</v>
      </c>
      <c r="C102" s="286" t="s">
        <v>126</v>
      </c>
      <c r="D102" s="292">
        <v>1393.32</v>
      </c>
      <c r="E102" s="288">
        <v>1399.8</v>
      </c>
      <c r="F102" s="288">
        <v>1390.32</v>
      </c>
      <c r="G102" s="291">
        <v>25089</v>
      </c>
      <c r="H102" s="291">
        <v>29259.719999999998</v>
      </c>
      <c r="I102" s="291">
        <v>30420.82</v>
      </c>
      <c r="J102" s="291">
        <v>29745.75</v>
      </c>
      <c r="K102" s="291">
        <v>30795.599999999999</v>
      </c>
      <c r="L102" s="291">
        <v>29162.5</v>
      </c>
      <c r="M102" s="291">
        <v>27762.699999999997</v>
      </c>
      <c r="N102" s="291">
        <v>28992.01</v>
      </c>
      <c r="O102" s="291">
        <v>26596.2</v>
      </c>
      <c r="P102" s="291">
        <v>26674.499999999996</v>
      </c>
      <c r="Q102" s="291">
        <v>29196.719999999998</v>
      </c>
      <c r="R102" s="291">
        <v>29180.16</v>
      </c>
      <c r="S102" s="290">
        <v>342875.68</v>
      </c>
      <c r="T102" s="290"/>
      <c r="U102" s="295">
        <v>18.006631642408063</v>
      </c>
      <c r="V102" s="295">
        <v>21</v>
      </c>
      <c r="W102" s="295">
        <v>21.833333333333336</v>
      </c>
      <c r="X102" s="295">
        <v>21.25</v>
      </c>
      <c r="Y102" s="295">
        <v>22</v>
      </c>
      <c r="Z102" s="295">
        <v>20.833333333333336</v>
      </c>
      <c r="AA102" s="295">
        <v>19.833333333333332</v>
      </c>
      <c r="AB102" s="295">
        <v>20.711537362480353</v>
      </c>
      <c r="AC102" s="295">
        <v>19</v>
      </c>
      <c r="AD102" s="295">
        <v>19.185870878646639</v>
      </c>
      <c r="AE102" s="295">
        <v>21</v>
      </c>
      <c r="AF102" s="295">
        <v>20.988089073019161</v>
      </c>
      <c r="AG102" s="295">
        <v>245.64212895655422</v>
      </c>
      <c r="AH102" s="295">
        <v>20.470177413046184</v>
      </c>
      <c r="AI102" s="337">
        <v>0</v>
      </c>
      <c r="AJ102" s="289"/>
      <c r="AL102" s="289"/>
      <c r="AM102" s="289"/>
      <c r="BF102" s="239"/>
      <c r="BG102" s="239"/>
      <c r="BH102" s="239">
        <v>6</v>
      </c>
      <c r="BI102" s="239">
        <v>1</v>
      </c>
      <c r="BJ102" s="104">
        <v>20.470177413046184</v>
      </c>
      <c r="BK102" s="79"/>
      <c r="BN102" s="288">
        <v>1383.8247000000001</v>
      </c>
      <c r="BO102" s="108">
        <v>16.890608526617424</v>
      </c>
      <c r="BP102" s="108">
        <v>4149.0450378500309</v>
      </c>
      <c r="BQ102" s="108">
        <v>1400.7153085266175</v>
      </c>
      <c r="BR102" s="95">
        <v>347024.72503785003</v>
      </c>
      <c r="BW102" s="288"/>
    </row>
    <row r="103" spans="1:75" s="286" customFormat="1" outlineLevel="1">
      <c r="A103" s="286" t="str">
        <f t="shared" si="4"/>
        <v>MURREYSCOMMERCIALF6YD4W</v>
      </c>
      <c r="B103" s="286" t="s">
        <v>388</v>
      </c>
      <c r="C103" s="286" t="s">
        <v>127</v>
      </c>
      <c r="D103" s="292">
        <v>1857.76</v>
      </c>
      <c r="E103" s="288">
        <v>1866.4</v>
      </c>
      <c r="F103" s="288">
        <v>1853.76</v>
      </c>
      <c r="G103" s="291">
        <v>1857.76</v>
      </c>
      <c r="H103" s="291">
        <v>2786.64</v>
      </c>
      <c r="I103" s="291">
        <v>1857.76</v>
      </c>
      <c r="J103" s="291">
        <v>1866.4</v>
      </c>
      <c r="K103" s="291">
        <v>1866.4</v>
      </c>
      <c r="L103" s="291">
        <v>1866.4</v>
      </c>
      <c r="M103" s="291">
        <v>1866.4</v>
      </c>
      <c r="N103" s="291">
        <v>2854.49</v>
      </c>
      <c r="O103" s="291">
        <v>3732.8</v>
      </c>
      <c r="P103" s="291">
        <v>3707.52</v>
      </c>
      <c r="Q103" s="291">
        <v>3707.52</v>
      </c>
      <c r="R103" s="291">
        <v>5561.28</v>
      </c>
      <c r="S103" s="290">
        <v>33531.370000000003</v>
      </c>
      <c r="T103" s="290"/>
      <c r="U103" s="295">
        <v>1</v>
      </c>
      <c r="V103" s="295">
        <v>1.5</v>
      </c>
      <c r="W103" s="295">
        <v>1</v>
      </c>
      <c r="X103" s="295">
        <v>1</v>
      </c>
      <c r="Y103" s="295">
        <v>1</v>
      </c>
      <c r="Z103" s="295">
        <v>1</v>
      </c>
      <c r="AA103" s="295">
        <v>1</v>
      </c>
      <c r="AB103" s="295">
        <v>1.5294095585083582</v>
      </c>
      <c r="AC103" s="295">
        <v>2</v>
      </c>
      <c r="AD103" s="295">
        <v>2</v>
      </c>
      <c r="AE103" s="295">
        <v>2</v>
      </c>
      <c r="AF103" s="295">
        <v>3</v>
      </c>
      <c r="AG103" s="295">
        <v>18.029409558508359</v>
      </c>
      <c r="AH103" s="295">
        <v>1.5024507965423632</v>
      </c>
      <c r="AI103" s="337">
        <v>0</v>
      </c>
      <c r="AJ103" s="289"/>
      <c r="AL103" s="289"/>
      <c r="AM103" s="289"/>
      <c r="BF103" s="239"/>
      <c r="BG103" s="239"/>
      <c r="BH103" s="239">
        <v>6</v>
      </c>
      <c r="BI103" s="239">
        <v>1</v>
      </c>
      <c r="BJ103" s="104">
        <v>1.5024507965423632</v>
      </c>
      <c r="BK103" s="79"/>
      <c r="BN103" s="288">
        <v>1845.0996</v>
      </c>
      <c r="BO103" s="108">
        <v>22.520811368823228</v>
      </c>
      <c r="BP103" s="108">
        <v>406.03693175842523</v>
      </c>
      <c r="BQ103" s="108">
        <v>1867.6204113688232</v>
      </c>
      <c r="BR103" s="95">
        <v>33937.406931758429</v>
      </c>
      <c r="BW103" s="288"/>
    </row>
    <row r="104" spans="1:75" s="286" customFormat="1" outlineLevel="1">
      <c r="A104" s="286" t="str">
        <f t="shared" si="4"/>
        <v>MURREYSCOMMERCIALF6YD5W</v>
      </c>
      <c r="B104" s="286" t="s">
        <v>389</v>
      </c>
      <c r="C104" s="286" t="s">
        <v>128</v>
      </c>
      <c r="D104" s="292">
        <v>1161.0999999999999</v>
      </c>
      <c r="E104" s="288">
        <v>1166.5</v>
      </c>
      <c r="F104" s="288">
        <v>1158.5999999999999</v>
      </c>
      <c r="G104" s="291">
        <v>27866.399999999998</v>
      </c>
      <c r="H104" s="291">
        <v>20899.8</v>
      </c>
      <c r="I104" s="291">
        <v>25544.199999999997</v>
      </c>
      <c r="J104" s="291">
        <v>25663</v>
      </c>
      <c r="K104" s="291">
        <v>25663</v>
      </c>
      <c r="L104" s="291">
        <v>23330</v>
      </c>
      <c r="M104" s="291">
        <v>19986.020000000004</v>
      </c>
      <c r="N104" s="291">
        <v>20997</v>
      </c>
      <c r="O104" s="291">
        <v>20997</v>
      </c>
      <c r="P104" s="291">
        <v>18693.739999999998</v>
      </c>
      <c r="Q104" s="291">
        <v>15061.8</v>
      </c>
      <c r="R104" s="291">
        <v>11586</v>
      </c>
      <c r="S104" s="290">
        <v>256287.95999999996</v>
      </c>
      <c r="T104" s="290"/>
      <c r="U104" s="295">
        <v>24</v>
      </c>
      <c r="V104" s="295">
        <v>18</v>
      </c>
      <c r="W104" s="295">
        <v>22</v>
      </c>
      <c r="X104" s="295">
        <v>22</v>
      </c>
      <c r="Y104" s="295">
        <v>22</v>
      </c>
      <c r="Z104" s="295">
        <v>20</v>
      </c>
      <c r="AA104" s="295">
        <v>17.133321903129023</v>
      </c>
      <c r="AB104" s="295">
        <v>18</v>
      </c>
      <c r="AC104" s="295">
        <v>18</v>
      </c>
      <c r="AD104" s="295">
        <v>16.134766097013635</v>
      </c>
      <c r="AE104" s="295">
        <v>13</v>
      </c>
      <c r="AF104" s="295">
        <v>10</v>
      </c>
      <c r="AG104" s="295">
        <v>220.26808800014265</v>
      </c>
      <c r="AH104" s="295">
        <v>18.355674000011888</v>
      </c>
      <c r="AI104" s="337">
        <v>0</v>
      </c>
      <c r="AJ104" s="289"/>
      <c r="AL104" s="289"/>
      <c r="AM104" s="289"/>
      <c r="BF104" s="239"/>
      <c r="BG104" s="239"/>
      <c r="BH104" s="239">
        <v>6</v>
      </c>
      <c r="BI104" s="239">
        <v>1</v>
      </c>
      <c r="BJ104" s="104">
        <v>18.355674000011888</v>
      </c>
      <c r="BK104" s="79"/>
      <c r="BN104" s="288">
        <v>2306.3744999999999</v>
      </c>
      <c r="BO104" s="108">
        <v>28.151014211029032</v>
      </c>
      <c r="BP104" s="108">
        <v>6200.7700755282094</v>
      </c>
      <c r="BQ104" s="108">
        <v>2334.5255142110291</v>
      </c>
      <c r="BR104" s="95">
        <v>262488.73007552815</v>
      </c>
      <c r="BW104" s="288"/>
    </row>
    <row r="105" spans="1:75" s="286" customFormat="1" outlineLevel="1">
      <c r="A105" s="286" t="str">
        <f t="shared" si="4"/>
        <v>MURREYSCOMMERCIALFCP2YD1W2.25-1</v>
      </c>
      <c r="B105" s="286" t="s">
        <v>391</v>
      </c>
      <c r="C105" s="286" t="s">
        <v>203</v>
      </c>
      <c r="D105" s="292">
        <v>381.99</v>
      </c>
      <c r="E105" s="288">
        <v>383.77</v>
      </c>
      <c r="F105" s="288">
        <v>381.04</v>
      </c>
      <c r="G105" s="291">
        <v>381.99</v>
      </c>
      <c r="H105" s="291">
        <v>381.99</v>
      </c>
      <c r="I105" s="291">
        <v>381.99</v>
      </c>
      <c r="J105" s="291">
        <v>383.77</v>
      </c>
      <c r="K105" s="291">
        <v>383.77</v>
      </c>
      <c r="L105" s="291">
        <v>383.77</v>
      </c>
      <c r="M105" s="291">
        <v>383.77</v>
      </c>
      <c r="N105" s="291">
        <v>383.77</v>
      </c>
      <c r="O105" s="291">
        <v>383.77</v>
      </c>
      <c r="P105" s="291">
        <v>381.04</v>
      </c>
      <c r="Q105" s="291">
        <v>381.04</v>
      </c>
      <c r="R105" s="291">
        <v>381.04</v>
      </c>
      <c r="S105" s="290">
        <v>4591.71</v>
      </c>
      <c r="T105" s="290"/>
      <c r="U105" s="295">
        <v>1</v>
      </c>
      <c r="V105" s="295">
        <v>1</v>
      </c>
      <c r="W105" s="295">
        <v>1</v>
      </c>
      <c r="X105" s="295">
        <v>1</v>
      </c>
      <c r="Y105" s="295">
        <v>1</v>
      </c>
      <c r="Z105" s="295">
        <v>1</v>
      </c>
      <c r="AA105" s="295">
        <v>1</v>
      </c>
      <c r="AB105" s="295">
        <v>1</v>
      </c>
      <c r="AC105" s="295">
        <v>1</v>
      </c>
      <c r="AD105" s="295">
        <v>1</v>
      </c>
      <c r="AE105" s="295">
        <v>1</v>
      </c>
      <c r="AF105" s="295">
        <v>1</v>
      </c>
      <c r="AG105" s="295">
        <v>12</v>
      </c>
      <c r="AH105" s="295">
        <v>1</v>
      </c>
      <c r="AI105" s="337">
        <f>+SUMIFS(Mapping!L:L,Mapping!A:A,"COMMERCIAL",Mapping!D:D,'Murrey''s Price Out 2022'!C105)-AG105</f>
        <v>0</v>
      </c>
      <c r="AJ105" s="289"/>
      <c r="AL105" s="289"/>
      <c r="AM105" s="289"/>
      <c r="BF105" s="239"/>
      <c r="BG105" s="239"/>
      <c r="BH105" s="239">
        <v>2</v>
      </c>
      <c r="BI105" s="239">
        <v>1</v>
      </c>
      <c r="BJ105" s="104">
        <v>1</v>
      </c>
      <c r="BK105" s="79"/>
      <c r="BN105" s="288">
        <v>379.2647</v>
      </c>
      <c r="BO105" s="108">
        <v>4.6292074246579054</v>
      </c>
      <c r="BP105" s="108">
        <v>55.550489095894861</v>
      </c>
      <c r="BQ105" s="108">
        <v>383.89390742465793</v>
      </c>
      <c r="BR105" s="95">
        <v>4647.2604890958946</v>
      </c>
      <c r="BW105" s="288"/>
    </row>
    <row r="106" spans="1:75" s="286" customFormat="1" outlineLevel="1">
      <c r="A106" s="286" t="str">
        <f t="shared" ref="A106:A134" si="5">+$A$4&amp;$A$73&amp;B106</f>
        <v>MURREYSCOMMERCIALFCP4YD1W4-1</v>
      </c>
      <c r="B106" s="286" t="s">
        <v>392</v>
      </c>
      <c r="C106" s="286" t="s">
        <v>205</v>
      </c>
      <c r="D106" s="292">
        <v>1114.3699999999999</v>
      </c>
      <c r="E106" s="288">
        <v>1119.56</v>
      </c>
      <c r="F106" s="288">
        <v>1110.3</v>
      </c>
      <c r="G106" s="291">
        <v>1114.3699999999999</v>
      </c>
      <c r="H106" s="291">
        <v>1114.3699999999999</v>
      </c>
      <c r="I106" s="291">
        <v>1114.3699999999999</v>
      </c>
      <c r="J106" s="291">
        <v>1119.56</v>
      </c>
      <c r="K106" s="291">
        <v>1119.56</v>
      </c>
      <c r="L106" s="291">
        <v>1119.56</v>
      </c>
      <c r="M106" s="291">
        <v>1119.56</v>
      </c>
      <c r="N106" s="291">
        <v>1119.56</v>
      </c>
      <c r="O106" s="291">
        <v>1119.56</v>
      </c>
      <c r="P106" s="291">
        <v>1110.3</v>
      </c>
      <c r="Q106" s="291">
        <v>1110.3</v>
      </c>
      <c r="R106" s="291">
        <v>1110.3</v>
      </c>
      <c r="S106" s="290">
        <v>13391.369999999995</v>
      </c>
      <c r="T106" s="290"/>
      <c r="U106" s="295">
        <v>1</v>
      </c>
      <c r="V106" s="295">
        <v>1</v>
      </c>
      <c r="W106" s="295">
        <v>1</v>
      </c>
      <c r="X106" s="295">
        <v>1</v>
      </c>
      <c r="Y106" s="295">
        <v>1</v>
      </c>
      <c r="Z106" s="295">
        <v>1</v>
      </c>
      <c r="AA106" s="295">
        <v>1</v>
      </c>
      <c r="AB106" s="295">
        <v>1</v>
      </c>
      <c r="AC106" s="295">
        <v>1</v>
      </c>
      <c r="AD106" s="295">
        <v>1</v>
      </c>
      <c r="AE106" s="295">
        <v>1</v>
      </c>
      <c r="AF106" s="295">
        <v>1</v>
      </c>
      <c r="AG106" s="295">
        <v>12</v>
      </c>
      <c r="AH106" s="295">
        <v>1</v>
      </c>
      <c r="AI106" s="337">
        <f>+SUMIFS(Mapping!L:L,Mapping!A:A,"COMMERCIAL",Mapping!D:D,'Murrey''s Price Out 2022'!C106)-AG106</f>
        <v>0</v>
      </c>
      <c r="AJ106" s="289"/>
      <c r="AL106" s="289"/>
      <c r="AM106" s="289"/>
      <c r="BF106" s="239"/>
      <c r="BG106" s="239"/>
      <c r="BH106" s="239">
        <v>4</v>
      </c>
      <c r="BI106" s="239">
        <v>1</v>
      </c>
      <c r="BJ106" s="104">
        <v>1</v>
      </c>
      <c r="BK106" s="79"/>
      <c r="BN106" s="288">
        <v>1105.1025999999999</v>
      </c>
      <c r="BO106" s="108">
        <v>13.488598229491842</v>
      </c>
      <c r="BP106" s="108">
        <v>161.8631787539021</v>
      </c>
      <c r="BQ106" s="108">
        <v>1118.5911982294917</v>
      </c>
      <c r="BR106" s="95">
        <v>13553.233178753897</v>
      </c>
      <c r="BW106" s="288"/>
    </row>
    <row r="107" spans="1:75" s="286" customFormat="1" outlineLevel="1">
      <c r="A107" s="286" t="str">
        <f t="shared" si="5"/>
        <v>MURREYSCOMMERCIALFCP4YD1W5-1</v>
      </c>
      <c r="B107" s="286" t="s">
        <v>393</v>
      </c>
      <c r="C107" s="286" t="s">
        <v>206</v>
      </c>
      <c r="D107" s="288">
        <v>1262.1099999999999</v>
      </c>
      <c r="E107" s="288">
        <v>1268</v>
      </c>
      <c r="F107" s="288">
        <v>1256.44</v>
      </c>
      <c r="G107" s="291">
        <v>1262.1099999999999</v>
      </c>
      <c r="H107" s="291">
        <v>1262.1099999999999</v>
      </c>
      <c r="I107" s="291">
        <v>1262.1099999999999</v>
      </c>
      <c r="J107" s="291">
        <v>1268</v>
      </c>
      <c r="K107" s="291">
        <v>1268</v>
      </c>
      <c r="L107" s="291">
        <v>1268</v>
      </c>
      <c r="M107" s="291">
        <v>1268</v>
      </c>
      <c r="N107" s="291">
        <v>1268</v>
      </c>
      <c r="O107" s="291">
        <v>1268</v>
      </c>
      <c r="P107" s="291">
        <v>1256.44</v>
      </c>
      <c r="Q107" s="291">
        <v>1256.44</v>
      </c>
      <c r="R107" s="291">
        <v>1256.44</v>
      </c>
      <c r="S107" s="290">
        <v>15163.650000000001</v>
      </c>
      <c r="T107" s="290"/>
      <c r="U107" s="295">
        <v>1</v>
      </c>
      <c r="V107" s="295">
        <v>1</v>
      </c>
      <c r="W107" s="295">
        <v>1</v>
      </c>
      <c r="X107" s="295">
        <v>1</v>
      </c>
      <c r="Y107" s="295">
        <v>1</v>
      </c>
      <c r="Z107" s="295">
        <v>1</v>
      </c>
      <c r="AA107" s="295">
        <v>1</v>
      </c>
      <c r="AB107" s="295">
        <v>1</v>
      </c>
      <c r="AC107" s="295">
        <v>1</v>
      </c>
      <c r="AD107" s="295">
        <v>1</v>
      </c>
      <c r="AE107" s="295">
        <v>1</v>
      </c>
      <c r="AF107" s="295">
        <v>1</v>
      </c>
      <c r="AG107" s="295">
        <v>12</v>
      </c>
      <c r="AH107" s="295">
        <v>1</v>
      </c>
      <c r="AI107" s="337">
        <f>+SUMIFS(Mapping!L:L,Mapping!A:A,"COMMERCIAL",Mapping!D:D,'Murrey''s Price Out 2022'!C107)-AG107</f>
        <v>0</v>
      </c>
      <c r="AJ107" s="289"/>
      <c r="AL107" s="289"/>
      <c r="AM107" s="289"/>
      <c r="BD107" s="296"/>
      <c r="BE107" s="296"/>
      <c r="BF107" s="239"/>
      <c r="BG107" s="239"/>
      <c r="BH107" s="239">
        <v>4</v>
      </c>
      <c r="BI107" s="239">
        <v>1</v>
      </c>
      <c r="BJ107" s="104">
        <v>1</v>
      </c>
      <c r="BK107" s="79"/>
      <c r="BN107" s="288">
        <v>1250.5473</v>
      </c>
      <c r="BO107" s="108">
        <v>15.263858845935033</v>
      </c>
      <c r="BP107" s="108">
        <v>183.1663061512204</v>
      </c>
      <c r="BQ107" s="108">
        <v>1265.8111588459351</v>
      </c>
      <c r="BR107" s="95">
        <v>15346.816306151222</v>
      </c>
      <c r="BW107" s="288"/>
    </row>
    <row r="108" spans="1:75" s="286" customFormat="1" outlineLevel="1">
      <c r="A108" s="286" t="str">
        <f t="shared" si="5"/>
        <v>MURREYSCOMMERCIALFCP4YDEOW5-1</v>
      </c>
      <c r="B108" s="286" t="s">
        <v>394</v>
      </c>
      <c r="C108" s="286" t="s">
        <v>207</v>
      </c>
      <c r="D108" s="288">
        <v>631.54</v>
      </c>
      <c r="E108" s="288">
        <v>634.49</v>
      </c>
      <c r="F108" s="288">
        <v>629.66</v>
      </c>
      <c r="G108" s="291">
        <v>631.54</v>
      </c>
      <c r="H108" s="291">
        <v>631.54</v>
      </c>
      <c r="I108" s="291">
        <v>631.54</v>
      </c>
      <c r="J108" s="291">
        <v>634.49</v>
      </c>
      <c r="K108" s="291">
        <v>634.49</v>
      </c>
      <c r="L108" s="291">
        <v>634.49</v>
      </c>
      <c r="M108" s="291">
        <v>634.49</v>
      </c>
      <c r="N108" s="291">
        <v>634.49</v>
      </c>
      <c r="O108" s="291">
        <v>634.49</v>
      </c>
      <c r="P108" s="291">
        <v>629.66</v>
      </c>
      <c r="Q108" s="291">
        <v>629.66</v>
      </c>
      <c r="R108" s="291">
        <v>629.66</v>
      </c>
      <c r="S108" s="290">
        <v>7590.5399999999981</v>
      </c>
      <c r="T108" s="290"/>
      <c r="U108" s="295">
        <v>1</v>
      </c>
      <c r="V108" s="295">
        <v>1</v>
      </c>
      <c r="W108" s="295">
        <v>1</v>
      </c>
      <c r="X108" s="295">
        <v>1</v>
      </c>
      <c r="Y108" s="295">
        <v>1</v>
      </c>
      <c r="Z108" s="295">
        <v>1</v>
      </c>
      <c r="AA108" s="295">
        <v>1</v>
      </c>
      <c r="AB108" s="295">
        <v>1</v>
      </c>
      <c r="AC108" s="295">
        <v>1</v>
      </c>
      <c r="AD108" s="295">
        <v>1</v>
      </c>
      <c r="AE108" s="295">
        <v>1</v>
      </c>
      <c r="AF108" s="295">
        <v>1</v>
      </c>
      <c r="AG108" s="295">
        <v>12</v>
      </c>
      <c r="AH108" s="295">
        <v>1</v>
      </c>
      <c r="AI108" s="337">
        <f>+SUMIFS(Mapping!L:L,Mapping!A:A,"COMMERCIAL",Mapping!D:D,'Murrey''s Price Out 2022'!C108)-AG108</f>
        <v>0</v>
      </c>
      <c r="AJ108" s="289"/>
      <c r="AL108" s="289"/>
      <c r="AM108" s="289"/>
      <c r="BD108" s="296"/>
      <c r="BE108" s="296"/>
      <c r="BF108" s="239"/>
      <c r="BG108" s="239"/>
      <c r="BH108" s="239">
        <v>4</v>
      </c>
      <c r="BI108" s="239">
        <v>1</v>
      </c>
      <c r="BJ108" s="104">
        <v>1</v>
      </c>
      <c r="BK108" s="79"/>
      <c r="BN108" s="288">
        <v>626.71770000000004</v>
      </c>
      <c r="BO108" s="108">
        <v>7.6495551260228698</v>
      </c>
      <c r="BP108" s="108">
        <v>91.794661512274445</v>
      </c>
      <c r="BQ108" s="108">
        <v>634.36725512602288</v>
      </c>
      <c r="BR108" s="95">
        <v>7682.3346615122728</v>
      </c>
      <c r="BW108" s="288"/>
    </row>
    <row r="109" spans="1:75" s="286" customFormat="1" outlineLevel="1">
      <c r="A109" s="286" t="str">
        <f t="shared" si="5"/>
        <v>MURREYSCOMMERCIALFCP4YDOC5-1</v>
      </c>
      <c r="B109" s="286" t="s">
        <v>395</v>
      </c>
      <c r="C109" s="286" t="s">
        <v>208</v>
      </c>
      <c r="D109" s="292">
        <v>298.02</v>
      </c>
      <c r="E109" s="288">
        <v>299.41000000000003</v>
      </c>
      <c r="F109" s="288">
        <v>296.74</v>
      </c>
      <c r="G109" s="291">
        <v>298.02</v>
      </c>
      <c r="H109" s="291">
        <v>298.02</v>
      </c>
      <c r="I109" s="291">
        <v>298.02</v>
      </c>
      <c r="J109" s="291">
        <v>299.41000000000003</v>
      </c>
      <c r="K109" s="291">
        <v>896.84</v>
      </c>
      <c r="L109" s="291">
        <v>598.82000000000005</v>
      </c>
      <c r="M109" s="291">
        <v>598.82000000000005</v>
      </c>
      <c r="N109" s="291">
        <v>598.82000000000005</v>
      </c>
      <c r="O109" s="291">
        <v>598.82000000000005</v>
      </c>
      <c r="P109" s="291">
        <v>0</v>
      </c>
      <c r="Q109" s="291">
        <v>593.48</v>
      </c>
      <c r="R109" s="291">
        <v>593.48</v>
      </c>
      <c r="S109" s="290">
        <v>5672.5499999999993</v>
      </c>
      <c r="T109" s="290"/>
      <c r="U109" s="295">
        <v>1</v>
      </c>
      <c r="V109" s="295">
        <v>1</v>
      </c>
      <c r="W109" s="295">
        <v>1</v>
      </c>
      <c r="X109" s="295">
        <v>1</v>
      </c>
      <c r="Y109" s="295">
        <v>2.9953575364884273</v>
      </c>
      <c r="Z109" s="295">
        <v>2</v>
      </c>
      <c r="AA109" s="295">
        <v>2</v>
      </c>
      <c r="AB109" s="295">
        <v>2</v>
      </c>
      <c r="AC109" s="295">
        <v>2</v>
      </c>
      <c r="AD109" s="295">
        <v>0</v>
      </c>
      <c r="AE109" s="295">
        <v>2</v>
      </c>
      <c r="AF109" s="295">
        <v>2</v>
      </c>
      <c r="AG109" s="295">
        <v>18.995357536488427</v>
      </c>
      <c r="AH109" s="345">
        <v>1.5829464613740356</v>
      </c>
      <c r="AI109" s="337">
        <f>+SUMIFS(Mapping!L:L,Mapping!A:A,"COMMERCIAL",Mapping!D:D,'Murrey''s Price Out 2022'!C109)-AG109</f>
        <v>0</v>
      </c>
      <c r="AJ109" s="289"/>
      <c r="AL109" s="289"/>
      <c r="AM109" s="289"/>
      <c r="BF109" s="239"/>
      <c r="BG109" s="239"/>
      <c r="BH109" s="239">
        <v>4</v>
      </c>
      <c r="BI109" s="239">
        <v>1</v>
      </c>
      <c r="BJ109" s="104">
        <v>1.5829464613740356</v>
      </c>
      <c r="BK109" s="79"/>
      <c r="BN109" s="288">
        <v>295.35000000000002</v>
      </c>
      <c r="BO109" s="108">
        <v>3.6049661697297757</v>
      </c>
      <c r="BP109" s="108">
        <v>68.477621300962312</v>
      </c>
      <c r="BQ109" s="108">
        <v>298.9549661697298</v>
      </c>
      <c r="BR109" s="95">
        <v>5741.027621300962</v>
      </c>
      <c r="BW109" s="288"/>
    </row>
    <row r="110" spans="1:75" s="286" customFormat="1" outlineLevel="1">
      <c r="A110" s="286" t="str">
        <f t="shared" si="5"/>
        <v>MURREYSCOMMERCIALFCP6YD2W3-1</v>
      </c>
      <c r="B110" s="286" t="s">
        <v>396</v>
      </c>
      <c r="C110" s="286" t="s">
        <v>209</v>
      </c>
      <c r="D110" s="292">
        <v>2456.7600000000002</v>
      </c>
      <c r="E110" s="288">
        <v>2468.27</v>
      </c>
      <c r="F110" s="288">
        <v>2449.31</v>
      </c>
      <c r="G110" s="291">
        <v>2456.7600000000002</v>
      </c>
      <c r="H110" s="291">
        <v>2456.7600000000002</v>
      </c>
      <c r="I110" s="291">
        <v>2456.7600000000002</v>
      </c>
      <c r="J110" s="291">
        <v>2468.27</v>
      </c>
      <c r="K110" s="291">
        <v>2468.27</v>
      </c>
      <c r="L110" s="291">
        <v>2468.27</v>
      </c>
      <c r="M110" s="291">
        <v>2468.27</v>
      </c>
      <c r="N110" s="291">
        <v>2468.27</v>
      </c>
      <c r="O110" s="291">
        <v>2468.27</v>
      </c>
      <c r="P110" s="291">
        <v>2449.31</v>
      </c>
      <c r="Q110" s="291">
        <v>2449.31</v>
      </c>
      <c r="R110" s="291">
        <v>2449.31</v>
      </c>
      <c r="S110" s="290">
        <v>29527.830000000005</v>
      </c>
      <c r="T110" s="290"/>
      <c r="U110" s="295">
        <v>1</v>
      </c>
      <c r="V110" s="295">
        <v>1</v>
      </c>
      <c r="W110" s="295">
        <v>1</v>
      </c>
      <c r="X110" s="295">
        <v>1</v>
      </c>
      <c r="Y110" s="295">
        <v>1</v>
      </c>
      <c r="Z110" s="295">
        <v>1</v>
      </c>
      <c r="AA110" s="295">
        <v>1</v>
      </c>
      <c r="AB110" s="295">
        <v>1</v>
      </c>
      <c r="AC110" s="295">
        <v>1</v>
      </c>
      <c r="AD110" s="295">
        <v>1</v>
      </c>
      <c r="AE110" s="295">
        <v>1</v>
      </c>
      <c r="AF110" s="295">
        <v>1</v>
      </c>
      <c r="AG110" s="295">
        <v>12</v>
      </c>
      <c r="AH110" s="295">
        <v>1</v>
      </c>
      <c r="AI110" s="337">
        <f>+SUMIFS(Mapping!L:L,Mapping!A:A,"COMMERCIAL",Mapping!D:D,'Murrey''s Price Out 2022'!C110)-AG110</f>
        <v>-12</v>
      </c>
      <c r="AJ110" s="289"/>
      <c r="AL110" s="289"/>
      <c r="AM110" s="289"/>
      <c r="BF110" s="239"/>
      <c r="BG110" s="239"/>
      <c r="BH110" s="239">
        <v>6</v>
      </c>
      <c r="BI110" s="239">
        <v>1</v>
      </c>
      <c r="BJ110" s="104">
        <v>1</v>
      </c>
      <c r="BK110" s="79"/>
      <c r="BN110" s="288">
        <v>2437.79</v>
      </c>
      <c r="BO110" s="108">
        <v>29.755038018979342</v>
      </c>
      <c r="BP110" s="108">
        <v>357.06045622775207</v>
      </c>
      <c r="BQ110" s="108">
        <v>2467.5450380189791</v>
      </c>
      <c r="BR110" s="95">
        <v>29884.890456227757</v>
      </c>
      <c r="BW110" s="288"/>
    </row>
    <row r="111" spans="1:75" s="286" customFormat="1" outlineLevel="1">
      <c r="A111" s="286" t="str">
        <f t="shared" si="5"/>
        <v>MURREYSCOMMERCIALFCP6YD2W4-1</v>
      </c>
      <c r="B111" s="286" t="s">
        <v>397</v>
      </c>
      <c r="C111" s="286" t="s">
        <v>210</v>
      </c>
      <c r="D111" s="292">
        <v>3169.38</v>
      </c>
      <c r="E111" s="288">
        <v>3184.2</v>
      </c>
      <c r="F111" s="288">
        <v>3158.82</v>
      </c>
      <c r="G111" s="291">
        <v>3169.38</v>
      </c>
      <c r="H111" s="291">
        <v>3169.38</v>
      </c>
      <c r="I111" s="291">
        <v>3169.38</v>
      </c>
      <c r="J111" s="291">
        <v>3184.2</v>
      </c>
      <c r="K111" s="291">
        <v>3184.2</v>
      </c>
      <c r="L111" s="291">
        <v>3184.2</v>
      </c>
      <c r="M111" s="291">
        <v>3184.2</v>
      </c>
      <c r="N111" s="291">
        <v>3184.2</v>
      </c>
      <c r="O111" s="291">
        <v>3184.2</v>
      </c>
      <c r="P111" s="291">
        <v>3158.82</v>
      </c>
      <c r="Q111" s="291">
        <v>3158.82</v>
      </c>
      <c r="R111" s="291">
        <v>3158.82</v>
      </c>
      <c r="S111" s="290">
        <v>38089.800000000003</v>
      </c>
      <c r="T111" s="290"/>
      <c r="U111" s="295">
        <v>1</v>
      </c>
      <c r="V111" s="295">
        <v>1</v>
      </c>
      <c r="W111" s="295">
        <v>1</v>
      </c>
      <c r="X111" s="295">
        <v>1</v>
      </c>
      <c r="Y111" s="295">
        <v>1</v>
      </c>
      <c r="Z111" s="295">
        <v>1</v>
      </c>
      <c r="AA111" s="295">
        <v>1</v>
      </c>
      <c r="AB111" s="295">
        <v>1</v>
      </c>
      <c r="AC111" s="295">
        <v>1</v>
      </c>
      <c r="AD111" s="295">
        <v>1</v>
      </c>
      <c r="AE111" s="295">
        <v>1</v>
      </c>
      <c r="AF111" s="295">
        <v>1</v>
      </c>
      <c r="AG111" s="295">
        <v>12</v>
      </c>
      <c r="AH111" s="295">
        <v>1</v>
      </c>
      <c r="AI111" s="337">
        <f>+SUMIFS(Mapping!L:L,Mapping!A:A,"COMMERCIAL",Mapping!D:D,'Murrey''s Price Out 2022'!C111)-AG111</f>
        <v>-12</v>
      </c>
      <c r="AJ111" s="289"/>
      <c r="AL111" s="289"/>
      <c r="AM111" s="289"/>
      <c r="BF111" s="239"/>
      <c r="BG111" s="239"/>
      <c r="BH111" s="239">
        <v>6</v>
      </c>
      <c r="BI111" s="239">
        <v>1</v>
      </c>
      <c r="BJ111" s="104">
        <v>1</v>
      </c>
      <c r="BK111" s="79"/>
      <c r="BN111" s="288">
        <v>3144.0130000000004</v>
      </c>
      <c r="BO111" s="108">
        <v>38.375014397124161</v>
      </c>
      <c r="BP111" s="108">
        <v>460.50017276548994</v>
      </c>
      <c r="BQ111" s="108">
        <v>3182.3880143971246</v>
      </c>
      <c r="BR111" s="95">
        <v>38550.300172765492</v>
      </c>
      <c r="BW111" s="288"/>
    </row>
    <row r="112" spans="1:75" s="286" customFormat="1" outlineLevel="1">
      <c r="A112" s="286" t="str">
        <f t="shared" si="5"/>
        <v>MURREYSCOMMERCIALPACKC</v>
      </c>
      <c r="B112" s="286" t="s">
        <v>398</v>
      </c>
      <c r="C112" s="286" t="s">
        <v>399</v>
      </c>
      <c r="D112" s="292">
        <v>5.41</v>
      </c>
      <c r="E112" s="288">
        <v>5.44</v>
      </c>
      <c r="F112" s="288">
        <v>5.44</v>
      </c>
      <c r="G112" s="291">
        <v>32.46</v>
      </c>
      <c r="H112" s="291">
        <v>32.46</v>
      </c>
      <c r="I112" s="291">
        <v>32.46</v>
      </c>
      <c r="J112" s="291">
        <v>32.64</v>
      </c>
      <c r="K112" s="291">
        <v>32.64</v>
      </c>
      <c r="L112" s="291">
        <v>43.52</v>
      </c>
      <c r="M112" s="291">
        <v>43.52</v>
      </c>
      <c r="N112" s="291">
        <v>43.52</v>
      </c>
      <c r="O112" s="291">
        <v>43.52</v>
      </c>
      <c r="P112" s="291">
        <v>43.52</v>
      </c>
      <c r="Q112" s="291">
        <v>43.52</v>
      </c>
      <c r="R112" s="291">
        <v>43.52</v>
      </c>
      <c r="S112" s="290">
        <v>467.2999999999999</v>
      </c>
      <c r="T112" s="290"/>
      <c r="U112" s="289">
        <v>6</v>
      </c>
      <c r="V112" s="289">
        <v>6</v>
      </c>
      <c r="W112" s="289">
        <v>6</v>
      </c>
      <c r="X112" s="289">
        <v>6</v>
      </c>
      <c r="Y112" s="289">
        <v>6</v>
      </c>
      <c r="Z112" s="289">
        <v>8</v>
      </c>
      <c r="AA112" s="289">
        <v>8</v>
      </c>
      <c r="AB112" s="289">
        <v>8</v>
      </c>
      <c r="AC112" s="289">
        <v>8</v>
      </c>
      <c r="AD112" s="289">
        <v>8</v>
      </c>
      <c r="AE112" s="289">
        <v>8</v>
      </c>
      <c r="AF112" s="289">
        <v>8</v>
      </c>
      <c r="AG112" s="289">
        <v>86</v>
      </c>
      <c r="AH112" s="289">
        <v>7.166666666666667</v>
      </c>
      <c r="AI112" s="337">
        <v>0</v>
      </c>
      <c r="AJ112" s="289"/>
      <c r="AL112" s="289"/>
      <c r="AM112" s="289"/>
      <c r="BF112" s="239"/>
      <c r="BG112" s="239"/>
      <c r="BH112" s="239"/>
      <c r="BI112" s="239"/>
      <c r="BJ112" s="104">
        <v>0</v>
      </c>
      <c r="BK112" s="79"/>
      <c r="BN112" s="288">
        <v>5.41</v>
      </c>
      <c r="BO112" s="108">
        <v>6.6033069166203093E-2</v>
      </c>
      <c r="BP112" s="108">
        <v>5.6788439482934665</v>
      </c>
      <c r="BQ112" s="108">
        <v>5.4760330691662036</v>
      </c>
      <c r="BR112" s="95">
        <v>472.97884394829339</v>
      </c>
      <c r="BW112" s="288"/>
    </row>
    <row r="113" spans="1:75" s="286" customFormat="1" outlineLevel="1">
      <c r="A113" s="286" t="str">
        <f t="shared" si="5"/>
        <v>MURREYSCOMMERCIALR1YDEX</v>
      </c>
      <c r="B113" s="286" t="s">
        <v>409</v>
      </c>
      <c r="C113" s="286" t="s">
        <v>213</v>
      </c>
      <c r="D113" s="292">
        <v>26.09</v>
      </c>
      <c r="E113" s="288">
        <v>26.21</v>
      </c>
      <c r="F113" s="288">
        <v>26.06</v>
      </c>
      <c r="G113" s="291">
        <v>26.09</v>
      </c>
      <c r="H113" s="291">
        <v>104.36</v>
      </c>
      <c r="I113" s="291">
        <v>78.27</v>
      </c>
      <c r="J113" s="291">
        <v>52.42</v>
      </c>
      <c r="K113" s="291">
        <v>104.84</v>
      </c>
      <c r="L113" s="291">
        <v>0</v>
      </c>
      <c r="M113" s="291">
        <v>0</v>
      </c>
      <c r="N113" s="291">
        <v>52.42</v>
      </c>
      <c r="O113" s="291">
        <v>0</v>
      </c>
      <c r="P113" s="291">
        <v>0</v>
      </c>
      <c r="Q113" s="291">
        <v>52.12</v>
      </c>
      <c r="R113" s="291">
        <v>0</v>
      </c>
      <c r="S113" s="290">
        <v>470.52000000000004</v>
      </c>
      <c r="T113" s="290"/>
      <c r="U113" s="289">
        <v>1</v>
      </c>
      <c r="V113" s="289">
        <v>4</v>
      </c>
      <c r="W113" s="289">
        <v>3</v>
      </c>
      <c r="X113" s="289">
        <v>2</v>
      </c>
      <c r="Y113" s="289">
        <v>4</v>
      </c>
      <c r="Z113" s="289">
        <v>0</v>
      </c>
      <c r="AA113" s="289">
        <v>0</v>
      </c>
      <c r="AB113" s="289">
        <v>2</v>
      </c>
      <c r="AC113" s="289">
        <v>0</v>
      </c>
      <c r="AD113" s="289">
        <v>0</v>
      </c>
      <c r="AE113" s="289">
        <v>2</v>
      </c>
      <c r="AF113" s="289">
        <v>0</v>
      </c>
      <c r="AG113" s="289">
        <v>18</v>
      </c>
      <c r="AH113" s="289">
        <v>1.5</v>
      </c>
      <c r="AI113" s="337">
        <v>0</v>
      </c>
      <c r="AJ113" s="289"/>
      <c r="AL113" s="289"/>
      <c r="AM113" s="289"/>
      <c r="BF113" s="239"/>
      <c r="BG113" s="239"/>
      <c r="BH113" s="239">
        <v>0</v>
      </c>
      <c r="BI113" s="239">
        <v>0</v>
      </c>
      <c r="BJ113" s="104">
        <v>0</v>
      </c>
      <c r="BK113" s="79"/>
      <c r="BN113" s="288">
        <v>25.94</v>
      </c>
      <c r="BO113" s="108">
        <v>0.31661697119617532</v>
      </c>
      <c r="BP113" s="108">
        <v>5.6991054815311557</v>
      </c>
      <c r="BQ113" s="108">
        <v>26.256616971196177</v>
      </c>
      <c r="BR113" s="95">
        <v>476.21910548153119</v>
      </c>
      <c r="BW113" s="288"/>
    </row>
    <row r="114" spans="1:75" s="286" customFormat="1" outlineLevel="1">
      <c r="A114" s="286" t="str">
        <f t="shared" si="5"/>
        <v>MURREYSCOMMERCIALF1YDEX</v>
      </c>
      <c r="B114" s="286" t="s">
        <v>375</v>
      </c>
      <c r="C114" s="286" t="s">
        <v>198</v>
      </c>
      <c r="D114" s="292">
        <v>26.09</v>
      </c>
      <c r="E114" s="288">
        <v>26.21</v>
      </c>
      <c r="F114" s="288">
        <v>26.06</v>
      </c>
      <c r="G114" s="291">
        <v>0</v>
      </c>
      <c r="H114" s="291">
        <v>0</v>
      </c>
      <c r="I114" s="291">
        <v>0</v>
      </c>
      <c r="J114" s="291">
        <v>0</v>
      </c>
      <c r="K114" s="291">
        <v>0</v>
      </c>
      <c r="L114" s="291">
        <v>0</v>
      </c>
      <c r="M114" s="291">
        <v>26.21</v>
      </c>
      <c r="N114" s="291">
        <v>0</v>
      </c>
      <c r="O114" s="291">
        <v>0</v>
      </c>
      <c r="P114" s="291">
        <v>0</v>
      </c>
      <c r="Q114" s="291">
        <v>0</v>
      </c>
      <c r="R114" s="291">
        <v>0</v>
      </c>
      <c r="S114" s="290">
        <v>26.21</v>
      </c>
      <c r="T114" s="290"/>
      <c r="U114" s="289">
        <v>0</v>
      </c>
      <c r="V114" s="289">
        <v>0</v>
      </c>
      <c r="W114" s="289">
        <v>0</v>
      </c>
      <c r="X114" s="289">
        <v>0</v>
      </c>
      <c r="Y114" s="289">
        <v>0</v>
      </c>
      <c r="Z114" s="289">
        <v>0</v>
      </c>
      <c r="AA114" s="289">
        <v>1</v>
      </c>
      <c r="AB114" s="289">
        <v>0</v>
      </c>
      <c r="AC114" s="289">
        <v>0</v>
      </c>
      <c r="AD114" s="289">
        <v>0</v>
      </c>
      <c r="AE114" s="289">
        <v>0</v>
      </c>
      <c r="AF114" s="289">
        <v>0</v>
      </c>
      <c r="AG114" s="289">
        <v>1</v>
      </c>
      <c r="AH114" s="289">
        <v>8.3333333333333329E-2</v>
      </c>
      <c r="AI114" s="337">
        <v>0</v>
      </c>
      <c r="AJ114" s="289"/>
      <c r="AL114" s="289"/>
      <c r="AM114" s="289"/>
      <c r="BF114" s="239"/>
      <c r="BG114" s="239"/>
      <c r="BH114" s="239">
        <v>0</v>
      </c>
      <c r="BI114" s="239">
        <v>0</v>
      </c>
      <c r="BJ114" s="104">
        <v>0</v>
      </c>
      <c r="BK114" s="79"/>
      <c r="BN114" s="288">
        <v>25.94</v>
      </c>
      <c r="BO114" s="108">
        <v>0.31661697119617532</v>
      </c>
      <c r="BP114" s="108">
        <v>0.31661697119617532</v>
      </c>
      <c r="BQ114" s="108">
        <v>26.256616971196177</v>
      </c>
      <c r="BR114" s="95">
        <v>26.526616971196177</v>
      </c>
      <c r="BW114" s="288"/>
    </row>
    <row r="115" spans="1:75" s="286" customFormat="1" outlineLevel="1">
      <c r="A115" s="286" t="str">
        <f t="shared" si="5"/>
        <v>MURREYSCOMMERCIALR1.5YDEX</v>
      </c>
      <c r="B115" s="286" t="s">
        <v>403</v>
      </c>
      <c r="C115" s="286" t="s">
        <v>212</v>
      </c>
      <c r="D115" s="292">
        <v>35.29</v>
      </c>
      <c r="E115" s="288">
        <v>35.46</v>
      </c>
      <c r="F115" s="288">
        <v>35.24</v>
      </c>
      <c r="G115" s="291">
        <v>0</v>
      </c>
      <c r="H115" s="291">
        <v>35.29</v>
      </c>
      <c r="I115" s="291">
        <v>42.13</v>
      </c>
      <c r="J115" s="291">
        <v>35.46</v>
      </c>
      <c r="K115" s="291">
        <v>35.46</v>
      </c>
      <c r="L115" s="291">
        <v>0</v>
      </c>
      <c r="M115" s="291">
        <v>0</v>
      </c>
      <c r="N115" s="291">
        <v>0</v>
      </c>
      <c r="O115" s="291">
        <v>0</v>
      </c>
      <c r="P115" s="291">
        <v>35.24</v>
      </c>
      <c r="Q115" s="291">
        <v>0</v>
      </c>
      <c r="R115" s="291">
        <v>0</v>
      </c>
      <c r="S115" s="290">
        <v>183.58</v>
      </c>
      <c r="T115" s="290"/>
      <c r="U115" s="289">
        <v>0</v>
      </c>
      <c r="V115" s="289">
        <v>1</v>
      </c>
      <c r="W115" s="289">
        <v>1.1938226126381413</v>
      </c>
      <c r="X115" s="289">
        <v>1</v>
      </c>
      <c r="Y115" s="289">
        <v>1</v>
      </c>
      <c r="Z115" s="289">
        <v>0</v>
      </c>
      <c r="AA115" s="289">
        <v>0</v>
      </c>
      <c r="AB115" s="289">
        <v>0</v>
      </c>
      <c r="AC115" s="289">
        <v>0</v>
      </c>
      <c r="AD115" s="289">
        <v>1</v>
      </c>
      <c r="AE115" s="289">
        <v>0</v>
      </c>
      <c r="AF115" s="289">
        <v>0</v>
      </c>
      <c r="AG115" s="289">
        <v>5.193822612638141</v>
      </c>
      <c r="AH115" s="289">
        <v>0.4328185510531784</v>
      </c>
      <c r="AI115" s="337">
        <f>+SUMIFS(Mapping!L:L,Mapping!A:A,"COMMERCIAL",Mapping!D:D,'Murrey''s Price Out 2022'!C115)-AG115</f>
        <v>0</v>
      </c>
      <c r="AJ115" s="289"/>
      <c r="AL115" s="289"/>
      <c r="AM115" s="289"/>
      <c r="BF115" s="239"/>
      <c r="BG115" s="239"/>
      <c r="BH115" s="239">
        <v>0</v>
      </c>
      <c r="BI115" s="239">
        <v>0</v>
      </c>
      <c r="BJ115" s="104">
        <v>0</v>
      </c>
      <c r="BK115" s="79"/>
      <c r="BN115" s="288">
        <v>35.07</v>
      </c>
      <c r="BO115" s="108">
        <v>0.42805540400346442</v>
      </c>
      <c r="BP115" s="108">
        <v>2.2232438367751484</v>
      </c>
      <c r="BQ115" s="108">
        <v>35.498055404003466</v>
      </c>
      <c r="BR115" s="95">
        <v>185.80324383677515</v>
      </c>
      <c r="BW115" s="288"/>
    </row>
    <row r="116" spans="1:75" s="286" customFormat="1" outlineLevel="1">
      <c r="A116" s="286" t="str">
        <f t="shared" si="5"/>
        <v>MURREYSCOMMERCIALR2YDEX</v>
      </c>
      <c r="B116" s="286" t="s">
        <v>416</v>
      </c>
      <c r="C116" s="286" t="s">
        <v>215</v>
      </c>
      <c r="D116" s="292">
        <v>43.47</v>
      </c>
      <c r="E116" s="288">
        <v>43.67</v>
      </c>
      <c r="F116" s="288">
        <v>43.41</v>
      </c>
      <c r="G116" s="291">
        <v>260.82</v>
      </c>
      <c r="H116" s="291">
        <v>304.28999999999996</v>
      </c>
      <c r="I116" s="291">
        <v>86.94</v>
      </c>
      <c r="J116" s="291">
        <v>611.38</v>
      </c>
      <c r="K116" s="291">
        <v>480.37</v>
      </c>
      <c r="L116" s="291">
        <v>43.67</v>
      </c>
      <c r="M116" s="291">
        <v>262.02</v>
      </c>
      <c r="N116" s="291">
        <v>218.35</v>
      </c>
      <c r="O116" s="291">
        <v>174.68</v>
      </c>
      <c r="P116" s="291">
        <v>304.13</v>
      </c>
      <c r="Q116" s="291">
        <v>173.64</v>
      </c>
      <c r="R116" s="291">
        <v>130.22999999999999</v>
      </c>
      <c r="S116" s="290">
        <v>3050.5199999999995</v>
      </c>
      <c r="T116" s="290"/>
      <c r="U116" s="289">
        <v>6</v>
      </c>
      <c r="V116" s="289">
        <v>6.9999999999999991</v>
      </c>
      <c r="W116" s="289">
        <v>2</v>
      </c>
      <c r="X116" s="289">
        <v>14</v>
      </c>
      <c r="Y116" s="289">
        <v>11</v>
      </c>
      <c r="Z116" s="289">
        <v>1</v>
      </c>
      <c r="AA116" s="289">
        <v>5.9999999999999991</v>
      </c>
      <c r="AB116" s="289">
        <v>5</v>
      </c>
      <c r="AC116" s="289">
        <v>4</v>
      </c>
      <c r="AD116" s="289">
        <v>7.005989403363281</v>
      </c>
      <c r="AE116" s="289">
        <v>4</v>
      </c>
      <c r="AF116" s="289">
        <v>3</v>
      </c>
      <c r="AG116" s="289">
        <v>70.005989403363287</v>
      </c>
      <c r="AH116" s="289">
        <v>5.8338324502802736</v>
      </c>
      <c r="AI116" s="337">
        <v>0</v>
      </c>
      <c r="AJ116" s="289"/>
      <c r="AL116" s="289"/>
      <c r="AM116" s="289"/>
      <c r="BF116" s="239"/>
      <c r="BG116" s="239"/>
      <c r="BH116" s="239">
        <v>0</v>
      </c>
      <c r="BI116" s="239">
        <v>0</v>
      </c>
      <c r="BJ116" s="104">
        <v>0</v>
      </c>
      <c r="BK116" s="79"/>
      <c r="BN116" s="288">
        <v>43.21</v>
      </c>
      <c r="BO116" s="108">
        <v>0.52741015132562585</v>
      </c>
      <c r="BP116" s="108">
        <v>36.921869464927987</v>
      </c>
      <c r="BQ116" s="108">
        <v>43.737410151325626</v>
      </c>
      <c r="BR116" s="95">
        <v>3087.4418694649275</v>
      </c>
      <c r="BW116" s="288"/>
    </row>
    <row r="117" spans="1:75" s="286" customFormat="1" outlineLevel="1">
      <c r="A117" s="286" t="str">
        <f t="shared" si="5"/>
        <v>MURREYSCOMMERCIALF2YDEX</v>
      </c>
      <c r="B117" s="286" t="s">
        <v>379</v>
      </c>
      <c r="C117" s="286" t="s">
        <v>199</v>
      </c>
      <c r="D117" s="292">
        <v>43.47</v>
      </c>
      <c r="E117" s="288">
        <v>43.67</v>
      </c>
      <c r="F117" s="288">
        <v>43.41</v>
      </c>
      <c r="G117" s="291">
        <v>43.47</v>
      </c>
      <c r="H117" s="291">
        <v>0</v>
      </c>
      <c r="I117" s="291">
        <v>0</v>
      </c>
      <c r="J117" s="291">
        <v>0</v>
      </c>
      <c r="K117" s="291">
        <v>0</v>
      </c>
      <c r="L117" s="291">
        <v>0</v>
      </c>
      <c r="M117" s="291">
        <v>43.67</v>
      </c>
      <c r="N117" s="291">
        <v>0</v>
      </c>
      <c r="O117" s="291">
        <v>0</v>
      </c>
      <c r="P117" s="291">
        <v>0</v>
      </c>
      <c r="Q117" s="291">
        <v>0</v>
      </c>
      <c r="R117" s="291">
        <v>130.22999999999999</v>
      </c>
      <c r="S117" s="290">
        <v>217.37</v>
      </c>
      <c r="T117" s="290"/>
      <c r="U117" s="289">
        <v>1</v>
      </c>
      <c r="V117" s="289">
        <v>0</v>
      </c>
      <c r="W117" s="289">
        <v>0</v>
      </c>
      <c r="X117" s="289">
        <v>0</v>
      </c>
      <c r="Y117" s="289">
        <v>0</v>
      </c>
      <c r="Z117" s="289">
        <v>0</v>
      </c>
      <c r="AA117" s="289">
        <v>1</v>
      </c>
      <c r="AB117" s="289">
        <v>0</v>
      </c>
      <c r="AC117" s="289">
        <v>0</v>
      </c>
      <c r="AD117" s="289">
        <v>0</v>
      </c>
      <c r="AE117" s="289">
        <v>0</v>
      </c>
      <c r="AF117" s="289">
        <v>3</v>
      </c>
      <c r="AG117" s="289">
        <v>5</v>
      </c>
      <c r="AH117" s="289">
        <v>0.41666666666666669</v>
      </c>
      <c r="AI117" s="337">
        <v>0</v>
      </c>
      <c r="AJ117" s="289"/>
      <c r="AL117" s="289"/>
      <c r="AM117" s="289"/>
      <c r="BF117" s="239"/>
      <c r="BG117" s="239"/>
      <c r="BH117" s="239">
        <v>0</v>
      </c>
      <c r="BI117" s="239">
        <v>0</v>
      </c>
      <c r="BJ117" s="104">
        <v>0</v>
      </c>
      <c r="BK117" s="79"/>
      <c r="BN117" s="288">
        <v>43.21</v>
      </c>
      <c r="BO117" s="108">
        <v>0.52741015132562585</v>
      </c>
      <c r="BP117" s="108">
        <v>2.6370507566281294</v>
      </c>
      <c r="BQ117" s="108">
        <v>43.737410151325626</v>
      </c>
      <c r="BR117" s="95">
        <v>220.00705075662813</v>
      </c>
      <c r="BW117" s="288"/>
    </row>
    <row r="118" spans="1:75" s="286" customFormat="1" outlineLevel="1">
      <c r="A118" s="286" t="str">
        <f t="shared" si="5"/>
        <v>MURREYSCOMMERCIALF4YDEX</v>
      </c>
      <c r="B118" s="286" t="s">
        <v>384</v>
      </c>
      <c r="C118" s="286" t="s">
        <v>201</v>
      </c>
      <c r="D118" s="292">
        <v>79.8</v>
      </c>
      <c r="E118" s="288">
        <v>80.17</v>
      </c>
      <c r="F118" s="288">
        <v>79.64</v>
      </c>
      <c r="G118" s="291">
        <v>558.6</v>
      </c>
      <c r="H118" s="291">
        <v>1197</v>
      </c>
      <c r="I118" s="291">
        <v>1117.1999999999998</v>
      </c>
      <c r="J118" s="291">
        <v>881.5</v>
      </c>
      <c r="K118" s="291">
        <v>240.51</v>
      </c>
      <c r="L118" s="291">
        <v>400.85</v>
      </c>
      <c r="M118" s="291">
        <v>400.85</v>
      </c>
      <c r="N118" s="291">
        <v>0</v>
      </c>
      <c r="O118" s="291">
        <v>561.19000000000005</v>
      </c>
      <c r="P118" s="291">
        <v>0</v>
      </c>
      <c r="Q118" s="291">
        <v>159.27999999999997</v>
      </c>
      <c r="R118" s="291">
        <v>318.56</v>
      </c>
      <c r="S118" s="290">
        <v>5835.5400000000009</v>
      </c>
      <c r="T118" s="290"/>
      <c r="U118" s="289">
        <v>7.0000000000000009</v>
      </c>
      <c r="V118" s="289">
        <v>15</v>
      </c>
      <c r="W118" s="289">
        <v>13.999999999999998</v>
      </c>
      <c r="X118" s="289">
        <v>10.99538480728452</v>
      </c>
      <c r="Y118" s="289">
        <v>3</v>
      </c>
      <c r="Z118" s="289">
        <v>5</v>
      </c>
      <c r="AA118" s="289">
        <v>5</v>
      </c>
      <c r="AB118" s="289">
        <v>0</v>
      </c>
      <c r="AC118" s="289">
        <v>7.0000000000000009</v>
      </c>
      <c r="AD118" s="289">
        <v>0</v>
      </c>
      <c r="AE118" s="289">
        <v>1.9999999999999996</v>
      </c>
      <c r="AF118" s="289">
        <v>4</v>
      </c>
      <c r="AG118" s="289">
        <v>72.995384807284523</v>
      </c>
      <c r="AH118" s="289">
        <v>6.0829487339403769</v>
      </c>
      <c r="AI118" s="337">
        <f>+SUMIFS(Mapping!L:L,Mapping!A:A,"COMMERCIAL",Mapping!D:D,'Murrey''s Price Out 2022'!C118)-AG118</f>
        <v>0</v>
      </c>
      <c r="AJ118" s="289"/>
      <c r="AL118" s="289"/>
      <c r="AM118" s="289"/>
      <c r="BF118" s="239"/>
      <c r="BG118" s="239"/>
      <c r="BH118" s="239">
        <v>0</v>
      </c>
      <c r="BI118" s="239">
        <v>0</v>
      </c>
      <c r="BJ118" s="104">
        <v>0</v>
      </c>
      <c r="BK118" s="79"/>
      <c r="BN118" s="288">
        <v>79.27</v>
      </c>
      <c r="BO118" s="108">
        <v>0.96754924081421789</v>
      </c>
      <c r="BP118" s="108">
        <v>70.626629153229842</v>
      </c>
      <c r="BQ118" s="108">
        <v>80.237549240814218</v>
      </c>
      <c r="BR118" s="95">
        <v>5906.166629153231</v>
      </c>
      <c r="BW118" s="288"/>
    </row>
    <row r="119" spans="1:75" s="286" customFormat="1" outlineLevel="1">
      <c r="A119" s="286" t="str">
        <f t="shared" si="5"/>
        <v>MURREYSCOMMERCIALF6YDEX</v>
      </c>
      <c r="B119" s="286" t="s">
        <v>390</v>
      </c>
      <c r="C119" s="286" t="s">
        <v>202</v>
      </c>
      <c r="D119" s="292">
        <v>109.44</v>
      </c>
      <c r="E119" s="288">
        <v>109.95</v>
      </c>
      <c r="F119" s="288">
        <v>109.22</v>
      </c>
      <c r="G119" s="291">
        <v>1422.72</v>
      </c>
      <c r="H119" s="291">
        <v>2517.12</v>
      </c>
      <c r="I119" s="291">
        <v>2517.12</v>
      </c>
      <c r="J119" s="291">
        <v>1757.67</v>
      </c>
      <c r="K119" s="291">
        <v>2243.42</v>
      </c>
      <c r="L119" s="291">
        <v>2199</v>
      </c>
      <c r="M119" s="291">
        <v>1649.25</v>
      </c>
      <c r="N119" s="291">
        <v>1649.25</v>
      </c>
      <c r="O119" s="291">
        <v>1429.35</v>
      </c>
      <c r="P119" s="291">
        <v>1202.1500000000001</v>
      </c>
      <c r="Q119" s="291">
        <v>1092.2</v>
      </c>
      <c r="R119" s="291">
        <v>982.98</v>
      </c>
      <c r="S119" s="290">
        <v>20662.230000000003</v>
      </c>
      <c r="T119" s="290"/>
      <c r="U119" s="289">
        <v>13</v>
      </c>
      <c r="V119" s="289">
        <v>23</v>
      </c>
      <c r="W119" s="289">
        <v>23</v>
      </c>
      <c r="X119" s="289">
        <v>15.986084583901773</v>
      </c>
      <c r="Y119" s="289">
        <v>20.404001819008641</v>
      </c>
      <c r="Z119" s="289">
        <v>20</v>
      </c>
      <c r="AA119" s="289">
        <v>15</v>
      </c>
      <c r="AB119" s="289">
        <v>15</v>
      </c>
      <c r="AC119" s="289">
        <v>12.999999999999998</v>
      </c>
      <c r="AD119" s="289">
        <v>11.006683757553562</v>
      </c>
      <c r="AE119" s="289">
        <v>10</v>
      </c>
      <c r="AF119" s="289">
        <v>9</v>
      </c>
      <c r="AG119" s="289">
        <v>188.39677016046397</v>
      </c>
      <c r="AH119" s="289">
        <v>15.69973084670533</v>
      </c>
      <c r="AI119" s="337">
        <f>+SUMIFS(Mapping!L:L,Mapping!A:A,"COMMERCIAL",Mapping!D:D,'Murrey''s Price Out 2022'!C119)-AG119</f>
        <v>0</v>
      </c>
      <c r="AJ119" s="289"/>
      <c r="AL119" s="289"/>
      <c r="AM119" s="289"/>
      <c r="BF119" s="239"/>
      <c r="BG119" s="239"/>
      <c r="BH119" s="239">
        <v>0</v>
      </c>
      <c r="BI119" s="239">
        <v>0</v>
      </c>
      <c r="BJ119" s="104">
        <v>0</v>
      </c>
      <c r="BK119" s="79"/>
      <c r="BN119" s="288">
        <v>108.71</v>
      </c>
      <c r="BO119" s="108">
        <v>1.3268863122103398</v>
      </c>
      <c r="BP119" s="108">
        <v>249.98109559055703</v>
      </c>
      <c r="BQ119" s="108">
        <v>110.03688631221033</v>
      </c>
      <c r="BR119" s="95">
        <v>20912.211095590559</v>
      </c>
      <c r="BW119" s="288"/>
    </row>
    <row r="120" spans="1:75" s="286" customFormat="1" outlineLevel="1">
      <c r="A120" s="286" t="str">
        <f t="shared" si="5"/>
        <v>MURREYSCOMMERCIALCDEL</v>
      </c>
      <c r="B120" s="286" t="s">
        <v>420</v>
      </c>
      <c r="C120" s="286" t="s">
        <v>421</v>
      </c>
      <c r="D120" s="292">
        <v>42.63</v>
      </c>
      <c r="E120" s="288">
        <v>42.83</v>
      </c>
      <c r="F120" s="288">
        <v>42.83</v>
      </c>
      <c r="G120" s="291">
        <v>213.15</v>
      </c>
      <c r="H120" s="291">
        <v>213.15</v>
      </c>
      <c r="I120" s="291">
        <v>0</v>
      </c>
      <c r="J120" s="291">
        <v>42.83</v>
      </c>
      <c r="K120" s="291">
        <v>0</v>
      </c>
      <c r="L120" s="291">
        <v>85.66</v>
      </c>
      <c r="M120" s="291">
        <v>42.83</v>
      </c>
      <c r="N120" s="291">
        <v>0</v>
      </c>
      <c r="O120" s="291">
        <v>128.49</v>
      </c>
      <c r="P120" s="291">
        <v>85.66</v>
      </c>
      <c r="Q120" s="291">
        <v>214.15</v>
      </c>
      <c r="R120" s="291">
        <v>0</v>
      </c>
      <c r="S120" s="290">
        <v>1025.92</v>
      </c>
      <c r="T120" s="290"/>
      <c r="U120" s="289">
        <v>5</v>
      </c>
      <c r="V120" s="289">
        <v>5</v>
      </c>
      <c r="W120" s="289">
        <v>0</v>
      </c>
      <c r="X120" s="289">
        <v>1</v>
      </c>
      <c r="Y120" s="289">
        <v>0</v>
      </c>
      <c r="Z120" s="289">
        <v>2</v>
      </c>
      <c r="AA120" s="289">
        <v>1</v>
      </c>
      <c r="AB120" s="289">
        <v>0</v>
      </c>
      <c r="AC120" s="289">
        <v>3.0000000000000004</v>
      </c>
      <c r="AD120" s="289">
        <v>2</v>
      </c>
      <c r="AE120" s="289">
        <v>5</v>
      </c>
      <c r="AF120" s="289">
        <v>0</v>
      </c>
      <c r="AG120" s="289">
        <v>24</v>
      </c>
      <c r="AH120" s="289">
        <v>2</v>
      </c>
      <c r="AI120" s="337">
        <v>0</v>
      </c>
      <c r="AJ120" s="289"/>
      <c r="AL120" s="289"/>
      <c r="AM120" s="289"/>
      <c r="BF120" s="239"/>
      <c r="BG120" s="239"/>
      <c r="BH120" s="239"/>
      <c r="BI120" s="239"/>
      <c r="BJ120" s="104">
        <v>0</v>
      </c>
      <c r="BK120" s="79"/>
      <c r="BN120" s="288">
        <v>42.63</v>
      </c>
      <c r="BO120" s="108">
        <v>0.52033082043534895</v>
      </c>
      <c r="BP120" s="108">
        <v>12.487939690448375</v>
      </c>
      <c r="BQ120" s="108">
        <v>43.15033082043535</v>
      </c>
      <c r="BR120" s="95">
        <v>1038.4079396904485</v>
      </c>
      <c r="BW120" s="288"/>
    </row>
    <row r="121" spans="1:75" s="286" customFormat="1" outlineLevel="1">
      <c r="A121" s="286" t="str">
        <f t="shared" si="5"/>
        <v>MURREYSCOMMERCIALCEX</v>
      </c>
      <c r="B121" s="286" t="s">
        <v>422</v>
      </c>
      <c r="C121" s="286" t="s">
        <v>216</v>
      </c>
      <c r="D121" s="292">
        <v>4.8</v>
      </c>
      <c r="E121" s="288">
        <v>4.82</v>
      </c>
      <c r="F121" s="288">
        <v>4.79</v>
      </c>
      <c r="G121" s="291">
        <v>585.6</v>
      </c>
      <c r="H121" s="291">
        <v>835.2</v>
      </c>
      <c r="I121" s="291">
        <v>580.80000000000007</v>
      </c>
      <c r="J121" s="291">
        <v>558.76</v>
      </c>
      <c r="K121" s="291">
        <v>347.03999999999996</v>
      </c>
      <c r="L121" s="291">
        <v>727.81999999999994</v>
      </c>
      <c r="M121" s="291">
        <v>588.04</v>
      </c>
      <c r="N121" s="291">
        <v>371.14</v>
      </c>
      <c r="O121" s="291">
        <v>544.66</v>
      </c>
      <c r="P121" s="291">
        <v>704.25</v>
      </c>
      <c r="Q121" s="291">
        <v>196.39</v>
      </c>
      <c r="R121" s="291">
        <v>392.78</v>
      </c>
      <c r="S121" s="290">
        <v>6432.4800000000005</v>
      </c>
      <c r="T121" s="290"/>
      <c r="U121" s="289">
        <v>122.00000000000001</v>
      </c>
      <c r="V121" s="289">
        <v>174.00000000000003</v>
      </c>
      <c r="W121" s="289">
        <v>121.00000000000001</v>
      </c>
      <c r="X121" s="289">
        <v>115.9253112033195</v>
      </c>
      <c r="Y121" s="289">
        <v>71.999999999999986</v>
      </c>
      <c r="Z121" s="289">
        <v>150.99999999999997</v>
      </c>
      <c r="AA121" s="289">
        <v>121.99999999999999</v>
      </c>
      <c r="AB121" s="289">
        <v>76.999999999999986</v>
      </c>
      <c r="AC121" s="289">
        <v>112.99999999999999</v>
      </c>
      <c r="AD121" s="289">
        <v>147.02505219206679</v>
      </c>
      <c r="AE121" s="289">
        <v>41</v>
      </c>
      <c r="AF121" s="289">
        <v>82</v>
      </c>
      <c r="AG121" s="289">
        <v>1337.9503633953864</v>
      </c>
      <c r="AH121" s="289">
        <v>111.49586361628219</v>
      </c>
      <c r="AI121" s="337">
        <f>+SUMIFS(Mapping!L:L,Mapping!A:A,"COMMERCIAL",Mapping!D:D,'Murrey''s Price Out 2022'!C121)-AG121</f>
        <v>0</v>
      </c>
      <c r="AJ121" s="289"/>
      <c r="AL121" s="289"/>
      <c r="AM121" s="289"/>
      <c r="BF121" s="239"/>
      <c r="BG121" s="239"/>
      <c r="BH121" s="239"/>
      <c r="BI121" s="239"/>
      <c r="BJ121" s="104">
        <v>0</v>
      </c>
      <c r="BK121" s="79"/>
      <c r="BN121" s="288">
        <v>4.7699999999999996</v>
      </c>
      <c r="BO121" s="108">
        <v>5.8221393701070004E-2</v>
      </c>
      <c r="BP121" s="108">
        <v>77.897334859732467</v>
      </c>
      <c r="BQ121" s="108">
        <v>4.8282213937010692</v>
      </c>
      <c r="BR121" s="95">
        <v>6510.3773348597333</v>
      </c>
      <c r="BW121" s="288"/>
    </row>
    <row r="122" spans="1:75" s="286" customFormat="1" outlineLevel="1">
      <c r="A122" s="286" t="str">
        <f t="shared" si="5"/>
        <v>MURREYSCOMMERCIALCEXYD</v>
      </c>
      <c r="B122" s="286" t="s">
        <v>423</v>
      </c>
      <c r="C122" s="286" t="s">
        <v>217</v>
      </c>
      <c r="D122" s="292">
        <v>25.8</v>
      </c>
      <c r="E122" s="288">
        <v>25.92</v>
      </c>
      <c r="F122" s="288">
        <v>25.81</v>
      </c>
      <c r="G122" s="291">
        <v>11700.3</v>
      </c>
      <c r="H122" s="291">
        <v>16318.5</v>
      </c>
      <c r="I122" s="291">
        <v>10474.800000000001</v>
      </c>
      <c r="J122" s="291">
        <v>7914.5399999999991</v>
      </c>
      <c r="K122" s="291">
        <v>6920.6399999999994</v>
      </c>
      <c r="L122" s="291">
        <v>6104.1599999999989</v>
      </c>
      <c r="M122" s="291">
        <v>5196.96</v>
      </c>
      <c r="N122" s="291">
        <v>4885.92</v>
      </c>
      <c r="O122" s="291">
        <v>5248.8</v>
      </c>
      <c r="P122" s="291">
        <v>7228.24</v>
      </c>
      <c r="Q122" s="291">
        <v>10943.44</v>
      </c>
      <c r="R122" s="291">
        <v>17628.239999999998</v>
      </c>
      <c r="S122" s="290">
        <v>110564.54000000001</v>
      </c>
      <c r="T122" s="290"/>
      <c r="U122" s="289">
        <v>453.49999999999994</v>
      </c>
      <c r="V122" s="289">
        <v>632.5</v>
      </c>
      <c r="W122" s="289">
        <v>406.00000000000006</v>
      </c>
      <c r="X122" s="289">
        <v>305.34490740740733</v>
      </c>
      <c r="Y122" s="289">
        <v>266.99999999999994</v>
      </c>
      <c r="Z122" s="289">
        <v>235.49999999999994</v>
      </c>
      <c r="AA122" s="289">
        <v>200.5</v>
      </c>
      <c r="AB122" s="289">
        <v>188.5</v>
      </c>
      <c r="AC122" s="289">
        <v>202.5</v>
      </c>
      <c r="AD122" s="289">
        <v>280.05579232855484</v>
      </c>
      <c r="AE122" s="289">
        <v>424.00000000000006</v>
      </c>
      <c r="AF122" s="289">
        <v>683.00038744672599</v>
      </c>
      <c r="AG122" s="289">
        <v>4278.4010871826877</v>
      </c>
      <c r="AH122" s="289">
        <v>356.53342393189064</v>
      </c>
      <c r="AI122" s="337">
        <f>+SUMIFS(Mapping!L:L,Mapping!A:A,"COMMERCIAL",Mapping!D:D,'Murrey''s Price Out 2022'!C122)-AG122</f>
        <v>0</v>
      </c>
      <c r="AJ122" s="289"/>
      <c r="AL122" s="289"/>
      <c r="AM122" s="289"/>
      <c r="BF122" s="239"/>
      <c r="BG122" s="239"/>
      <c r="BH122" s="239"/>
      <c r="BI122" s="239"/>
      <c r="BJ122" s="104">
        <v>0</v>
      </c>
      <c r="BK122" s="79"/>
      <c r="BM122" s="294"/>
      <c r="BN122" s="288">
        <v>25.69</v>
      </c>
      <c r="BO122" s="108">
        <v>0.31356553546760768</v>
      </c>
      <c r="BP122" s="108">
        <v>1341.5591278476343</v>
      </c>
      <c r="BQ122" s="108">
        <v>26.003565535467608</v>
      </c>
      <c r="BR122" s="95">
        <v>111906.09912784764</v>
      </c>
      <c r="BW122" s="288"/>
    </row>
    <row r="123" spans="1:75" s="286" customFormat="1" outlineLevel="1">
      <c r="A123" s="286" t="str">
        <f t="shared" si="5"/>
        <v>MURREYSCOMMERCIALCLOCK</v>
      </c>
      <c r="B123" s="286" t="s">
        <v>424</v>
      </c>
      <c r="C123" s="286" t="s">
        <v>425</v>
      </c>
      <c r="D123" s="292">
        <v>4.72</v>
      </c>
      <c r="E123" s="288">
        <v>4.76</v>
      </c>
      <c r="F123" s="288">
        <v>4.76</v>
      </c>
      <c r="G123" s="291">
        <v>626.58000000000004</v>
      </c>
      <c r="H123" s="291">
        <v>633.07000000000005</v>
      </c>
      <c r="I123" s="291">
        <v>666.7</v>
      </c>
      <c r="J123" s="291">
        <v>706.86000000000013</v>
      </c>
      <c r="K123" s="291">
        <v>696.15000000000009</v>
      </c>
      <c r="L123" s="291">
        <v>727.09</v>
      </c>
      <c r="M123" s="291">
        <v>730.66000000000008</v>
      </c>
      <c r="N123" s="291">
        <v>752.07999999999993</v>
      </c>
      <c r="O123" s="291">
        <v>760.40999999999985</v>
      </c>
      <c r="P123" s="291">
        <v>772.31</v>
      </c>
      <c r="Q123" s="291">
        <v>781.83</v>
      </c>
      <c r="R123" s="291">
        <v>778.2600000000001</v>
      </c>
      <c r="S123" s="290">
        <v>8632</v>
      </c>
      <c r="T123" s="290"/>
      <c r="U123" s="289">
        <v>132.75000000000003</v>
      </c>
      <c r="V123" s="289">
        <v>134.12500000000003</v>
      </c>
      <c r="W123" s="289">
        <v>141.25000000000003</v>
      </c>
      <c r="X123" s="289">
        <v>148.50000000000003</v>
      </c>
      <c r="Y123" s="289">
        <v>146.25000000000003</v>
      </c>
      <c r="Z123" s="289">
        <v>152.75</v>
      </c>
      <c r="AA123" s="289">
        <v>153.50000000000003</v>
      </c>
      <c r="AB123" s="289">
        <v>158</v>
      </c>
      <c r="AC123" s="289">
        <v>159.74999999999997</v>
      </c>
      <c r="AD123" s="289">
        <v>162.25</v>
      </c>
      <c r="AE123" s="289">
        <v>164.25000000000003</v>
      </c>
      <c r="AF123" s="289">
        <v>163.50000000000003</v>
      </c>
      <c r="AG123" s="289">
        <v>1816.875</v>
      </c>
      <c r="AH123" s="289">
        <v>151.40625</v>
      </c>
      <c r="AI123" s="337">
        <v>0</v>
      </c>
      <c r="AJ123" s="289"/>
      <c r="AL123" s="289"/>
      <c r="AM123" s="289"/>
      <c r="BF123" s="239"/>
      <c r="BG123" s="239"/>
      <c r="BH123" s="239"/>
      <c r="BI123" s="239"/>
      <c r="BJ123" s="104">
        <v>0</v>
      </c>
      <c r="BK123" s="79"/>
      <c r="BM123" s="294"/>
      <c r="BN123" s="288">
        <v>4.7197000000000005</v>
      </c>
      <c r="BO123" s="108">
        <v>5.7607444832482216E-2</v>
      </c>
      <c r="BP123" s="108">
        <v>104.66552633001612</v>
      </c>
      <c r="BQ123" s="108">
        <v>4.7773074448324824</v>
      </c>
      <c r="BR123" s="95">
        <v>8736.6655263300163</v>
      </c>
      <c r="BW123" s="288"/>
    </row>
    <row r="124" spans="1:75" s="286" customFormat="1" outlineLevel="1">
      <c r="A124" s="286" t="str">
        <f t="shared" si="5"/>
        <v>MURREYSCOMMERCIALCROLL</v>
      </c>
      <c r="B124" s="286" t="s">
        <v>426</v>
      </c>
      <c r="C124" s="286" t="s">
        <v>427</v>
      </c>
      <c r="D124" s="292">
        <v>16.97</v>
      </c>
      <c r="E124" s="288">
        <v>17.059999999999999</v>
      </c>
      <c r="F124" s="288">
        <v>17.059999999999999</v>
      </c>
      <c r="G124" s="291">
        <v>1780.5600000000002</v>
      </c>
      <c r="H124" s="291">
        <v>1776.3100000000002</v>
      </c>
      <c r="I124" s="291">
        <v>1797.53</v>
      </c>
      <c r="J124" s="291">
        <v>1794.23</v>
      </c>
      <c r="K124" s="291">
        <v>1755.2600000000002</v>
      </c>
      <c r="L124" s="291">
        <v>1755.2600000000002</v>
      </c>
      <c r="M124" s="291">
        <v>1755.2600000000002</v>
      </c>
      <c r="N124" s="291">
        <v>1687.02</v>
      </c>
      <c r="O124" s="291">
        <v>1687.02</v>
      </c>
      <c r="P124" s="291">
        <v>1678.49</v>
      </c>
      <c r="Q124" s="291">
        <v>1695.55</v>
      </c>
      <c r="R124" s="291">
        <v>1704.08</v>
      </c>
      <c r="S124" s="290">
        <v>20866.57</v>
      </c>
      <c r="T124" s="290"/>
      <c r="U124" s="289">
        <v>104.92398350029465</v>
      </c>
      <c r="V124" s="289">
        <v>104.67354154390102</v>
      </c>
      <c r="W124" s="289">
        <v>105.92398350029464</v>
      </c>
      <c r="X124" s="289">
        <v>105.17174677608442</v>
      </c>
      <c r="Y124" s="289">
        <v>102.88745603751468</v>
      </c>
      <c r="Z124" s="289">
        <v>102.88745603751468</v>
      </c>
      <c r="AA124" s="289">
        <v>102.88745603751468</v>
      </c>
      <c r="AB124" s="289">
        <v>98.887456037514667</v>
      </c>
      <c r="AC124" s="289">
        <v>98.887456037514667</v>
      </c>
      <c r="AD124" s="289">
        <v>98.387456037514667</v>
      </c>
      <c r="AE124" s="289">
        <v>99.387456037514653</v>
      </c>
      <c r="AF124" s="289">
        <v>99.887456037514653</v>
      </c>
      <c r="AG124" s="289">
        <v>1224.792903620692</v>
      </c>
      <c r="AH124" s="289">
        <v>102.06607530172433</v>
      </c>
      <c r="AI124" s="337">
        <v>0</v>
      </c>
      <c r="AJ124" s="289"/>
      <c r="AL124" s="289"/>
      <c r="AM124" s="289"/>
      <c r="BF124" s="239"/>
      <c r="BG124" s="239"/>
      <c r="BH124" s="239"/>
      <c r="BI124" s="239"/>
      <c r="BJ124" s="104">
        <v>0</v>
      </c>
      <c r="BK124" s="79"/>
      <c r="BM124" s="294"/>
      <c r="BN124" s="288">
        <v>16.973600000000001</v>
      </c>
      <c r="BO124" s="108">
        <v>0.2071753979296608</v>
      </c>
      <c r="BP124" s="108">
        <v>253.74695718904152</v>
      </c>
      <c r="BQ124" s="108">
        <v>17.180775397929661</v>
      </c>
      <c r="BR124" s="95">
        <v>21120.316957189043</v>
      </c>
      <c r="BW124" s="288"/>
    </row>
    <row r="125" spans="1:75" s="286" customFormat="1" outlineLevel="1">
      <c r="A125" s="286" t="str">
        <f t="shared" si="5"/>
        <v>MURREYSCOMMERCIALCTDEL</v>
      </c>
      <c r="B125" s="286" t="s">
        <v>428</v>
      </c>
      <c r="C125" s="286" t="s">
        <v>429</v>
      </c>
      <c r="D125" s="292">
        <v>42.63</v>
      </c>
      <c r="E125" s="288">
        <v>42.83</v>
      </c>
      <c r="F125" s="288">
        <v>42.83</v>
      </c>
      <c r="G125" s="291">
        <v>511.56</v>
      </c>
      <c r="H125" s="291">
        <v>1151.01</v>
      </c>
      <c r="I125" s="291">
        <v>844</v>
      </c>
      <c r="J125" s="291">
        <v>513.96</v>
      </c>
      <c r="K125" s="291">
        <v>856.6</v>
      </c>
      <c r="L125" s="291">
        <v>728.11</v>
      </c>
      <c r="M125" s="291">
        <v>299.81</v>
      </c>
      <c r="N125" s="291">
        <v>428.3</v>
      </c>
      <c r="O125" s="291">
        <v>599.62</v>
      </c>
      <c r="P125" s="291">
        <v>856.6</v>
      </c>
      <c r="Q125" s="291">
        <v>728.11</v>
      </c>
      <c r="R125" s="291">
        <v>599.62</v>
      </c>
      <c r="S125" s="290">
        <v>8117.3</v>
      </c>
      <c r="T125" s="290"/>
      <c r="U125" s="289">
        <v>12</v>
      </c>
      <c r="V125" s="289">
        <v>26.999999999999996</v>
      </c>
      <c r="W125" s="289">
        <v>19.798264133239503</v>
      </c>
      <c r="X125" s="289">
        <v>12.000000000000002</v>
      </c>
      <c r="Y125" s="289">
        <v>20</v>
      </c>
      <c r="Z125" s="289">
        <v>17</v>
      </c>
      <c r="AA125" s="289">
        <v>7</v>
      </c>
      <c r="AB125" s="289">
        <v>10</v>
      </c>
      <c r="AC125" s="289">
        <v>14</v>
      </c>
      <c r="AD125" s="289">
        <v>20</v>
      </c>
      <c r="AE125" s="289">
        <v>17</v>
      </c>
      <c r="AF125" s="289">
        <v>14</v>
      </c>
      <c r="AG125" s="289">
        <v>189.79826413323951</v>
      </c>
      <c r="AH125" s="289">
        <v>15.816522011103293</v>
      </c>
      <c r="AI125" s="337">
        <v>0</v>
      </c>
      <c r="AJ125" s="289"/>
      <c r="AL125" s="289"/>
      <c r="AM125" s="289"/>
      <c r="BF125" s="239"/>
      <c r="BG125" s="239"/>
      <c r="BH125" s="239"/>
      <c r="BI125" s="239"/>
      <c r="BJ125" s="104">
        <v>0</v>
      </c>
      <c r="BK125" s="79"/>
      <c r="BN125" s="288">
        <v>42.63</v>
      </c>
      <c r="BO125" s="108">
        <v>0.52033082043534895</v>
      </c>
      <c r="BP125" s="108">
        <v>98.757886493653587</v>
      </c>
      <c r="BQ125" s="108">
        <v>43.15033082043535</v>
      </c>
      <c r="BR125" s="95">
        <v>8216.0578864936542</v>
      </c>
      <c r="BW125" s="288"/>
    </row>
    <row r="126" spans="1:75" s="286" customFormat="1" outlineLevel="1">
      <c r="A126" s="286" t="str">
        <f t="shared" si="5"/>
        <v>MURREYSCOMMERCIALCTRIP</v>
      </c>
      <c r="B126" s="286" t="s">
        <v>430</v>
      </c>
      <c r="C126" s="286" t="s">
        <v>431</v>
      </c>
      <c r="D126" s="292">
        <v>16.8</v>
      </c>
      <c r="E126" s="288">
        <v>16.88</v>
      </c>
      <c r="F126" s="288">
        <v>16.88</v>
      </c>
      <c r="G126" s="291">
        <v>319.05</v>
      </c>
      <c r="H126" s="291">
        <v>268.79999999999995</v>
      </c>
      <c r="I126" s="291">
        <v>168</v>
      </c>
      <c r="J126" s="291">
        <v>219.44</v>
      </c>
      <c r="K126" s="291">
        <v>320.71999999999997</v>
      </c>
      <c r="L126" s="291">
        <v>168.79999999999998</v>
      </c>
      <c r="M126" s="291">
        <v>168.8</v>
      </c>
      <c r="N126" s="291">
        <v>286.95999999999998</v>
      </c>
      <c r="O126" s="291">
        <v>261.05</v>
      </c>
      <c r="P126" s="291">
        <v>354.48</v>
      </c>
      <c r="Q126" s="291">
        <v>288.84000000000003</v>
      </c>
      <c r="R126" s="291">
        <v>219.44</v>
      </c>
      <c r="S126" s="290">
        <v>3044.38</v>
      </c>
      <c r="T126" s="290"/>
      <c r="U126" s="289">
        <v>18.991071428571427</v>
      </c>
      <c r="V126" s="289">
        <v>15.999999999999996</v>
      </c>
      <c r="W126" s="289">
        <v>10</v>
      </c>
      <c r="X126" s="289">
        <v>13</v>
      </c>
      <c r="Y126" s="289">
        <v>19</v>
      </c>
      <c r="Z126" s="289">
        <v>10</v>
      </c>
      <c r="AA126" s="289">
        <v>10.000000000000002</v>
      </c>
      <c r="AB126" s="289">
        <v>17</v>
      </c>
      <c r="AC126" s="289">
        <v>15.46504739336493</v>
      </c>
      <c r="AD126" s="289">
        <v>21.000000000000004</v>
      </c>
      <c r="AE126" s="289">
        <v>17.111374407582943</v>
      </c>
      <c r="AF126" s="289">
        <v>13</v>
      </c>
      <c r="AG126" s="289">
        <v>180.5674932295193</v>
      </c>
      <c r="AH126" s="289">
        <v>15.047291102459942</v>
      </c>
      <c r="AI126" s="337">
        <v>0</v>
      </c>
      <c r="AJ126" s="289"/>
      <c r="AL126" s="289"/>
      <c r="AM126" s="289"/>
      <c r="BF126" s="239"/>
      <c r="BG126" s="239"/>
      <c r="BH126" s="239"/>
      <c r="BI126" s="239"/>
      <c r="BJ126" s="104">
        <v>0</v>
      </c>
      <c r="BK126" s="79"/>
      <c r="BN126" s="288">
        <v>16.8</v>
      </c>
      <c r="BO126" s="108">
        <v>0.20505648095974344</v>
      </c>
      <c r="BP126" s="108">
        <v>37.026534737367527</v>
      </c>
      <c r="BQ126" s="108">
        <v>17.005056480959745</v>
      </c>
      <c r="BR126" s="95">
        <v>3081.4065347373676</v>
      </c>
      <c r="BW126" s="288"/>
    </row>
    <row r="127" spans="1:75" s="286" customFormat="1" outlineLevel="1">
      <c r="A127" s="286" t="str">
        <f t="shared" si="5"/>
        <v>MURREYSCOMMERCIALCUNLOCK</v>
      </c>
      <c r="B127" s="286" t="s">
        <v>432</v>
      </c>
      <c r="C127" s="286" t="s">
        <v>433</v>
      </c>
      <c r="D127" s="292">
        <v>4.72</v>
      </c>
      <c r="E127" s="288">
        <v>4.76</v>
      </c>
      <c r="F127" s="288">
        <v>4.76</v>
      </c>
      <c r="G127" s="291">
        <v>0</v>
      </c>
      <c r="H127" s="291">
        <v>0</v>
      </c>
      <c r="I127" s="291">
        <v>0</v>
      </c>
      <c r="J127" s="291">
        <v>0</v>
      </c>
      <c r="K127" s="291">
        <v>4.76</v>
      </c>
      <c r="L127" s="291">
        <v>4.76</v>
      </c>
      <c r="M127" s="291">
        <v>4.76</v>
      </c>
      <c r="N127" s="291">
        <v>4.76</v>
      </c>
      <c r="O127" s="291">
        <v>4.76</v>
      </c>
      <c r="P127" s="291">
        <v>4.76</v>
      </c>
      <c r="Q127" s="291">
        <v>4.76</v>
      </c>
      <c r="R127" s="291">
        <v>4.76</v>
      </c>
      <c r="S127" s="290">
        <v>38.079999999999991</v>
      </c>
      <c r="T127" s="290"/>
      <c r="U127" s="289">
        <v>0</v>
      </c>
      <c r="V127" s="289">
        <v>0</v>
      </c>
      <c r="W127" s="289">
        <v>0</v>
      </c>
      <c r="X127" s="289">
        <v>0</v>
      </c>
      <c r="Y127" s="289">
        <v>1</v>
      </c>
      <c r="Z127" s="289">
        <v>1</v>
      </c>
      <c r="AA127" s="289">
        <v>1</v>
      </c>
      <c r="AB127" s="289">
        <v>1</v>
      </c>
      <c r="AC127" s="289">
        <v>1</v>
      </c>
      <c r="AD127" s="289">
        <v>1</v>
      </c>
      <c r="AE127" s="289">
        <v>1</v>
      </c>
      <c r="AF127" s="289">
        <v>1</v>
      </c>
      <c r="AG127" s="289">
        <v>8</v>
      </c>
      <c r="AH127" s="289">
        <v>0.66666666666666663</v>
      </c>
      <c r="AI127" s="337">
        <v>0</v>
      </c>
      <c r="AJ127" s="289"/>
      <c r="AL127" s="289"/>
      <c r="AM127" s="289">
        <v>2080</v>
      </c>
      <c r="BF127" s="239"/>
      <c r="BG127" s="239"/>
      <c r="BH127" s="239"/>
      <c r="BI127" s="239"/>
      <c r="BJ127" s="104">
        <v>0</v>
      </c>
      <c r="BK127" s="79"/>
      <c r="BN127" s="288">
        <v>4.7197000000000005</v>
      </c>
      <c r="BO127" s="108">
        <v>5.7607444832482216E-2</v>
      </c>
      <c r="BP127" s="108">
        <v>0.46085955865985767</v>
      </c>
      <c r="BQ127" s="108">
        <v>4.7773074448324824</v>
      </c>
      <c r="BR127" s="95">
        <v>38.540859558659847</v>
      </c>
      <c r="BW127" s="288"/>
    </row>
    <row r="128" spans="1:75" s="286" customFormat="1" outlineLevel="1">
      <c r="A128" s="286" t="str">
        <f t="shared" si="5"/>
        <v>MURREYSCOMMERCIALDRVNC</v>
      </c>
      <c r="B128" s="286" t="s">
        <v>434</v>
      </c>
      <c r="C128" s="286" t="s">
        <v>435</v>
      </c>
      <c r="D128" s="292">
        <v>5.0199999999999996</v>
      </c>
      <c r="E128" s="288">
        <v>5.07</v>
      </c>
      <c r="F128" s="288">
        <v>5.07</v>
      </c>
      <c r="G128" s="291">
        <v>70.28</v>
      </c>
      <c r="H128" s="291">
        <v>70.28</v>
      </c>
      <c r="I128" s="291">
        <v>70.28</v>
      </c>
      <c r="J128" s="291">
        <v>70.98</v>
      </c>
      <c r="K128" s="291">
        <v>70.98</v>
      </c>
      <c r="L128" s="291">
        <v>70.98</v>
      </c>
      <c r="M128" s="291">
        <v>70.98</v>
      </c>
      <c r="N128" s="291">
        <v>76.05</v>
      </c>
      <c r="O128" s="291">
        <v>76.05</v>
      </c>
      <c r="P128" s="291">
        <v>76.05</v>
      </c>
      <c r="Q128" s="291">
        <v>81.12</v>
      </c>
      <c r="R128" s="291">
        <v>81.12</v>
      </c>
      <c r="S128" s="290">
        <v>885.15</v>
      </c>
      <c r="T128" s="290"/>
      <c r="U128" s="289">
        <v>14.000000000000002</v>
      </c>
      <c r="V128" s="289">
        <v>14.000000000000002</v>
      </c>
      <c r="W128" s="289">
        <v>14.000000000000002</v>
      </c>
      <c r="X128" s="289">
        <v>14</v>
      </c>
      <c r="Y128" s="289">
        <v>14</v>
      </c>
      <c r="Z128" s="289">
        <v>14</v>
      </c>
      <c r="AA128" s="289">
        <v>14</v>
      </c>
      <c r="AB128" s="289">
        <v>14.999999999999998</v>
      </c>
      <c r="AC128" s="289">
        <v>14.999999999999998</v>
      </c>
      <c r="AD128" s="289">
        <v>14.999999999999998</v>
      </c>
      <c r="AE128" s="289">
        <v>16</v>
      </c>
      <c r="AF128" s="289">
        <v>16</v>
      </c>
      <c r="AG128" s="289">
        <v>175</v>
      </c>
      <c r="AH128" s="289">
        <v>14.583333333333334</v>
      </c>
      <c r="AI128" s="337">
        <v>0</v>
      </c>
      <c r="AJ128" s="289"/>
      <c r="AL128" s="289"/>
      <c r="AM128" s="289"/>
      <c r="BD128" s="293"/>
      <c r="BE128" s="293"/>
      <c r="BF128" s="239"/>
      <c r="BG128" s="239"/>
      <c r="BH128" s="239"/>
      <c r="BI128" s="239"/>
      <c r="BJ128" s="104">
        <v>0</v>
      </c>
      <c r="BK128" s="79"/>
      <c r="BM128" s="292"/>
      <c r="BN128" s="288">
        <v>5.04</v>
      </c>
      <c r="BO128" s="108">
        <v>6.151694428792303E-2</v>
      </c>
      <c r="BP128" s="108">
        <v>10.76546525038653</v>
      </c>
      <c r="BQ128" s="108">
        <v>5.1015169442879227</v>
      </c>
      <c r="BR128" s="95">
        <v>895.91546525038655</v>
      </c>
      <c r="BW128" s="288"/>
    </row>
    <row r="129" spans="1:83" s="286" customFormat="1" outlineLevel="1">
      <c r="A129" s="286" t="str">
        <f t="shared" si="5"/>
        <v>MURREYSCOMMERCIALTIMEC</v>
      </c>
      <c r="B129" s="286" t="s">
        <v>436</v>
      </c>
      <c r="C129" s="286" t="s">
        <v>437</v>
      </c>
      <c r="D129" s="292">
        <v>101.39</v>
      </c>
      <c r="E129" s="288">
        <v>101.86</v>
      </c>
      <c r="F129" s="288">
        <v>101.86</v>
      </c>
      <c r="G129" s="291">
        <v>1064.6199999999999</v>
      </c>
      <c r="H129" s="291">
        <v>202.8</v>
      </c>
      <c r="I129" s="291">
        <v>101.4</v>
      </c>
      <c r="J129" s="291">
        <v>127.35</v>
      </c>
      <c r="K129" s="291">
        <v>4354.58</v>
      </c>
      <c r="L129" s="291">
        <v>202.99</v>
      </c>
      <c r="M129" s="291">
        <v>2979.46</v>
      </c>
      <c r="N129" s="291">
        <v>1426.05</v>
      </c>
      <c r="O129" s="291">
        <v>2037.24</v>
      </c>
      <c r="P129" s="291">
        <v>3539.69</v>
      </c>
      <c r="Q129" s="291">
        <v>1689.24</v>
      </c>
      <c r="R129" s="291">
        <v>50.94</v>
      </c>
      <c r="S129" s="290">
        <v>17776.36</v>
      </c>
      <c r="T129" s="290"/>
      <c r="U129" s="289">
        <v>10.500246572640298</v>
      </c>
      <c r="V129" s="289">
        <v>2.00019725811224</v>
      </c>
      <c r="W129" s="289">
        <v>1.00009862905612</v>
      </c>
      <c r="X129" s="289">
        <v>1.2502454349106615</v>
      </c>
      <c r="Y129" s="289">
        <v>42.750638130767719</v>
      </c>
      <c r="Z129" s="289">
        <v>1.9928333006086787</v>
      </c>
      <c r="AA129" s="289">
        <v>29.250539956803458</v>
      </c>
      <c r="AB129" s="289">
        <v>14.000098173964265</v>
      </c>
      <c r="AC129" s="289">
        <v>20.000392695857059</v>
      </c>
      <c r="AD129" s="289">
        <v>34.750539956803458</v>
      </c>
      <c r="AE129" s="289">
        <v>16.5839387394463</v>
      </c>
      <c r="AF129" s="289">
        <v>0.5000981739642647</v>
      </c>
      <c r="AG129" s="289">
        <v>174.57986702293451</v>
      </c>
      <c r="AH129" s="289">
        <v>14.548322251911209</v>
      </c>
      <c r="AI129" s="337">
        <v>0</v>
      </c>
      <c r="AJ129" s="289"/>
      <c r="AL129" s="289"/>
      <c r="AM129" s="289"/>
      <c r="BF129" s="239"/>
      <c r="BG129" s="239"/>
      <c r="BH129" s="239"/>
      <c r="BI129" s="239"/>
      <c r="BJ129" s="104">
        <v>0</v>
      </c>
      <c r="BK129" s="79"/>
      <c r="BN129" s="288">
        <v>101.39</v>
      </c>
      <c r="BO129" s="108">
        <v>1.2375402740778803</v>
      </c>
      <c r="BP129" s="108">
        <v>216.04961648404228</v>
      </c>
      <c r="BQ129" s="108">
        <v>102.62754027407789</v>
      </c>
      <c r="BR129" s="95">
        <v>17992.409616484041</v>
      </c>
      <c r="BW129" s="288"/>
    </row>
    <row r="130" spans="1:83" s="286" customFormat="1" outlineLevel="1">
      <c r="A130" s="286" t="str">
        <f t="shared" si="5"/>
        <v>MURREYSCOMMERCIALBULKY-COM</v>
      </c>
      <c r="B130" s="286" t="s">
        <v>695</v>
      </c>
      <c r="C130" s="286" t="s">
        <v>694</v>
      </c>
      <c r="D130" s="292">
        <v>25.8</v>
      </c>
      <c r="E130" s="288">
        <v>25.92</v>
      </c>
      <c r="F130" s="288">
        <v>25.81</v>
      </c>
      <c r="G130" s="291">
        <v>102.04</v>
      </c>
      <c r="H130" s="291">
        <v>0</v>
      </c>
      <c r="I130" s="291">
        <v>77.400000000000006</v>
      </c>
      <c r="J130" s="291">
        <v>25.92</v>
      </c>
      <c r="K130" s="291">
        <v>171.6</v>
      </c>
      <c r="L130" s="291">
        <v>0</v>
      </c>
      <c r="M130" s="291">
        <v>91</v>
      </c>
      <c r="N130" s="291">
        <v>0</v>
      </c>
      <c r="O130" s="291">
        <v>0</v>
      </c>
      <c r="P130" s="291">
        <v>0</v>
      </c>
      <c r="Q130" s="291">
        <v>0</v>
      </c>
      <c r="R130" s="291">
        <v>154.86000000000001</v>
      </c>
      <c r="S130" s="290">
        <v>622.82000000000005</v>
      </c>
      <c r="T130" s="290"/>
      <c r="U130" s="289">
        <v>3.9550387596899226</v>
      </c>
      <c r="V130" s="289">
        <v>0</v>
      </c>
      <c r="W130" s="289">
        <v>3</v>
      </c>
      <c r="X130" s="289">
        <v>1</v>
      </c>
      <c r="Y130" s="289">
        <v>6.6203703703703694</v>
      </c>
      <c r="Z130" s="289">
        <v>0</v>
      </c>
      <c r="AA130" s="289">
        <v>3.5108024691358022</v>
      </c>
      <c r="AB130" s="289">
        <v>0</v>
      </c>
      <c r="AC130" s="289">
        <v>0</v>
      </c>
      <c r="AD130" s="289">
        <v>0</v>
      </c>
      <c r="AE130" s="289">
        <v>0</v>
      </c>
      <c r="AF130" s="289">
        <v>6.0000000000000009</v>
      </c>
      <c r="AG130" s="289">
        <v>24.086211599196094</v>
      </c>
      <c r="AH130" s="289">
        <v>2.0071842999330078</v>
      </c>
      <c r="AI130" s="337">
        <v>0</v>
      </c>
      <c r="AJ130" s="289"/>
      <c r="AL130" s="289"/>
      <c r="AM130" s="289"/>
      <c r="BF130" s="239"/>
      <c r="BG130" s="239"/>
      <c r="BH130" s="239"/>
      <c r="BI130" s="239"/>
      <c r="BJ130" s="104">
        <v>0</v>
      </c>
      <c r="BK130" s="79"/>
      <c r="BN130" s="288">
        <v>25.69</v>
      </c>
      <c r="BO130" s="108">
        <v>0.31356553546760768</v>
      </c>
      <c r="BP130" s="108">
        <v>7.5526058374880254</v>
      </c>
      <c r="BQ130" s="108">
        <v>26.003565535467608</v>
      </c>
      <c r="BR130" s="95">
        <v>630.37260583748809</v>
      </c>
      <c r="BW130" s="288"/>
    </row>
    <row r="131" spans="1:83" s="286" customFormat="1" outlineLevel="1">
      <c r="A131" s="286" t="str">
        <f t="shared" si="5"/>
        <v>MURREYSCOMMERCIALCGATE</v>
      </c>
      <c r="B131" s="286" t="s">
        <v>693</v>
      </c>
      <c r="C131" s="286" t="s">
        <v>692</v>
      </c>
      <c r="D131" s="292">
        <v>0</v>
      </c>
      <c r="E131" s="288">
        <v>0</v>
      </c>
      <c r="F131" s="288">
        <v>0</v>
      </c>
      <c r="G131" s="291">
        <v>4.72</v>
      </c>
      <c r="H131" s="291">
        <v>4.72</v>
      </c>
      <c r="I131" s="291">
        <v>4.72</v>
      </c>
      <c r="J131" s="291">
        <v>4.72</v>
      </c>
      <c r="K131" s="291">
        <v>4.72</v>
      </c>
      <c r="L131" s="291">
        <v>4.72</v>
      </c>
      <c r="M131" s="291">
        <v>4.72</v>
      </c>
      <c r="N131" s="291">
        <v>0</v>
      </c>
      <c r="O131" s="291">
        <v>4.72</v>
      </c>
      <c r="P131" s="291">
        <v>4.72</v>
      </c>
      <c r="Q131" s="291">
        <v>0</v>
      </c>
      <c r="R131" s="291">
        <v>0</v>
      </c>
      <c r="S131" s="290">
        <v>42.48</v>
      </c>
      <c r="T131" s="290"/>
      <c r="U131" s="289">
        <v>0</v>
      </c>
      <c r="V131" s="289">
        <v>0</v>
      </c>
      <c r="W131" s="289">
        <v>0</v>
      </c>
      <c r="X131" s="289">
        <v>0</v>
      </c>
      <c r="Y131" s="289">
        <v>0</v>
      </c>
      <c r="Z131" s="289">
        <v>0</v>
      </c>
      <c r="AA131" s="289">
        <v>0</v>
      </c>
      <c r="AB131" s="289">
        <v>0</v>
      </c>
      <c r="AC131" s="289">
        <v>0</v>
      </c>
      <c r="AD131" s="289">
        <v>0</v>
      </c>
      <c r="AE131" s="289">
        <v>0</v>
      </c>
      <c r="AF131" s="289">
        <v>0</v>
      </c>
      <c r="AG131" s="289">
        <v>0</v>
      </c>
      <c r="AH131" s="289">
        <v>0</v>
      </c>
      <c r="AI131" s="337">
        <v>0</v>
      </c>
      <c r="AJ131" s="289"/>
      <c r="AL131" s="289"/>
      <c r="AM131" s="289"/>
      <c r="BF131" s="239"/>
      <c r="BG131" s="239"/>
      <c r="BH131" s="239"/>
      <c r="BI131" s="239"/>
      <c r="BJ131" s="104">
        <v>0</v>
      </c>
      <c r="BK131" s="79"/>
      <c r="BN131" s="288"/>
      <c r="BO131" s="108">
        <v>0</v>
      </c>
      <c r="BP131" s="108">
        <v>0</v>
      </c>
      <c r="BQ131" s="108">
        <v>0</v>
      </c>
      <c r="BR131" s="95">
        <v>42.48</v>
      </c>
      <c r="BW131" s="288"/>
    </row>
    <row r="132" spans="1:83" s="286" customFormat="1" outlineLevel="1">
      <c r="A132" s="286" t="str">
        <f t="shared" si="5"/>
        <v>MURREYSCOMMERCIALCTRIPCAN</v>
      </c>
      <c r="B132" s="286" t="s">
        <v>691</v>
      </c>
      <c r="C132" s="286" t="s">
        <v>690</v>
      </c>
      <c r="D132" s="292">
        <v>8.99</v>
      </c>
      <c r="E132" s="288">
        <v>9.0299999999999994</v>
      </c>
      <c r="F132" s="288">
        <v>9.0299999999999994</v>
      </c>
      <c r="G132" s="291">
        <v>-8.99</v>
      </c>
      <c r="H132" s="291">
        <v>0</v>
      </c>
      <c r="I132" s="291">
        <v>-8.9899999999999967</v>
      </c>
      <c r="J132" s="291">
        <v>-9.3600000000000012</v>
      </c>
      <c r="K132" s="291">
        <v>9.0299999999999994</v>
      </c>
      <c r="L132" s="291">
        <v>0</v>
      </c>
      <c r="M132" s="291">
        <v>0</v>
      </c>
      <c r="N132" s="291">
        <v>0</v>
      </c>
      <c r="O132" s="291">
        <v>-9.0299999999999994</v>
      </c>
      <c r="P132" s="291">
        <v>0</v>
      </c>
      <c r="Q132" s="291">
        <v>-9.0299999999999994</v>
      </c>
      <c r="R132" s="291">
        <v>-9.0299999999999994</v>
      </c>
      <c r="S132" s="290">
        <v>-45.4</v>
      </c>
      <c r="T132" s="290"/>
      <c r="U132" s="289">
        <v>-1</v>
      </c>
      <c r="V132" s="289">
        <v>0</v>
      </c>
      <c r="W132" s="289">
        <v>-0.99999999999999956</v>
      </c>
      <c r="X132" s="289">
        <v>-1.036544850498339</v>
      </c>
      <c r="Y132" s="289">
        <v>1</v>
      </c>
      <c r="Z132" s="289">
        <v>0</v>
      </c>
      <c r="AA132" s="289">
        <v>0</v>
      </c>
      <c r="AB132" s="289">
        <v>0</v>
      </c>
      <c r="AC132" s="289">
        <v>-1</v>
      </c>
      <c r="AD132" s="289">
        <v>0</v>
      </c>
      <c r="AE132" s="289">
        <v>-1</v>
      </c>
      <c r="AF132" s="289">
        <v>-1</v>
      </c>
      <c r="AG132" s="289">
        <v>-5.0365448504983386</v>
      </c>
      <c r="AH132" s="289">
        <v>-0.41971207087486156</v>
      </c>
      <c r="AI132" s="337">
        <v>0</v>
      </c>
      <c r="AJ132" s="289"/>
      <c r="AL132" s="289"/>
      <c r="AM132" s="289"/>
      <c r="BF132" s="239"/>
      <c r="BG132" s="239"/>
      <c r="BH132" s="239"/>
      <c r="BI132" s="239"/>
      <c r="BJ132" s="104">
        <v>0</v>
      </c>
      <c r="BK132" s="79"/>
      <c r="BN132" s="288">
        <v>8.99</v>
      </c>
      <c r="BO132" s="108">
        <v>0.10972962879929128</v>
      </c>
      <c r="BP132" s="108">
        <v>-0.5526581968761648</v>
      </c>
      <c r="BQ132" s="108">
        <v>9.0997296287992917</v>
      </c>
      <c r="BR132" s="95">
        <v>-45.952658196876165</v>
      </c>
      <c r="BW132" s="288"/>
    </row>
    <row r="133" spans="1:83" s="286" customFormat="1" outlineLevel="1">
      <c r="A133" s="286" t="str">
        <f t="shared" si="5"/>
        <v>MURREYSCOMMERCIALRESTART FEE-COM</v>
      </c>
      <c r="B133" s="286" t="s">
        <v>689</v>
      </c>
      <c r="C133" s="286" t="s">
        <v>328</v>
      </c>
      <c r="D133" s="292">
        <v>11.22</v>
      </c>
      <c r="E133" s="288">
        <v>11.27</v>
      </c>
      <c r="F133" s="288">
        <v>11.27</v>
      </c>
      <c r="G133" s="291">
        <v>201.96</v>
      </c>
      <c r="H133" s="291">
        <v>179.52</v>
      </c>
      <c r="I133" s="291">
        <v>123.42</v>
      </c>
      <c r="J133" s="291">
        <v>247.94</v>
      </c>
      <c r="K133" s="291">
        <v>180.32</v>
      </c>
      <c r="L133" s="291">
        <v>247.94</v>
      </c>
      <c r="M133" s="291">
        <v>146.51</v>
      </c>
      <c r="N133" s="291">
        <v>202.85999999999999</v>
      </c>
      <c r="O133" s="291">
        <v>225.4</v>
      </c>
      <c r="P133" s="291">
        <v>247.94</v>
      </c>
      <c r="Q133" s="291">
        <v>214.13</v>
      </c>
      <c r="R133" s="291">
        <v>123.97</v>
      </c>
      <c r="S133" s="290">
        <v>2341.91</v>
      </c>
      <c r="T133" s="290"/>
      <c r="U133" s="289">
        <v>18</v>
      </c>
      <c r="V133" s="289">
        <v>16</v>
      </c>
      <c r="W133" s="289">
        <v>11</v>
      </c>
      <c r="X133" s="289">
        <v>22</v>
      </c>
      <c r="Y133" s="289">
        <v>16</v>
      </c>
      <c r="Z133" s="289">
        <v>22</v>
      </c>
      <c r="AA133" s="289">
        <v>13</v>
      </c>
      <c r="AB133" s="289">
        <v>18</v>
      </c>
      <c r="AC133" s="289">
        <v>20</v>
      </c>
      <c r="AD133" s="289">
        <v>22</v>
      </c>
      <c r="AE133" s="289">
        <v>19</v>
      </c>
      <c r="AF133" s="289">
        <v>11</v>
      </c>
      <c r="AG133" s="289">
        <v>208</v>
      </c>
      <c r="AH133" s="289">
        <v>17.333333333333332</v>
      </c>
      <c r="AI133" s="337">
        <v>0</v>
      </c>
      <c r="AJ133" s="289"/>
      <c r="AL133" s="289"/>
      <c r="AM133" s="289"/>
      <c r="BF133" s="239"/>
      <c r="BG133" s="239"/>
      <c r="BH133" s="239"/>
      <c r="BI133" s="239"/>
      <c r="BJ133" s="104">
        <v>0</v>
      </c>
      <c r="BK133" s="79"/>
      <c r="BN133" s="288">
        <v>11.22</v>
      </c>
      <c r="BO133" s="108">
        <v>0.13694843549811436</v>
      </c>
      <c r="BP133" s="108">
        <v>28.485274583607783</v>
      </c>
      <c r="BQ133" s="108">
        <v>11.356948435498115</v>
      </c>
      <c r="BR133" s="95">
        <v>2370.3952745836077</v>
      </c>
      <c r="BW133" s="288"/>
    </row>
    <row r="134" spans="1:83" s="286" customFormat="1" outlineLevel="1">
      <c r="A134" s="286" t="str">
        <f t="shared" si="5"/>
        <v>MURREYSCOMMERCIALADJCOM</v>
      </c>
      <c r="B134" s="286" t="s">
        <v>418</v>
      </c>
      <c r="C134" s="286" t="s">
        <v>419</v>
      </c>
      <c r="D134" s="292">
        <v>0</v>
      </c>
      <c r="E134" s="288">
        <v>0</v>
      </c>
      <c r="F134" s="288">
        <v>0</v>
      </c>
      <c r="G134" s="291">
        <v>0</v>
      </c>
      <c r="H134" s="291">
        <v>-1.460000000000008</v>
      </c>
      <c r="I134" s="291">
        <v>-11.46999999999997</v>
      </c>
      <c r="J134" s="291">
        <v>0</v>
      </c>
      <c r="K134" s="291">
        <v>0</v>
      </c>
      <c r="L134" s="291">
        <v>0</v>
      </c>
      <c r="M134" s="291">
        <v>0</v>
      </c>
      <c r="N134" s="291">
        <v>0</v>
      </c>
      <c r="O134" s="291">
        <v>0</v>
      </c>
      <c r="P134" s="291">
        <v>0</v>
      </c>
      <c r="Q134" s="291">
        <v>0</v>
      </c>
      <c r="R134" s="291">
        <v>0</v>
      </c>
      <c r="S134" s="290">
        <v>-12.929999999999978</v>
      </c>
      <c r="T134" s="290"/>
      <c r="U134" s="289">
        <v>0</v>
      </c>
      <c r="V134" s="289">
        <v>0</v>
      </c>
      <c r="W134" s="289">
        <v>0</v>
      </c>
      <c r="X134" s="289">
        <v>0</v>
      </c>
      <c r="Y134" s="289">
        <v>0</v>
      </c>
      <c r="Z134" s="289">
        <v>0</v>
      </c>
      <c r="AA134" s="289">
        <v>0</v>
      </c>
      <c r="AB134" s="289">
        <v>0</v>
      </c>
      <c r="AC134" s="289">
        <v>0</v>
      </c>
      <c r="AD134" s="289">
        <v>0</v>
      </c>
      <c r="AE134" s="289">
        <v>0</v>
      </c>
      <c r="AF134" s="289">
        <v>0</v>
      </c>
      <c r="AG134" s="289">
        <v>0</v>
      </c>
      <c r="AH134" s="289">
        <v>0</v>
      </c>
      <c r="AI134" s="340"/>
      <c r="AJ134" s="289"/>
      <c r="AL134" s="289"/>
      <c r="AM134" s="289"/>
      <c r="BF134" s="239"/>
      <c r="BG134" s="239"/>
      <c r="BH134" s="239"/>
      <c r="BI134" s="239"/>
      <c r="BJ134" s="104">
        <v>0</v>
      </c>
      <c r="BK134" s="94"/>
      <c r="BL134" s="104"/>
      <c r="BN134" s="288"/>
      <c r="BO134" s="108">
        <v>0</v>
      </c>
      <c r="BP134" s="108">
        <v>0</v>
      </c>
      <c r="BQ134" s="108">
        <v>0</v>
      </c>
      <c r="BR134" s="95">
        <v>-12.929999999999978</v>
      </c>
      <c r="BW134" s="288"/>
      <c r="CE134" s="79"/>
    </row>
    <row r="135" spans="1:83" outlineLevel="1">
      <c r="B135" s="112"/>
      <c r="E135" s="104"/>
      <c r="F135" s="104"/>
      <c r="G135" s="247"/>
      <c r="H135" s="247"/>
      <c r="I135" s="247"/>
      <c r="J135" s="247"/>
      <c r="K135" s="247"/>
      <c r="L135" s="247"/>
      <c r="M135" s="104"/>
      <c r="N135" s="105"/>
      <c r="O135" s="105"/>
      <c r="P135" s="105"/>
      <c r="Q135" s="105"/>
      <c r="R135" s="105"/>
      <c r="AB135" s="106"/>
      <c r="AC135" s="106"/>
      <c r="AD135" s="106"/>
      <c r="AE135" s="106"/>
      <c r="AF135" s="106"/>
      <c r="AG135" s="106"/>
      <c r="AH135" s="106"/>
      <c r="AI135" s="337"/>
      <c r="AJ135" s="106"/>
      <c r="AL135" s="106"/>
      <c r="AM135" s="106"/>
      <c r="BG135" s="239" t="s">
        <v>634</v>
      </c>
      <c r="BH135" s="239" t="s">
        <v>635</v>
      </c>
      <c r="BI135" s="239" t="s">
        <v>634</v>
      </c>
      <c r="BJ135" s="104">
        <v>0</v>
      </c>
      <c r="BK135" s="94"/>
      <c r="BL135" s="104"/>
      <c r="BO135" s="108"/>
      <c r="BP135" s="108"/>
      <c r="BQ135" s="108"/>
      <c r="BR135" s="108"/>
    </row>
    <row r="136" spans="1:83" outlineLevel="1">
      <c r="C136" s="107" t="s">
        <v>438</v>
      </c>
      <c r="D136" s="248"/>
      <c r="E136" s="104"/>
      <c r="F136" s="104"/>
      <c r="G136" s="109">
        <v>547056.68999999983</v>
      </c>
      <c r="H136" s="109">
        <v>543583.76000000013</v>
      </c>
      <c r="I136" s="109">
        <v>542029.25000000023</v>
      </c>
      <c r="J136" s="109">
        <v>544153.97999999975</v>
      </c>
      <c r="K136" s="109">
        <v>544492.55500000005</v>
      </c>
      <c r="L136" s="109">
        <v>537395.21500000008</v>
      </c>
      <c r="M136" s="109">
        <v>533574.82500000019</v>
      </c>
      <c r="N136" s="109">
        <v>531372.28000000014</v>
      </c>
      <c r="O136" s="109">
        <v>531572.11500000011</v>
      </c>
      <c r="P136" s="109">
        <v>534516.66999999993</v>
      </c>
      <c r="Q136" s="109">
        <v>537240.30999999994</v>
      </c>
      <c r="R136" s="109">
        <v>542730.0499999997</v>
      </c>
      <c r="S136" s="109">
        <v>6469717.7000000011</v>
      </c>
      <c r="T136" s="109"/>
      <c r="U136" s="109">
        <v>1907.0950637634044</v>
      </c>
      <c r="V136" s="109">
        <v>1910.0178050045074</v>
      </c>
      <c r="W136" s="109">
        <v>1913.1004321823316</v>
      </c>
      <c r="X136" s="109">
        <v>1874.4032901480605</v>
      </c>
      <c r="Y136" s="109">
        <v>1864.2189885761015</v>
      </c>
      <c r="Z136" s="109">
        <v>1874.7241162134872</v>
      </c>
      <c r="AA136" s="109">
        <v>1873.1862081121155</v>
      </c>
      <c r="AB136" s="109">
        <v>1821.7423069987433</v>
      </c>
      <c r="AC136" s="109">
        <v>1837.2469730093394</v>
      </c>
      <c r="AD136" s="109">
        <v>1823.2276128913654</v>
      </c>
      <c r="AE136" s="109">
        <v>1847.8436012904872</v>
      </c>
      <c r="AF136" s="109">
        <v>1859.4233241830252</v>
      </c>
      <c r="AG136" s="109">
        <v>22406.229722372969</v>
      </c>
      <c r="AH136" s="109">
        <v>1867.1858101977475</v>
      </c>
      <c r="AI136" s="338"/>
      <c r="AJ136" s="110"/>
      <c r="AL136" s="106"/>
      <c r="AM136" s="106"/>
      <c r="BF136" s="252">
        <v>225.77673178059257</v>
      </c>
      <c r="BG136" s="252">
        <v>0</v>
      </c>
      <c r="BH136" s="252">
        <v>1641.4090784171553</v>
      </c>
      <c r="BI136" s="252"/>
      <c r="BJ136" s="109">
        <v>1867.1858101977477</v>
      </c>
      <c r="BK136" s="251" t="s">
        <v>591</v>
      </c>
      <c r="BL136" s="250">
        <v>0</v>
      </c>
      <c r="BN136" s="109">
        <v>25758.708199999997</v>
      </c>
      <c r="BO136" s="109">
        <v>314.40417009290991</v>
      </c>
      <c r="BP136" s="109">
        <v>82522.791962339397</v>
      </c>
      <c r="BQ136" s="109">
        <v>26073.112370092927</v>
      </c>
      <c r="BR136" s="109">
        <v>6552240.4919623397</v>
      </c>
      <c r="BW136" s="244"/>
    </row>
    <row r="137" spans="1:83" outlineLevel="1">
      <c r="C137" s="107"/>
      <c r="D137" s="248"/>
      <c r="E137" s="104"/>
      <c r="F137" s="104"/>
      <c r="G137" s="247"/>
      <c r="H137" s="247"/>
      <c r="I137" s="247"/>
      <c r="J137" s="247"/>
      <c r="K137" s="247"/>
      <c r="L137" s="247"/>
      <c r="M137" s="104"/>
      <c r="N137" s="105"/>
      <c r="O137" s="105"/>
      <c r="P137" s="105"/>
      <c r="Q137" s="105"/>
      <c r="R137" s="105"/>
      <c r="AB137" s="106"/>
      <c r="AC137" s="106"/>
      <c r="AD137" s="106"/>
      <c r="AE137" s="106"/>
      <c r="AF137" s="106"/>
      <c r="AG137" s="106"/>
      <c r="AH137" s="106"/>
      <c r="AI137" s="337"/>
      <c r="AJ137" s="106"/>
      <c r="AL137" s="106"/>
      <c r="AM137" s="106"/>
      <c r="BG137" s="239" t="s">
        <v>634</v>
      </c>
      <c r="BH137" s="239" t="s">
        <v>635</v>
      </c>
      <c r="BI137" s="239" t="s">
        <v>634</v>
      </c>
      <c r="BJ137" s="104">
        <v>0</v>
      </c>
      <c r="BO137" s="108"/>
      <c r="BP137" s="108"/>
      <c r="BQ137" s="108"/>
      <c r="BR137" s="108"/>
      <c r="BW137" s="244"/>
    </row>
    <row r="138" spans="1:83" outlineLevel="1">
      <c r="C138" s="107"/>
      <c r="D138" s="248"/>
      <c r="E138" s="104"/>
      <c r="F138" s="104"/>
      <c r="G138" s="247"/>
      <c r="H138" s="247"/>
      <c r="I138" s="247"/>
      <c r="J138" s="247"/>
      <c r="K138" s="247"/>
      <c r="L138" s="247"/>
      <c r="M138" s="104"/>
      <c r="N138" s="110"/>
      <c r="O138" s="110"/>
      <c r="P138" s="110"/>
      <c r="Q138" s="110"/>
      <c r="R138" s="110"/>
      <c r="AB138" s="106"/>
      <c r="AC138" s="106"/>
      <c r="AD138" s="106"/>
      <c r="AE138" s="106"/>
      <c r="AF138" s="106"/>
      <c r="AG138" s="106"/>
      <c r="AH138" s="106"/>
      <c r="AI138" s="337"/>
      <c r="AJ138" s="106"/>
      <c r="AL138" s="106"/>
      <c r="AM138" s="106"/>
      <c r="BG138" s="239" t="s">
        <v>634</v>
      </c>
      <c r="BH138" s="239" t="s">
        <v>635</v>
      </c>
      <c r="BI138" s="239" t="s">
        <v>634</v>
      </c>
      <c r="BJ138" s="104">
        <v>0</v>
      </c>
      <c r="BO138" s="108"/>
      <c r="BP138" s="108"/>
      <c r="BQ138" s="108"/>
      <c r="BR138" s="108"/>
      <c r="BW138" s="244"/>
    </row>
    <row r="139" spans="1:83" ht="30" customHeight="1" outlineLevel="1">
      <c r="A139" s="79" t="s">
        <v>439</v>
      </c>
      <c r="B139" s="94" t="s">
        <v>440</v>
      </c>
      <c r="C139" s="107"/>
      <c r="D139" s="248"/>
      <c r="E139" s="104"/>
      <c r="F139" s="104"/>
      <c r="G139" s="247"/>
      <c r="H139" s="247"/>
      <c r="I139" s="247"/>
      <c r="J139" s="247"/>
      <c r="K139" s="247"/>
      <c r="L139" s="247"/>
      <c r="M139" s="104"/>
      <c r="N139" s="105"/>
      <c r="O139" s="105"/>
      <c r="P139" s="105"/>
      <c r="Q139" s="105"/>
      <c r="R139" s="105"/>
      <c r="AB139" s="106"/>
      <c r="AC139" s="106"/>
      <c r="AD139" s="106"/>
      <c r="AE139" s="106"/>
      <c r="AF139" s="106"/>
      <c r="AG139" s="106"/>
      <c r="AH139" s="106"/>
      <c r="AI139" s="337"/>
      <c r="AJ139" s="106"/>
      <c r="AL139" s="106"/>
      <c r="AM139" s="106"/>
      <c r="BG139" s="239" t="s">
        <v>634</v>
      </c>
      <c r="BH139" s="239" t="s">
        <v>635</v>
      </c>
      <c r="BI139" s="239" t="s">
        <v>634</v>
      </c>
      <c r="BJ139" s="104">
        <v>0</v>
      </c>
      <c r="BO139" s="108"/>
      <c r="BP139" s="108"/>
      <c r="BQ139" s="108"/>
      <c r="BR139" s="108"/>
      <c r="BW139" s="244"/>
    </row>
    <row r="140" spans="1:83" outlineLevel="1">
      <c r="A140" s="79" t="str">
        <f t="shared" ref="A140:A148" si="6">+$A$4&amp;$A$139&amp;B140</f>
        <v>MURREYSMULTI-FAMILY20MW1</v>
      </c>
      <c r="B140" s="79" t="s">
        <v>688</v>
      </c>
      <c r="C140" s="241" t="s">
        <v>244</v>
      </c>
      <c r="D140" s="104">
        <v>18.079999999999998</v>
      </c>
      <c r="E140" s="104">
        <v>18.16</v>
      </c>
      <c r="F140" s="104">
        <v>18.079999999999998</v>
      </c>
      <c r="G140" s="105">
        <v>307.36</v>
      </c>
      <c r="H140" s="105">
        <v>307.36</v>
      </c>
      <c r="I140" s="105">
        <v>352.56</v>
      </c>
      <c r="J140" s="105">
        <v>345.04</v>
      </c>
      <c r="K140" s="105">
        <v>363.20000000000005</v>
      </c>
      <c r="L140" s="105">
        <v>385.90000000000003</v>
      </c>
      <c r="M140" s="105">
        <v>399.52000000000004</v>
      </c>
      <c r="N140" s="105">
        <v>372.28000000000003</v>
      </c>
      <c r="O140" s="105">
        <v>367.74</v>
      </c>
      <c r="P140" s="105">
        <v>411.32</v>
      </c>
      <c r="Q140" s="105">
        <v>379.68</v>
      </c>
      <c r="R140" s="105">
        <v>361.59999999999997</v>
      </c>
      <c r="S140" s="249">
        <v>4353.5600000000004</v>
      </c>
      <c r="T140" s="249"/>
      <c r="U140" s="254">
        <v>17.000000000000004</v>
      </c>
      <c r="V140" s="254">
        <v>17.000000000000004</v>
      </c>
      <c r="W140" s="254">
        <v>19.500000000000004</v>
      </c>
      <c r="X140" s="254">
        <v>19</v>
      </c>
      <c r="Y140" s="254">
        <v>20.000000000000004</v>
      </c>
      <c r="Z140" s="254">
        <v>21.25</v>
      </c>
      <c r="AA140" s="254">
        <v>22.000000000000004</v>
      </c>
      <c r="AB140" s="254">
        <v>20.5</v>
      </c>
      <c r="AC140" s="254">
        <v>20.25</v>
      </c>
      <c r="AD140" s="254">
        <v>22.75</v>
      </c>
      <c r="AE140" s="254">
        <v>21.000000000000004</v>
      </c>
      <c r="AF140" s="254">
        <v>20</v>
      </c>
      <c r="AG140" s="254">
        <v>240.25000000000003</v>
      </c>
      <c r="AH140" s="254">
        <v>20.020833333333336</v>
      </c>
      <c r="AI140" s="337">
        <f>+SUMIFS(Mapping!L:L,Mapping!A:A,"MULTI FAMILY",Mapping!C:C,'Murrey''s Price Out 2022'!C140)-AG140</f>
        <v>0</v>
      </c>
      <c r="AJ140" s="106"/>
      <c r="AL140" s="106"/>
      <c r="AM140" s="106"/>
      <c r="BF140" s="239">
        <v>20</v>
      </c>
      <c r="BI140" s="239">
        <v>1</v>
      </c>
      <c r="BJ140" s="104">
        <v>20.020833333333336</v>
      </c>
      <c r="BN140" s="104">
        <v>18</v>
      </c>
      <c r="BO140" s="108">
        <v>0.21970337245686797</v>
      </c>
      <c r="BP140" s="108">
        <v>52.783735232762538</v>
      </c>
      <c r="BQ140" s="108">
        <v>18.219703372456866</v>
      </c>
      <c r="BR140" s="95">
        <v>4406.3437352327628</v>
      </c>
    </row>
    <row r="141" spans="1:83" outlineLevel="1">
      <c r="A141" s="79" t="str">
        <f t="shared" si="6"/>
        <v>MURREYSMULTI-FAMILY35MW1</v>
      </c>
      <c r="B141" s="79" t="s">
        <v>441</v>
      </c>
      <c r="C141" s="241" t="s">
        <v>218</v>
      </c>
      <c r="D141" s="242">
        <v>23.02</v>
      </c>
      <c r="E141" s="104">
        <v>23.13</v>
      </c>
      <c r="F141" s="104">
        <v>23</v>
      </c>
      <c r="G141" s="105">
        <v>13012.19</v>
      </c>
      <c r="H141" s="105">
        <v>12798.56</v>
      </c>
      <c r="I141" s="105">
        <v>12836.52</v>
      </c>
      <c r="J141" s="105">
        <v>16208.32</v>
      </c>
      <c r="K141" s="105">
        <v>16219.810000000001</v>
      </c>
      <c r="L141" s="105">
        <v>16613.12</v>
      </c>
      <c r="M141" s="105">
        <v>16867.53</v>
      </c>
      <c r="N141" s="105">
        <v>18676.850000000002</v>
      </c>
      <c r="O141" s="105">
        <v>18613.82</v>
      </c>
      <c r="P141" s="105">
        <v>18509.25</v>
      </c>
      <c r="Q141" s="105">
        <v>18635.75</v>
      </c>
      <c r="R141" s="105">
        <v>17675.5</v>
      </c>
      <c r="S141" s="249">
        <v>196667.22</v>
      </c>
      <c r="T141" s="249"/>
      <c r="U141" s="254">
        <v>565.25586446568207</v>
      </c>
      <c r="V141" s="254">
        <v>555.97567332754124</v>
      </c>
      <c r="W141" s="254">
        <v>557.62467419635107</v>
      </c>
      <c r="X141" s="254">
        <v>700.74881106787723</v>
      </c>
      <c r="Y141" s="254">
        <v>701.24556852572425</v>
      </c>
      <c r="Z141" s="254">
        <v>718.24989191526151</v>
      </c>
      <c r="AA141" s="254">
        <v>729.24902723735408</v>
      </c>
      <c r="AB141" s="254">
        <v>807.47297881539134</v>
      </c>
      <c r="AC141" s="254">
        <v>804.7479463899698</v>
      </c>
      <c r="AD141" s="254">
        <v>804.75</v>
      </c>
      <c r="AE141" s="254">
        <v>810.25</v>
      </c>
      <c r="AF141" s="254">
        <v>768.5</v>
      </c>
      <c r="AG141" s="254">
        <v>8524.0704359411538</v>
      </c>
      <c r="AH141" s="254">
        <v>710.33920299509612</v>
      </c>
      <c r="AI141" s="337">
        <f>+SUMIFS(Mapping!L:L,Mapping!A:A,"MULTI FAMILY",Mapping!C:C,'Murrey''s Price Out 2022'!C141)-AG141</f>
        <v>0</v>
      </c>
      <c r="AJ141" s="106"/>
      <c r="AL141" s="106"/>
      <c r="AM141" s="106"/>
      <c r="BF141" s="239">
        <v>35</v>
      </c>
      <c r="BI141" s="239">
        <v>1</v>
      </c>
      <c r="BJ141" s="104">
        <v>710.33920299509612</v>
      </c>
      <c r="BN141" s="104">
        <v>22.89</v>
      </c>
      <c r="BO141" s="108">
        <v>0.27938945530765041</v>
      </c>
      <c r="BP141" s="108">
        <v>2381.5353961016449</v>
      </c>
      <c r="BQ141" s="108">
        <v>23.169389455307652</v>
      </c>
      <c r="BR141" s="95">
        <v>199048.75539610165</v>
      </c>
    </row>
    <row r="142" spans="1:83" outlineLevel="1">
      <c r="A142" s="79" t="str">
        <f t="shared" si="6"/>
        <v>MURREYSMULTI-FAMILY35MW1N</v>
      </c>
      <c r="B142" s="79" t="s">
        <v>442</v>
      </c>
      <c r="C142" s="79" t="s">
        <v>219</v>
      </c>
      <c r="D142" s="242">
        <v>23.77</v>
      </c>
      <c r="E142" s="104">
        <v>23.88</v>
      </c>
      <c r="F142" s="104">
        <v>23.75</v>
      </c>
      <c r="G142" s="105">
        <v>106.96</v>
      </c>
      <c r="H142" s="105">
        <v>118.85</v>
      </c>
      <c r="I142" s="105">
        <v>101.02</v>
      </c>
      <c r="J142" s="105">
        <v>71.64</v>
      </c>
      <c r="K142" s="105">
        <v>71.64</v>
      </c>
      <c r="L142" s="105">
        <v>71.64</v>
      </c>
      <c r="M142" s="105">
        <v>71.64</v>
      </c>
      <c r="N142" s="105">
        <v>71.64</v>
      </c>
      <c r="O142" s="105">
        <v>71.64</v>
      </c>
      <c r="P142" s="105">
        <v>71.25</v>
      </c>
      <c r="Q142" s="105">
        <v>71.25</v>
      </c>
      <c r="R142" s="105">
        <v>71.25</v>
      </c>
      <c r="S142" s="249">
        <v>970.42</v>
      </c>
      <c r="T142" s="249"/>
      <c r="U142" s="254">
        <v>4.4997896508203619</v>
      </c>
      <c r="V142" s="254">
        <v>5</v>
      </c>
      <c r="W142" s="254">
        <v>4.2498948254101805</v>
      </c>
      <c r="X142" s="254">
        <v>3</v>
      </c>
      <c r="Y142" s="254">
        <v>3</v>
      </c>
      <c r="Z142" s="254">
        <v>3</v>
      </c>
      <c r="AA142" s="254">
        <v>3</v>
      </c>
      <c r="AB142" s="254">
        <v>3</v>
      </c>
      <c r="AC142" s="254">
        <v>3</v>
      </c>
      <c r="AD142" s="254">
        <v>3</v>
      </c>
      <c r="AE142" s="254">
        <v>3</v>
      </c>
      <c r="AF142" s="254">
        <v>3</v>
      </c>
      <c r="AG142" s="254">
        <v>40.749684476230541</v>
      </c>
      <c r="AH142" s="254">
        <v>3.3958070396858786</v>
      </c>
      <c r="AI142" s="337">
        <f>+SUMIFS(Mapping!L:L,Mapping!A:A,"MULTI FAMILY",Mapping!C:C,'Murrey''s Price Out 2022'!C142)-AG142</f>
        <v>0</v>
      </c>
      <c r="AJ142" s="106"/>
      <c r="AL142" s="106"/>
      <c r="AM142" s="106"/>
      <c r="BF142" s="239">
        <v>35</v>
      </c>
      <c r="BI142" s="239">
        <v>1</v>
      </c>
      <c r="BJ142" s="104">
        <v>3.3958070396858786</v>
      </c>
      <c r="BN142" s="104">
        <v>23.64</v>
      </c>
      <c r="BO142" s="271">
        <v>0.27938945530765041</v>
      </c>
      <c r="BP142" s="108">
        <v>11.38503214977267</v>
      </c>
      <c r="BQ142" s="108">
        <v>23.919389455307652</v>
      </c>
      <c r="BR142" s="95">
        <v>981.80503214977261</v>
      </c>
      <c r="BS142" s="108"/>
    </row>
    <row r="143" spans="1:83" outlineLevel="1">
      <c r="A143" s="79" t="str">
        <f t="shared" si="6"/>
        <v>MURREYSMULTI-FAMILY65MW1</v>
      </c>
      <c r="B143" s="79" t="s">
        <v>443</v>
      </c>
      <c r="C143" s="241" t="s">
        <v>220</v>
      </c>
      <c r="D143" s="242">
        <v>35.96</v>
      </c>
      <c r="E143" s="104">
        <v>36.130000000000003</v>
      </c>
      <c r="F143" s="104">
        <v>35.950000000000003</v>
      </c>
      <c r="G143" s="105">
        <v>11902.76</v>
      </c>
      <c r="H143" s="105">
        <v>12127.51</v>
      </c>
      <c r="I143" s="105">
        <v>12262.36</v>
      </c>
      <c r="J143" s="105">
        <v>13006.800000000001</v>
      </c>
      <c r="K143" s="105">
        <v>13142.264999999999</v>
      </c>
      <c r="L143" s="105">
        <v>13205.514999999999</v>
      </c>
      <c r="M143" s="105">
        <v>13399.684999999999</v>
      </c>
      <c r="N143" s="105">
        <v>14406.835000000001</v>
      </c>
      <c r="O143" s="105">
        <v>14731.949999999999</v>
      </c>
      <c r="P143" s="105">
        <v>14833.460000000001</v>
      </c>
      <c r="Q143" s="105">
        <v>15072.02</v>
      </c>
      <c r="R143" s="105">
        <v>14766.42</v>
      </c>
      <c r="S143" s="249">
        <v>162857.58000000002</v>
      </c>
      <c r="T143" s="249"/>
      <c r="U143" s="254">
        <v>331</v>
      </c>
      <c r="V143" s="254">
        <v>337.25</v>
      </c>
      <c r="W143" s="254">
        <v>341</v>
      </c>
      <c r="X143" s="254">
        <v>360</v>
      </c>
      <c r="Y143" s="254">
        <v>363.74937724882363</v>
      </c>
      <c r="Z143" s="254">
        <v>365.49999999999994</v>
      </c>
      <c r="AA143" s="254">
        <v>370.87420426238577</v>
      </c>
      <c r="AB143" s="254">
        <v>398.74993080542487</v>
      </c>
      <c r="AC143" s="254">
        <v>407.74840852477161</v>
      </c>
      <c r="AD143" s="254">
        <v>412.6136300417246</v>
      </c>
      <c r="AE143" s="254">
        <v>419.24951321279553</v>
      </c>
      <c r="AF143" s="254">
        <v>410.74881780250342</v>
      </c>
      <c r="AG143" s="254">
        <v>4518.483881898429</v>
      </c>
      <c r="AH143" s="254">
        <v>376.54032349153573</v>
      </c>
      <c r="AI143" s="337">
        <f>+SUMIFS(Mapping!L:L,Mapping!A:A,"MULTI FAMILY",Mapping!C:C,'Murrey''s Price Out 2022'!C143)-AG143</f>
        <v>0</v>
      </c>
      <c r="AJ143" s="106"/>
      <c r="AL143" s="106"/>
      <c r="AM143" s="106"/>
      <c r="BF143" s="239">
        <v>35</v>
      </c>
      <c r="BI143" s="239">
        <v>1</v>
      </c>
      <c r="BJ143" s="104">
        <v>376.54032349153573</v>
      </c>
      <c r="BN143" s="104">
        <v>35.78</v>
      </c>
      <c r="BO143" s="108">
        <v>0.43672148147259643</v>
      </c>
      <c r="BP143" s="108">
        <v>1973.3189749127303</v>
      </c>
      <c r="BQ143" s="108">
        <v>36.216721481472597</v>
      </c>
      <c r="BR143" s="95">
        <v>164830.89897491274</v>
      </c>
    </row>
    <row r="144" spans="1:83" outlineLevel="1">
      <c r="A144" s="79" t="str">
        <f t="shared" si="6"/>
        <v>MURREYSMULTI-FAMILY65MW1N</v>
      </c>
      <c r="B144" s="79" t="s">
        <v>444</v>
      </c>
      <c r="C144" s="79" t="s">
        <v>221</v>
      </c>
      <c r="D144" s="242">
        <v>36.71</v>
      </c>
      <c r="E144" s="104">
        <v>36.880000000000003</v>
      </c>
      <c r="F144" s="104">
        <v>36.700000000000003</v>
      </c>
      <c r="G144" s="105">
        <v>36.71</v>
      </c>
      <c r="H144" s="105">
        <v>36.71</v>
      </c>
      <c r="I144" s="105">
        <v>36.71</v>
      </c>
      <c r="J144" s="105">
        <v>0</v>
      </c>
      <c r="K144" s="105">
        <v>0</v>
      </c>
      <c r="L144" s="105">
        <v>0</v>
      </c>
      <c r="M144" s="105">
        <v>0</v>
      </c>
      <c r="N144" s="105">
        <v>0</v>
      </c>
      <c r="O144" s="105">
        <v>0</v>
      </c>
      <c r="P144" s="105">
        <v>0</v>
      </c>
      <c r="Q144" s="105">
        <v>0</v>
      </c>
      <c r="R144" s="105">
        <v>0</v>
      </c>
      <c r="S144" s="249">
        <v>110.13</v>
      </c>
      <c r="T144" s="249"/>
      <c r="U144" s="254">
        <v>1</v>
      </c>
      <c r="V144" s="254">
        <v>1</v>
      </c>
      <c r="W144" s="254">
        <v>1</v>
      </c>
      <c r="X144" s="254">
        <v>0</v>
      </c>
      <c r="Y144" s="254">
        <v>0</v>
      </c>
      <c r="Z144" s="254">
        <v>0</v>
      </c>
      <c r="AA144" s="254">
        <v>0</v>
      </c>
      <c r="AB144" s="254">
        <v>0</v>
      </c>
      <c r="AC144" s="254">
        <v>0</v>
      </c>
      <c r="AD144" s="254">
        <v>0</v>
      </c>
      <c r="AE144" s="254">
        <v>0</v>
      </c>
      <c r="AF144" s="254">
        <v>0</v>
      </c>
      <c r="AG144" s="254">
        <v>3</v>
      </c>
      <c r="AH144" s="254">
        <v>0.25</v>
      </c>
      <c r="AI144" s="337">
        <f>+SUMIFS(Mapping!L:L,Mapping!A:A,"MULTI FAMILY",Mapping!C:C,'Murrey''s Price Out 2022'!C144)-AG144</f>
        <v>0</v>
      </c>
      <c r="AJ144" s="106"/>
      <c r="AL144" s="106"/>
      <c r="AM144" s="106"/>
      <c r="BF144" s="239">
        <v>65</v>
      </c>
      <c r="BI144" s="239">
        <v>1</v>
      </c>
      <c r="BJ144" s="104">
        <v>0.25</v>
      </c>
      <c r="BN144" s="104">
        <v>36.53</v>
      </c>
      <c r="BO144" s="271">
        <v>0.43672148147259643</v>
      </c>
      <c r="BP144" s="108">
        <v>1.3101644444177893</v>
      </c>
      <c r="BQ144" s="108">
        <v>36.966721481472597</v>
      </c>
      <c r="BR144" s="95">
        <v>111.44016444441779</v>
      </c>
    </row>
    <row r="145" spans="1:80" outlineLevel="1">
      <c r="A145" s="79" t="str">
        <f t="shared" si="6"/>
        <v>MURREYSMULTI-FAMILY95MW1</v>
      </c>
      <c r="B145" s="79" t="s">
        <v>445</v>
      </c>
      <c r="C145" s="241" t="s">
        <v>222</v>
      </c>
      <c r="D145" s="242">
        <v>52.94</v>
      </c>
      <c r="E145" s="104">
        <v>53.19</v>
      </c>
      <c r="F145" s="104">
        <v>52.93</v>
      </c>
      <c r="G145" s="105">
        <v>14240.84</v>
      </c>
      <c r="H145" s="105">
        <v>14082.01</v>
      </c>
      <c r="I145" s="105">
        <v>14227.61</v>
      </c>
      <c r="J145" s="105">
        <v>14680.41</v>
      </c>
      <c r="K145" s="105">
        <v>15119.210000000001</v>
      </c>
      <c r="L145" s="105">
        <v>15584.655000000001</v>
      </c>
      <c r="M145" s="105">
        <v>15770.834999999999</v>
      </c>
      <c r="N145" s="105">
        <v>15837.305</v>
      </c>
      <c r="O145" s="105">
        <v>15810.725</v>
      </c>
      <c r="P145" s="105">
        <v>16315.245000000001</v>
      </c>
      <c r="Q145" s="105">
        <v>16659.244999999999</v>
      </c>
      <c r="R145" s="105">
        <v>17215.45</v>
      </c>
      <c r="S145" s="249">
        <v>185543.54</v>
      </c>
      <c r="T145" s="249"/>
      <c r="U145" s="254">
        <v>268.99962221382697</v>
      </c>
      <c r="V145" s="254">
        <v>265.99943332074048</v>
      </c>
      <c r="W145" s="254">
        <v>268.74971666037027</v>
      </c>
      <c r="X145" s="254">
        <v>275.99943598420759</v>
      </c>
      <c r="Y145" s="254">
        <v>284.24910697499536</v>
      </c>
      <c r="Z145" s="254">
        <v>292.9997179921038</v>
      </c>
      <c r="AA145" s="254">
        <v>296.5</v>
      </c>
      <c r="AB145" s="254">
        <v>297.74967099078776</v>
      </c>
      <c r="AC145" s="254">
        <v>297.24995299868397</v>
      </c>
      <c r="AD145" s="254">
        <v>308.24192329491785</v>
      </c>
      <c r="AE145" s="254">
        <v>314.74107311543548</v>
      </c>
      <c r="AF145" s="254">
        <v>325.24938598148498</v>
      </c>
      <c r="AG145" s="254">
        <v>3496.7290395275545</v>
      </c>
      <c r="AH145" s="254">
        <v>291.39408662729619</v>
      </c>
      <c r="AI145" s="337">
        <f>+SUMIFS(Mapping!L:L,Mapping!A:A,"MULTI FAMILY",Mapping!C:C,'Murrey''s Price Out 2022'!C145)-AG145</f>
        <v>0</v>
      </c>
      <c r="AJ145" s="106"/>
      <c r="AL145" s="106"/>
      <c r="AM145" s="106"/>
      <c r="BF145" s="239">
        <v>95</v>
      </c>
      <c r="BI145" s="239">
        <v>1</v>
      </c>
      <c r="BJ145" s="104">
        <v>291.39408662729619</v>
      </c>
      <c r="BN145" s="104">
        <v>52.68</v>
      </c>
      <c r="BO145" s="108">
        <v>0.64299853672376694</v>
      </c>
      <c r="BP145" s="108">
        <v>2248.3916557357206</v>
      </c>
      <c r="BQ145" s="108">
        <v>53.322998536723766</v>
      </c>
      <c r="BR145" s="95">
        <v>187791.93165573574</v>
      </c>
    </row>
    <row r="146" spans="1:80" outlineLevel="1">
      <c r="A146" s="79" t="str">
        <f t="shared" si="6"/>
        <v>MURREYSMULTI-FAMILY95MW1N</v>
      </c>
      <c r="B146" s="79" t="s">
        <v>446</v>
      </c>
      <c r="C146" s="79" t="s">
        <v>223</v>
      </c>
      <c r="D146" s="242">
        <v>53.69</v>
      </c>
      <c r="E146" s="104">
        <v>53.94</v>
      </c>
      <c r="F146" s="104">
        <v>53.68</v>
      </c>
      <c r="G146" s="105">
        <v>161.07</v>
      </c>
      <c r="H146" s="105">
        <v>161.07</v>
      </c>
      <c r="I146" s="105">
        <v>161.07</v>
      </c>
      <c r="J146" s="105">
        <v>161.82</v>
      </c>
      <c r="K146" s="105">
        <v>161.82</v>
      </c>
      <c r="L146" s="105">
        <v>161.82</v>
      </c>
      <c r="M146" s="105">
        <v>161.82</v>
      </c>
      <c r="N146" s="105">
        <v>161.82</v>
      </c>
      <c r="O146" s="105">
        <v>161.82</v>
      </c>
      <c r="P146" s="105">
        <v>53.68</v>
      </c>
      <c r="Q146" s="105">
        <v>53.68</v>
      </c>
      <c r="R146" s="105">
        <v>80.52</v>
      </c>
      <c r="S146" s="249">
        <v>1642.0099999999998</v>
      </c>
      <c r="T146" s="249"/>
      <c r="U146" s="254">
        <v>3</v>
      </c>
      <c r="V146" s="254">
        <v>3</v>
      </c>
      <c r="W146" s="254">
        <v>3</v>
      </c>
      <c r="X146" s="254">
        <v>3</v>
      </c>
      <c r="Y146" s="254">
        <v>3</v>
      </c>
      <c r="Z146" s="254">
        <v>3</v>
      </c>
      <c r="AA146" s="254">
        <v>3</v>
      </c>
      <c r="AB146" s="254">
        <v>3</v>
      </c>
      <c r="AC146" s="254">
        <v>3</v>
      </c>
      <c r="AD146" s="254">
        <v>1</v>
      </c>
      <c r="AE146" s="254">
        <v>1</v>
      </c>
      <c r="AF146" s="254">
        <v>1.5</v>
      </c>
      <c r="AG146" s="254">
        <v>30.5</v>
      </c>
      <c r="AH146" s="254">
        <v>2.5416666666666665</v>
      </c>
      <c r="AI146" s="337">
        <f>+SUMIFS(Mapping!L:L,Mapping!A:A,"MULTI FAMILY",Mapping!C:C,'Murrey''s Price Out 2022'!C146)-AG146</f>
        <v>0</v>
      </c>
      <c r="AJ146" s="106"/>
      <c r="AL146" s="106"/>
      <c r="AM146" s="106"/>
      <c r="BF146" s="239">
        <v>95</v>
      </c>
      <c r="BI146" s="239">
        <v>1</v>
      </c>
      <c r="BJ146" s="104">
        <v>2.5416666666666665</v>
      </c>
      <c r="BN146" s="104">
        <v>53.43</v>
      </c>
      <c r="BO146" s="271">
        <v>0.64299853672376694</v>
      </c>
      <c r="BP146" s="108">
        <v>19.611455370074889</v>
      </c>
      <c r="BQ146" s="108">
        <v>54.072998536723766</v>
      </c>
      <c r="BR146" s="95">
        <v>1661.6214553700747</v>
      </c>
    </row>
    <row r="147" spans="1:80" outlineLevel="1">
      <c r="A147" s="79" t="str">
        <f t="shared" si="6"/>
        <v>MURREYSMULTI-FAMILYMCCWR35</v>
      </c>
      <c r="B147" s="79" t="s">
        <v>464</v>
      </c>
      <c r="C147" s="241" t="s">
        <v>230</v>
      </c>
      <c r="D147" s="242">
        <v>4.8600000000000003</v>
      </c>
      <c r="E147" s="104">
        <v>4.88</v>
      </c>
      <c r="F147" s="104">
        <v>4.8499999999999996</v>
      </c>
      <c r="G147" s="105">
        <v>22953.78</v>
      </c>
      <c r="H147" s="105">
        <v>20752.2</v>
      </c>
      <c r="I147" s="105">
        <v>23041.26</v>
      </c>
      <c r="J147" s="105">
        <v>21178.440000000002</v>
      </c>
      <c r="K147" s="105">
        <v>20374</v>
      </c>
      <c r="L147" s="105">
        <v>23619.200000000001</v>
      </c>
      <c r="M147" s="105">
        <v>17670.48</v>
      </c>
      <c r="N147" s="105">
        <v>18436.64</v>
      </c>
      <c r="O147" s="105">
        <v>18519.600000000002</v>
      </c>
      <c r="P147" s="105">
        <v>21113.97</v>
      </c>
      <c r="Q147" s="105">
        <v>18677.350000000002</v>
      </c>
      <c r="R147" s="105">
        <v>17949.850000000002</v>
      </c>
      <c r="S147" s="249">
        <v>244286.77000000002</v>
      </c>
      <c r="T147" s="249"/>
      <c r="U147" s="254">
        <v>4722.9999999999991</v>
      </c>
      <c r="V147" s="254">
        <v>4270</v>
      </c>
      <c r="W147" s="254">
        <v>4740.9999999999991</v>
      </c>
      <c r="X147" s="254">
        <v>4339.8442622950824</v>
      </c>
      <c r="Y147" s="254">
        <v>4175</v>
      </c>
      <c r="Z147" s="254">
        <v>4840</v>
      </c>
      <c r="AA147" s="254">
        <v>3621</v>
      </c>
      <c r="AB147" s="254">
        <v>3778</v>
      </c>
      <c r="AC147" s="254">
        <v>3795.0000000000005</v>
      </c>
      <c r="AD147" s="254">
        <v>4353.3958762886605</v>
      </c>
      <c r="AE147" s="254">
        <v>3851.0000000000009</v>
      </c>
      <c r="AF147" s="254">
        <v>3701.0000000000009</v>
      </c>
      <c r="AG147" s="254">
        <v>50188.240138583744</v>
      </c>
      <c r="AH147" s="254">
        <v>4182.353344881979</v>
      </c>
      <c r="AI147" s="337">
        <f>+SUMIFS(Mapping!L:L,Mapping!A:A,"MULTI FAMILY",Mapping!C:C,'Murrey''s Price Out 2022'!C147)-AG147</f>
        <v>0</v>
      </c>
      <c r="AJ147" s="106">
        <v>965.90146533071106</v>
      </c>
      <c r="AL147" s="106"/>
      <c r="AM147" s="106"/>
      <c r="BF147" s="239">
        <v>35</v>
      </c>
      <c r="BI147" s="239">
        <v>1</v>
      </c>
      <c r="BJ147" s="104">
        <v>4182.353344881979</v>
      </c>
      <c r="BN147" s="104">
        <v>4.83</v>
      </c>
      <c r="BO147" s="108">
        <v>5.8953738275926239E-2</v>
      </c>
      <c r="BP147" s="108">
        <v>2958.7843736594023</v>
      </c>
      <c r="BQ147" s="108">
        <v>4.8889537382759265</v>
      </c>
      <c r="BR147" s="95">
        <v>247245.55437365943</v>
      </c>
    </row>
    <row r="148" spans="1:80" ht="15.75" outlineLevel="1" thickBot="1">
      <c r="A148" s="79" t="str">
        <f t="shared" si="6"/>
        <v>MURREYSMULTI-FAMILYMCCWR65</v>
      </c>
      <c r="B148" s="79" t="s">
        <v>465</v>
      </c>
      <c r="C148" s="241" t="s">
        <v>231</v>
      </c>
      <c r="D148" s="104">
        <v>7.2</v>
      </c>
      <c r="E148" s="104">
        <v>7.23</v>
      </c>
      <c r="F148" s="104">
        <v>7.19</v>
      </c>
      <c r="G148" s="105">
        <v>813.6</v>
      </c>
      <c r="H148" s="105">
        <v>691.2</v>
      </c>
      <c r="I148" s="105">
        <v>1000.8</v>
      </c>
      <c r="J148" s="105">
        <v>816.96</v>
      </c>
      <c r="K148" s="105">
        <v>802.53</v>
      </c>
      <c r="L148" s="105">
        <v>1004.97</v>
      </c>
      <c r="M148" s="105">
        <v>807.41</v>
      </c>
      <c r="N148" s="105">
        <v>520.55999999999995</v>
      </c>
      <c r="O148" s="105">
        <v>520.55999999999995</v>
      </c>
      <c r="P148" s="105">
        <v>524.91</v>
      </c>
      <c r="Q148" s="105">
        <v>402.64</v>
      </c>
      <c r="R148" s="105">
        <v>64.709999999999994</v>
      </c>
      <c r="S148" s="249">
        <v>7970.85</v>
      </c>
      <c r="T148" s="249"/>
      <c r="U148" s="254">
        <v>113</v>
      </c>
      <c r="V148" s="254">
        <v>96</v>
      </c>
      <c r="W148" s="254">
        <v>139</v>
      </c>
      <c r="X148" s="254">
        <v>112.99585062240664</v>
      </c>
      <c r="Y148" s="254">
        <v>110.99999999999999</v>
      </c>
      <c r="Z148" s="254">
        <v>139</v>
      </c>
      <c r="AA148" s="254">
        <v>111.67496542185337</v>
      </c>
      <c r="AB148" s="254">
        <v>71.999999999999986</v>
      </c>
      <c r="AC148" s="254">
        <v>71.999999999999986</v>
      </c>
      <c r="AD148" s="254">
        <v>73.005563282336567</v>
      </c>
      <c r="AE148" s="254">
        <v>55.999999999999993</v>
      </c>
      <c r="AF148" s="254">
        <v>8.9999999999999982</v>
      </c>
      <c r="AG148" s="254">
        <v>1104.6763793265966</v>
      </c>
      <c r="AH148" s="254">
        <v>92.056364943883054</v>
      </c>
      <c r="AI148" s="337">
        <f>+SUMIFS(Mapping!L:L,Mapping!A:A,"MULTI FAMILY",Mapping!C:C,'Murrey''s Price Out 2022'!C148)-AG148</f>
        <v>0</v>
      </c>
      <c r="AJ148" s="106">
        <v>21.260130472028418</v>
      </c>
      <c r="AL148" s="106"/>
      <c r="AM148" s="106"/>
      <c r="BF148" s="239">
        <v>65</v>
      </c>
      <c r="BI148" s="239">
        <v>1</v>
      </c>
      <c r="BJ148" s="104">
        <v>92.056364943883054</v>
      </c>
      <c r="BN148" s="104">
        <v>7.16</v>
      </c>
      <c r="BO148" s="108">
        <v>8.7393119266176378E-2</v>
      </c>
      <c r="BP148" s="108">
        <v>96.541114569017154</v>
      </c>
      <c r="BQ148" s="108">
        <v>7.2473931192661762</v>
      </c>
      <c r="BR148" s="95">
        <v>8067.3911145690172</v>
      </c>
    </row>
    <row r="149" spans="1:80" s="286" customFormat="1" outlineLevel="1">
      <c r="A149" s="286" t="s">
        <v>687</v>
      </c>
      <c r="B149" s="286" t="s">
        <v>686</v>
      </c>
      <c r="C149" s="286" t="s">
        <v>685</v>
      </c>
      <c r="D149" s="288">
        <v>29.55</v>
      </c>
      <c r="E149" s="288">
        <v>26.69</v>
      </c>
      <c r="F149" s="288">
        <v>26.65</v>
      </c>
      <c r="G149" s="291">
        <v>0</v>
      </c>
      <c r="H149" s="291">
        <v>0</v>
      </c>
      <c r="I149" s="291">
        <v>20.88</v>
      </c>
      <c r="J149" s="291">
        <v>0</v>
      </c>
      <c r="K149" s="291">
        <v>0</v>
      </c>
      <c r="L149" s="291">
        <v>0</v>
      </c>
      <c r="M149" s="291">
        <v>0</v>
      </c>
      <c r="N149" s="291">
        <v>0</v>
      </c>
      <c r="O149" s="291">
        <v>0</v>
      </c>
      <c r="P149" s="291">
        <v>0</v>
      </c>
      <c r="Q149" s="291">
        <v>0</v>
      </c>
      <c r="R149" s="291">
        <v>0</v>
      </c>
      <c r="S149" s="290">
        <v>20.88</v>
      </c>
      <c r="T149" s="290"/>
      <c r="U149" s="289">
        <v>0</v>
      </c>
      <c r="V149" s="289">
        <v>0</v>
      </c>
      <c r="W149" s="289">
        <v>0.70659898477157357</v>
      </c>
      <c r="X149" s="289">
        <v>0</v>
      </c>
      <c r="Y149" s="289">
        <v>0</v>
      </c>
      <c r="Z149" s="289">
        <v>0</v>
      </c>
      <c r="AA149" s="289">
        <v>0</v>
      </c>
      <c r="AB149" s="289">
        <v>0</v>
      </c>
      <c r="AC149" s="289">
        <v>0</v>
      </c>
      <c r="AD149" s="289">
        <v>0</v>
      </c>
      <c r="AE149" s="289">
        <v>0</v>
      </c>
      <c r="AF149" s="289">
        <v>0</v>
      </c>
      <c r="AG149" s="289">
        <v>0.70659898477157357</v>
      </c>
      <c r="AH149" s="289">
        <v>5.8883248730964462E-2</v>
      </c>
      <c r="AI149" s="337">
        <f>+SUMIFS(Mapping!L:L,Mapping!A:A,"MULTI FAMILY",Mapping!C:C,'Murrey''s Price Out 2022'!C149)-AG149</f>
        <v>-0.70659898477157357</v>
      </c>
      <c r="AJ149" s="289"/>
      <c r="AL149" s="289"/>
      <c r="AM149" s="289"/>
      <c r="AN149" s="79"/>
      <c r="AO149" s="79"/>
      <c r="AP149" s="79"/>
      <c r="BF149" s="239"/>
      <c r="BG149" s="239" t="s">
        <v>634</v>
      </c>
      <c r="BH149" s="239"/>
      <c r="BI149" s="239" t="s">
        <v>634</v>
      </c>
      <c r="BJ149" s="104">
        <v>0</v>
      </c>
      <c r="BK149" s="94"/>
      <c r="BL149" s="104"/>
      <c r="BN149" s="288"/>
      <c r="BO149" s="108">
        <v>0</v>
      </c>
      <c r="BP149" s="108">
        <v>0</v>
      </c>
      <c r="BQ149" s="108">
        <v>0</v>
      </c>
      <c r="BR149" s="95">
        <v>20.88</v>
      </c>
      <c r="BW149" s="288"/>
      <c r="CA149" s="284" t="s">
        <v>684</v>
      </c>
      <c r="CB149" s="287">
        <v>4.55</v>
      </c>
    </row>
    <row r="150" spans="1:80" ht="45.75" outlineLevel="1" thickBot="1">
      <c r="A150" s="79" t="str">
        <f t="shared" ref="A150:A174" si="7">+$A$4&amp;$A$139&amp;B150</f>
        <v>MURREYSMULTI-FAMILYMSRTOT</v>
      </c>
      <c r="B150" s="79" t="s">
        <v>493</v>
      </c>
      <c r="C150" s="79" t="s">
        <v>494</v>
      </c>
      <c r="D150" s="104">
        <v>7.47</v>
      </c>
      <c r="E150" s="104">
        <v>7.5</v>
      </c>
      <c r="F150" s="104">
        <v>7.5</v>
      </c>
      <c r="G150" s="105">
        <v>1018.4</v>
      </c>
      <c r="H150" s="105">
        <v>1018.4</v>
      </c>
      <c r="I150" s="105">
        <v>1018.4</v>
      </c>
      <c r="J150" s="105">
        <v>1018.4</v>
      </c>
      <c r="K150" s="105">
        <v>1018.4</v>
      </c>
      <c r="L150" s="105">
        <v>1018.4</v>
      </c>
      <c r="M150" s="105">
        <v>1023.34</v>
      </c>
      <c r="N150" s="105">
        <v>1023.6</v>
      </c>
      <c r="O150" s="105">
        <v>1023.6</v>
      </c>
      <c r="P150" s="105">
        <v>1023.6</v>
      </c>
      <c r="Q150" s="105">
        <v>1023.59</v>
      </c>
      <c r="R150" s="105">
        <v>1023.6</v>
      </c>
      <c r="S150" s="249">
        <v>12251.730000000001</v>
      </c>
      <c r="T150" s="249"/>
      <c r="U150" s="254">
        <v>136.33199464524765</v>
      </c>
      <c r="V150" s="254">
        <v>136.33199464524765</v>
      </c>
      <c r="W150" s="254">
        <v>136.33199464524765</v>
      </c>
      <c r="X150" s="254">
        <v>135.78666666666666</v>
      </c>
      <c r="Y150" s="254">
        <v>135.78666666666666</v>
      </c>
      <c r="Z150" s="254">
        <v>135.78666666666666</v>
      </c>
      <c r="AA150" s="254">
        <v>136.44533333333334</v>
      </c>
      <c r="AB150" s="254">
        <v>136.47999999999999</v>
      </c>
      <c r="AC150" s="254">
        <v>136.47999999999999</v>
      </c>
      <c r="AD150" s="254">
        <v>136.47999999999999</v>
      </c>
      <c r="AE150" s="254">
        <v>136.47866666666667</v>
      </c>
      <c r="AF150" s="254">
        <v>136.47999999999999</v>
      </c>
      <c r="AG150" s="254">
        <v>1635.1999839357429</v>
      </c>
      <c r="AH150" s="254">
        <v>136.26666532797859</v>
      </c>
      <c r="AI150" s="337"/>
      <c r="AJ150" s="105"/>
      <c r="AL150" s="105"/>
      <c r="AM150" s="105"/>
      <c r="BJ150" s="104">
        <v>0</v>
      </c>
      <c r="BO150" s="108">
        <v>0</v>
      </c>
      <c r="BP150" s="108">
        <v>0</v>
      </c>
      <c r="BQ150" s="108">
        <v>0</v>
      </c>
      <c r="BR150" s="95">
        <v>12251.730000000001</v>
      </c>
      <c r="BT150" s="285" t="s">
        <v>683</v>
      </c>
      <c r="BU150" s="285" t="s">
        <v>682</v>
      </c>
      <c r="BW150" s="285" t="s">
        <v>681</v>
      </c>
      <c r="BX150" s="285" t="s">
        <v>680</v>
      </c>
      <c r="BY150" s="285" t="s">
        <v>679</v>
      </c>
      <c r="CA150" s="282"/>
      <c r="CB150" s="281"/>
    </row>
    <row r="151" spans="1:80" outlineLevel="1">
      <c r="A151" s="79" t="str">
        <f t="shared" si="7"/>
        <v>MURREYSMULTI-FAMILYM1YD1W</v>
      </c>
      <c r="B151" s="79" t="s">
        <v>449</v>
      </c>
      <c r="C151" s="79" t="s">
        <v>106</v>
      </c>
      <c r="D151" s="104">
        <v>123.28</v>
      </c>
      <c r="E151" s="104">
        <v>123.85</v>
      </c>
      <c r="F151" s="104">
        <v>123.19</v>
      </c>
      <c r="G151" s="105">
        <v>38370.9</v>
      </c>
      <c r="H151" s="105">
        <v>37415.479999999996</v>
      </c>
      <c r="I151" s="105">
        <v>39022.819999999992</v>
      </c>
      <c r="J151" s="105">
        <v>38210.189999999995</v>
      </c>
      <c r="K151" s="105">
        <v>38207.68</v>
      </c>
      <c r="L151" s="105">
        <v>37402.65</v>
      </c>
      <c r="M151" s="105">
        <v>37587.259999999995</v>
      </c>
      <c r="N151" s="105">
        <v>37340.789999999994</v>
      </c>
      <c r="O151" s="105">
        <v>37867.159999999996</v>
      </c>
      <c r="P151" s="105">
        <v>37703.17</v>
      </c>
      <c r="Q151" s="105">
        <v>37390.479999999996</v>
      </c>
      <c r="R151" s="105">
        <v>37883.26</v>
      </c>
      <c r="S151" s="249">
        <v>454401.83999999991</v>
      </c>
      <c r="T151" s="249"/>
      <c r="U151" s="254">
        <v>311.25</v>
      </c>
      <c r="V151" s="254">
        <v>303.49999999999994</v>
      </c>
      <c r="W151" s="254">
        <v>316.53812459441912</v>
      </c>
      <c r="X151" s="254">
        <v>308.51990310859907</v>
      </c>
      <c r="Y151" s="254">
        <v>308.4996366572467</v>
      </c>
      <c r="Z151" s="254">
        <v>301.99959628582968</v>
      </c>
      <c r="AA151" s="254">
        <v>303.49018974566002</v>
      </c>
      <c r="AB151" s="254">
        <v>301.50012111425104</v>
      </c>
      <c r="AC151" s="254">
        <v>305.75018167137665</v>
      </c>
      <c r="AD151" s="254">
        <v>306.0570663203182</v>
      </c>
      <c r="AE151" s="254">
        <v>303.51879210974914</v>
      </c>
      <c r="AF151" s="254">
        <v>307.51895446058933</v>
      </c>
      <c r="AG151" s="254">
        <v>3678.1425660680393</v>
      </c>
      <c r="AH151" s="254">
        <v>306.51188050566992</v>
      </c>
      <c r="AI151" s="337">
        <f>+SUMIFS(Mapping!L:L,Mapping!A:A,"MULTI FAMILY",Mapping!C:C,'Murrey''s Price Out 2022'!C151)-AG151</f>
        <v>0</v>
      </c>
      <c r="AJ151" s="105"/>
      <c r="AL151" s="267">
        <v>72839.483283367401</v>
      </c>
      <c r="AM151" s="267">
        <v>381562.35671663249</v>
      </c>
      <c r="AO151" s="284" t="s">
        <v>678</v>
      </c>
      <c r="AP151" s="283">
        <v>4.57</v>
      </c>
      <c r="AR151" s="267">
        <v>1348.75</v>
      </c>
      <c r="AS151" s="267">
        <v>1315.1666666666663</v>
      </c>
      <c r="AT151" s="267">
        <v>1371.665206575816</v>
      </c>
      <c r="AU151" s="267">
        <v>1336.9195801372625</v>
      </c>
      <c r="AV151" s="267">
        <v>1336.8317588480688</v>
      </c>
      <c r="AW151" s="267">
        <v>1308.6649172385953</v>
      </c>
      <c r="AX151" s="267">
        <v>1315.1241555645267</v>
      </c>
      <c r="AY151" s="267">
        <v>1306.500524828421</v>
      </c>
      <c r="AZ151" s="267">
        <v>1324.9174539092987</v>
      </c>
      <c r="BA151" s="267">
        <v>1326.2472873880454</v>
      </c>
      <c r="BB151" s="267">
        <v>1315.2480991422462</v>
      </c>
      <c r="BC151" s="267">
        <v>1332.582135995887</v>
      </c>
      <c r="BD151" s="105">
        <v>1328.2181488579026</v>
      </c>
      <c r="BE151" s="105"/>
      <c r="BH151" s="239">
        <v>1</v>
      </c>
      <c r="BI151" s="239">
        <v>1</v>
      </c>
      <c r="BJ151" s="104">
        <v>306.51188050566992</v>
      </c>
      <c r="BN151" s="104">
        <v>122.62560000000001</v>
      </c>
      <c r="BO151" s="108"/>
      <c r="BP151" s="108"/>
      <c r="BQ151" s="108"/>
      <c r="BR151" s="95">
        <v>454401.83999999991</v>
      </c>
      <c r="BT151" s="272">
        <v>19.716666666666665</v>
      </c>
      <c r="BU151" s="271">
        <v>102.90893333333334</v>
      </c>
      <c r="BW151" s="270">
        <f t="shared" ref="BW151:BW169" si="8">(BT151*$BR$3)+(BU151*$BR$2)</f>
        <v>6.7775836456914886</v>
      </c>
      <c r="BX151" s="274">
        <f t="shared" ref="BX151:BX169" si="9">(BT151*$BR$3)*AH151*12</f>
        <v>20308.877647325382</v>
      </c>
      <c r="BY151" s="274">
        <f t="shared" ref="BY151:BY169" si="10">(BU151*$BR$2)*AH151*12</f>
        <v>4620.0412549790854</v>
      </c>
      <c r="BZ151" s="115">
        <f t="shared" ref="BZ151:BZ169" si="11">(BW151*AH151*12)-BX151-BY151</f>
        <v>0</v>
      </c>
      <c r="CA151" s="280" t="s">
        <v>667</v>
      </c>
      <c r="CB151" s="279" t="s">
        <v>677</v>
      </c>
    </row>
    <row r="152" spans="1:80" outlineLevel="1">
      <c r="A152" s="79" t="str">
        <f t="shared" si="7"/>
        <v>MURREYSMULTI-FAMILYM1YDTPU</v>
      </c>
      <c r="B152" s="79" t="s">
        <v>451</v>
      </c>
      <c r="C152" s="79" t="s">
        <v>117</v>
      </c>
      <c r="D152" s="104">
        <v>30.64</v>
      </c>
      <c r="E152" s="104">
        <v>30.78</v>
      </c>
      <c r="F152" s="104">
        <v>30.63</v>
      </c>
      <c r="G152" s="105">
        <v>0</v>
      </c>
      <c r="H152" s="105">
        <v>0</v>
      </c>
      <c r="I152" s="105">
        <v>0</v>
      </c>
      <c r="J152" s="105">
        <v>0</v>
      </c>
      <c r="K152" s="105">
        <v>0</v>
      </c>
      <c r="L152" s="105">
        <v>0</v>
      </c>
      <c r="M152" s="105">
        <v>0</v>
      </c>
      <c r="N152" s="105">
        <v>0</v>
      </c>
      <c r="O152" s="105">
        <v>0</v>
      </c>
      <c r="P152" s="105">
        <v>132.63</v>
      </c>
      <c r="Q152" s="105">
        <v>0</v>
      </c>
      <c r="R152" s="105">
        <v>0</v>
      </c>
      <c r="S152" s="249">
        <v>132.63</v>
      </c>
      <c r="T152" s="249"/>
      <c r="U152" s="254">
        <v>0</v>
      </c>
      <c r="V152" s="254">
        <v>0</v>
      </c>
      <c r="W152" s="254">
        <v>0</v>
      </c>
      <c r="X152" s="254">
        <v>0</v>
      </c>
      <c r="Y152" s="254">
        <v>0</v>
      </c>
      <c r="Z152" s="254">
        <v>0</v>
      </c>
      <c r="AA152" s="254">
        <v>0</v>
      </c>
      <c r="AB152" s="254">
        <v>0</v>
      </c>
      <c r="AC152" s="254">
        <v>0</v>
      </c>
      <c r="AD152" s="254">
        <v>4.3300685602350635</v>
      </c>
      <c r="AE152" s="254">
        <v>0</v>
      </c>
      <c r="AF152" s="254">
        <v>0</v>
      </c>
      <c r="AG152" s="254">
        <v>4.3300685602350635</v>
      </c>
      <c r="AH152" s="254">
        <v>0.36083904668625527</v>
      </c>
      <c r="AI152" s="337">
        <f>+SUMIFS(Mapping!L:L,Mapping!A:A,"MULTI FAMILY",Mapping!C:C,'Murrey''s Price Out 2022'!C152)-AG152</f>
        <v>0</v>
      </c>
      <c r="AJ152" s="105"/>
      <c r="AL152" s="267">
        <v>19.788413320274241</v>
      </c>
      <c r="AM152" s="267">
        <v>112.84158667972575</v>
      </c>
      <c r="AO152" s="282"/>
      <c r="AP152" s="281"/>
      <c r="AR152" s="267">
        <v>0</v>
      </c>
      <c r="AS152" s="267">
        <v>0</v>
      </c>
      <c r="AT152" s="267">
        <v>0</v>
      </c>
      <c r="AU152" s="267">
        <v>0</v>
      </c>
      <c r="AV152" s="267">
        <v>0</v>
      </c>
      <c r="AW152" s="267">
        <v>0</v>
      </c>
      <c r="AX152" s="267">
        <v>0</v>
      </c>
      <c r="AY152" s="267">
        <v>0</v>
      </c>
      <c r="AZ152" s="267">
        <v>0</v>
      </c>
      <c r="BA152" s="267">
        <v>4.3300685602350635</v>
      </c>
      <c r="BB152" s="267">
        <v>0</v>
      </c>
      <c r="BC152" s="267">
        <v>0</v>
      </c>
      <c r="BD152" s="105">
        <v>0.36083904668625527</v>
      </c>
      <c r="BE152" s="105"/>
      <c r="BH152" s="239">
        <v>1</v>
      </c>
      <c r="BI152" s="239">
        <v>1</v>
      </c>
      <c r="BJ152" s="104">
        <v>0.36083904668625527</v>
      </c>
      <c r="BN152" s="104">
        <v>132.02169999999998</v>
      </c>
      <c r="BO152" s="108"/>
      <c r="BP152" s="108"/>
      <c r="BQ152" s="108"/>
      <c r="BR152" s="95">
        <v>132.63</v>
      </c>
      <c r="BT152" s="272">
        <v>4.55</v>
      </c>
      <c r="BU152" s="271">
        <v>127.47169999999998</v>
      </c>
      <c r="BW152" s="270">
        <f t="shared" si="8"/>
        <v>2.8300799517780133</v>
      </c>
      <c r="BX152" s="274">
        <f t="shared" si="9"/>
        <v>5.5173437103159833</v>
      </c>
      <c r="BY152" s="274">
        <f t="shared" si="10"/>
        <v>6.7370965118295558</v>
      </c>
      <c r="BZ152" s="115">
        <f t="shared" si="11"/>
        <v>0</v>
      </c>
      <c r="CA152" s="278" t="s">
        <v>604</v>
      </c>
      <c r="CB152" s="277">
        <v>1</v>
      </c>
    </row>
    <row r="153" spans="1:80" outlineLevel="1">
      <c r="A153" s="79" t="str">
        <f t="shared" si="7"/>
        <v>MURREYSMULTI-FAMILYM1.5YD1W</v>
      </c>
      <c r="B153" s="79" t="s">
        <v>447</v>
      </c>
      <c r="C153" s="79" t="s">
        <v>107</v>
      </c>
      <c r="D153" s="104">
        <v>172.94</v>
      </c>
      <c r="E153" s="104">
        <v>173.75</v>
      </c>
      <c r="F153" s="104">
        <v>172.81</v>
      </c>
      <c r="G153" s="105">
        <v>12149.029999999999</v>
      </c>
      <c r="H153" s="105">
        <v>12149.029999999999</v>
      </c>
      <c r="I153" s="105">
        <v>12371.8</v>
      </c>
      <c r="J153" s="105">
        <v>12640.31</v>
      </c>
      <c r="K153" s="105">
        <v>12683.75</v>
      </c>
      <c r="L153" s="105">
        <v>12509.99</v>
      </c>
      <c r="M153" s="105">
        <v>12510</v>
      </c>
      <c r="N153" s="105">
        <v>12466.56</v>
      </c>
      <c r="O153" s="105">
        <v>12466.56</v>
      </c>
      <c r="P153" s="105">
        <v>12312.7</v>
      </c>
      <c r="Q153" s="105">
        <v>12269.51</v>
      </c>
      <c r="R153" s="105">
        <v>12442.32</v>
      </c>
      <c r="S153" s="249">
        <v>148971.56</v>
      </c>
      <c r="T153" s="249"/>
      <c r="U153" s="254">
        <v>70.249971088238695</v>
      </c>
      <c r="V153" s="254">
        <v>70.249971088238695</v>
      </c>
      <c r="W153" s="254">
        <v>71.538105701399331</v>
      </c>
      <c r="X153" s="254">
        <v>72.749985611510795</v>
      </c>
      <c r="Y153" s="254">
        <v>73</v>
      </c>
      <c r="Z153" s="254">
        <v>71.999942446043164</v>
      </c>
      <c r="AA153" s="254">
        <v>72</v>
      </c>
      <c r="AB153" s="254">
        <v>71.749985611510795</v>
      </c>
      <c r="AC153" s="254">
        <v>71.749985611510795</v>
      </c>
      <c r="AD153" s="254">
        <v>71.249927666223016</v>
      </c>
      <c r="AE153" s="254">
        <v>71</v>
      </c>
      <c r="AF153" s="254">
        <v>72</v>
      </c>
      <c r="AG153" s="254">
        <v>859.53787482467521</v>
      </c>
      <c r="AH153" s="254">
        <v>71.628156235389596</v>
      </c>
      <c r="AI153" s="337">
        <f>+SUMIFS(Mapping!L:L,Mapping!A:A,"MULTI FAMILY",Mapping!C:C,'Murrey''s Price Out 2022'!C153)-AG153</f>
        <v>0</v>
      </c>
      <c r="AJ153" s="105"/>
      <c r="AL153" s="267">
        <v>25532.572571666977</v>
      </c>
      <c r="AM153" s="267">
        <v>123438.98742833303</v>
      </c>
      <c r="AO153" s="280" t="s">
        <v>667</v>
      </c>
      <c r="AP153" s="279" t="s">
        <v>677</v>
      </c>
      <c r="AR153" s="267">
        <v>456.62481207355148</v>
      </c>
      <c r="AS153" s="267">
        <v>456.62481207355148</v>
      </c>
      <c r="AT153" s="267">
        <v>464.9976870590956</v>
      </c>
      <c r="AU153" s="267">
        <v>472.87490647482014</v>
      </c>
      <c r="AV153" s="267">
        <v>474.5</v>
      </c>
      <c r="AW153" s="267">
        <v>467.99962589928055</v>
      </c>
      <c r="AX153" s="267">
        <v>468</v>
      </c>
      <c r="AY153" s="267">
        <v>466.37490647482014</v>
      </c>
      <c r="AZ153" s="267">
        <v>466.37490647482014</v>
      </c>
      <c r="BA153" s="267">
        <v>463.1245298304496</v>
      </c>
      <c r="BB153" s="267">
        <v>461.49999999999994</v>
      </c>
      <c r="BC153" s="267">
        <v>468</v>
      </c>
      <c r="BD153" s="105">
        <v>465.58301553003236</v>
      </c>
      <c r="BE153" s="105"/>
      <c r="BH153" s="239">
        <v>1.5</v>
      </c>
      <c r="BI153" s="239">
        <v>1</v>
      </c>
      <c r="BJ153" s="104">
        <v>71.628156235389596</v>
      </c>
      <c r="BN153" s="104">
        <v>171.98759999999999</v>
      </c>
      <c r="BO153" s="108"/>
      <c r="BP153" s="108"/>
      <c r="BQ153" s="108"/>
      <c r="BR153" s="95">
        <v>148971.56</v>
      </c>
      <c r="BT153" s="272">
        <v>29.574999999999996</v>
      </c>
      <c r="BU153" s="271">
        <v>142.4126</v>
      </c>
      <c r="BW153" s="270">
        <f t="shared" si="8"/>
        <v>10.020507076117369</v>
      </c>
      <c r="BX153" s="274">
        <f t="shared" si="9"/>
        <v>7118.9122850058229</v>
      </c>
      <c r="BY153" s="274">
        <f t="shared" si="10"/>
        <v>1494.0930718657191</v>
      </c>
      <c r="BZ153" s="115">
        <f t="shared" si="11"/>
        <v>0</v>
      </c>
      <c r="CA153" s="278" t="s">
        <v>675</v>
      </c>
      <c r="CB153" s="277">
        <f>+(26/12)</f>
        <v>2.1666666666666665</v>
      </c>
    </row>
    <row r="154" spans="1:80" outlineLevel="1">
      <c r="A154" s="79" t="str">
        <f t="shared" si="7"/>
        <v>MURREYSMULTI-FAMILYM1.5YD2W</v>
      </c>
      <c r="B154" s="79" t="s">
        <v>448</v>
      </c>
      <c r="C154" s="79" t="s">
        <v>108</v>
      </c>
      <c r="D154" s="104">
        <v>345.88</v>
      </c>
      <c r="E154" s="104">
        <v>347.5</v>
      </c>
      <c r="F154" s="104">
        <v>345.62</v>
      </c>
      <c r="G154" s="105">
        <v>1037.6400000000001</v>
      </c>
      <c r="H154" s="105">
        <v>1037.6400000000001</v>
      </c>
      <c r="I154" s="105">
        <v>1037.6400000000001</v>
      </c>
      <c r="J154" s="105">
        <v>1042.5</v>
      </c>
      <c r="K154" s="105">
        <v>1042.5</v>
      </c>
      <c r="L154" s="105">
        <v>1042.5</v>
      </c>
      <c r="M154" s="105">
        <v>1042.5</v>
      </c>
      <c r="N154" s="105">
        <v>1042.5</v>
      </c>
      <c r="O154" s="105">
        <v>1042.5</v>
      </c>
      <c r="P154" s="105">
        <v>1036.8599999999999</v>
      </c>
      <c r="Q154" s="105">
        <v>1036.8599999999999</v>
      </c>
      <c r="R154" s="105">
        <v>1036.8599999999999</v>
      </c>
      <c r="S154" s="249">
        <v>12478.500000000002</v>
      </c>
      <c r="T154" s="249"/>
      <c r="U154" s="254">
        <v>3.0000000000000004</v>
      </c>
      <c r="V154" s="254">
        <v>3.0000000000000004</v>
      </c>
      <c r="W154" s="254">
        <v>3.0000000000000004</v>
      </c>
      <c r="X154" s="254">
        <v>3</v>
      </c>
      <c r="Y154" s="254">
        <v>3</v>
      </c>
      <c r="Z154" s="254">
        <v>3</v>
      </c>
      <c r="AA154" s="254">
        <v>3</v>
      </c>
      <c r="AB154" s="254">
        <v>3</v>
      </c>
      <c r="AC154" s="254">
        <v>3</v>
      </c>
      <c r="AD154" s="254">
        <v>2.9999999999999996</v>
      </c>
      <c r="AE154" s="254">
        <v>2.9999999999999996</v>
      </c>
      <c r="AF154" s="254">
        <v>2.9999999999999996</v>
      </c>
      <c r="AG154" s="254">
        <v>36</v>
      </c>
      <c r="AH154" s="254">
        <v>3</v>
      </c>
      <c r="AI154" s="337">
        <f>+SUMIFS(Mapping!L:L,Mapping!A:A,"MULTI FAMILY",Mapping!C:C,'Murrey''s Price Out 2022'!C154)-AG154</f>
        <v>0</v>
      </c>
      <c r="AJ154" s="105"/>
      <c r="AL154" s="267">
        <v>2138.7599999999998</v>
      </c>
      <c r="AM154" s="267">
        <v>10339.740000000002</v>
      </c>
      <c r="AO154" s="278" t="s">
        <v>604</v>
      </c>
      <c r="AP154" s="277">
        <v>1</v>
      </c>
      <c r="AR154" s="267">
        <v>39.000000000000007</v>
      </c>
      <c r="AS154" s="267">
        <v>39.000000000000007</v>
      </c>
      <c r="AT154" s="267">
        <v>39.000000000000007</v>
      </c>
      <c r="AU154" s="267">
        <v>39</v>
      </c>
      <c r="AV154" s="267">
        <v>39</v>
      </c>
      <c r="AW154" s="267">
        <v>39</v>
      </c>
      <c r="AX154" s="267">
        <v>39</v>
      </c>
      <c r="AY154" s="267">
        <v>39</v>
      </c>
      <c r="AZ154" s="267">
        <v>39</v>
      </c>
      <c r="BA154" s="267">
        <v>38.999999999999986</v>
      </c>
      <c r="BB154" s="267">
        <v>38.999999999999986</v>
      </c>
      <c r="BC154" s="267">
        <v>38.999999999999986</v>
      </c>
      <c r="BD154" s="105">
        <v>39</v>
      </c>
      <c r="BE154" s="105"/>
      <c r="BH154" s="239">
        <v>1.5</v>
      </c>
      <c r="BI154" s="239">
        <v>1</v>
      </c>
      <c r="BJ154" s="104">
        <v>3</v>
      </c>
      <c r="BN154" s="104">
        <v>343.97519999999997</v>
      </c>
      <c r="BO154" s="108"/>
      <c r="BP154" s="108"/>
      <c r="BQ154" s="108"/>
      <c r="BR154" s="95">
        <v>12478.500000000002</v>
      </c>
      <c r="BT154" s="272">
        <v>59.149999999999991</v>
      </c>
      <c r="BU154" s="271">
        <v>284.8252</v>
      </c>
      <c r="BW154" s="270">
        <f t="shared" si="8"/>
        <v>20.041014152234737</v>
      </c>
      <c r="BX154" s="274">
        <f t="shared" si="9"/>
        <v>596.32239547904669</v>
      </c>
      <c r="BY154" s="274">
        <f t="shared" si="10"/>
        <v>125.15411400140383</v>
      </c>
      <c r="BZ154" s="115">
        <f t="shared" si="11"/>
        <v>0</v>
      </c>
      <c r="CA154" s="278" t="s">
        <v>674</v>
      </c>
      <c r="CB154" s="277">
        <f>+(52/12)</f>
        <v>4.333333333333333</v>
      </c>
    </row>
    <row r="155" spans="1:80" outlineLevel="1">
      <c r="A155" s="79" t="str">
        <f t="shared" si="7"/>
        <v>MURREYSMULTI-FAMILYM1.5YDTPU</v>
      </c>
      <c r="B155" s="79" t="s">
        <v>676</v>
      </c>
      <c r="C155" s="79" t="s">
        <v>118</v>
      </c>
      <c r="D155" s="104">
        <v>42.13</v>
      </c>
      <c r="E155" s="104">
        <v>42.33</v>
      </c>
      <c r="F155" s="104">
        <v>42.11</v>
      </c>
      <c r="G155" s="105">
        <v>0</v>
      </c>
      <c r="H155" s="105">
        <v>0</v>
      </c>
      <c r="I155" s="105">
        <v>0</v>
      </c>
      <c r="J155" s="105">
        <v>0</v>
      </c>
      <c r="K155" s="105">
        <v>0</v>
      </c>
      <c r="L155" s="105">
        <v>0</v>
      </c>
      <c r="M155" s="105">
        <v>0</v>
      </c>
      <c r="N155" s="105">
        <v>0</v>
      </c>
      <c r="O155" s="105">
        <v>0</v>
      </c>
      <c r="P155" s="105">
        <v>0</v>
      </c>
      <c r="Q155" s="105">
        <v>0</v>
      </c>
      <c r="R155" s="105">
        <v>45.58</v>
      </c>
      <c r="S155" s="249">
        <v>45.58</v>
      </c>
      <c r="T155" s="249"/>
      <c r="U155" s="254">
        <v>0</v>
      </c>
      <c r="V155" s="254">
        <v>0</v>
      </c>
      <c r="W155" s="254">
        <v>0</v>
      </c>
      <c r="X155" s="254">
        <v>0</v>
      </c>
      <c r="Y155" s="254">
        <v>0</v>
      </c>
      <c r="Z155" s="254">
        <v>0</v>
      </c>
      <c r="AA155" s="254">
        <v>0</v>
      </c>
      <c r="AB155" s="254">
        <v>0</v>
      </c>
      <c r="AC155" s="254">
        <v>0</v>
      </c>
      <c r="AD155" s="254">
        <v>0</v>
      </c>
      <c r="AE155" s="254">
        <v>0</v>
      </c>
      <c r="AF155" s="254">
        <v>1.0824032296366659</v>
      </c>
      <c r="AG155" s="254">
        <v>1.0824032296366659</v>
      </c>
      <c r="AH155" s="254">
        <v>9.020026913638883E-2</v>
      </c>
      <c r="AI155" s="337">
        <f>+SUMIFS(Mapping!L:L,Mapping!A:A,"MULTI FAMILY",Mapping!C:C,'Murrey''s Price Out 2022'!C155)-AG155</f>
        <v>0</v>
      </c>
      <c r="AJ155" s="106"/>
      <c r="AL155" s="267">
        <v>7.4198741391593455</v>
      </c>
      <c r="AM155" s="267">
        <v>38.160125860840651</v>
      </c>
      <c r="AO155" s="278" t="s">
        <v>675</v>
      </c>
      <c r="AP155" s="277">
        <v>2.1666666666666665</v>
      </c>
      <c r="AR155" s="267">
        <v>0</v>
      </c>
      <c r="AS155" s="267">
        <v>0</v>
      </c>
      <c r="AT155" s="267">
        <v>0</v>
      </c>
      <c r="AU155" s="267">
        <v>0</v>
      </c>
      <c r="AV155" s="267">
        <v>0</v>
      </c>
      <c r="AW155" s="267">
        <v>0</v>
      </c>
      <c r="AX155" s="267">
        <v>0</v>
      </c>
      <c r="AY155" s="267">
        <v>0</v>
      </c>
      <c r="AZ155" s="267">
        <v>0</v>
      </c>
      <c r="BA155" s="267">
        <v>0</v>
      </c>
      <c r="BB155" s="267">
        <v>0</v>
      </c>
      <c r="BC155" s="267">
        <v>1.6236048444549989</v>
      </c>
      <c r="BD155" s="105">
        <v>0.13530040370458324</v>
      </c>
      <c r="BH155" s="239">
        <v>1.5</v>
      </c>
      <c r="BI155" s="239">
        <v>1</v>
      </c>
      <c r="BJ155" s="104">
        <v>9.020026913638883E-2</v>
      </c>
      <c r="BN155" s="104">
        <v>181.47029999999998</v>
      </c>
      <c r="BO155" s="108"/>
      <c r="BP155" s="108"/>
      <c r="BQ155" s="108"/>
      <c r="BR155" s="95">
        <v>45.58</v>
      </c>
      <c r="BT155" s="272">
        <v>6.8249999999999993</v>
      </c>
      <c r="BU155" s="271">
        <v>174.64529999999999</v>
      </c>
      <c r="BW155" s="270">
        <f t="shared" si="8"/>
        <v>4.0429653620851447</v>
      </c>
      <c r="BX155" s="274">
        <f t="shared" si="9"/>
        <v>2.0687861755486967</v>
      </c>
      <c r="BY155" s="274">
        <f t="shared" si="10"/>
        <v>2.3073325896814363</v>
      </c>
      <c r="BZ155" s="115">
        <f t="shared" si="11"/>
        <v>0</v>
      </c>
      <c r="CA155" s="278" t="s">
        <v>673</v>
      </c>
      <c r="CB155" s="277">
        <f>+(52/12)*2</f>
        <v>8.6666666666666661</v>
      </c>
    </row>
    <row r="156" spans="1:80" outlineLevel="1">
      <c r="A156" s="79" t="str">
        <f t="shared" si="7"/>
        <v>MURREYSMULTI-FAMILYM2YD1W</v>
      </c>
      <c r="B156" s="79" t="s">
        <v>452</v>
      </c>
      <c r="C156" s="79" t="s">
        <v>109</v>
      </c>
      <c r="D156" s="104">
        <v>218.32</v>
      </c>
      <c r="E156" s="104">
        <v>219.34</v>
      </c>
      <c r="F156" s="104">
        <v>218.15</v>
      </c>
      <c r="G156" s="105">
        <v>30237.32</v>
      </c>
      <c r="H156" s="105">
        <v>31328.92</v>
      </c>
      <c r="I156" s="105">
        <v>31929.3</v>
      </c>
      <c r="J156" s="105">
        <v>32960.019999999997</v>
      </c>
      <c r="K156" s="105">
        <v>33614.36</v>
      </c>
      <c r="L156" s="105">
        <v>33848.379999999997</v>
      </c>
      <c r="M156" s="105">
        <v>34436.379999999997</v>
      </c>
      <c r="N156" s="105">
        <v>34381.54</v>
      </c>
      <c r="O156" s="105">
        <v>33778.36</v>
      </c>
      <c r="P156" s="105">
        <v>33918.44000000001</v>
      </c>
      <c r="Q156" s="105">
        <v>33594.99</v>
      </c>
      <c r="R156" s="105">
        <v>33649.61</v>
      </c>
      <c r="S156" s="249">
        <v>397677.61999999994</v>
      </c>
      <c r="T156" s="249"/>
      <c r="U156" s="254">
        <v>138.5</v>
      </c>
      <c r="V156" s="254">
        <v>143.5</v>
      </c>
      <c r="W156" s="254">
        <v>146.25</v>
      </c>
      <c r="X156" s="254">
        <v>150.26907996717424</v>
      </c>
      <c r="Y156" s="254">
        <v>153.25230236163034</v>
      </c>
      <c r="Z156" s="254">
        <v>154.31923041852829</v>
      </c>
      <c r="AA156" s="254">
        <v>156.99999999999997</v>
      </c>
      <c r="AB156" s="254">
        <v>156.7499772043403</v>
      </c>
      <c r="AC156" s="254">
        <v>154</v>
      </c>
      <c r="AD156" s="254">
        <v>155.48219115287651</v>
      </c>
      <c r="AE156" s="254">
        <v>153.99949575979829</v>
      </c>
      <c r="AF156" s="254">
        <v>154.24987393994957</v>
      </c>
      <c r="AG156" s="254">
        <v>1817.5721508042973</v>
      </c>
      <c r="AH156" s="254">
        <v>151.4643459003581</v>
      </c>
      <c r="AI156" s="337">
        <f>+SUMIFS(Mapping!L:L,Mapping!A:A,"MULTI FAMILY",Mapping!C:C,'Murrey''s Price Out 2022'!C156)-AG156</f>
        <v>0</v>
      </c>
      <c r="AJ156" s="105"/>
      <c r="AL156" s="267">
        <v>71987.974319522196</v>
      </c>
      <c r="AM156" s="267">
        <v>325689.64568047773</v>
      </c>
      <c r="AO156" s="278" t="s">
        <v>674</v>
      </c>
      <c r="AP156" s="277">
        <v>4.333333333333333</v>
      </c>
      <c r="AR156" s="267">
        <v>1200.3333333333333</v>
      </c>
      <c r="AS156" s="267">
        <v>1243.6666666666665</v>
      </c>
      <c r="AT156" s="267">
        <v>1267.5</v>
      </c>
      <c r="AU156" s="267">
        <v>1302.3320263821765</v>
      </c>
      <c r="AV156" s="267">
        <v>1328.1866204674629</v>
      </c>
      <c r="AW156" s="267">
        <v>1337.4333302939117</v>
      </c>
      <c r="AX156" s="267">
        <v>1360.6666666666663</v>
      </c>
      <c r="AY156" s="267">
        <v>1358.4998024376159</v>
      </c>
      <c r="AZ156" s="267">
        <v>1334.6666666666665</v>
      </c>
      <c r="BA156" s="267">
        <v>1347.5123233249296</v>
      </c>
      <c r="BB156" s="267">
        <v>1334.6622965849185</v>
      </c>
      <c r="BC156" s="267">
        <v>1336.8322408128961</v>
      </c>
      <c r="BD156" s="105">
        <v>1312.6909978031038</v>
      </c>
      <c r="BE156" s="105"/>
      <c r="BH156" s="239">
        <v>2</v>
      </c>
      <c r="BI156" s="239">
        <v>1</v>
      </c>
      <c r="BJ156" s="104">
        <v>151.4643459003581</v>
      </c>
      <c r="BN156" s="104">
        <v>217.1062</v>
      </c>
      <c r="BO156" s="108"/>
      <c r="BP156" s="108"/>
      <c r="BQ156" s="108"/>
      <c r="BR156" s="95">
        <v>397677.61999999994</v>
      </c>
      <c r="BT156" s="272">
        <v>39.43333333333333</v>
      </c>
      <c r="BU156" s="271">
        <v>177.67286666666666</v>
      </c>
      <c r="BW156" s="270">
        <f t="shared" si="8"/>
        <v>13.211636657060836</v>
      </c>
      <c r="BX156" s="274">
        <f t="shared" si="9"/>
        <v>20071.462572659664</v>
      </c>
      <c r="BY156" s="274">
        <f t="shared" si="10"/>
        <v>3941.6402817592952</v>
      </c>
      <c r="BZ156" s="115">
        <f t="shared" si="11"/>
        <v>0</v>
      </c>
      <c r="CA156" s="278" t="s">
        <v>672</v>
      </c>
      <c r="CB156" s="277">
        <f>+(52/12)*3</f>
        <v>13</v>
      </c>
    </row>
    <row r="157" spans="1:80" outlineLevel="1">
      <c r="A157" s="79" t="str">
        <f t="shared" si="7"/>
        <v>MURREYSMULTI-FAMILYM2YD2W</v>
      </c>
      <c r="B157" s="79" t="s">
        <v>453</v>
      </c>
      <c r="C157" s="79" t="s">
        <v>110</v>
      </c>
      <c r="D157" s="104">
        <v>436.64</v>
      </c>
      <c r="E157" s="104">
        <v>438.68</v>
      </c>
      <c r="F157" s="104">
        <v>436.29</v>
      </c>
      <c r="G157" s="105">
        <v>7422.88</v>
      </c>
      <c r="H157" s="105">
        <v>6877.08</v>
      </c>
      <c r="I157" s="105">
        <v>6877.08</v>
      </c>
      <c r="J157" s="105">
        <v>6580.2000000000007</v>
      </c>
      <c r="K157" s="105">
        <v>5594.7000000000007</v>
      </c>
      <c r="L157" s="105">
        <v>5044.82</v>
      </c>
      <c r="M157" s="105">
        <v>5154.49</v>
      </c>
      <c r="N157" s="105">
        <v>4715.8099999999995</v>
      </c>
      <c r="O157" s="105">
        <v>4496.47</v>
      </c>
      <c r="P157" s="105">
        <v>4362.9000000000005</v>
      </c>
      <c r="Q157" s="105">
        <v>5344.53</v>
      </c>
      <c r="R157" s="105">
        <v>5889.9</v>
      </c>
      <c r="S157" s="249">
        <v>68360.86</v>
      </c>
      <c r="T157" s="249"/>
      <c r="U157" s="254">
        <v>17</v>
      </c>
      <c r="V157" s="254">
        <v>15.75</v>
      </c>
      <c r="W157" s="254">
        <v>15.75</v>
      </c>
      <c r="X157" s="254">
        <v>15.000000000000002</v>
      </c>
      <c r="Y157" s="254">
        <v>12.75348773593508</v>
      </c>
      <c r="Z157" s="254">
        <v>11.5</v>
      </c>
      <c r="AA157" s="254">
        <v>11.75</v>
      </c>
      <c r="AB157" s="254">
        <v>10.749999999999998</v>
      </c>
      <c r="AC157" s="254">
        <v>10.25</v>
      </c>
      <c r="AD157" s="254">
        <v>10</v>
      </c>
      <c r="AE157" s="254">
        <v>12.249948428797358</v>
      </c>
      <c r="AF157" s="254">
        <v>13.499965619198239</v>
      </c>
      <c r="AG157" s="254">
        <v>156.25340178393068</v>
      </c>
      <c r="AH157" s="254">
        <v>13.021116815327558</v>
      </c>
      <c r="AI157" s="337">
        <f>+SUMIFS(Mapping!L:L,Mapping!A:A,"MULTI FAMILY",Mapping!C:C,'Murrey''s Price Out 2022'!C157)-AG157</f>
        <v>0</v>
      </c>
      <c r="AJ157" s="105"/>
      <c r="AL157" s="267">
        <v>12377.352799977763</v>
      </c>
      <c r="AM157" s="267">
        <v>55983.507200022235</v>
      </c>
      <c r="AO157" s="278" t="s">
        <v>673</v>
      </c>
      <c r="AP157" s="277">
        <v>8.6666666666666661</v>
      </c>
      <c r="AR157" s="267">
        <v>294.66666666666663</v>
      </c>
      <c r="AS157" s="267">
        <v>273</v>
      </c>
      <c r="AT157" s="267">
        <v>273</v>
      </c>
      <c r="AU157" s="267">
        <v>260</v>
      </c>
      <c r="AV157" s="267">
        <v>221.06045408954137</v>
      </c>
      <c r="AW157" s="267">
        <v>199.33333333333331</v>
      </c>
      <c r="AX157" s="267">
        <v>203.66666666666666</v>
      </c>
      <c r="AY157" s="267">
        <v>186.33333333333329</v>
      </c>
      <c r="AZ157" s="267">
        <v>177.66666666666666</v>
      </c>
      <c r="BA157" s="267">
        <v>173.33333333333331</v>
      </c>
      <c r="BB157" s="267">
        <v>212.33243943248752</v>
      </c>
      <c r="BC157" s="267">
        <v>233.99940406610278</v>
      </c>
      <c r="BD157" s="105">
        <v>225.69935813234429</v>
      </c>
      <c r="BE157" s="105"/>
      <c r="BH157" s="239">
        <v>2</v>
      </c>
      <c r="BI157" s="239">
        <v>1</v>
      </c>
      <c r="BJ157" s="104">
        <v>13.021116815327558</v>
      </c>
      <c r="BN157" s="104">
        <v>434.2124</v>
      </c>
      <c r="BO157" s="108"/>
      <c r="BP157" s="108"/>
      <c r="BQ157" s="108"/>
      <c r="BR157" s="95">
        <v>68360.86</v>
      </c>
      <c r="BT157" s="272">
        <v>78.86666666666666</v>
      </c>
      <c r="BU157" s="271">
        <v>355.34573333333333</v>
      </c>
      <c r="BW157" s="270">
        <f t="shared" si="8"/>
        <v>26.423273314121673</v>
      </c>
      <c r="BX157" s="274">
        <f t="shared" si="9"/>
        <v>3451.0149205016114</v>
      </c>
      <c r="BY157" s="274">
        <f t="shared" si="10"/>
        <v>677.71142109645575</v>
      </c>
      <c r="BZ157" s="115">
        <f t="shared" si="11"/>
        <v>0</v>
      </c>
      <c r="CA157" s="278" t="s">
        <v>669</v>
      </c>
      <c r="CB157" s="277">
        <f>+(52/12)*4</f>
        <v>17.333333333333332</v>
      </c>
    </row>
    <row r="158" spans="1:80" outlineLevel="1">
      <c r="A158" s="79" t="str">
        <f t="shared" si="7"/>
        <v>MURREYSMULTI-FAMILYM2YD3W</v>
      </c>
      <c r="B158" s="79" t="s">
        <v>454</v>
      </c>
      <c r="C158" s="79" t="s">
        <v>111</v>
      </c>
      <c r="D158" s="104">
        <v>654.96</v>
      </c>
      <c r="E158" s="104">
        <v>658.02</v>
      </c>
      <c r="F158" s="104">
        <v>654.44000000000005</v>
      </c>
      <c r="G158" s="105">
        <v>654.96</v>
      </c>
      <c r="H158" s="105">
        <v>654.96</v>
      </c>
      <c r="I158" s="105">
        <v>654.96</v>
      </c>
      <c r="J158" s="105">
        <v>658.02</v>
      </c>
      <c r="K158" s="105">
        <v>1645.05</v>
      </c>
      <c r="L158" s="105">
        <v>2632.08</v>
      </c>
      <c r="M158" s="105">
        <v>2632.08</v>
      </c>
      <c r="N158" s="105">
        <v>2138.5500000000002</v>
      </c>
      <c r="O158" s="105">
        <v>1316.04</v>
      </c>
      <c r="P158" s="105">
        <v>1308.8800000000001</v>
      </c>
      <c r="Q158" s="105">
        <v>1308.8800000000001</v>
      </c>
      <c r="R158" s="105">
        <v>1308.8800000000001</v>
      </c>
      <c r="S158" s="249">
        <v>16913.340000000004</v>
      </c>
      <c r="T158" s="249"/>
      <c r="U158" s="254">
        <v>1</v>
      </c>
      <c r="V158" s="254">
        <v>1</v>
      </c>
      <c r="W158" s="254">
        <v>1</v>
      </c>
      <c r="X158" s="254">
        <v>1</v>
      </c>
      <c r="Y158" s="254">
        <v>2.5</v>
      </c>
      <c r="Z158" s="254">
        <v>4</v>
      </c>
      <c r="AA158" s="254">
        <v>4</v>
      </c>
      <c r="AB158" s="254">
        <v>3.2499772043402939</v>
      </c>
      <c r="AC158" s="254">
        <v>2</v>
      </c>
      <c r="AD158" s="254">
        <v>2</v>
      </c>
      <c r="AE158" s="254">
        <v>2</v>
      </c>
      <c r="AF158" s="254">
        <v>2</v>
      </c>
      <c r="AG158" s="254">
        <v>25.749977204340293</v>
      </c>
      <c r="AH158" s="254">
        <v>2.1458314336950246</v>
      </c>
      <c r="AI158" s="337">
        <f>+SUMIFS(Mapping!L:L,Mapping!A:A,"MULTI FAMILY",Mapping!C:C,'Murrey''s Price Out 2022'!C158)-AG158</f>
        <v>0</v>
      </c>
      <c r="AJ158" s="105"/>
      <c r="AL158" s="267">
        <v>3059.612291419714</v>
      </c>
      <c r="AM158" s="267">
        <v>13853.727708580289</v>
      </c>
      <c r="AO158" s="278" t="s">
        <v>672</v>
      </c>
      <c r="AP158" s="277">
        <v>13</v>
      </c>
      <c r="AR158" s="267">
        <v>26</v>
      </c>
      <c r="AS158" s="267">
        <v>26</v>
      </c>
      <c r="AT158" s="267">
        <v>26</v>
      </c>
      <c r="AU158" s="267">
        <v>26</v>
      </c>
      <c r="AV158" s="267">
        <v>65</v>
      </c>
      <c r="AW158" s="267">
        <v>104</v>
      </c>
      <c r="AX158" s="267">
        <v>104</v>
      </c>
      <c r="AY158" s="267">
        <v>84.499407312847637</v>
      </c>
      <c r="AZ158" s="267">
        <v>52</v>
      </c>
      <c r="BA158" s="267">
        <v>52</v>
      </c>
      <c r="BB158" s="267">
        <v>52</v>
      </c>
      <c r="BC158" s="267">
        <v>52</v>
      </c>
      <c r="BD158" s="105">
        <v>55.791617276070639</v>
      </c>
      <c r="BE158" s="105"/>
      <c r="BH158" s="239">
        <v>2</v>
      </c>
      <c r="BI158" s="239">
        <v>1</v>
      </c>
      <c r="BJ158" s="104">
        <v>2.1458314336950246</v>
      </c>
      <c r="BN158" s="104">
        <v>651.31860000000006</v>
      </c>
      <c r="BO158" s="108"/>
      <c r="BP158" s="108"/>
      <c r="BQ158" s="108"/>
      <c r="BR158" s="95">
        <v>16913.340000000004</v>
      </c>
      <c r="BT158" s="272">
        <v>118.3</v>
      </c>
      <c r="BU158" s="271">
        <v>533.01860000000011</v>
      </c>
      <c r="BW158" s="270">
        <f t="shared" si="8"/>
        <v>39.634909971182509</v>
      </c>
      <c r="BX158" s="274">
        <f t="shared" si="9"/>
        <v>853.0715605568364</v>
      </c>
      <c r="BY158" s="274">
        <f t="shared" si="10"/>
        <v>167.52646769719317</v>
      </c>
      <c r="BZ158" s="115">
        <f t="shared" si="11"/>
        <v>0</v>
      </c>
      <c r="CA158" s="278" t="s">
        <v>668</v>
      </c>
      <c r="CB158" s="277">
        <v>1</v>
      </c>
    </row>
    <row r="159" spans="1:80" outlineLevel="1">
      <c r="A159" s="79" t="str">
        <f t="shared" si="7"/>
        <v>MURREYSMULTI-FAMILYM2YD4W</v>
      </c>
      <c r="B159" s="79" t="s">
        <v>671</v>
      </c>
      <c r="C159" s="346" t="s">
        <v>670</v>
      </c>
      <c r="D159" s="304">
        <v>0</v>
      </c>
      <c r="E159" s="304">
        <v>877.36</v>
      </c>
      <c r="F159" s="304">
        <v>872.58</v>
      </c>
      <c r="G159" s="347">
        <v>1746.54</v>
      </c>
      <c r="H159" s="347">
        <v>1746.54</v>
      </c>
      <c r="I159" s="347">
        <v>2619.81</v>
      </c>
      <c r="J159" s="347">
        <v>2632.08</v>
      </c>
      <c r="K159" s="347">
        <v>2632.08</v>
      </c>
      <c r="L159" s="347">
        <v>2632.08</v>
      </c>
      <c r="M159" s="347">
        <v>2193.4</v>
      </c>
      <c r="N159" s="347">
        <v>1754.72</v>
      </c>
      <c r="O159" s="347">
        <v>1754.72</v>
      </c>
      <c r="P159" s="347">
        <v>1745.16</v>
      </c>
      <c r="Q159" s="347">
        <v>1745.16</v>
      </c>
      <c r="R159" s="347">
        <v>1745.16</v>
      </c>
      <c r="S159" s="348">
        <v>24947.45</v>
      </c>
      <c r="T159" s="348"/>
      <c r="U159" s="347">
        <v>0</v>
      </c>
      <c r="V159" s="347">
        <v>0</v>
      </c>
      <c r="W159" s="347">
        <v>0</v>
      </c>
      <c r="X159" s="347">
        <v>3</v>
      </c>
      <c r="Y159" s="347">
        <v>3</v>
      </c>
      <c r="Z159" s="347">
        <v>3</v>
      </c>
      <c r="AA159" s="347">
        <v>2.5</v>
      </c>
      <c r="AB159" s="347">
        <v>2</v>
      </c>
      <c r="AC159" s="347">
        <v>2</v>
      </c>
      <c r="AD159" s="347">
        <v>2</v>
      </c>
      <c r="AE159" s="347">
        <v>2</v>
      </c>
      <c r="AF159" s="347">
        <v>2</v>
      </c>
      <c r="AG159" s="347">
        <v>21.5</v>
      </c>
      <c r="AH159" s="347">
        <v>1.7916666666666667</v>
      </c>
      <c r="AI159" s="337">
        <f>+SUMIFS(Mapping!L:L,Mapping!A:A,"MULTI FAMILY",Mapping!C:C,'Murrey''s Price Out 2022'!C159)-AG159</f>
        <v>0</v>
      </c>
      <c r="AJ159" s="106"/>
      <c r="AL159" s="267">
        <v>3406.1733333333336</v>
      </c>
      <c r="AM159" s="267">
        <v>21541.276666666668</v>
      </c>
      <c r="AO159" s="278" t="s">
        <v>669</v>
      </c>
      <c r="AP159" s="277">
        <v>17.333333333333332</v>
      </c>
      <c r="AR159" s="267">
        <v>0</v>
      </c>
      <c r="AS159" s="267">
        <v>0</v>
      </c>
      <c r="AT159" s="267">
        <v>0</v>
      </c>
      <c r="AU159" s="267">
        <v>104</v>
      </c>
      <c r="AV159" s="267">
        <v>104</v>
      </c>
      <c r="AW159" s="267">
        <v>104</v>
      </c>
      <c r="AX159" s="267">
        <v>86.666666666666657</v>
      </c>
      <c r="AY159" s="267">
        <v>69.333333333333329</v>
      </c>
      <c r="AZ159" s="267">
        <v>69.333333333333329</v>
      </c>
      <c r="BA159" s="267">
        <v>69.333333333333329</v>
      </c>
      <c r="BB159" s="267">
        <v>69.333333333333329</v>
      </c>
      <c r="BC159" s="267">
        <v>69.333333333333329</v>
      </c>
      <c r="BD159" s="105">
        <v>62.111111111111114</v>
      </c>
      <c r="BH159" s="239">
        <v>2</v>
      </c>
      <c r="BI159" s="239">
        <v>1</v>
      </c>
      <c r="BJ159" s="104">
        <v>1.7916666666666667</v>
      </c>
      <c r="BN159" s="104">
        <v>868.4248</v>
      </c>
      <c r="BO159" s="108"/>
      <c r="BP159" s="108"/>
      <c r="BQ159" s="108"/>
      <c r="BR159" s="95">
        <v>24947.45</v>
      </c>
      <c r="BT159" s="272">
        <v>157.73333333333332</v>
      </c>
      <c r="BU159" s="271">
        <v>710.69146666666666</v>
      </c>
      <c r="BW159" s="270">
        <f t="shared" si="8"/>
        <v>52.846546628243345</v>
      </c>
      <c r="BX159" s="274">
        <f t="shared" si="9"/>
        <v>949.69862983700045</v>
      </c>
      <c r="BY159" s="274">
        <f t="shared" si="10"/>
        <v>186.50212267023142</v>
      </c>
      <c r="BZ159" s="115">
        <f t="shared" si="11"/>
        <v>0</v>
      </c>
      <c r="CA159" s="282"/>
      <c r="CB159" s="281"/>
    </row>
    <row r="160" spans="1:80" outlineLevel="1">
      <c r="A160" s="79" t="str">
        <f t="shared" si="7"/>
        <v>MURREYSMULTI-FAMILYM2YDTPU</v>
      </c>
      <c r="B160" s="79" t="s">
        <v>456</v>
      </c>
      <c r="C160" s="79" t="s">
        <v>119</v>
      </c>
      <c r="D160" s="104">
        <v>52.6</v>
      </c>
      <c r="E160" s="104">
        <v>52.85</v>
      </c>
      <c r="F160" s="104">
        <v>52.57</v>
      </c>
      <c r="G160" s="105">
        <v>455.52</v>
      </c>
      <c r="H160" s="105">
        <v>0</v>
      </c>
      <c r="I160" s="105">
        <v>0</v>
      </c>
      <c r="J160" s="105">
        <v>57.2</v>
      </c>
      <c r="K160" s="105">
        <v>0</v>
      </c>
      <c r="L160" s="105">
        <v>0</v>
      </c>
      <c r="M160" s="105">
        <v>0</v>
      </c>
      <c r="N160" s="105">
        <v>0</v>
      </c>
      <c r="O160" s="105">
        <v>171.61</v>
      </c>
      <c r="P160" s="105">
        <v>512.73</v>
      </c>
      <c r="Q160" s="105">
        <v>796.67000000000007</v>
      </c>
      <c r="R160" s="105">
        <v>1024.29</v>
      </c>
      <c r="S160" s="249">
        <v>3018.02</v>
      </c>
      <c r="T160" s="249"/>
      <c r="U160" s="254">
        <v>8.6600760456273758</v>
      </c>
      <c r="V160" s="254">
        <v>0</v>
      </c>
      <c r="W160" s="254">
        <v>0</v>
      </c>
      <c r="X160" s="254">
        <v>1.0823084200567645</v>
      </c>
      <c r="Y160" s="254">
        <v>0</v>
      </c>
      <c r="Z160" s="254">
        <v>0</v>
      </c>
      <c r="AA160" s="254">
        <v>0</v>
      </c>
      <c r="AB160" s="254">
        <v>0</v>
      </c>
      <c r="AC160" s="254">
        <v>3.2471144749290448</v>
      </c>
      <c r="AD160" s="254">
        <v>9.7532813391668256</v>
      </c>
      <c r="AE160" s="254">
        <v>15.15446071904128</v>
      </c>
      <c r="AF160" s="254">
        <v>19.484306638767357</v>
      </c>
      <c r="AG160" s="254">
        <v>57.381547637588646</v>
      </c>
      <c r="AH160" s="254">
        <v>4.7817956364657208</v>
      </c>
      <c r="AI160" s="337">
        <f>+SUMIFS(Mapping!L:L,Mapping!A:A,"MULTI FAMILY",Mapping!C:C,'Murrey''s Price Out 2022'!C160)-AG160</f>
        <v>0</v>
      </c>
      <c r="AJ160" s="105"/>
      <c r="AL160" s="267">
        <v>524.46734540756029</v>
      </c>
      <c r="AM160" s="267">
        <v>2493.5526545924395</v>
      </c>
      <c r="AO160" s="278" t="s">
        <v>668</v>
      </c>
      <c r="AP160" s="277">
        <v>1</v>
      </c>
      <c r="AR160" s="267">
        <v>17.320152091254752</v>
      </c>
      <c r="AS160" s="267">
        <v>0</v>
      </c>
      <c r="AT160" s="267">
        <v>0</v>
      </c>
      <c r="AU160" s="267">
        <v>2.1646168401135291</v>
      </c>
      <c r="AV160" s="267">
        <v>0</v>
      </c>
      <c r="AW160" s="267">
        <v>0</v>
      </c>
      <c r="AX160" s="267">
        <v>0</v>
      </c>
      <c r="AY160" s="267">
        <v>0</v>
      </c>
      <c r="AZ160" s="267">
        <v>6.4942289498580896</v>
      </c>
      <c r="BA160" s="267">
        <v>19.506562678333651</v>
      </c>
      <c r="BB160" s="267">
        <v>30.30892143808256</v>
      </c>
      <c r="BC160" s="267">
        <v>38.968613277534715</v>
      </c>
      <c r="BD160" s="105">
        <v>9.5635912729314416</v>
      </c>
      <c r="BE160" s="105"/>
      <c r="BH160" s="239">
        <v>2</v>
      </c>
      <c r="BI160" s="239">
        <v>1</v>
      </c>
      <c r="BJ160" s="104">
        <v>4.7817956364657208</v>
      </c>
      <c r="BN160" s="104">
        <v>226.54560000000001</v>
      </c>
      <c r="BO160" s="108"/>
      <c r="BP160" s="108"/>
      <c r="BQ160" s="108"/>
      <c r="BR160" s="95">
        <v>3018.02</v>
      </c>
      <c r="BT160" s="272">
        <v>9.1</v>
      </c>
      <c r="BU160" s="271">
        <v>217.44560000000001</v>
      </c>
      <c r="BW160" s="270">
        <f t="shared" si="8"/>
        <v>5.2024713969052971</v>
      </c>
      <c r="BX160" s="274">
        <f t="shared" si="9"/>
        <v>146.23035018607652</v>
      </c>
      <c r="BY160" s="274">
        <f t="shared" si="10"/>
        <v>152.29551010863716</v>
      </c>
      <c r="BZ160" s="115">
        <f t="shared" si="11"/>
        <v>0</v>
      </c>
      <c r="CA160" s="280" t="s">
        <v>667</v>
      </c>
      <c r="CB160" s="279" t="s">
        <v>72</v>
      </c>
    </row>
    <row r="161" spans="1:80" outlineLevel="1">
      <c r="A161" s="79" t="str">
        <f t="shared" si="7"/>
        <v>MURREYSMULTI-FAMILYM4YD1W</v>
      </c>
      <c r="B161" s="79" t="s">
        <v>457</v>
      </c>
      <c r="C161" s="79" t="s">
        <v>112</v>
      </c>
      <c r="D161" s="104">
        <v>415.03</v>
      </c>
      <c r="E161" s="104">
        <v>416.97</v>
      </c>
      <c r="F161" s="104">
        <v>414.68</v>
      </c>
      <c r="G161" s="105">
        <v>9753.2000000000007</v>
      </c>
      <c r="H161" s="105">
        <v>8923.14</v>
      </c>
      <c r="I161" s="105">
        <v>7885.57</v>
      </c>
      <c r="J161" s="105">
        <v>7505.45</v>
      </c>
      <c r="K161" s="105">
        <v>6158.7</v>
      </c>
      <c r="L161" s="105">
        <v>6567.27</v>
      </c>
      <c r="M161" s="105">
        <v>7088.4900000000007</v>
      </c>
      <c r="N161" s="105">
        <v>7088.4900000000007</v>
      </c>
      <c r="O161" s="105">
        <v>7088.4900000000007</v>
      </c>
      <c r="P161" s="105">
        <v>6634.88</v>
      </c>
      <c r="Q161" s="105">
        <v>6634.88</v>
      </c>
      <c r="R161" s="105">
        <v>6738.55</v>
      </c>
      <c r="S161" s="249">
        <v>88067.110000000015</v>
      </c>
      <c r="T161" s="249"/>
      <c r="U161" s="254">
        <v>23.499987952678122</v>
      </c>
      <c r="V161" s="254">
        <v>21.499987952678119</v>
      </c>
      <c r="W161" s="254">
        <v>19</v>
      </c>
      <c r="X161" s="254">
        <v>17.999976017459289</v>
      </c>
      <c r="Y161" s="254">
        <v>14.77012734729117</v>
      </c>
      <c r="Z161" s="254">
        <v>15.749982013094467</v>
      </c>
      <c r="AA161" s="254">
        <v>17</v>
      </c>
      <c r="AB161" s="254">
        <v>17</v>
      </c>
      <c r="AC161" s="254">
        <v>17</v>
      </c>
      <c r="AD161" s="254">
        <v>16</v>
      </c>
      <c r="AE161" s="254">
        <v>16</v>
      </c>
      <c r="AF161" s="254">
        <v>16.25</v>
      </c>
      <c r="AG161" s="254">
        <v>211.77006128320116</v>
      </c>
      <c r="AH161" s="254">
        <v>17.64750510693343</v>
      </c>
      <c r="AI161" s="337">
        <f>+SUMIFS(Mapping!L:L,Mapping!A:A,"MULTI FAMILY",Mapping!C:C,'Murrey''s Price Out 2022'!C161)-AG161</f>
        <v>0</v>
      </c>
      <c r="AJ161" s="105"/>
      <c r="AL161" s="267">
        <v>16775.012454446642</v>
      </c>
      <c r="AM161" s="267">
        <v>71292.097545553377</v>
      </c>
      <c r="AO161" s="282"/>
      <c r="AP161" s="281"/>
      <c r="AR161" s="267">
        <v>407.3331245130874</v>
      </c>
      <c r="AS161" s="267">
        <v>372.66645784642071</v>
      </c>
      <c r="AT161" s="267">
        <v>329.33333333333331</v>
      </c>
      <c r="AU161" s="267">
        <v>311.99958430262768</v>
      </c>
      <c r="AV161" s="267">
        <v>256.01554068638029</v>
      </c>
      <c r="AW161" s="267">
        <v>272.99968822697076</v>
      </c>
      <c r="AX161" s="267">
        <v>294.66666666666663</v>
      </c>
      <c r="AY161" s="267">
        <v>294.66666666666663</v>
      </c>
      <c r="AZ161" s="267">
        <v>294.66666666666663</v>
      </c>
      <c r="BA161" s="267">
        <v>277.33333333333331</v>
      </c>
      <c r="BB161" s="267">
        <v>277.33333333333331</v>
      </c>
      <c r="BC161" s="267">
        <v>281.66666666666663</v>
      </c>
      <c r="BD161" s="105">
        <v>305.8900885201794</v>
      </c>
      <c r="BE161" s="105"/>
      <c r="BH161" s="239">
        <v>4</v>
      </c>
      <c r="BI161" s="239">
        <v>1</v>
      </c>
      <c r="BJ161" s="104">
        <v>17.64750510693343</v>
      </c>
      <c r="BN161" s="104">
        <v>412.73559999999998</v>
      </c>
      <c r="BO161" s="108"/>
      <c r="BP161" s="108"/>
      <c r="BQ161" s="108"/>
      <c r="BR161" s="95">
        <v>88067.110000000015</v>
      </c>
      <c r="BT161" s="272">
        <v>78.86666666666666</v>
      </c>
      <c r="BU161" s="271">
        <v>333.8689333333333</v>
      </c>
      <c r="BW161" s="270">
        <f t="shared" si="8"/>
        <v>26.161133014700468</v>
      </c>
      <c r="BX161" s="274">
        <f t="shared" si="9"/>
        <v>4677.1566753756688</v>
      </c>
      <c r="BY161" s="274">
        <f t="shared" si="10"/>
        <v>862.98806638542635</v>
      </c>
      <c r="BZ161" s="115">
        <f t="shared" si="11"/>
        <v>0</v>
      </c>
      <c r="CA161" s="278" t="s">
        <v>666</v>
      </c>
      <c r="CB161" s="277">
        <v>1</v>
      </c>
    </row>
    <row r="162" spans="1:80" outlineLevel="1">
      <c r="A162" s="79" t="str">
        <f t="shared" si="7"/>
        <v>MURREYSMULTI-FAMILYM4YD2W</v>
      </c>
      <c r="B162" s="79" t="s">
        <v>458</v>
      </c>
      <c r="C162" s="79" t="s">
        <v>113</v>
      </c>
      <c r="D162" s="104">
        <v>830.06</v>
      </c>
      <c r="E162" s="104">
        <v>833.95</v>
      </c>
      <c r="F162" s="104">
        <v>829.37</v>
      </c>
      <c r="G162" s="105">
        <v>3320.24</v>
      </c>
      <c r="H162" s="105">
        <v>3112.72</v>
      </c>
      <c r="I162" s="105">
        <v>2490.1799999999998</v>
      </c>
      <c r="J162" s="105">
        <v>2501.8500000000004</v>
      </c>
      <c r="K162" s="105">
        <v>3335.8</v>
      </c>
      <c r="L162" s="105">
        <v>3335.8</v>
      </c>
      <c r="M162" s="105">
        <v>3335.8</v>
      </c>
      <c r="N162" s="105">
        <v>3335.8</v>
      </c>
      <c r="O162" s="105">
        <v>3335.8</v>
      </c>
      <c r="P162" s="105">
        <v>4146.8500000000004</v>
      </c>
      <c r="Q162" s="105">
        <v>4146.8500000000004</v>
      </c>
      <c r="R162" s="105">
        <v>4354.1900000000005</v>
      </c>
      <c r="S162" s="249">
        <v>40751.879999999997</v>
      </c>
      <c r="T162" s="249"/>
      <c r="U162" s="254">
        <v>4</v>
      </c>
      <c r="V162" s="254">
        <v>3.7499939763390597</v>
      </c>
      <c r="W162" s="254">
        <v>3</v>
      </c>
      <c r="X162" s="254">
        <v>3.0000000000000004</v>
      </c>
      <c r="Y162" s="254">
        <v>4</v>
      </c>
      <c r="Z162" s="254">
        <v>4</v>
      </c>
      <c r="AA162" s="254">
        <v>4</v>
      </c>
      <c r="AB162" s="254">
        <v>4</v>
      </c>
      <c r="AC162" s="254">
        <v>4</v>
      </c>
      <c r="AD162" s="254">
        <v>5</v>
      </c>
      <c r="AE162" s="254">
        <v>5</v>
      </c>
      <c r="AF162" s="254">
        <v>5.2499969856638176</v>
      </c>
      <c r="AG162" s="254">
        <v>48.999990962002876</v>
      </c>
      <c r="AH162" s="254">
        <v>4.083332580166906</v>
      </c>
      <c r="AI162" s="337">
        <f>+SUMIFS(Mapping!L:L,Mapping!A:A,"MULTI FAMILY",Mapping!C:C,'Murrey''s Price Out 2022'!C162)-AG162</f>
        <v>0</v>
      </c>
      <c r="AJ162" s="105"/>
      <c r="AL162" s="267">
        <v>7762.905234806909</v>
      </c>
      <c r="AM162" s="267">
        <v>32988.974765193088</v>
      </c>
      <c r="AO162" s="280" t="s">
        <v>667</v>
      </c>
      <c r="AP162" s="279" t="s">
        <v>72</v>
      </c>
      <c r="AR162" s="267">
        <v>138.66666666666666</v>
      </c>
      <c r="AS162" s="267">
        <v>129.99979117975406</v>
      </c>
      <c r="AT162" s="267">
        <v>104</v>
      </c>
      <c r="AU162" s="267">
        <v>104.00000000000001</v>
      </c>
      <c r="AV162" s="267">
        <v>138.66666666666666</v>
      </c>
      <c r="AW162" s="267">
        <v>138.66666666666666</v>
      </c>
      <c r="AX162" s="267">
        <v>138.66666666666666</v>
      </c>
      <c r="AY162" s="267">
        <v>138.66666666666666</v>
      </c>
      <c r="AZ162" s="267">
        <v>138.66666666666666</v>
      </c>
      <c r="BA162" s="267">
        <v>173.33333333333331</v>
      </c>
      <c r="BB162" s="267">
        <v>173.33333333333331</v>
      </c>
      <c r="BC162" s="267">
        <v>181.99989550301234</v>
      </c>
      <c r="BD162" s="105">
        <v>141.55552944578608</v>
      </c>
      <c r="BE162" s="105"/>
      <c r="BH162" s="239">
        <v>4</v>
      </c>
      <c r="BI162" s="239">
        <v>1</v>
      </c>
      <c r="BJ162" s="104">
        <v>4.083332580166906</v>
      </c>
      <c r="BN162" s="104">
        <v>825.47119999999995</v>
      </c>
      <c r="BO162" s="108"/>
      <c r="BP162" s="108"/>
      <c r="BQ162" s="108"/>
      <c r="BR162" s="95">
        <v>40751.879999999997</v>
      </c>
      <c r="BT162" s="272">
        <v>157.73333333333332</v>
      </c>
      <c r="BU162" s="271">
        <v>667.7378666666666</v>
      </c>
      <c r="BW162" s="270">
        <f t="shared" si="8"/>
        <v>52.322266029400936</v>
      </c>
      <c r="BX162" s="274">
        <f t="shared" si="9"/>
        <v>2164.4290362157922</v>
      </c>
      <c r="BY162" s="274">
        <f t="shared" si="10"/>
        <v>399.36152633636351</v>
      </c>
      <c r="BZ162" s="115">
        <f t="shared" si="11"/>
        <v>0</v>
      </c>
      <c r="CA162" s="278" t="s">
        <v>665</v>
      </c>
      <c r="CB162" s="277">
        <v>1.5</v>
      </c>
    </row>
    <row r="163" spans="1:80" outlineLevel="1">
      <c r="A163" s="79" t="str">
        <f t="shared" si="7"/>
        <v>MURREYSMULTI-FAMILYM6YD1W</v>
      </c>
      <c r="B163" s="79" t="s">
        <v>460</v>
      </c>
      <c r="C163" s="79" t="s">
        <v>114</v>
      </c>
      <c r="D163" s="104">
        <v>582.73</v>
      </c>
      <c r="E163" s="104">
        <v>585.46</v>
      </c>
      <c r="F163" s="104">
        <v>582.29999999999995</v>
      </c>
      <c r="G163" s="105">
        <v>20395.53</v>
      </c>
      <c r="H163" s="105">
        <v>20395.55</v>
      </c>
      <c r="I163" s="105">
        <v>22143.739999999998</v>
      </c>
      <c r="J163" s="105">
        <v>24150.21</v>
      </c>
      <c r="K163" s="105">
        <v>19905.64</v>
      </c>
      <c r="L163" s="105">
        <v>19320.18</v>
      </c>
      <c r="M163" s="105">
        <v>18734.72</v>
      </c>
      <c r="N163" s="105">
        <v>17563.8</v>
      </c>
      <c r="O163" s="105">
        <v>18734.72</v>
      </c>
      <c r="P163" s="105">
        <v>18633.599999999999</v>
      </c>
      <c r="Q163" s="105">
        <v>19070.3</v>
      </c>
      <c r="R163" s="105">
        <v>19215.900000000001</v>
      </c>
      <c r="S163" s="249">
        <v>238263.88999999998</v>
      </c>
      <c r="T163" s="249"/>
      <c r="U163" s="254">
        <v>34.999965678787774</v>
      </c>
      <c r="V163" s="254">
        <v>35</v>
      </c>
      <c r="W163" s="254">
        <v>37.999999999999993</v>
      </c>
      <c r="X163" s="254">
        <v>41.249974379120687</v>
      </c>
      <c r="Y163" s="254">
        <v>34</v>
      </c>
      <c r="Z163" s="254">
        <v>33</v>
      </c>
      <c r="AA163" s="254">
        <v>32</v>
      </c>
      <c r="AB163" s="254">
        <v>29.999999999999996</v>
      </c>
      <c r="AC163" s="254">
        <v>32</v>
      </c>
      <c r="AD163" s="254">
        <v>32</v>
      </c>
      <c r="AE163" s="254">
        <v>32.749957066804058</v>
      </c>
      <c r="AF163" s="254">
        <v>33.000000000000007</v>
      </c>
      <c r="AG163" s="254">
        <v>407.99989712471245</v>
      </c>
      <c r="AH163" s="254">
        <v>33.999991427059371</v>
      </c>
      <c r="AI163" s="337">
        <f>+SUMIFS(Mapping!L:L,Mapping!A:A,"MULTI FAMILY",Mapping!C:C,'Murrey''s Price Out 2022'!C163)-AG163</f>
        <v>0</v>
      </c>
      <c r="AJ163" s="105"/>
      <c r="AL163" s="267">
        <v>48478.547776358333</v>
      </c>
      <c r="AM163" s="267">
        <v>189785.34222364164</v>
      </c>
      <c r="AO163" s="278" t="s">
        <v>666</v>
      </c>
      <c r="AP163" s="277">
        <v>1</v>
      </c>
      <c r="AR163" s="267">
        <v>909.9991076484821</v>
      </c>
      <c r="AS163" s="267">
        <v>910</v>
      </c>
      <c r="AT163" s="267">
        <v>987.99999999999977</v>
      </c>
      <c r="AU163" s="267">
        <v>1072.4993338571378</v>
      </c>
      <c r="AV163" s="267">
        <v>883.99999999999989</v>
      </c>
      <c r="AW163" s="267">
        <v>858</v>
      </c>
      <c r="AX163" s="267">
        <v>832</v>
      </c>
      <c r="AY163" s="267">
        <v>779.99999999999977</v>
      </c>
      <c r="AZ163" s="267">
        <v>832</v>
      </c>
      <c r="BA163" s="267">
        <v>832</v>
      </c>
      <c r="BB163" s="267">
        <v>851.49888373690544</v>
      </c>
      <c r="BC163" s="267">
        <v>858.00000000000023</v>
      </c>
      <c r="BD163" s="105">
        <v>883.99977710354381</v>
      </c>
      <c r="BE163" s="105"/>
      <c r="BH163" s="239">
        <v>6</v>
      </c>
      <c r="BI163" s="239">
        <v>1</v>
      </c>
      <c r="BJ163" s="104">
        <v>33.999991427059371</v>
      </c>
      <c r="BN163" s="104">
        <v>579.57050000000004</v>
      </c>
      <c r="BO163" s="108"/>
      <c r="BP163" s="108"/>
      <c r="BQ163" s="108"/>
      <c r="BR163" s="95">
        <v>238263.88999999998</v>
      </c>
      <c r="BT163" s="272">
        <v>118.29999999999998</v>
      </c>
      <c r="BU163" s="271">
        <v>461.27050000000008</v>
      </c>
      <c r="BW163" s="270">
        <f t="shared" si="8"/>
        <v>38.759171107995137</v>
      </c>
      <c r="BX163" s="274">
        <f t="shared" si="9"/>
        <v>13516.637556034064</v>
      </c>
      <c r="BY163" s="274">
        <f t="shared" si="10"/>
        <v>2297.1002686670786</v>
      </c>
      <c r="BZ163" s="115">
        <f t="shared" si="11"/>
        <v>0</v>
      </c>
      <c r="CA163" s="278" t="s">
        <v>664</v>
      </c>
      <c r="CB163" s="277">
        <v>2</v>
      </c>
    </row>
    <row r="164" spans="1:80" outlineLevel="1">
      <c r="A164" s="79" t="str">
        <f t="shared" si="7"/>
        <v>MURREYSMULTI-FAMILYM6YD2W</v>
      </c>
      <c r="B164" s="79" t="s">
        <v>461</v>
      </c>
      <c r="C164" s="79" t="s">
        <v>115</v>
      </c>
      <c r="D164" s="104">
        <v>1165.46</v>
      </c>
      <c r="E164" s="104">
        <v>1170.92</v>
      </c>
      <c r="F164" s="104">
        <v>1164.5999999999999</v>
      </c>
      <c r="G164" s="105">
        <v>30884.67</v>
      </c>
      <c r="H164" s="105">
        <v>30593.300000000003</v>
      </c>
      <c r="I164" s="105">
        <v>31467.42</v>
      </c>
      <c r="J164" s="105">
        <v>31907.57</v>
      </c>
      <c r="K164" s="105">
        <v>29858.460000000003</v>
      </c>
      <c r="L164" s="105">
        <v>28102.080000000002</v>
      </c>
      <c r="M164" s="105">
        <v>26052.959999999999</v>
      </c>
      <c r="N164" s="105">
        <v>28102.080000000002</v>
      </c>
      <c r="O164" s="105">
        <v>28102.080000000002</v>
      </c>
      <c r="P164" s="105">
        <v>27950.400000000001</v>
      </c>
      <c r="Q164" s="105">
        <v>27950.400000000001</v>
      </c>
      <c r="R164" s="105">
        <v>27950.400000000001</v>
      </c>
      <c r="S164" s="249">
        <v>348921.82000000007</v>
      </c>
      <c r="T164" s="249"/>
      <c r="U164" s="254">
        <v>26.499982839393883</v>
      </c>
      <c r="V164" s="254">
        <v>26.249978549242361</v>
      </c>
      <c r="W164" s="254">
        <v>26.999999999999996</v>
      </c>
      <c r="X164" s="254">
        <v>27.249999999999996</v>
      </c>
      <c r="Y164" s="254">
        <v>25.5</v>
      </c>
      <c r="Z164" s="254">
        <v>24</v>
      </c>
      <c r="AA164" s="254">
        <v>22.249991459706894</v>
      </c>
      <c r="AB164" s="254">
        <v>24</v>
      </c>
      <c r="AC164" s="254">
        <v>24</v>
      </c>
      <c r="AD164" s="254">
        <v>24.000000000000004</v>
      </c>
      <c r="AE164" s="254">
        <v>24.000000000000004</v>
      </c>
      <c r="AF164" s="254">
        <v>24.000000000000004</v>
      </c>
      <c r="AG164" s="254">
        <v>298.74995284834313</v>
      </c>
      <c r="AH164" s="254">
        <v>24.895829404028593</v>
      </c>
      <c r="AI164" s="337">
        <f>+SUMIFS(Mapping!L:L,Mapping!A:A,"MULTI FAMILY",Mapping!C:C,'Murrey''s Price Out 2022'!C164)-AG164</f>
        <v>0</v>
      </c>
      <c r="AJ164" s="105"/>
      <c r="AL164" s="267">
        <v>70994.938794880261</v>
      </c>
      <c r="AM164" s="267">
        <v>277926.88120511977</v>
      </c>
      <c r="AO164" s="278" t="s">
        <v>665</v>
      </c>
      <c r="AP164" s="277">
        <v>1.5</v>
      </c>
      <c r="AR164" s="267">
        <v>1377.9991076484819</v>
      </c>
      <c r="AS164" s="267">
        <v>1364.9988845606026</v>
      </c>
      <c r="AT164" s="267">
        <v>1403.9999999999995</v>
      </c>
      <c r="AU164" s="267">
        <v>1416.9999999999998</v>
      </c>
      <c r="AV164" s="267">
        <v>1325.9999999999998</v>
      </c>
      <c r="AW164" s="267">
        <v>1248</v>
      </c>
      <c r="AX164" s="267">
        <v>1156.9995559047584</v>
      </c>
      <c r="AY164" s="267">
        <v>1248</v>
      </c>
      <c r="AZ164" s="267">
        <v>1248</v>
      </c>
      <c r="BA164" s="267">
        <v>1248.0000000000002</v>
      </c>
      <c r="BB164" s="267">
        <v>1248.0000000000002</v>
      </c>
      <c r="BC164" s="267">
        <v>1248.0000000000002</v>
      </c>
      <c r="BD164" s="105">
        <v>1294.5831290094868</v>
      </c>
      <c r="BE164" s="105"/>
      <c r="BH164" s="239">
        <v>6</v>
      </c>
      <c r="BI164" s="239">
        <v>1</v>
      </c>
      <c r="BJ164" s="104">
        <v>24.895829404028593</v>
      </c>
      <c r="BN164" s="104">
        <v>1159.1410000000001</v>
      </c>
      <c r="BO164" s="108"/>
      <c r="BP164" s="108"/>
      <c r="BQ164" s="108"/>
      <c r="BR164" s="95">
        <v>348921.82000000007</v>
      </c>
      <c r="BT164" s="272">
        <v>236.59999999999997</v>
      </c>
      <c r="BU164" s="271">
        <v>922.54100000000017</v>
      </c>
      <c r="BW164" s="270">
        <f t="shared" si="8"/>
        <v>77.518342215990273</v>
      </c>
      <c r="BX164" s="274">
        <f t="shared" si="9"/>
        <v>19794.587503530689</v>
      </c>
      <c r="BY164" s="274">
        <f t="shared" si="10"/>
        <v>3364.0135783781279</v>
      </c>
      <c r="BZ164" s="115">
        <f t="shared" si="11"/>
        <v>0</v>
      </c>
      <c r="CA164" s="278" t="s">
        <v>663</v>
      </c>
      <c r="CB164" s="277">
        <v>3</v>
      </c>
    </row>
    <row r="165" spans="1:80" outlineLevel="1">
      <c r="A165" s="79" t="str">
        <f t="shared" si="7"/>
        <v>MURREYSMULTI-FAMILYM6YD3W</v>
      </c>
      <c r="B165" s="79" t="s">
        <v>462</v>
      </c>
      <c r="C165" s="79" t="s">
        <v>116</v>
      </c>
      <c r="D165" s="104">
        <v>1748.19</v>
      </c>
      <c r="E165" s="104">
        <v>1756.38</v>
      </c>
      <c r="F165" s="104">
        <v>1746.9</v>
      </c>
      <c r="G165" s="105">
        <v>6118.66</v>
      </c>
      <c r="H165" s="105">
        <v>6992.76</v>
      </c>
      <c r="I165" s="105">
        <v>8740.9500000000007</v>
      </c>
      <c r="J165" s="105">
        <v>5277.3300000000008</v>
      </c>
      <c r="K165" s="105">
        <v>9660.09</v>
      </c>
      <c r="L165" s="105">
        <v>12294.66</v>
      </c>
      <c r="M165" s="105">
        <v>14051.04</v>
      </c>
      <c r="N165" s="105">
        <v>14051.04</v>
      </c>
      <c r="O165" s="105">
        <v>21076.560000000001</v>
      </c>
      <c r="P165" s="105">
        <v>22709.699999999997</v>
      </c>
      <c r="Q165" s="105">
        <v>22709.699999999997</v>
      </c>
      <c r="R165" s="105">
        <v>22709.699999999997</v>
      </c>
      <c r="S165" s="249">
        <v>166392.19</v>
      </c>
      <c r="T165" s="249"/>
      <c r="U165" s="254">
        <v>3.4999971398989809</v>
      </c>
      <c r="V165" s="254">
        <v>4</v>
      </c>
      <c r="W165" s="254">
        <v>5</v>
      </c>
      <c r="X165" s="254">
        <v>3.0046630000341614</v>
      </c>
      <c r="Y165" s="254">
        <v>5.5</v>
      </c>
      <c r="Z165" s="254">
        <v>6.9999999999999991</v>
      </c>
      <c r="AA165" s="254">
        <v>8</v>
      </c>
      <c r="AB165" s="254">
        <v>8</v>
      </c>
      <c r="AC165" s="254">
        <v>12</v>
      </c>
      <c r="AD165" s="254">
        <v>12.999999999999998</v>
      </c>
      <c r="AE165" s="254">
        <v>12.999999999999998</v>
      </c>
      <c r="AF165" s="254">
        <v>12.999999999999998</v>
      </c>
      <c r="AG165" s="254">
        <v>95.004660139933137</v>
      </c>
      <c r="AH165" s="254">
        <v>7.9170550116610947</v>
      </c>
      <c r="AI165" s="337">
        <f>+SUMIFS(Mapping!L:L,Mapping!A:A,"MULTI FAMILY",Mapping!C:C,'Murrey''s Price Out 2022'!C165)-AG165</f>
        <v>0</v>
      </c>
      <c r="AJ165" s="105"/>
      <c r="AL165" s="267">
        <v>33865.361153480568</v>
      </c>
      <c r="AM165" s="267">
        <v>132526.82884651943</v>
      </c>
      <c r="AO165" s="278" t="s">
        <v>664</v>
      </c>
      <c r="AP165" s="277">
        <v>2</v>
      </c>
      <c r="AR165" s="267">
        <v>272.99977691212052</v>
      </c>
      <c r="AS165" s="267">
        <v>312</v>
      </c>
      <c r="AT165" s="267">
        <v>390</v>
      </c>
      <c r="AU165" s="267">
        <v>234.36371400266461</v>
      </c>
      <c r="AV165" s="267">
        <v>429</v>
      </c>
      <c r="AW165" s="267">
        <v>545.99999999999989</v>
      </c>
      <c r="AX165" s="267">
        <v>624</v>
      </c>
      <c r="AY165" s="267">
        <v>624</v>
      </c>
      <c r="AZ165" s="267">
        <v>936</v>
      </c>
      <c r="BA165" s="267">
        <v>1013.9999999999998</v>
      </c>
      <c r="BB165" s="267">
        <v>1013.9999999999998</v>
      </c>
      <c r="BC165" s="267">
        <v>1013.9999999999998</v>
      </c>
      <c r="BD165" s="105">
        <v>617.53029090956545</v>
      </c>
      <c r="BE165" s="105"/>
      <c r="BH165" s="239">
        <v>6</v>
      </c>
      <c r="BI165" s="239">
        <v>1</v>
      </c>
      <c r="BJ165" s="104">
        <v>7.9170550116610947</v>
      </c>
      <c r="BN165" s="104">
        <v>1738.7115000000001</v>
      </c>
      <c r="BO165" s="108"/>
      <c r="BP165" s="108"/>
      <c r="BQ165" s="108"/>
      <c r="BR165" s="95">
        <v>166392.19</v>
      </c>
      <c r="BT165" s="272">
        <v>354.9</v>
      </c>
      <c r="BU165" s="271">
        <v>1383.8115000000003</v>
      </c>
      <c r="BW165" s="270">
        <f t="shared" si="8"/>
        <v>116.27751332398543</v>
      </c>
      <c r="BX165" s="274">
        <f t="shared" si="9"/>
        <v>9442.2344193862737</v>
      </c>
      <c r="BY165" s="274">
        <f t="shared" si="10"/>
        <v>1604.6712158755086</v>
      </c>
      <c r="BZ165" s="115">
        <f t="shared" si="11"/>
        <v>0</v>
      </c>
      <c r="CA165" s="278" t="s">
        <v>662</v>
      </c>
      <c r="CB165" s="277">
        <v>4</v>
      </c>
    </row>
    <row r="166" spans="1:80" ht="15.75" outlineLevel="1" thickBot="1">
      <c r="A166" s="79" t="str">
        <f t="shared" si="7"/>
        <v>MURREYSMULTI-FAMILYM1YDEX</v>
      </c>
      <c r="B166" s="79" t="s">
        <v>450</v>
      </c>
      <c r="C166" s="79" t="s">
        <v>226</v>
      </c>
      <c r="D166" s="242">
        <v>30.64</v>
      </c>
      <c r="E166" s="104">
        <v>30.78</v>
      </c>
      <c r="F166" s="104">
        <v>30.63</v>
      </c>
      <c r="G166" s="105">
        <v>61.28</v>
      </c>
      <c r="H166" s="105">
        <v>0</v>
      </c>
      <c r="I166" s="105">
        <v>0</v>
      </c>
      <c r="J166" s="105">
        <v>0</v>
      </c>
      <c r="K166" s="105">
        <v>0</v>
      </c>
      <c r="L166" s="105">
        <v>0</v>
      </c>
      <c r="M166" s="105">
        <v>0</v>
      </c>
      <c r="N166" s="105">
        <v>0</v>
      </c>
      <c r="O166" s="105">
        <v>0</v>
      </c>
      <c r="P166" s="105">
        <v>0</v>
      </c>
      <c r="Q166" s="105">
        <v>0</v>
      </c>
      <c r="R166" s="105">
        <v>0</v>
      </c>
      <c r="S166" s="249">
        <v>61.28</v>
      </c>
      <c r="T166" s="249"/>
      <c r="U166" s="106">
        <v>2</v>
      </c>
      <c r="V166" s="106">
        <v>0</v>
      </c>
      <c r="W166" s="106">
        <v>0</v>
      </c>
      <c r="X166" s="106">
        <v>0</v>
      </c>
      <c r="Y166" s="106">
        <v>0</v>
      </c>
      <c r="Z166" s="106">
        <v>0</v>
      </c>
      <c r="AA166" s="106">
        <v>0</v>
      </c>
      <c r="AB166" s="106">
        <v>0</v>
      </c>
      <c r="AC166" s="106">
        <v>0</v>
      </c>
      <c r="AD166" s="106">
        <v>0</v>
      </c>
      <c r="AE166" s="106">
        <v>0</v>
      </c>
      <c r="AF166" s="106">
        <v>0</v>
      </c>
      <c r="AG166" s="106">
        <v>2</v>
      </c>
      <c r="AH166" s="106">
        <v>0.16666666666666666</v>
      </c>
      <c r="AI166" s="337">
        <f>+SUMIFS(Mapping!L:L,Mapping!A:A,"MULTI FAMILY",Mapping!C:C,'Murrey''s Price Out 2022'!C166)-AG166</f>
        <v>0</v>
      </c>
      <c r="AJ166" s="106"/>
      <c r="AL166" s="267">
        <v>9.14</v>
      </c>
      <c r="AM166" s="267">
        <v>52.14</v>
      </c>
      <c r="AO166" s="278" t="s">
        <v>663</v>
      </c>
      <c r="AP166" s="277">
        <v>3</v>
      </c>
      <c r="AR166" s="267">
        <v>2</v>
      </c>
      <c r="AS166" s="267">
        <v>0</v>
      </c>
      <c r="AT166" s="267">
        <v>0</v>
      </c>
      <c r="AU166" s="267">
        <v>0</v>
      </c>
      <c r="AV166" s="267">
        <v>0</v>
      </c>
      <c r="AW166" s="267">
        <v>0</v>
      </c>
      <c r="AX166" s="267">
        <v>0</v>
      </c>
      <c r="AY166" s="267">
        <v>0</v>
      </c>
      <c r="AZ166" s="267">
        <v>0</v>
      </c>
      <c r="BA166" s="267">
        <v>0</v>
      </c>
      <c r="BB166" s="267">
        <v>0</v>
      </c>
      <c r="BC166" s="267">
        <v>0</v>
      </c>
      <c r="BD166" s="105">
        <v>0.16666666666666666</v>
      </c>
      <c r="BE166" s="106"/>
      <c r="BH166" s="239">
        <v>1</v>
      </c>
      <c r="BI166" s="239">
        <v>1</v>
      </c>
      <c r="BJ166" s="104">
        <v>0.16666666666666666</v>
      </c>
      <c r="BN166" s="104">
        <v>30.49</v>
      </c>
      <c r="BO166" s="108"/>
      <c r="BP166" s="108"/>
      <c r="BQ166" s="108"/>
      <c r="BR166" s="95">
        <v>61.28</v>
      </c>
      <c r="BT166" s="272">
        <v>4.55</v>
      </c>
      <c r="BU166" s="271">
        <v>25.939999999999998</v>
      </c>
      <c r="BW166" s="270">
        <f t="shared" si="8"/>
        <v>1.5908101239291812</v>
      </c>
      <c r="BX166" s="274">
        <f t="shared" si="9"/>
        <v>2.5483863054660114</v>
      </c>
      <c r="BY166" s="274">
        <f t="shared" si="10"/>
        <v>0.63323394239235054</v>
      </c>
      <c r="BZ166" s="115">
        <f t="shared" si="11"/>
        <v>0</v>
      </c>
      <c r="CA166" s="276" t="s">
        <v>661</v>
      </c>
      <c r="CB166" s="275">
        <v>6</v>
      </c>
    </row>
    <row r="167" spans="1:80" outlineLevel="1">
      <c r="A167" s="79" t="str">
        <f t="shared" si="7"/>
        <v>MURREYSMULTI-FAMILYM2YDEX</v>
      </c>
      <c r="B167" s="79" t="s">
        <v>455</v>
      </c>
      <c r="C167" s="79" t="s">
        <v>227</v>
      </c>
      <c r="D167" s="242">
        <v>52.6</v>
      </c>
      <c r="E167" s="104">
        <v>52.85</v>
      </c>
      <c r="F167" s="104">
        <v>52.57</v>
      </c>
      <c r="G167" s="105">
        <v>157.80000000000001</v>
      </c>
      <c r="H167" s="105">
        <v>0</v>
      </c>
      <c r="I167" s="105">
        <v>52.6</v>
      </c>
      <c r="J167" s="105">
        <v>0</v>
      </c>
      <c r="K167" s="105">
        <v>0</v>
      </c>
      <c r="L167" s="105">
        <v>0</v>
      </c>
      <c r="M167" s="105">
        <v>0</v>
      </c>
      <c r="N167" s="105">
        <v>0</v>
      </c>
      <c r="O167" s="105">
        <v>0</v>
      </c>
      <c r="P167" s="105">
        <v>0</v>
      </c>
      <c r="Q167" s="105">
        <v>0</v>
      </c>
      <c r="R167" s="105">
        <v>0</v>
      </c>
      <c r="S167" s="249">
        <v>210.4</v>
      </c>
      <c r="T167" s="249"/>
      <c r="U167" s="106">
        <v>3</v>
      </c>
      <c r="V167" s="106">
        <v>0</v>
      </c>
      <c r="W167" s="106">
        <v>1</v>
      </c>
      <c r="X167" s="106">
        <v>0</v>
      </c>
      <c r="Y167" s="106">
        <v>0</v>
      </c>
      <c r="Z167" s="106">
        <v>0</v>
      </c>
      <c r="AA167" s="106">
        <v>0</v>
      </c>
      <c r="AB167" s="106">
        <v>0</v>
      </c>
      <c r="AC167" s="106">
        <v>0</v>
      </c>
      <c r="AD167" s="106">
        <v>0</v>
      </c>
      <c r="AE167" s="106">
        <v>0</v>
      </c>
      <c r="AF167" s="106">
        <v>0</v>
      </c>
      <c r="AG167" s="106">
        <v>4</v>
      </c>
      <c r="AH167" s="106">
        <v>0.33333333333333331</v>
      </c>
      <c r="AI167" s="337">
        <f>+SUMIFS(Mapping!L:L,Mapping!A:A,"MULTI FAMILY",Mapping!C:C,'Murrey''s Price Out 2022'!C167)-AG167</f>
        <v>0</v>
      </c>
      <c r="AJ167" s="106"/>
      <c r="AL167" s="267">
        <v>36.56</v>
      </c>
      <c r="AM167" s="267">
        <v>173.84</v>
      </c>
      <c r="AO167" s="278" t="s">
        <v>662</v>
      </c>
      <c r="AP167" s="277">
        <v>4</v>
      </c>
      <c r="AR167" s="267">
        <v>6</v>
      </c>
      <c r="AS167" s="267">
        <v>0</v>
      </c>
      <c r="AT167" s="267">
        <v>2</v>
      </c>
      <c r="AU167" s="267">
        <v>0</v>
      </c>
      <c r="AV167" s="267">
        <v>0</v>
      </c>
      <c r="AW167" s="267">
        <v>0</v>
      </c>
      <c r="AX167" s="267">
        <v>0</v>
      </c>
      <c r="AY167" s="267">
        <v>0</v>
      </c>
      <c r="AZ167" s="267">
        <v>0</v>
      </c>
      <c r="BA167" s="267">
        <v>0</v>
      </c>
      <c r="BB167" s="267">
        <v>0</v>
      </c>
      <c r="BC167" s="267">
        <v>0</v>
      </c>
      <c r="BD167" s="105">
        <v>0.66666666666666663</v>
      </c>
      <c r="BE167" s="106"/>
      <c r="BH167" s="239">
        <v>2</v>
      </c>
      <c r="BI167" s="239">
        <v>1</v>
      </c>
      <c r="BJ167" s="104">
        <v>0.33333333333333331</v>
      </c>
      <c r="BN167" s="104">
        <v>52.32</v>
      </c>
      <c r="BO167" s="108"/>
      <c r="BP167" s="108"/>
      <c r="BQ167" s="108"/>
      <c r="BR167" s="95">
        <v>210.4</v>
      </c>
      <c r="BT167" s="272">
        <v>9.1</v>
      </c>
      <c r="BU167" s="271">
        <v>43.22</v>
      </c>
      <c r="BW167" s="270">
        <f t="shared" si="8"/>
        <v>3.0759185142207803</v>
      </c>
      <c r="BX167" s="274">
        <f t="shared" si="9"/>
        <v>10.193545221864046</v>
      </c>
      <c r="BY167" s="274">
        <f t="shared" si="10"/>
        <v>2.1101288350190739</v>
      </c>
      <c r="BZ167" s="115">
        <f t="shared" si="11"/>
        <v>0</v>
      </c>
    </row>
    <row r="168" spans="1:80" ht="15.75" outlineLevel="1" thickBot="1">
      <c r="A168" s="79" t="str">
        <f t="shared" si="7"/>
        <v>MURREYSMULTI-FAMILYM4YDEX</v>
      </c>
      <c r="B168" s="79" t="s">
        <v>459</v>
      </c>
      <c r="C168" s="79" t="s">
        <v>228</v>
      </c>
      <c r="D168" s="242">
        <v>98.02</v>
      </c>
      <c r="E168" s="104">
        <v>98.48</v>
      </c>
      <c r="F168" s="104">
        <v>97.95</v>
      </c>
      <c r="G168" s="105">
        <v>0</v>
      </c>
      <c r="H168" s="105">
        <v>98.02</v>
      </c>
      <c r="I168" s="105">
        <v>0</v>
      </c>
      <c r="J168" s="105">
        <v>0</v>
      </c>
      <c r="K168" s="105">
        <v>0</v>
      </c>
      <c r="L168" s="105">
        <v>0</v>
      </c>
      <c r="M168" s="105">
        <v>0</v>
      </c>
      <c r="N168" s="105">
        <v>0</v>
      </c>
      <c r="O168" s="105">
        <v>0</v>
      </c>
      <c r="P168" s="105">
        <v>0</v>
      </c>
      <c r="Q168" s="105">
        <v>0</v>
      </c>
      <c r="R168" s="105">
        <v>0</v>
      </c>
      <c r="S168" s="249">
        <v>98.02</v>
      </c>
      <c r="T168" s="249"/>
      <c r="U168" s="106">
        <v>0</v>
      </c>
      <c r="V168" s="106">
        <v>1</v>
      </c>
      <c r="W168" s="106">
        <v>0</v>
      </c>
      <c r="X168" s="106">
        <v>0</v>
      </c>
      <c r="Y168" s="106">
        <v>0</v>
      </c>
      <c r="Z168" s="106">
        <v>0</v>
      </c>
      <c r="AA168" s="106">
        <v>0</v>
      </c>
      <c r="AB168" s="106">
        <v>0</v>
      </c>
      <c r="AC168" s="106">
        <v>0</v>
      </c>
      <c r="AD168" s="106">
        <v>0</v>
      </c>
      <c r="AE168" s="106">
        <v>0</v>
      </c>
      <c r="AF168" s="106">
        <v>0</v>
      </c>
      <c r="AG168" s="106">
        <v>1</v>
      </c>
      <c r="AH168" s="106">
        <v>8.3333333333333329E-2</v>
      </c>
      <c r="AI168" s="337">
        <f>+SUMIFS(Mapping!L:L,Mapping!A:A,"MULTI FAMILY",Mapping!C:C,'Murrey''s Price Out 2022'!C168)-AG168</f>
        <v>0</v>
      </c>
      <c r="AJ168" s="106"/>
      <c r="AL168" s="267">
        <v>18.28</v>
      </c>
      <c r="AM168" s="267">
        <v>79.739999999999995</v>
      </c>
      <c r="AO168" s="276" t="s">
        <v>661</v>
      </c>
      <c r="AP168" s="275">
        <v>6</v>
      </c>
      <c r="AR168" s="267">
        <v>0</v>
      </c>
      <c r="AS168" s="267">
        <v>4</v>
      </c>
      <c r="AT168" s="267">
        <v>0</v>
      </c>
      <c r="AU168" s="267">
        <v>0</v>
      </c>
      <c r="AV168" s="267">
        <v>0</v>
      </c>
      <c r="AW168" s="267">
        <v>0</v>
      </c>
      <c r="AX168" s="267">
        <v>0</v>
      </c>
      <c r="AY168" s="267">
        <v>0</v>
      </c>
      <c r="AZ168" s="267">
        <v>0</v>
      </c>
      <c r="BA168" s="267">
        <v>0</v>
      </c>
      <c r="BB168" s="267">
        <v>0</v>
      </c>
      <c r="BC168" s="267">
        <v>0</v>
      </c>
      <c r="BD168" s="105">
        <v>0.33333333333333331</v>
      </c>
      <c r="BE168" s="106"/>
      <c r="BH168" s="239">
        <v>4</v>
      </c>
      <c r="BI168" s="239">
        <v>1</v>
      </c>
      <c r="BJ168" s="104">
        <v>8.3333333333333329E-2</v>
      </c>
      <c r="BN168" s="104">
        <v>97.49</v>
      </c>
      <c r="BO168" s="108"/>
      <c r="BP168" s="108"/>
      <c r="BQ168" s="108"/>
      <c r="BR168" s="95">
        <v>98.02</v>
      </c>
      <c r="BT168" s="272">
        <v>18.2</v>
      </c>
      <c r="BU168" s="271">
        <v>79.289999999999992</v>
      </c>
      <c r="BW168" s="270">
        <f t="shared" si="8"/>
        <v>6.0645659666045271</v>
      </c>
      <c r="BX168" s="274">
        <f t="shared" si="9"/>
        <v>5.0967726109320228</v>
      </c>
      <c r="BY168" s="274">
        <f t="shared" si="10"/>
        <v>0.96779335567250335</v>
      </c>
      <c r="BZ168" s="115">
        <f t="shared" si="11"/>
        <v>8.8817841970012523E-16</v>
      </c>
    </row>
    <row r="169" spans="1:80" outlineLevel="1">
      <c r="A169" s="79" t="str">
        <f t="shared" si="7"/>
        <v>MURREYSMULTI-FAMILYM6YDEX</v>
      </c>
      <c r="B169" s="79" t="s">
        <v>463</v>
      </c>
      <c r="C169" s="79" t="s">
        <v>229</v>
      </c>
      <c r="D169" s="242">
        <v>136.77000000000001</v>
      </c>
      <c r="E169" s="104">
        <v>137.41</v>
      </c>
      <c r="F169" s="104">
        <v>136.68</v>
      </c>
      <c r="G169" s="105">
        <v>136.77000000000001</v>
      </c>
      <c r="H169" s="105">
        <v>273.54000000000002</v>
      </c>
      <c r="I169" s="105">
        <v>0</v>
      </c>
      <c r="J169" s="105">
        <v>137.41</v>
      </c>
      <c r="K169" s="105">
        <v>0</v>
      </c>
      <c r="L169" s="105">
        <v>0</v>
      </c>
      <c r="M169" s="105">
        <v>0</v>
      </c>
      <c r="N169" s="105">
        <v>0</v>
      </c>
      <c r="O169" s="105">
        <v>0</v>
      </c>
      <c r="P169" s="105">
        <v>0</v>
      </c>
      <c r="Q169" s="105">
        <v>0</v>
      </c>
      <c r="R169" s="105">
        <v>0</v>
      </c>
      <c r="S169" s="249">
        <v>547.72</v>
      </c>
      <c r="T169" s="249"/>
      <c r="U169" s="106">
        <v>1</v>
      </c>
      <c r="V169" s="106">
        <v>2</v>
      </c>
      <c r="W169" s="106">
        <v>0</v>
      </c>
      <c r="X169" s="106">
        <v>1</v>
      </c>
      <c r="Y169" s="106">
        <v>0</v>
      </c>
      <c r="Z169" s="106">
        <v>0</v>
      </c>
      <c r="AA169" s="106">
        <v>0</v>
      </c>
      <c r="AB169" s="106">
        <v>0</v>
      </c>
      <c r="AC169" s="106">
        <v>0</v>
      </c>
      <c r="AD169" s="106">
        <v>0</v>
      </c>
      <c r="AE169" s="106">
        <v>0</v>
      </c>
      <c r="AF169" s="106">
        <v>0</v>
      </c>
      <c r="AG169" s="106">
        <v>4</v>
      </c>
      <c r="AH169" s="106">
        <v>0.33333333333333331</v>
      </c>
      <c r="AI169" s="337">
        <f>+SUMIFS(Mapping!L:L,Mapping!A:A,"MULTI FAMILY",Mapping!C:C,'Murrey''s Price Out 2022'!C169)-AG169</f>
        <v>0</v>
      </c>
      <c r="AJ169" s="106"/>
      <c r="AL169" s="273">
        <v>109.68</v>
      </c>
      <c r="AM169" s="273">
        <v>438.04</v>
      </c>
      <c r="AR169" s="267">
        <v>6</v>
      </c>
      <c r="AS169" s="267">
        <v>12</v>
      </c>
      <c r="AT169" s="267">
        <v>0</v>
      </c>
      <c r="AU169" s="267">
        <v>6</v>
      </c>
      <c r="AV169" s="267">
        <v>0</v>
      </c>
      <c r="AW169" s="267">
        <v>0</v>
      </c>
      <c r="AX169" s="267">
        <v>0</v>
      </c>
      <c r="AY169" s="267">
        <v>0</v>
      </c>
      <c r="AZ169" s="267">
        <v>0</v>
      </c>
      <c r="BA169" s="267">
        <v>0</v>
      </c>
      <c r="BB169" s="267">
        <v>0</v>
      </c>
      <c r="BC169" s="267">
        <v>0</v>
      </c>
      <c r="BD169" s="105">
        <v>2</v>
      </c>
      <c r="BE169" s="106"/>
      <c r="BH169" s="239">
        <v>6</v>
      </c>
      <c r="BI169" s="239">
        <v>1</v>
      </c>
      <c r="BJ169" s="104">
        <v>0.33333333333333331</v>
      </c>
      <c r="BN169" s="104">
        <v>136.04</v>
      </c>
      <c r="BO169" s="108"/>
      <c r="BP169" s="108"/>
      <c r="BQ169" s="108"/>
      <c r="BR169" s="95">
        <v>547.72</v>
      </c>
      <c r="BT169" s="272">
        <v>27.299999999999997</v>
      </c>
      <c r="BU169" s="271">
        <v>108.74</v>
      </c>
      <c r="BW169" s="270">
        <f t="shared" si="8"/>
        <v>8.9724114008958047</v>
      </c>
      <c r="BX169" s="269">
        <f t="shared" si="9"/>
        <v>30.580635665592141</v>
      </c>
      <c r="BY169" s="269">
        <f t="shared" si="10"/>
        <v>5.3090099379910711</v>
      </c>
      <c r="BZ169" s="115">
        <f t="shared" si="11"/>
        <v>7.1054273576010019E-15</v>
      </c>
    </row>
    <row r="170" spans="1:80" outlineLevel="1">
      <c r="A170" s="79" t="str">
        <f t="shared" si="7"/>
        <v>MURREYSMULTI-FAMILYMRENT90</v>
      </c>
      <c r="B170" s="79" t="s">
        <v>466</v>
      </c>
      <c r="C170" s="79" t="s">
        <v>467</v>
      </c>
      <c r="D170" s="242">
        <v>4.42</v>
      </c>
      <c r="E170" s="104">
        <v>4.4400000000000004</v>
      </c>
      <c r="F170" s="104">
        <v>4.4400000000000004</v>
      </c>
      <c r="G170" s="105">
        <v>176.8</v>
      </c>
      <c r="H170" s="105">
        <v>176.8</v>
      </c>
      <c r="I170" s="105">
        <v>176.8</v>
      </c>
      <c r="J170" s="105">
        <v>177.6</v>
      </c>
      <c r="K170" s="105">
        <v>177.6</v>
      </c>
      <c r="L170" s="105">
        <v>177.6</v>
      </c>
      <c r="M170" s="105">
        <v>177.6</v>
      </c>
      <c r="N170" s="105">
        <v>177.6</v>
      </c>
      <c r="O170" s="105">
        <v>177.6</v>
      </c>
      <c r="P170" s="105">
        <v>177.6</v>
      </c>
      <c r="Q170" s="105">
        <v>177.6</v>
      </c>
      <c r="R170" s="105">
        <v>177.6</v>
      </c>
      <c r="S170" s="249">
        <v>2128.7999999999997</v>
      </c>
      <c r="T170" s="249"/>
      <c r="U170" s="106">
        <v>40</v>
      </c>
      <c r="V170" s="106">
        <v>40</v>
      </c>
      <c r="W170" s="106">
        <v>40</v>
      </c>
      <c r="X170" s="106">
        <v>39.999999999999993</v>
      </c>
      <c r="Y170" s="106">
        <v>39.999999999999993</v>
      </c>
      <c r="Z170" s="106">
        <v>39.999999999999993</v>
      </c>
      <c r="AA170" s="106">
        <v>39.999999999999993</v>
      </c>
      <c r="AB170" s="106">
        <v>39.999999999999993</v>
      </c>
      <c r="AC170" s="106">
        <v>39.999999999999993</v>
      </c>
      <c r="AD170" s="106">
        <v>39.999999999999993</v>
      </c>
      <c r="AE170" s="106">
        <v>39.999999999999993</v>
      </c>
      <c r="AF170" s="106">
        <v>39.999999999999993</v>
      </c>
      <c r="AG170" s="106">
        <v>480</v>
      </c>
      <c r="AH170" s="106">
        <v>40</v>
      </c>
      <c r="AI170" s="337"/>
      <c r="AJ170" s="106"/>
      <c r="AL170" s="113">
        <v>369944.02964612714</v>
      </c>
      <c r="AM170" s="113">
        <v>1640317.6803538727</v>
      </c>
      <c r="AR170" s="268">
        <v>6503.6927475536449</v>
      </c>
      <c r="AS170" s="268">
        <v>6459.1232789936621</v>
      </c>
      <c r="AT170" s="268">
        <v>6659.4962269682437</v>
      </c>
      <c r="AU170" s="268">
        <v>6689.153761996803</v>
      </c>
      <c r="AV170" s="268">
        <v>6602.2610407581196</v>
      </c>
      <c r="AW170" s="268">
        <v>6624.0975616587584</v>
      </c>
      <c r="AX170" s="268">
        <v>6623.457044802617</v>
      </c>
      <c r="AY170" s="268">
        <v>6595.8746410537042</v>
      </c>
      <c r="AZ170" s="268">
        <v>6919.7865893339767</v>
      </c>
      <c r="BA170" s="268">
        <v>7039.0541051153268</v>
      </c>
      <c r="BB170" s="268">
        <v>7078.5506403346408</v>
      </c>
      <c r="BC170" s="268">
        <v>7156.0058944998882</v>
      </c>
      <c r="BF170" s="239">
        <v>90</v>
      </c>
      <c r="BI170" s="239">
        <v>1</v>
      </c>
      <c r="BJ170" s="104">
        <v>40</v>
      </c>
      <c r="BN170" s="104">
        <v>4.42</v>
      </c>
      <c r="BO170" s="108">
        <v>5.3949383681075352E-2</v>
      </c>
      <c r="BP170" s="108">
        <v>25.895704166916172</v>
      </c>
      <c r="BQ170" s="108">
        <v>4.4739493836810755</v>
      </c>
      <c r="BR170" s="95">
        <v>2154.6957041669157</v>
      </c>
      <c r="BX170" s="111">
        <f>SUM(BX151:BX169)</f>
        <v>103146.64102178367</v>
      </c>
      <c r="BY170" s="111">
        <f>SUM(BY151:BY169)</f>
        <v>19911.16349499311</v>
      </c>
    </row>
    <row r="171" spans="1:80" outlineLevel="1">
      <c r="A171" s="79" t="str">
        <f t="shared" si="7"/>
        <v>MURREYSMULTI-FAMILYMROLL</v>
      </c>
      <c r="B171" s="79" t="s">
        <v>468</v>
      </c>
      <c r="C171" s="79" t="s">
        <v>469</v>
      </c>
      <c r="D171" s="242">
        <v>16.97</v>
      </c>
      <c r="E171" s="104">
        <v>17.059999999999999</v>
      </c>
      <c r="F171" s="104">
        <v>17.059999999999999</v>
      </c>
      <c r="G171" s="105">
        <v>750.11</v>
      </c>
      <c r="H171" s="105">
        <v>750.11</v>
      </c>
      <c r="I171" s="105">
        <v>733.13</v>
      </c>
      <c r="J171" s="105">
        <v>753.89</v>
      </c>
      <c r="K171" s="105">
        <v>753.89</v>
      </c>
      <c r="L171" s="105">
        <v>749.62</v>
      </c>
      <c r="M171" s="105">
        <v>753.89</v>
      </c>
      <c r="N171" s="105">
        <v>753.89</v>
      </c>
      <c r="O171" s="105">
        <v>749.62</v>
      </c>
      <c r="P171" s="105">
        <v>736.82999999999993</v>
      </c>
      <c r="Q171" s="105">
        <v>788.01</v>
      </c>
      <c r="R171" s="105">
        <v>788.01</v>
      </c>
      <c r="S171" s="249">
        <v>9061</v>
      </c>
      <c r="T171" s="249"/>
      <c r="U171" s="106">
        <v>44.202121390689456</v>
      </c>
      <c r="V171" s="106">
        <v>44.202121390689456</v>
      </c>
      <c r="W171" s="106">
        <v>43.20153211549794</v>
      </c>
      <c r="X171" s="106">
        <v>44.190504103165303</v>
      </c>
      <c r="Y171" s="106">
        <v>44.190504103165303</v>
      </c>
      <c r="Z171" s="106">
        <v>43.940211019929663</v>
      </c>
      <c r="AA171" s="106">
        <v>44.190504103165303</v>
      </c>
      <c r="AB171" s="106">
        <v>44.190504103165303</v>
      </c>
      <c r="AC171" s="106">
        <v>43.940211019929663</v>
      </c>
      <c r="AD171" s="106">
        <v>43.190504103165296</v>
      </c>
      <c r="AE171" s="106">
        <v>46.190504103165303</v>
      </c>
      <c r="AF171" s="106">
        <v>46.190504103165303</v>
      </c>
      <c r="AG171" s="106">
        <v>531.81972565889339</v>
      </c>
      <c r="AH171" s="106">
        <v>44.318310471574449</v>
      </c>
      <c r="AI171" s="337"/>
      <c r="AJ171" s="106"/>
      <c r="AL171" s="106"/>
      <c r="AM171" s="106"/>
      <c r="BJ171" s="104">
        <v>0</v>
      </c>
      <c r="BM171" s="108"/>
      <c r="BN171" s="104">
        <v>16.973600000000001</v>
      </c>
      <c r="BO171" s="108">
        <v>0.2071753979296608</v>
      </c>
      <c r="BP171" s="108">
        <v>110.17996329022428</v>
      </c>
      <c r="BQ171" s="108">
        <v>17.180775397929661</v>
      </c>
      <c r="BR171" s="95">
        <v>9171.1799632902239</v>
      </c>
    </row>
    <row r="172" spans="1:80" outlineLevel="1">
      <c r="A172" s="79" t="str">
        <f t="shared" si="7"/>
        <v>MURREYSMULTI-FAMILYPACKM</v>
      </c>
      <c r="B172" s="79" t="s">
        <v>470</v>
      </c>
      <c r="C172" s="79" t="s">
        <v>471</v>
      </c>
      <c r="D172" s="242">
        <v>5.41</v>
      </c>
      <c r="E172" s="104">
        <v>5.44</v>
      </c>
      <c r="F172" s="104">
        <v>5.44</v>
      </c>
      <c r="G172" s="105">
        <v>37.869999999999997</v>
      </c>
      <c r="H172" s="105">
        <v>37.869999999999997</v>
      </c>
      <c r="I172" s="105">
        <v>37.869999999999997</v>
      </c>
      <c r="J172" s="105">
        <v>-31.42</v>
      </c>
      <c r="K172" s="105">
        <v>38.08</v>
      </c>
      <c r="L172" s="105">
        <v>48.96</v>
      </c>
      <c r="M172" s="105">
        <v>48.96</v>
      </c>
      <c r="N172" s="105">
        <v>48.96</v>
      </c>
      <c r="O172" s="105">
        <v>48.96</v>
      </c>
      <c r="P172" s="105">
        <v>48.96</v>
      </c>
      <c r="Q172" s="105">
        <v>48.96</v>
      </c>
      <c r="R172" s="105">
        <v>48.96</v>
      </c>
      <c r="S172" s="249">
        <v>462.9899999999999</v>
      </c>
      <c r="T172" s="249"/>
      <c r="U172" s="106">
        <v>6.9999999999999991</v>
      </c>
      <c r="V172" s="106">
        <v>6.9999999999999991</v>
      </c>
      <c r="W172" s="106">
        <v>6.9999999999999991</v>
      </c>
      <c r="X172" s="106">
        <v>-5.7757352941176467</v>
      </c>
      <c r="Y172" s="106">
        <v>6.9999999999999991</v>
      </c>
      <c r="Z172" s="106">
        <v>9</v>
      </c>
      <c r="AA172" s="106">
        <v>9</v>
      </c>
      <c r="AB172" s="106">
        <v>9</v>
      </c>
      <c r="AC172" s="106">
        <v>9</v>
      </c>
      <c r="AD172" s="106">
        <v>9</v>
      </c>
      <c r="AE172" s="106">
        <v>9</v>
      </c>
      <c r="AF172" s="106">
        <v>9</v>
      </c>
      <c r="AG172" s="106">
        <v>85.224264705882348</v>
      </c>
      <c r="AH172" s="106">
        <v>7.102022058823529</v>
      </c>
      <c r="AI172" s="337"/>
      <c r="AJ172" s="106"/>
      <c r="AL172" s="106"/>
      <c r="AM172" s="106"/>
      <c r="BJ172" s="104">
        <v>0</v>
      </c>
      <c r="BM172" s="108"/>
      <c r="BN172" s="104">
        <v>5.41</v>
      </c>
      <c r="BO172" s="108">
        <v>6.6033069166203093E-2</v>
      </c>
      <c r="BP172" s="108">
        <v>5.6276197659623302</v>
      </c>
      <c r="BQ172" s="108">
        <v>5.4760330691662036</v>
      </c>
      <c r="BR172" s="95">
        <v>468.61761976596222</v>
      </c>
    </row>
    <row r="173" spans="1:80" outlineLevel="1">
      <c r="A173" s="79" t="str">
        <f t="shared" si="7"/>
        <v>MURREYSMULTI-FAMILYDRVNM</v>
      </c>
      <c r="B173" s="79" t="s">
        <v>472</v>
      </c>
      <c r="C173" s="79" t="s">
        <v>473</v>
      </c>
      <c r="D173" s="242">
        <v>5.0199999999999996</v>
      </c>
      <c r="E173" s="104">
        <v>5.07</v>
      </c>
      <c r="F173" s="104">
        <v>5.07</v>
      </c>
      <c r="G173" s="105">
        <v>83.82</v>
      </c>
      <c r="H173" s="105">
        <v>88.84</v>
      </c>
      <c r="I173" s="105">
        <v>88.84</v>
      </c>
      <c r="J173" s="105">
        <v>89.64</v>
      </c>
      <c r="K173" s="105">
        <v>89.64</v>
      </c>
      <c r="L173" s="105">
        <v>89.64</v>
      </c>
      <c r="M173" s="105">
        <v>89.64</v>
      </c>
      <c r="N173" s="105">
        <v>89.64</v>
      </c>
      <c r="O173" s="105">
        <v>89.64</v>
      </c>
      <c r="P173" s="105">
        <v>104.85</v>
      </c>
      <c r="Q173" s="105">
        <v>104.85</v>
      </c>
      <c r="R173" s="105">
        <v>104.85</v>
      </c>
      <c r="S173" s="249">
        <v>1113.8899999999999</v>
      </c>
      <c r="T173" s="249"/>
      <c r="U173" s="106">
        <v>16.697211155378486</v>
      </c>
      <c r="V173" s="106">
        <v>17.69721115537849</v>
      </c>
      <c r="W173" s="106">
        <v>17.69721115537849</v>
      </c>
      <c r="X173" s="106">
        <v>17.680473372781066</v>
      </c>
      <c r="Y173" s="106">
        <v>17.680473372781066</v>
      </c>
      <c r="Z173" s="106">
        <v>17.680473372781066</v>
      </c>
      <c r="AA173" s="106">
        <v>17.680473372781066</v>
      </c>
      <c r="AB173" s="106">
        <v>17.680473372781066</v>
      </c>
      <c r="AC173" s="106">
        <v>17.680473372781066</v>
      </c>
      <c r="AD173" s="106">
        <v>20.680473372781062</v>
      </c>
      <c r="AE173" s="106">
        <v>20.680473372781062</v>
      </c>
      <c r="AF173" s="106">
        <v>20.680473372781062</v>
      </c>
      <c r="AG173" s="106">
        <v>220.215893821165</v>
      </c>
      <c r="AH173" s="106">
        <v>18.351324485097084</v>
      </c>
      <c r="AI173" s="337"/>
      <c r="AJ173" s="106"/>
      <c r="AL173" s="106"/>
      <c r="AM173" s="106"/>
      <c r="BJ173" s="104">
        <v>0</v>
      </c>
      <c r="BK173" s="94"/>
      <c r="BL173" s="104"/>
      <c r="BN173" s="104">
        <v>5.04</v>
      </c>
      <c r="BO173" s="108">
        <v>6.151694428792303E-2</v>
      </c>
      <c r="BP173" s="108">
        <v>13.54700887151178</v>
      </c>
      <c r="BQ173" s="108">
        <v>5.1015169442879227</v>
      </c>
      <c r="BR173" s="95">
        <v>1127.4370088715116</v>
      </c>
    </row>
    <row r="174" spans="1:80" outlineLevel="1">
      <c r="A174" s="79" t="str">
        <f t="shared" si="7"/>
        <v>MURREYSMULTI-FAMILYEXTRA-MF</v>
      </c>
      <c r="B174" s="79" t="s">
        <v>474</v>
      </c>
      <c r="C174" s="79" t="s">
        <v>233</v>
      </c>
      <c r="D174" s="242">
        <v>4.83</v>
      </c>
      <c r="E174" s="104">
        <v>4.8499999999999996</v>
      </c>
      <c r="F174" s="104">
        <v>4.82</v>
      </c>
      <c r="G174" s="105">
        <v>1381.38</v>
      </c>
      <c r="H174" s="105">
        <v>1009.47</v>
      </c>
      <c r="I174" s="105">
        <v>1106.07</v>
      </c>
      <c r="J174" s="105">
        <v>993.98</v>
      </c>
      <c r="K174" s="105">
        <v>970.09</v>
      </c>
      <c r="L174" s="105">
        <v>829.34999999999991</v>
      </c>
      <c r="M174" s="105">
        <v>839.05000000000007</v>
      </c>
      <c r="N174" s="105">
        <v>1139.75</v>
      </c>
      <c r="O174" s="105">
        <v>1081.55</v>
      </c>
      <c r="P174" s="105">
        <v>1200.6299999999999</v>
      </c>
      <c r="Q174" s="105">
        <v>742.28</v>
      </c>
      <c r="R174" s="105">
        <v>1253.2</v>
      </c>
      <c r="S174" s="249">
        <v>12546.8</v>
      </c>
      <c r="T174" s="249"/>
      <c r="U174" s="106">
        <v>286</v>
      </c>
      <c r="V174" s="106">
        <v>209</v>
      </c>
      <c r="W174" s="106">
        <v>228.99999999999997</v>
      </c>
      <c r="X174" s="106">
        <v>204.94432989690725</v>
      </c>
      <c r="Y174" s="106">
        <v>200.01855670103095</v>
      </c>
      <c r="Z174" s="106">
        <v>171</v>
      </c>
      <c r="AA174" s="106">
        <v>173.00000000000003</v>
      </c>
      <c r="AB174" s="106">
        <v>235.00000000000003</v>
      </c>
      <c r="AC174" s="106">
        <v>223</v>
      </c>
      <c r="AD174" s="106">
        <v>249.09336099585059</v>
      </c>
      <c r="AE174" s="106">
        <v>153.99999999999997</v>
      </c>
      <c r="AF174" s="106">
        <v>260</v>
      </c>
      <c r="AG174" s="106">
        <v>2594.0562475937886</v>
      </c>
      <c r="AH174" s="106">
        <v>216.17135396614904</v>
      </c>
      <c r="AI174" s="337">
        <f>+SUMIFS(Mapping!L:L,Mapping!A:A,"MULTI FAMILY",Mapping!C:C,'Murrey''s Price Out 2022'!C174)-AG174</f>
        <v>0</v>
      </c>
      <c r="AJ174" s="106"/>
      <c r="AL174" s="106"/>
      <c r="AM174" s="106"/>
      <c r="BJ174" s="104">
        <v>0</v>
      </c>
      <c r="BK174" s="94"/>
      <c r="BL174" s="104"/>
      <c r="BN174" s="104">
        <v>4.8</v>
      </c>
      <c r="BO174" s="108">
        <v>5.8587565988498125E-2</v>
      </c>
      <c r="BP174" s="108">
        <v>151.97944158377692</v>
      </c>
      <c r="BQ174" s="108">
        <v>4.8585875659884978</v>
      </c>
      <c r="BR174" s="95">
        <v>12698.779441583776</v>
      </c>
    </row>
    <row r="175" spans="1:80" outlineLevel="1">
      <c r="E175" s="104"/>
      <c r="F175" s="104"/>
      <c r="G175" s="247"/>
      <c r="H175" s="247"/>
      <c r="I175" s="247"/>
      <c r="J175" s="247"/>
      <c r="K175" s="247"/>
      <c r="L175" s="247"/>
      <c r="M175" s="104"/>
      <c r="N175" s="95"/>
      <c r="O175" s="95"/>
      <c r="P175" s="95"/>
      <c r="Q175" s="95"/>
      <c r="R175" s="95"/>
      <c r="S175" s="79"/>
      <c r="T175" s="79"/>
      <c r="U175" s="79"/>
      <c r="V175" s="79"/>
      <c r="W175" s="79"/>
      <c r="X175" s="79"/>
      <c r="Y175" s="79"/>
      <c r="Z175" s="79"/>
      <c r="AA175" s="79"/>
      <c r="AB175" s="106"/>
      <c r="AC175" s="106"/>
      <c r="AD175" s="106"/>
      <c r="AE175" s="106"/>
      <c r="AF175" s="106"/>
      <c r="AG175" s="106"/>
      <c r="AH175" s="106"/>
      <c r="AI175" s="337"/>
      <c r="AJ175" s="106"/>
      <c r="AL175" s="106"/>
      <c r="AM175" s="106"/>
      <c r="BF175" s="239" t="s">
        <v>634</v>
      </c>
      <c r="BG175" s="239" t="s">
        <v>634</v>
      </c>
      <c r="BI175" s="239" t="s">
        <v>634</v>
      </c>
      <c r="BJ175" s="104">
        <v>0</v>
      </c>
      <c r="BK175" s="94"/>
      <c r="BL175" s="104"/>
      <c r="BO175" s="108">
        <v>0</v>
      </c>
      <c r="BP175" s="108">
        <v>0</v>
      </c>
      <c r="BQ175" s="108">
        <v>0</v>
      </c>
      <c r="BR175" s="95">
        <v>0</v>
      </c>
    </row>
    <row r="176" spans="1:80" outlineLevel="1">
      <c r="C176" s="107" t="s">
        <v>475</v>
      </c>
      <c r="D176" s="244"/>
      <c r="E176" s="104"/>
      <c r="F176" s="104"/>
      <c r="G176" s="109">
        <v>229886.58999999994</v>
      </c>
      <c r="H176" s="109">
        <v>225755.63999999996</v>
      </c>
      <c r="I176" s="109">
        <v>234495.76999999996</v>
      </c>
      <c r="J176" s="109">
        <v>235731.86000000002</v>
      </c>
      <c r="K176" s="109">
        <v>233640.98499999996</v>
      </c>
      <c r="L176" s="109">
        <v>238292.87999999995</v>
      </c>
      <c r="M176" s="109">
        <v>232900.51999999996</v>
      </c>
      <c r="N176" s="109">
        <v>235699.04999999996</v>
      </c>
      <c r="O176" s="109">
        <v>243199.89499999996</v>
      </c>
      <c r="P176" s="109">
        <v>248234.45500000002</v>
      </c>
      <c r="Q176" s="109">
        <v>246836.11499999999</v>
      </c>
      <c r="R176" s="109">
        <v>247576.12000000002</v>
      </c>
      <c r="S176" s="109">
        <v>2852249.88</v>
      </c>
      <c r="T176" s="109"/>
      <c r="U176" s="109">
        <v>6805.2472517202013</v>
      </c>
      <c r="V176" s="109">
        <v>6315.0570328600288</v>
      </c>
      <c r="W176" s="109">
        <v>6858.2391096079673</v>
      </c>
      <c r="X176" s="109">
        <v>6597.5009171401962</v>
      </c>
      <c r="Y176" s="109">
        <v>6436.8062735183139</v>
      </c>
      <c r="Z176" s="109">
        <v>7152.3550277375271</v>
      </c>
      <c r="AA176" s="109">
        <v>5930.7337114602933</v>
      </c>
      <c r="AB176" s="109">
        <v>6148.9526417460456</v>
      </c>
      <c r="AC176" s="109">
        <v>6180.4735896712418</v>
      </c>
      <c r="AD176" s="109">
        <v>6769.1095279464589</v>
      </c>
      <c r="AE176" s="109">
        <v>6266.3919070790898</v>
      </c>
      <c r="AF176" s="109">
        <v>6041.813704657794</v>
      </c>
      <c r="AG176" s="109">
        <v>77502.680695145173</v>
      </c>
      <c r="AH176" s="109">
        <v>6458.5567245954308</v>
      </c>
      <c r="AI176" s="338"/>
      <c r="AJ176" s="110"/>
      <c r="AL176" s="105"/>
      <c r="AM176" s="105"/>
      <c r="BF176" s="252">
        <v>5718.8916299794755</v>
      </c>
      <c r="BG176" s="252">
        <v>0</v>
      </c>
      <c r="BH176" s="252">
        <v>644.25621270591137</v>
      </c>
      <c r="BI176" s="252">
        <v>0</v>
      </c>
      <c r="BJ176" s="109">
        <v>6363.1478426853873</v>
      </c>
      <c r="BK176" s="251" t="s">
        <v>591</v>
      </c>
      <c r="BL176" s="250">
        <v>0</v>
      </c>
      <c r="BN176" s="109">
        <v>8673.241399999999</v>
      </c>
      <c r="BO176" s="109">
        <v>3.5315315380603587</v>
      </c>
      <c r="BP176" s="109">
        <v>10050.891639853935</v>
      </c>
      <c r="BQ176" s="109">
        <v>295.11513153806033</v>
      </c>
      <c r="BR176" s="109">
        <v>2862300.7716398537</v>
      </c>
      <c r="BW176" s="244"/>
    </row>
    <row r="177" spans="1:75" outlineLevel="1">
      <c r="C177" s="107"/>
      <c r="D177" s="244"/>
      <c r="E177" s="104"/>
      <c r="F177" s="104"/>
      <c r="G177" s="110"/>
      <c r="H177" s="110"/>
      <c r="I177" s="110"/>
      <c r="J177" s="110"/>
      <c r="K177" s="110"/>
      <c r="L177" s="110"/>
      <c r="M177" s="110"/>
      <c r="N177" s="110"/>
      <c r="O177" s="110"/>
      <c r="P177" s="110"/>
      <c r="Q177" s="110"/>
      <c r="R177" s="110"/>
      <c r="S177" s="110"/>
      <c r="T177" s="110"/>
      <c r="U177" s="110"/>
      <c r="V177" s="110"/>
      <c r="W177" s="110"/>
      <c r="X177" s="110"/>
      <c r="Y177" s="110"/>
      <c r="Z177" s="110"/>
      <c r="AA177" s="110"/>
      <c r="AB177" s="110"/>
      <c r="AC177" s="110"/>
      <c r="AD177" s="110"/>
      <c r="AE177" s="110"/>
      <c r="AF177" s="110"/>
      <c r="AG177" s="110"/>
      <c r="AH177" s="110"/>
      <c r="AI177" s="338"/>
      <c r="AJ177" s="110"/>
      <c r="AL177" s="105"/>
      <c r="AM177" s="105"/>
      <c r="BE177" s="79" t="s">
        <v>660</v>
      </c>
      <c r="BF177" s="79"/>
      <c r="BG177" s="79"/>
      <c r="BH177" s="79"/>
      <c r="BI177" s="79"/>
      <c r="BK177" s="251"/>
      <c r="BL177" s="250"/>
      <c r="BO177" s="108"/>
      <c r="BP177" s="108"/>
      <c r="BQ177" s="108"/>
      <c r="BR177" s="262"/>
      <c r="BW177" s="244"/>
    </row>
    <row r="178" spans="1:75" outlineLevel="1">
      <c r="C178" s="107"/>
      <c r="D178" s="248"/>
      <c r="E178" s="104"/>
      <c r="F178" s="104"/>
      <c r="G178" s="247"/>
      <c r="H178" s="247"/>
      <c r="I178" s="247"/>
      <c r="J178" s="247"/>
      <c r="K178" s="247"/>
      <c r="L178" s="247"/>
      <c r="M178" s="104"/>
      <c r="N178" s="105"/>
      <c r="O178" s="105"/>
      <c r="P178" s="105"/>
      <c r="Q178" s="105"/>
      <c r="R178" s="105"/>
      <c r="AB178" s="106"/>
      <c r="AC178" s="106"/>
      <c r="AD178" s="106"/>
      <c r="AE178" s="106"/>
      <c r="AF178" s="106"/>
      <c r="AG178" s="106"/>
      <c r="AH178" s="106"/>
      <c r="AI178" s="337"/>
      <c r="AJ178" s="106"/>
      <c r="AL178" s="106"/>
      <c r="AM178" s="106"/>
      <c r="BF178" s="239" t="s">
        <v>634</v>
      </c>
      <c r="BG178" s="239" t="s">
        <v>634</v>
      </c>
      <c r="BH178" s="239" t="s">
        <v>635</v>
      </c>
      <c r="BI178" s="239" t="s">
        <v>634</v>
      </c>
      <c r="BJ178" s="104">
        <v>0</v>
      </c>
      <c r="BO178" s="108">
        <v>0</v>
      </c>
      <c r="BP178" s="108">
        <v>0</v>
      </c>
      <c r="BQ178" s="108">
        <v>0</v>
      </c>
      <c r="BR178" s="95">
        <v>0</v>
      </c>
      <c r="BW178" s="244"/>
    </row>
    <row r="179" spans="1:75" outlineLevel="1">
      <c r="B179" s="94" t="s">
        <v>476</v>
      </c>
      <c r="C179" s="107"/>
      <c r="D179" s="248"/>
      <c r="E179" s="104"/>
      <c r="F179" s="104"/>
      <c r="G179" s="247"/>
      <c r="H179" s="247"/>
      <c r="I179" s="247"/>
      <c r="J179" s="247"/>
      <c r="K179" s="247"/>
      <c r="L179" s="247"/>
      <c r="M179" s="104"/>
      <c r="N179" s="105"/>
      <c r="O179" s="105"/>
      <c r="P179" s="105"/>
      <c r="Q179" s="105"/>
      <c r="R179" s="105"/>
      <c r="AB179" s="106"/>
      <c r="AC179" s="106"/>
      <c r="AD179" s="106"/>
      <c r="AE179" s="106"/>
      <c r="AF179" s="106"/>
      <c r="AG179" s="106"/>
      <c r="AH179" s="106"/>
      <c r="AI179" s="337"/>
      <c r="AJ179" s="106"/>
      <c r="AL179" s="106"/>
      <c r="AM179" s="106"/>
      <c r="BF179" s="239" t="s">
        <v>634</v>
      </c>
      <c r="BG179" s="239" t="s">
        <v>634</v>
      </c>
      <c r="BI179" s="239" t="s">
        <v>634</v>
      </c>
      <c r="BJ179" s="104">
        <v>0</v>
      </c>
      <c r="BO179" s="108">
        <v>0</v>
      </c>
      <c r="BP179" s="108">
        <v>0</v>
      </c>
      <c r="BQ179" s="108">
        <v>0</v>
      </c>
      <c r="BR179" s="95">
        <v>0</v>
      </c>
      <c r="BW179" s="244"/>
    </row>
    <row r="180" spans="1:75" outlineLevel="1">
      <c r="A180" s="79" t="str">
        <f t="shared" ref="A180:A187" si="12">+$A$4&amp;$A$139&amp;B180</f>
        <v>MURREYSMULTI-FAMILYM2YDRECY</v>
      </c>
      <c r="B180" s="79" t="s">
        <v>477</v>
      </c>
      <c r="C180" s="79" t="s">
        <v>478</v>
      </c>
      <c r="D180" s="242">
        <v>12.16</v>
      </c>
      <c r="E180" s="104">
        <v>12.22</v>
      </c>
      <c r="F180" s="104">
        <v>12.22</v>
      </c>
      <c r="G180" s="105">
        <v>3001.29</v>
      </c>
      <c r="H180" s="105">
        <v>3001.29</v>
      </c>
      <c r="I180" s="105">
        <v>3001.29</v>
      </c>
      <c r="J180" s="105">
        <v>3001.29</v>
      </c>
      <c r="K180" s="105">
        <v>3001.29</v>
      </c>
      <c r="L180" s="105">
        <v>3001.29</v>
      </c>
      <c r="M180" s="105">
        <v>3015.33</v>
      </c>
      <c r="N180" s="105">
        <v>2963.2000000000003</v>
      </c>
      <c r="O180" s="105">
        <v>2963.2000000000003</v>
      </c>
      <c r="P180" s="105">
        <v>2963.2</v>
      </c>
      <c r="Q180" s="105">
        <v>3174.86</v>
      </c>
      <c r="R180" s="105">
        <v>3174.86</v>
      </c>
      <c r="S180" s="249">
        <v>36262.39</v>
      </c>
      <c r="T180" s="249"/>
      <c r="U180" s="254">
        <v>246.81661184210526</v>
      </c>
      <c r="V180" s="254">
        <v>246.81661184210526</v>
      </c>
      <c r="W180" s="254">
        <v>246.81661184210526</v>
      </c>
      <c r="X180" s="254">
        <v>245.60474631751225</v>
      </c>
      <c r="Y180" s="254">
        <v>245.60474631751225</v>
      </c>
      <c r="Z180" s="254">
        <v>245.60474631751225</v>
      </c>
      <c r="AA180" s="254">
        <v>246.75368248772503</v>
      </c>
      <c r="AB180" s="254">
        <v>242.48772504091653</v>
      </c>
      <c r="AC180" s="254">
        <v>242.48772504091653</v>
      </c>
      <c r="AD180" s="254">
        <v>242.4877250409165</v>
      </c>
      <c r="AE180" s="254">
        <v>259.80851063829789</v>
      </c>
      <c r="AF180" s="254">
        <v>259.80851063829789</v>
      </c>
      <c r="AG180" s="254">
        <v>2971.0979533659229</v>
      </c>
      <c r="AH180" s="254">
        <v>247.59149611382691</v>
      </c>
      <c r="AI180" s="337"/>
      <c r="AJ180" s="105"/>
      <c r="AL180" s="105"/>
      <c r="AM180" s="105"/>
      <c r="AO180" s="94"/>
      <c r="AP180" s="94"/>
      <c r="AR180" s="267">
        <v>493.63322368421052</v>
      </c>
      <c r="AS180" s="267">
        <v>493.63322368421052</v>
      </c>
      <c r="AT180" s="267">
        <v>493.63322368421052</v>
      </c>
      <c r="AU180" s="267">
        <v>491.2094926350245</v>
      </c>
      <c r="AV180" s="267">
        <v>491.2094926350245</v>
      </c>
      <c r="AW180" s="267">
        <v>491.2094926350245</v>
      </c>
      <c r="AX180" s="267">
        <v>493.50736497545006</v>
      </c>
      <c r="AY180" s="267">
        <v>484.97545008183306</v>
      </c>
      <c r="AZ180" s="267">
        <v>484.97545008183306</v>
      </c>
      <c r="BA180" s="267">
        <v>484.975450081833</v>
      </c>
      <c r="BB180" s="267">
        <v>519.61702127659578</v>
      </c>
      <c r="BC180" s="267">
        <v>519.61702127659578</v>
      </c>
      <c r="BD180" s="105">
        <v>495.18299222765381</v>
      </c>
      <c r="BE180" s="105"/>
      <c r="BF180" s="79"/>
      <c r="BG180" s="79"/>
      <c r="BH180" s="79"/>
      <c r="BI180" s="79"/>
      <c r="BN180" s="104">
        <v>12.16</v>
      </c>
      <c r="BO180" s="108">
        <v>3.4053162059853523</v>
      </c>
      <c r="BP180" s="108">
        <v>10117.52801016689</v>
      </c>
      <c r="BQ180" s="108">
        <v>15.565316205985352</v>
      </c>
      <c r="BR180" s="95">
        <v>46379.91801016689</v>
      </c>
    </row>
    <row r="181" spans="1:75" outlineLevel="1">
      <c r="A181" s="79" t="str">
        <f t="shared" si="12"/>
        <v>MURREYSMULTI-FAMILYM6YDRECY</v>
      </c>
      <c r="B181" s="79" t="s">
        <v>479</v>
      </c>
      <c r="C181" s="79" t="s">
        <v>480</v>
      </c>
      <c r="D181" s="242">
        <v>37.950000000000003</v>
      </c>
      <c r="E181" s="104">
        <v>38.130000000000003</v>
      </c>
      <c r="F181" s="104">
        <v>38.130000000000003</v>
      </c>
      <c r="G181" s="105">
        <v>11666.99</v>
      </c>
      <c r="H181" s="105">
        <v>11666.99</v>
      </c>
      <c r="I181" s="105">
        <v>11666.99</v>
      </c>
      <c r="J181" s="105">
        <v>11666.99</v>
      </c>
      <c r="K181" s="105">
        <v>11666.99</v>
      </c>
      <c r="L181" s="105">
        <v>11666.99</v>
      </c>
      <c r="M181" s="105">
        <v>12047.89</v>
      </c>
      <c r="N181" s="105">
        <v>12047.89</v>
      </c>
      <c r="O181" s="105">
        <v>12047.89</v>
      </c>
      <c r="P181" s="105">
        <v>12047.89</v>
      </c>
      <c r="Q181" s="105">
        <v>12212.98</v>
      </c>
      <c r="R181" s="105">
        <v>12212.99</v>
      </c>
      <c r="S181" s="249">
        <v>142619.47</v>
      </c>
      <c r="T181" s="249"/>
      <c r="U181" s="254">
        <v>307.43056653491431</v>
      </c>
      <c r="V181" s="254">
        <v>307.43056653491431</v>
      </c>
      <c r="W181" s="254">
        <v>307.43056653491431</v>
      </c>
      <c r="X181" s="254">
        <v>305.97928140571724</v>
      </c>
      <c r="Y181" s="254">
        <v>305.97928140571724</v>
      </c>
      <c r="Z181" s="254">
        <v>305.97928140571724</v>
      </c>
      <c r="AA181" s="254">
        <v>315.96879097823233</v>
      </c>
      <c r="AB181" s="254">
        <v>315.96879097823233</v>
      </c>
      <c r="AC181" s="254">
        <v>315.96879097823233</v>
      </c>
      <c r="AD181" s="254">
        <v>315.96879097823233</v>
      </c>
      <c r="AE181" s="254">
        <v>320.29845266194593</v>
      </c>
      <c r="AF181" s="254">
        <v>320.29871492263305</v>
      </c>
      <c r="AG181" s="254">
        <v>3744.7018753194034</v>
      </c>
      <c r="AH181" s="254">
        <v>312.0584896099503</v>
      </c>
      <c r="AI181" s="337"/>
      <c r="AJ181" s="105"/>
      <c r="AL181" s="105"/>
      <c r="AM181" s="105"/>
      <c r="AO181" s="94"/>
      <c r="AP181" s="94"/>
      <c r="AR181" s="267">
        <v>1844.5833992094858</v>
      </c>
      <c r="AS181" s="267">
        <v>1844.5833992094858</v>
      </c>
      <c r="AT181" s="267">
        <v>1844.5833992094858</v>
      </c>
      <c r="AU181" s="267">
        <v>1835.8756884343034</v>
      </c>
      <c r="AV181" s="267">
        <v>1835.8756884343034</v>
      </c>
      <c r="AW181" s="267">
        <v>1835.8756884343034</v>
      </c>
      <c r="AX181" s="267">
        <v>1895.8127458693939</v>
      </c>
      <c r="AY181" s="267">
        <v>1895.8127458693939</v>
      </c>
      <c r="AZ181" s="267">
        <v>1895.8127458693939</v>
      </c>
      <c r="BA181" s="267">
        <v>1895.8127458693939</v>
      </c>
      <c r="BB181" s="267">
        <v>1921.7907159716756</v>
      </c>
      <c r="BC181" s="267">
        <v>1921.7922895357983</v>
      </c>
      <c r="BD181" s="105">
        <v>1872.3509376597012</v>
      </c>
      <c r="BE181" s="105"/>
      <c r="BF181" s="79"/>
      <c r="BG181" s="79"/>
      <c r="BH181" s="79"/>
      <c r="BI181" s="79"/>
      <c r="BN181" s="104">
        <v>37.950000000000003</v>
      </c>
      <c r="BO181" s="108">
        <v>10.627611021146722</v>
      </c>
      <c r="BP181" s="108">
        <v>39797.234921053292</v>
      </c>
      <c r="BQ181" s="108">
        <v>48.577611021146723</v>
      </c>
      <c r="BR181" s="95">
        <v>182416.70492105329</v>
      </c>
    </row>
    <row r="182" spans="1:75" outlineLevel="1">
      <c r="A182" s="79" t="str">
        <f t="shared" si="12"/>
        <v>MURREYSMULTI-FAMILYMCCRECYR</v>
      </c>
      <c r="B182" s="79" t="s">
        <v>481</v>
      </c>
      <c r="C182" s="79" t="s">
        <v>482</v>
      </c>
      <c r="D182" s="242">
        <v>7.47</v>
      </c>
      <c r="E182" s="104">
        <v>7.5</v>
      </c>
      <c r="F182" s="104">
        <v>7.5</v>
      </c>
      <c r="G182" s="105">
        <v>6827.58</v>
      </c>
      <c r="H182" s="105">
        <v>6827.58</v>
      </c>
      <c r="I182" s="105">
        <v>6827.58</v>
      </c>
      <c r="J182" s="105">
        <v>6855</v>
      </c>
      <c r="K182" s="105">
        <v>6855</v>
      </c>
      <c r="L182" s="105">
        <v>6780</v>
      </c>
      <c r="M182" s="105">
        <v>6810</v>
      </c>
      <c r="N182" s="105">
        <v>6277.5</v>
      </c>
      <c r="O182" s="105">
        <v>6277.5</v>
      </c>
      <c r="P182" s="105">
        <v>6277.5</v>
      </c>
      <c r="Q182" s="105">
        <v>6247.5</v>
      </c>
      <c r="R182" s="105">
        <v>6247.5</v>
      </c>
      <c r="S182" s="249">
        <v>79110.239999999991</v>
      </c>
      <c r="T182" s="249"/>
      <c r="U182" s="266">
        <v>30.466666666666665</v>
      </c>
      <c r="V182" s="266">
        <v>30.466666666666665</v>
      </c>
      <c r="W182" s="266">
        <v>30.466666666666665</v>
      </c>
      <c r="X182" s="266">
        <v>30.58902275769746</v>
      </c>
      <c r="Y182" s="266">
        <v>30.58902275769746</v>
      </c>
      <c r="Z182" s="266">
        <v>30.25435073627845</v>
      </c>
      <c r="AA182" s="266">
        <v>30.388219544846052</v>
      </c>
      <c r="AB182" s="266">
        <v>28.012048192771086</v>
      </c>
      <c r="AC182" s="266">
        <v>28.012048192771086</v>
      </c>
      <c r="AD182" s="266">
        <v>28.012048192771086</v>
      </c>
      <c r="AE182" s="266">
        <v>27.878179384203481</v>
      </c>
      <c r="AF182" s="266">
        <v>27.878179384203481</v>
      </c>
      <c r="AG182" s="266">
        <v>353.01311914323958</v>
      </c>
      <c r="AH182" s="266">
        <v>29.417759928603299</v>
      </c>
      <c r="AI182" s="337"/>
      <c r="AJ182" s="105" t="s">
        <v>659</v>
      </c>
      <c r="AL182" s="105"/>
      <c r="AM182" s="105"/>
      <c r="AR182" s="265">
        <v>2338.2166228936962</v>
      </c>
      <c r="AS182" s="265">
        <v>2338.2166228936962</v>
      </c>
      <c r="AT182" s="265">
        <v>2338.2166228936962</v>
      </c>
      <c r="AU182" s="265">
        <v>2327.085181069328</v>
      </c>
      <c r="AV182" s="265">
        <v>2327.085181069328</v>
      </c>
      <c r="AW182" s="265">
        <v>2327.085181069328</v>
      </c>
      <c r="AX182" s="265">
        <v>2389.3201108448438</v>
      </c>
      <c r="AY182" s="265">
        <v>2380.788195951227</v>
      </c>
      <c r="AZ182" s="265">
        <v>2380.788195951227</v>
      </c>
      <c r="BA182" s="265">
        <v>2380.788195951227</v>
      </c>
      <c r="BB182" s="265">
        <v>2441.4077372482716</v>
      </c>
      <c r="BC182" s="265">
        <v>2441.4093108123943</v>
      </c>
      <c r="BD182" s="265">
        <v>2367.533929887355</v>
      </c>
      <c r="BE182" s="264"/>
      <c r="BI182" s="239">
        <v>0</v>
      </c>
      <c r="BJ182" s="104">
        <v>0</v>
      </c>
      <c r="BN182" s="104">
        <v>7.47</v>
      </c>
      <c r="BO182" s="108">
        <v>2.0919171100913307</v>
      </c>
      <c r="BP182" s="108">
        <v>738.47418402245239</v>
      </c>
      <c r="BQ182" s="108">
        <v>9.5619171100913309</v>
      </c>
      <c r="BR182" s="95">
        <v>79848.71418402245</v>
      </c>
    </row>
    <row r="183" spans="1:75" outlineLevel="1">
      <c r="A183" s="79" t="str">
        <f t="shared" si="12"/>
        <v>MURREYSMULTI-FAMILYMRECYONLY</v>
      </c>
      <c r="B183" s="79" t="s">
        <v>485</v>
      </c>
      <c r="C183" s="79" t="s">
        <v>486</v>
      </c>
      <c r="D183" s="242">
        <v>11.07</v>
      </c>
      <c r="E183" s="104">
        <v>11.12</v>
      </c>
      <c r="F183" s="104">
        <v>11.11</v>
      </c>
      <c r="G183" s="105">
        <v>55.35</v>
      </c>
      <c r="H183" s="105">
        <v>55.35</v>
      </c>
      <c r="I183" s="105">
        <v>55.35</v>
      </c>
      <c r="J183" s="105">
        <v>55.6</v>
      </c>
      <c r="K183" s="105">
        <v>55.6</v>
      </c>
      <c r="L183" s="105">
        <v>55.6</v>
      </c>
      <c r="M183" s="105">
        <v>55.6</v>
      </c>
      <c r="N183" s="105">
        <v>55.6</v>
      </c>
      <c r="O183" s="105">
        <v>55.6</v>
      </c>
      <c r="P183" s="105">
        <v>55.55</v>
      </c>
      <c r="Q183" s="105">
        <v>55.55</v>
      </c>
      <c r="R183" s="105">
        <v>55.55</v>
      </c>
      <c r="S183" s="249">
        <v>666.3</v>
      </c>
      <c r="T183" s="249"/>
      <c r="U183" s="254">
        <v>5</v>
      </c>
      <c r="V183" s="254">
        <v>5</v>
      </c>
      <c r="W183" s="254">
        <v>5</v>
      </c>
      <c r="X183" s="254">
        <v>5.0000000000000009</v>
      </c>
      <c r="Y183" s="254">
        <v>5.0000000000000009</v>
      </c>
      <c r="Z183" s="254">
        <v>5.0000000000000009</v>
      </c>
      <c r="AA183" s="254">
        <v>5.0000000000000009</v>
      </c>
      <c r="AB183" s="254">
        <v>5.0000000000000009</v>
      </c>
      <c r="AC183" s="254">
        <v>5.0000000000000009</v>
      </c>
      <c r="AD183" s="254">
        <v>5</v>
      </c>
      <c r="AE183" s="254">
        <v>5</v>
      </c>
      <c r="AF183" s="254">
        <v>5</v>
      </c>
      <c r="AG183" s="254">
        <v>60</v>
      </c>
      <c r="AH183" s="254">
        <v>5</v>
      </c>
      <c r="AI183" s="337"/>
      <c r="AJ183" s="105"/>
      <c r="AL183" s="105"/>
      <c r="AM183" s="105"/>
      <c r="AR183" s="263">
        <v>8841.9093704473416</v>
      </c>
      <c r="AS183" s="263">
        <v>8797.3399018873588</v>
      </c>
      <c r="AT183" s="263">
        <v>8997.7128498619404</v>
      </c>
      <c r="AU183" s="263">
        <v>9016.2389430661315</v>
      </c>
      <c r="AV183" s="263">
        <v>8929.3462218274472</v>
      </c>
      <c r="AW183" s="263">
        <v>8951.1827427280859</v>
      </c>
      <c r="AX183" s="263">
        <v>9012.7771556474618</v>
      </c>
      <c r="AY183" s="263">
        <v>8976.6628370049311</v>
      </c>
      <c r="AZ183" s="263">
        <v>9300.5747852852037</v>
      </c>
      <c r="BA183" s="263">
        <v>9419.8423010665538</v>
      </c>
      <c r="BB183" s="263">
        <v>9519.9583775829124</v>
      </c>
      <c r="BC183" s="263">
        <v>9597.4152053122816</v>
      </c>
      <c r="BD183" s="263">
        <v>2367.533929887355</v>
      </c>
      <c r="BE183" s="245"/>
      <c r="BJ183" s="104">
        <v>0</v>
      </c>
      <c r="BN183" s="104">
        <v>11.07</v>
      </c>
      <c r="BO183" s="108">
        <v>3.1000699342317315</v>
      </c>
      <c r="BP183" s="108">
        <v>186.00419605390388</v>
      </c>
      <c r="BQ183" s="108">
        <v>14.170069934231732</v>
      </c>
      <c r="BR183" s="95">
        <v>852.30419605390387</v>
      </c>
    </row>
    <row r="184" spans="1:75" outlineLevel="1">
      <c r="A184" s="79" t="str">
        <f t="shared" si="12"/>
        <v>MURREYSMULTI-FAMILYMRECYR</v>
      </c>
      <c r="B184" s="79" t="s">
        <v>487</v>
      </c>
      <c r="C184" s="79" t="s">
        <v>488</v>
      </c>
      <c r="D184" s="242">
        <v>7.38</v>
      </c>
      <c r="E184" s="104">
        <v>7.41</v>
      </c>
      <c r="F184" s="104">
        <v>7.41</v>
      </c>
      <c r="G184" s="105">
        <v>8817.4550000000017</v>
      </c>
      <c r="H184" s="105">
        <v>9703.755000000001</v>
      </c>
      <c r="I184" s="105">
        <v>9766.5000000000018</v>
      </c>
      <c r="J184" s="105">
        <v>9997.9149999999991</v>
      </c>
      <c r="K184" s="105">
        <v>10084.955</v>
      </c>
      <c r="L184" s="105">
        <v>10338.769999999999</v>
      </c>
      <c r="M184" s="105">
        <v>10453.670000000002</v>
      </c>
      <c r="N184" s="105">
        <v>11060.66</v>
      </c>
      <c r="O184" s="105">
        <v>11040.885</v>
      </c>
      <c r="P184" s="105">
        <v>11055.665000000001</v>
      </c>
      <c r="Q184" s="105">
        <v>11163.725</v>
      </c>
      <c r="R184" s="105">
        <v>10857.42</v>
      </c>
      <c r="S184" s="249">
        <v>124341.37500000001</v>
      </c>
      <c r="T184" s="249"/>
      <c r="U184" s="254">
        <v>1194.7771002710031</v>
      </c>
      <c r="V184" s="254">
        <v>1314.8719512195123</v>
      </c>
      <c r="W184" s="254">
        <v>1323.3739837398377</v>
      </c>
      <c r="X184" s="254">
        <v>1349.2462887989202</v>
      </c>
      <c r="Y184" s="254">
        <v>1360.9925775978406</v>
      </c>
      <c r="Z184" s="254">
        <v>1395.2456140350876</v>
      </c>
      <c r="AA184" s="254">
        <v>1410.7516869095818</v>
      </c>
      <c r="AB184" s="254">
        <v>1492.6666666666665</v>
      </c>
      <c r="AC184" s="254">
        <v>1489.9979757085021</v>
      </c>
      <c r="AD184" s="254">
        <v>1491.9925775978409</v>
      </c>
      <c r="AE184" s="254">
        <v>1506.5755735492578</v>
      </c>
      <c r="AF184" s="254">
        <v>1465.2388663967611</v>
      </c>
      <c r="AG184" s="254">
        <v>16795.730862490811</v>
      </c>
      <c r="AH184" s="254">
        <v>1399.6442385409009</v>
      </c>
      <c r="AI184" s="337"/>
      <c r="AJ184" s="105"/>
      <c r="AL184" s="105"/>
      <c r="AM184" s="105"/>
      <c r="BJ184" s="104">
        <v>0</v>
      </c>
      <c r="BN184" s="104">
        <v>7.38</v>
      </c>
      <c r="BO184" s="108">
        <v>2.0667132894878208</v>
      </c>
      <c r="BP184" s="108">
        <v>34711.960180170499</v>
      </c>
      <c r="BQ184" s="108">
        <v>9.4467132894878212</v>
      </c>
      <c r="BR184" s="95">
        <v>159053.33518017051</v>
      </c>
    </row>
    <row r="185" spans="1:75" outlineLevel="1">
      <c r="A185" s="79" t="str">
        <f t="shared" si="12"/>
        <v>MURREYSMULTI-FAMILYMRECYIN</v>
      </c>
      <c r="B185" s="79" t="s">
        <v>483</v>
      </c>
      <c r="C185" s="79" t="s">
        <v>484</v>
      </c>
      <c r="D185" s="242">
        <v>0.75</v>
      </c>
      <c r="E185" s="104">
        <v>0.75</v>
      </c>
      <c r="F185" s="104">
        <v>0.75</v>
      </c>
      <c r="G185" s="105">
        <v>268.5</v>
      </c>
      <c r="H185" s="105">
        <v>268.5</v>
      </c>
      <c r="I185" s="105">
        <v>268.5</v>
      </c>
      <c r="J185" s="105">
        <v>269.25</v>
      </c>
      <c r="K185" s="105">
        <v>264.75</v>
      </c>
      <c r="L185" s="105">
        <v>264.75</v>
      </c>
      <c r="M185" s="105">
        <v>447.78999999999996</v>
      </c>
      <c r="N185" s="105">
        <v>447.59999999999997</v>
      </c>
      <c r="O185" s="105">
        <v>447.03999999999996</v>
      </c>
      <c r="P185" s="105">
        <v>446.28999999999996</v>
      </c>
      <c r="Q185" s="105">
        <v>446.28999999999996</v>
      </c>
      <c r="R185" s="105">
        <v>441.78999999999996</v>
      </c>
      <c r="S185" s="249">
        <v>4281.0499999999993</v>
      </c>
      <c r="T185" s="249"/>
      <c r="U185" s="106">
        <v>358</v>
      </c>
      <c r="V185" s="106">
        <v>358</v>
      </c>
      <c r="W185" s="106">
        <v>358</v>
      </c>
      <c r="X185" s="106">
        <v>359</v>
      </c>
      <c r="Y185" s="106">
        <v>353</v>
      </c>
      <c r="Z185" s="106">
        <v>353</v>
      </c>
      <c r="AA185" s="106">
        <v>597.05333333333328</v>
      </c>
      <c r="AB185" s="106">
        <v>596.79999999999995</v>
      </c>
      <c r="AC185" s="106">
        <v>596.05333333333328</v>
      </c>
      <c r="AD185" s="106">
        <v>595.05333333333328</v>
      </c>
      <c r="AE185" s="106">
        <v>595.05333333333328</v>
      </c>
      <c r="AF185" s="106">
        <v>589.05333333333328</v>
      </c>
      <c r="AG185" s="106">
        <v>5708.0666666666666</v>
      </c>
      <c r="AH185" s="106">
        <v>475.67222222222222</v>
      </c>
      <c r="AI185" s="337"/>
      <c r="AJ185" s="105"/>
      <c r="AL185" s="105"/>
      <c r="AM185" s="105"/>
      <c r="BJ185" s="104">
        <v>0</v>
      </c>
      <c r="BN185" s="104">
        <v>0.75</v>
      </c>
      <c r="BO185" s="108">
        <v>0.21003183836258343</v>
      </c>
      <c r="BP185" s="108">
        <v>1198.8757354961838</v>
      </c>
      <c r="BQ185" s="108">
        <v>0.96003183836258343</v>
      </c>
      <c r="BR185" s="95">
        <v>5479.9257354961828</v>
      </c>
    </row>
    <row r="186" spans="1:75" outlineLevel="1">
      <c r="A186" s="79" t="str">
        <f t="shared" si="12"/>
        <v>MURREYSMULTI-FAMILYMRENT2YDRECY</v>
      </c>
      <c r="B186" s="79" t="s">
        <v>489</v>
      </c>
      <c r="C186" s="79" t="s">
        <v>490</v>
      </c>
      <c r="D186" s="242">
        <v>11.58</v>
      </c>
      <c r="E186" s="104">
        <v>11.63</v>
      </c>
      <c r="F186" s="104">
        <v>11.63</v>
      </c>
      <c r="G186" s="105">
        <v>370.55999999999995</v>
      </c>
      <c r="H186" s="105">
        <v>370.55999999999995</v>
      </c>
      <c r="I186" s="105">
        <v>370.55999999999995</v>
      </c>
      <c r="J186" s="105">
        <v>372.16</v>
      </c>
      <c r="K186" s="105">
        <v>372.16</v>
      </c>
      <c r="L186" s="105">
        <v>372.16</v>
      </c>
      <c r="M186" s="105">
        <v>372.16</v>
      </c>
      <c r="N186" s="105">
        <v>372.16</v>
      </c>
      <c r="O186" s="105">
        <v>372.16</v>
      </c>
      <c r="P186" s="105">
        <v>372.16</v>
      </c>
      <c r="Q186" s="105">
        <v>395.42</v>
      </c>
      <c r="R186" s="105">
        <v>395.42</v>
      </c>
      <c r="S186" s="249">
        <v>4507.6399999999994</v>
      </c>
      <c r="T186" s="249"/>
      <c r="U186" s="106">
        <v>31.999999999999996</v>
      </c>
      <c r="V186" s="106">
        <v>31.999999999999996</v>
      </c>
      <c r="W186" s="106">
        <v>31.999999999999996</v>
      </c>
      <c r="X186" s="106">
        <v>32</v>
      </c>
      <c r="Y186" s="106">
        <v>32</v>
      </c>
      <c r="Z186" s="106">
        <v>32</v>
      </c>
      <c r="AA186" s="106">
        <v>32</v>
      </c>
      <c r="AB186" s="106">
        <v>32</v>
      </c>
      <c r="AC186" s="106">
        <v>32</v>
      </c>
      <c r="AD186" s="106">
        <v>32</v>
      </c>
      <c r="AE186" s="106">
        <v>34</v>
      </c>
      <c r="AF186" s="106">
        <v>34</v>
      </c>
      <c r="AG186" s="106">
        <v>388</v>
      </c>
      <c r="AH186" s="106">
        <v>32.333333333333336</v>
      </c>
      <c r="AI186" s="337"/>
      <c r="AJ186" s="105"/>
      <c r="AL186" s="105"/>
      <c r="AM186" s="105"/>
      <c r="BH186" s="239">
        <v>2</v>
      </c>
      <c r="BI186" s="239">
        <v>1</v>
      </c>
      <c r="BJ186" s="104">
        <v>32.333333333333336</v>
      </c>
      <c r="BK186" s="94"/>
      <c r="BL186" s="104"/>
      <c r="BN186" s="104">
        <v>11.58</v>
      </c>
      <c r="BO186" s="108">
        <v>3.2428915843182882</v>
      </c>
      <c r="BP186" s="108">
        <v>1258.241934715496</v>
      </c>
      <c r="BQ186" s="108">
        <v>14.822891584318288</v>
      </c>
      <c r="BR186" s="95">
        <v>5765.8819347154949</v>
      </c>
    </row>
    <row r="187" spans="1:75" outlineLevel="1">
      <c r="A187" s="79" t="str">
        <f t="shared" si="12"/>
        <v>MURREYSMULTI-FAMILYMRENT6YDRECY</v>
      </c>
      <c r="B187" s="79" t="s">
        <v>491</v>
      </c>
      <c r="C187" s="79" t="s">
        <v>492</v>
      </c>
      <c r="D187" s="242">
        <v>17.100000000000001</v>
      </c>
      <c r="E187" s="104">
        <v>17.18</v>
      </c>
      <c r="F187" s="104">
        <v>17.18</v>
      </c>
      <c r="G187" s="105">
        <v>615.6</v>
      </c>
      <c r="H187" s="105">
        <v>615.6</v>
      </c>
      <c r="I187" s="105">
        <v>615.6</v>
      </c>
      <c r="J187" s="105">
        <v>618.48</v>
      </c>
      <c r="K187" s="105">
        <v>618.48</v>
      </c>
      <c r="L187" s="105">
        <v>618.48</v>
      </c>
      <c r="M187" s="105">
        <v>635.66</v>
      </c>
      <c r="N187" s="105">
        <v>635.66</v>
      </c>
      <c r="O187" s="105">
        <v>635.66</v>
      </c>
      <c r="P187" s="105">
        <v>635.66000000000008</v>
      </c>
      <c r="Q187" s="105">
        <v>652.84</v>
      </c>
      <c r="R187" s="105">
        <v>652.84</v>
      </c>
      <c r="S187" s="249">
        <v>7550.56</v>
      </c>
      <c r="T187" s="249"/>
      <c r="U187" s="106">
        <v>36</v>
      </c>
      <c r="V187" s="106">
        <v>36</v>
      </c>
      <c r="W187" s="106">
        <v>36</v>
      </c>
      <c r="X187" s="106">
        <v>36</v>
      </c>
      <c r="Y187" s="106">
        <v>36</v>
      </c>
      <c r="Z187" s="106">
        <v>36</v>
      </c>
      <c r="AA187" s="106">
        <v>37</v>
      </c>
      <c r="AB187" s="106">
        <v>37</v>
      </c>
      <c r="AC187" s="106">
        <v>37</v>
      </c>
      <c r="AD187" s="106">
        <v>37.000000000000007</v>
      </c>
      <c r="AE187" s="106">
        <v>38</v>
      </c>
      <c r="AF187" s="106">
        <v>38</v>
      </c>
      <c r="AG187" s="106">
        <v>440</v>
      </c>
      <c r="AH187" s="106">
        <v>36.666666666666664</v>
      </c>
      <c r="AI187" s="337"/>
      <c r="AJ187" s="106"/>
      <c r="AL187" s="106"/>
      <c r="AM187" s="106"/>
      <c r="BH187" s="239">
        <v>6</v>
      </c>
      <c r="BI187" s="239">
        <v>1</v>
      </c>
      <c r="BJ187" s="104">
        <v>36.666666666666664</v>
      </c>
      <c r="BK187" s="94"/>
      <c r="BL187" s="104"/>
      <c r="BN187" s="104">
        <v>17.100000000000001</v>
      </c>
      <c r="BO187" s="108">
        <v>4.7887259146669026</v>
      </c>
      <c r="BP187" s="108">
        <v>2107.0394024534371</v>
      </c>
      <c r="BQ187" s="108">
        <v>21.888725914666903</v>
      </c>
      <c r="BR187" s="95">
        <v>9657.5994024534375</v>
      </c>
    </row>
    <row r="188" spans="1:75" outlineLevel="1">
      <c r="C188" s="107"/>
      <c r="D188" s="248"/>
      <c r="E188" s="104"/>
      <c r="F188" s="104"/>
      <c r="G188" s="247"/>
      <c r="H188" s="247"/>
      <c r="I188" s="247"/>
      <c r="J188" s="247"/>
      <c r="K188" s="247"/>
      <c r="L188" s="247"/>
      <c r="M188" s="104"/>
      <c r="N188" s="105"/>
      <c r="O188" s="105"/>
      <c r="P188" s="105"/>
      <c r="Q188" s="105"/>
      <c r="R188" s="105"/>
      <c r="AB188" s="106"/>
      <c r="AC188" s="106"/>
      <c r="AD188" s="106"/>
      <c r="AE188" s="106"/>
      <c r="AF188" s="106"/>
      <c r="AG188" s="106"/>
      <c r="AH188" s="106"/>
      <c r="AI188" s="337"/>
      <c r="AJ188" s="106"/>
      <c r="AL188" s="106"/>
      <c r="AM188" s="106"/>
      <c r="BF188" s="239" t="s">
        <v>634</v>
      </c>
      <c r="BG188" s="239" t="s">
        <v>634</v>
      </c>
      <c r="BI188" s="239" t="s">
        <v>634</v>
      </c>
      <c r="BJ188" s="104">
        <v>0</v>
      </c>
      <c r="BK188" s="94"/>
      <c r="BL188" s="104"/>
      <c r="BO188" s="108">
        <v>0</v>
      </c>
      <c r="BP188" s="108">
        <v>0</v>
      </c>
      <c r="BQ188" s="108">
        <v>0</v>
      </c>
      <c r="BR188" s="262">
        <v>0</v>
      </c>
      <c r="BW188" s="244"/>
    </row>
    <row r="189" spans="1:75" outlineLevel="1">
      <c r="C189" s="107" t="s">
        <v>495</v>
      </c>
      <c r="D189" s="244"/>
      <c r="E189" s="104"/>
      <c r="F189" s="104"/>
      <c r="G189" s="109">
        <v>31623.325000000001</v>
      </c>
      <c r="H189" s="109">
        <v>32509.625</v>
      </c>
      <c r="I189" s="109">
        <v>32572.37</v>
      </c>
      <c r="J189" s="109">
        <v>32836.684999999998</v>
      </c>
      <c r="K189" s="109">
        <v>32919.224999999999</v>
      </c>
      <c r="L189" s="109">
        <v>33098.039999999994</v>
      </c>
      <c r="M189" s="109">
        <v>33838.100000000006</v>
      </c>
      <c r="N189" s="109">
        <v>33860.270000000004</v>
      </c>
      <c r="O189" s="109">
        <v>33839.935000000005</v>
      </c>
      <c r="P189" s="109">
        <v>33853.915000000008</v>
      </c>
      <c r="Q189" s="109">
        <v>34349.164999999994</v>
      </c>
      <c r="R189" s="109">
        <v>34038.369999999995</v>
      </c>
      <c r="S189" s="109">
        <v>399339.02499999997</v>
      </c>
      <c r="T189" s="109"/>
      <c r="U189" s="109">
        <v>1784.4909453146893</v>
      </c>
      <c r="V189" s="109">
        <v>1904.5857962631985</v>
      </c>
      <c r="W189" s="109">
        <v>1913.0878287835239</v>
      </c>
      <c r="X189" s="109">
        <v>1936.419339279847</v>
      </c>
      <c r="Y189" s="109">
        <v>1948.1656280787674</v>
      </c>
      <c r="Z189" s="109">
        <v>1982.0839924945953</v>
      </c>
      <c r="AA189" s="109">
        <v>2008.8623799203851</v>
      </c>
      <c r="AB189" s="109">
        <v>2084.1352308785863</v>
      </c>
      <c r="AC189" s="109">
        <v>2081.4665399204223</v>
      </c>
      <c r="AD189" s="109">
        <v>2083.4611418097606</v>
      </c>
      <c r="AE189" s="109">
        <v>2119.5607162337051</v>
      </c>
      <c r="AF189" s="109">
        <v>2078.2242713418955</v>
      </c>
      <c r="AG189" s="109">
        <v>23924.543810319377</v>
      </c>
      <c r="AH189" s="109">
        <v>1993.7119841932815</v>
      </c>
      <c r="AI189" s="338"/>
      <c r="AJ189" s="110"/>
      <c r="AL189" s="105"/>
      <c r="AM189" s="105"/>
      <c r="BF189" s="261">
        <v>0</v>
      </c>
      <c r="BG189" s="252">
        <v>0</v>
      </c>
      <c r="BH189" s="252">
        <v>69</v>
      </c>
      <c r="BI189" s="252"/>
      <c r="BJ189" s="260">
        <v>69</v>
      </c>
      <c r="BK189" s="251" t="s">
        <v>591</v>
      </c>
      <c r="BL189" s="250">
        <v>0</v>
      </c>
      <c r="BN189" s="259">
        <v>105.46000000000001</v>
      </c>
      <c r="BO189" s="259">
        <v>29.533276898290726</v>
      </c>
      <c r="BP189" s="259">
        <v>90115.358564132155</v>
      </c>
      <c r="BQ189" s="259">
        <v>134.99327689829073</v>
      </c>
      <c r="BR189" s="259">
        <v>489454.38356413209</v>
      </c>
      <c r="BW189" s="244"/>
    </row>
    <row r="190" spans="1:75" outlineLevel="1">
      <c r="C190" s="107"/>
      <c r="D190" s="248"/>
      <c r="E190" s="104"/>
      <c r="F190" s="104"/>
      <c r="G190" s="247"/>
      <c r="H190" s="247"/>
      <c r="I190" s="247"/>
      <c r="J190" s="247"/>
      <c r="K190" s="247"/>
      <c r="L190" s="247"/>
      <c r="M190" s="104"/>
      <c r="N190" s="105"/>
      <c r="O190" s="105"/>
      <c r="P190" s="105"/>
      <c r="Q190" s="105"/>
      <c r="R190" s="105"/>
      <c r="AB190" s="105"/>
      <c r="AC190" s="105"/>
      <c r="AD190" s="105"/>
      <c r="AE190" s="105"/>
      <c r="AF190" s="105"/>
      <c r="AG190" s="105"/>
      <c r="AH190" s="105"/>
      <c r="AI190" s="337"/>
      <c r="AJ190" s="105"/>
      <c r="AL190" s="106"/>
      <c r="AM190" s="106"/>
      <c r="BF190" s="239" t="s">
        <v>634</v>
      </c>
      <c r="BG190" s="239" t="s">
        <v>634</v>
      </c>
      <c r="BI190" s="239" t="s">
        <v>634</v>
      </c>
      <c r="BJ190" s="104">
        <v>0</v>
      </c>
      <c r="BO190" s="108"/>
      <c r="BP190" s="108"/>
      <c r="BQ190" s="108"/>
      <c r="BR190" s="108"/>
      <c r="BW190" s="244"/>
    </row>
    <row r="191" spans="1:75" outlineLevel="1">
      <c r="B191" s="94" t="s">
        <v>658</v>
      </c>
      <c r="E191" s="104"/>
      <c r="F191" s="104"/>
      <c r="G191" s="258">
        <v>808566.60499999975</v>
      </c>
      <c r="H191" s="258">
        <v>801849.02500000014</v>
      </c>
      <c r="I191" s="258">
        <v>809097.39000000013</v>
      </c>
      <c r="J191" s="258">
        <v>812722.52499999979</v>
      </c>
      <c r="K191" s="258">
        <v>811052.76500000001</v>
      </c>
      <c r="L191" s="258">
        <v>808786.13500000001</v>
      </c>
      <c r="M191" s="258">
        <v>800313.44500000018</v>
      </c>
      <c r="N191" s="258">
        <v>800931.60000000009</v>
      </c>
      <c r="O191" s="258">
        <v>808611.94500000007</v>
      </c>
      <c r="P191" s="258">
        <v>816605.03999999992</v>
      </c>
      <c r="Q191" s="258">
        <v>818425.58999999985</v>
      </c>
      <c r="R191" s="258">
        <v>824344.53999999969</v>
      </c>
      <c r="S191" s="258">
        <v>9721306.6050000004</v>
      </c>
      <c r="U191" s="258">
        <v>10496.833260798296</v>
      </c>
      <c r="V191" s="258">
        <v>10129.660634127735</v>
      </c>
      <c r="W191" s="258">
        <v>10684.427370573823</v>
      </c>
      <c r="X191" s="258">
        <v>10408.323546568103</v>
      </c>
      <c r="Y191" s="258">
        <v>10249.190890173182</v>
      </c>
      <c r="Z191" s="258">
        <v>11009.16313644561</v>
      </c>
      <c r="AA191" s="258">
        <v>9812.7822994927938</v>
      </c>
      <c r="AB191" s="258">
        <v>10054.830179623375</v>
      </c>
      <c r="AC191" s="258">
        <v>10099.187102601005</v>
      </c>
      <c r="AD191" s="258">
        <v>10675.798282647585</v>
      </c>
      <c r="AE191" s="258">
        <v>10233.796224603282</v>
      </c>
      <c r="AF191" s="258">
        <v>9979.4613001827147</v>
      </c>
      <c r="AG191" s="258">
        <v>123833.45422783752</v>
      </c>
      <c r="AH191" s="258">
        <v>10319.454518986458</v>
      </c>
      <c r="AI191" s="341"/>
      <c r="AJ191" s="105"/>
      <c r="AL191" s="106"/>
      <c r="AM191" s="106"/>
      <c r="BF191" s="239" t="s">
        <v>634</v>
      </c>
      <c r="BG191" s="239" t="s">
        <v>634</v>
      </c>
      <c r="BI191" s="239" t="s">
        <v>634</v>
      </c>
      <c r="BJ191" s="104">
        <v>0</v>
      </c>
      <c r="BO191" s="108"/>
      <c r="BP191" s="108"/>
      <c r="BQ191" s="108"/>
      <c r="BR191" s="108"/>
    </row>
    <row r="192" spans="1:75" s="94" customFormat="1" outlineLevel="1">
      <c r="D192" s="246"/>
      <c r="E192" s="104"/>
      <c r="F192" s="104"/>
      <c r="G192" s="247"/>
      <c r="H192" s="247"/>
      <c r="I192" s="247"/>
      <c r="J192" s="247"/>
      <c r="K192" s="247"/>
      <c r="L192" s="247"/>
      <c r="M192" s="104"/>
      <c r="N192" s="105"/>
      <c r="O192" s="105"/>
      <c r="P192" s="105"/>
      <c r="Q192" s="105"/>
      <c r="R192" s="105"/>
      <c r="S192" s="240"/>
      <c r="T192" s="240"/>
      <c r="U192" s="240"/>
      <c r="V192" s="240"/>
      <c r="W192" s="240"/>
      <c r="X192" s="240"/>
      <c r="Y192" s="240"/>
      <c r="Z192" s="240"/>
      <c r="AA192" s="240"/>
      <c r="AB192" s="113"/>
      <c r="AC192" s="113"/>
      <c r="AD192" s="113"/>
      <c r="AE192" s="113"/>
      <c r="AF192" s="113"/>
      <c r="AG192" s="113"/>
      <c r="AH192" s="113"/>
      <c r="AI192" s="339"/>
      <c r="AJ192" s="113"/>
      <c r="AL192" s="113"/>
      <c r="AM192" s="113"/>
      <c r="AO192" s="79"/>
      <c r="AP192" s="79"/>
      <c r="BF192" s="239" t="s">
        <v>634</v>
      </c>
      <c r="BG192" s="239" t="s">
        <v>634</v>
      </c>
      <c r="BH192" s="239"/>
      <c r="BI192" s="239" t="s">
        <v>634</v>
      </c>
      <c r="BJ192" s="104">
        <v>0</v>
      </c>
      <c r="BN192" s="243"/>
      <c r="BO192" s="108"/>
      <c r="BP192" s="108"/>
      <c r="BQ192" s="108"/>
      <c r="BR192" s="108"/>
      <c r="BW192" s="243"/>
    </row>
    <row r="193" spans="1:75" outlineLevel="1">
      <c r="E193" s="104"/>
      <c r="F193" s="104"/>
      <c r="G193" s="247"/>
      <c r="H193" s="247"/>
      <c r="I193" s="247"/>
      <c r="J193" s="247"/>
      <c r="K193" s="247"/>
      <c r="L193" s="247"/>
      <c r="M193" s="104"/>
      <c r="N193" s="105"/>
      <c r="O193" s="105"/>
      <c r="P193" s="105"/>
      <c r="Q193" s="105"/>
      <c r="R193" s="105"/>
      <c r="AB193" s="106"/>
      <c r="AC193" s="106"/>
      <c r="AD193" s="106"/>
      <c r="AE193" s="106"/>
      <c r="AF193" s="106"/>
      <c r="AG193" s="106"/>
      <c r="AH193" s="106"/>
      <c r="AI193" s="337"/>
      <c r="AJ193" s="106"/>
      <c r="AL193" s="106"/>
      <c r="AM193" s="106"/>
      <c r="BF193" s="239" t="s">
        <v>634</v>
      </c>
      <c r="BG193" s="239" t="s">
        <v>634</v>
      </c>
      <c r="BH193" s="239" t="s">
        <v>635</v>
      </c>
      <c r="BI193" s="239" t="s">
        <v>634</v>
      </c>
      <c r="BJ193" s="104">
        <v>0</v>
      </c>
      <c r="BO193" s="108"/>
      <c r="BP193" s="108"/>
      <c r="BQ193" s="108"/>
      <c r="BR193" s="108"/>
    </row>
    <row r="194" spans="1:75" outlineLevel="1">
      <c r="B194" s="100" t="s">
        <v>496</v>
      </c>
      <c r="C194" s="101"/>
      <c r="D194" s="257"/>
      <c r="E194" s="104"/>
      <c r="F194" s="104"/>
      <c r="G194" s="247"/>
      <c r="H194" s="247"/>
      <c r="I194" s="247"/>
      <c r="J194" s="247"/>
      <c r="K194" s="247"/>
      <c r="L194" s="247"/>
      <c r="M194" s="104"/>
      <c r="N194" s="105"/>
      <c r="O194" s="105"/>
      <c r="P194" s="105"/>
      <c r="Q194" s="105"/>
      <c r="R194" s="105"/>
      <c r="AB194" s="106"/>
      <c r="AC194" s="106"/>
      <c r="AD194" s="106"/>
      <c r="AE194" s="106"/>
      <c r="AF194" s="106"/>
      <c r="AG194" s="106"/>
      <c r="AH194" s="106"/>
      <c r="AI194" s="337"/>
      <c r="AJ194" s="106"/>
      <c r="AL194" s="106"/>
      <c r="AM194" s="106"/>
      <c r="BF194" s="239" t="s">
        <v>634</v>
      </c>
      <c r="BG194" s="239" t="s">
        <v>634</v>
      </c>
      <c r="BH194" s="239" t="s">
        <v>635</v>
      </c>
      <c r="BI194" s="239" t="s">
        <v>634</v>
      </c>
      <c r="BJ194" s="104">
        <v>0</v>
      </c>
      <c r="BO194" s="108"/>
      <c r="BP194" s="108"/>
      <c r="BQ194" s="108"/>
      <c r="BR194" s="108"/>
      <c r="BW194" s="256"/>
    </row>
    <row r="195" spans="1:75" outlineLevel="1">
      <c r="B195" s="101"/>
      <c r="C195" s="101"/>
      <c r="D195" s="257"/>
      <c r="E195" s="104"/>
      <c r="F195" s="104"/>
      <c r="G195" s="247"/>
      <c r="H195" s="247"/>
      <c r="I195" s="247"/>
      <c r="J195" s="247"/>
      <c r="K195" s="247"/>
      <c r="L195" s="247"/>
      <c r="M195" s="104"/>
      <c r="N195" s="105"/>
      <c r="O195" s="105"/>
      <c r="P195" s="105"/>
      <c r="Q195" s="105"/>
      <c r="R195" s="105"/>
      <c r="AB195" s="106"/>
      <c r="AC195" s="106"/>
      <c r="AD195" s="106"/>
      <c r="AE195" s="106"/>
      <c r="AF195" s="106"/>
      <c r="AG195" s="106"/>
      <c r="AH195" s="106"/>
      <c r="AI195" s="337"/>
      <c r="AJ195" s="106"/>
      <c r="AL195" s="106"/>
      <c r="AM195" s="106"/>
      <c r="BF195" s="239" t="s">
        <v>634</v>
      </c>
      <c r="BG195" s="239" t="s">
        <v>634</v>
      </c>
      <c r="BH195" s="239" t="s">
        <v>635</v>
      </c>
      <c r="BI195" s="239" t="s">
        <v>634</v>
      </c>
      <c r="BJ195" s="104">
        <v>0</v>
      </c>
      <c r="BO195" s="108"/>
      <c r="BP195" s="108"/>
      <c r="BQ195" s="108"/>
      <c r="BR195" s="108"/>
      <c r="BW195" s="256"/>
    </row>
    <row r="196" spans="1:75" outlineLevel="1">
      <c r="A196" s="79" t="s">
        <v>657</v>
      </c>
      <c r="B196" s="94" t="s">
        <v>497</v>
      </c>
      <c r="E196" s="104"/>
      <c r="F196" s="104"/>
      <c r="G196" s="247"/>
      <c r="H196" s="247"/>
      <c r="I196" s="247"/>
      <c r="J196" s="247"/>
      <c r="K196" s="247"/>
      <c r="L196" s="247"/>
      <c r="M196" s="104"/>
      <c r="N196" s="105"/>
      <c r="O196" s="105"/>
      <c r="P196" s="105"/>
      <c r="Q196" s="105"/>
      <c r="R196" s="105"/>
      <c r="AB196" s="106"/>
      <c r="AC196" s="106"/>
      <c r="AD196" s="106"/>
      <c r="AE196" s="106"/>
      <c r="AF196" s="106"/>
      <c r="AG196" s="106"/>
      <c r="AH196" s="106"/>
      <c r="AI196" s="337"/>
      <c r="AJ196" s="106"/>
      <c r="AL196" s="106"/>
      <c r="AM196" s="106"/>
      <c r="BF196" s="239" t="s">
        <v>634</v>
      </c>
      <c r="BG196" s="239" t="s">
        <v>634</v>
      </c>
      <c r="BH196" s="239" t="s">
        <v>635</v>
      </c>
      <c r="BI196" s="239" t="s">
        <v>634</v>
      </c>
      <c r="BJ196" s="104">
        <v>0</v>
      </c>
      <c r="BO196" s="108"/>
      <c r="BP196" s="108"/>
      <c r="BQ196" s="108"/>
      <c r="BR196" s="108"/>
    </row>
    <row r="197" spans="1:75" outlineLevel="1">
      <c r="A197" s="79" t="str">
        <f t="shared" ref="A197:A228" si="13">+$A$4&amp;$A$196&amp;B197</f>
        <v>MURREYSROLL OFFROHAUL20</v>
      </c>
      <c r="B197" s="79" t="s">
        <v>498</v>
      </c>
      <c r="C197" s="79" t="s">
        <v>499</v>
      </c>
      <c r="D197" s="242">
        <v>94.69</v>
      </c>
      <c r="E197" s="104">
        <v>95.13</v>
      </c>
      <c r="F197" s="104">
        <v>95.13</v>
      </c>
      <c r="G197" s="105">
        <v>15339.779999999999</v>
      </c>
      <c r="H197" s="105">
        <v>13635.36</v>
      </c>
      <c r="I197" s="105">
        <v>13256.6</v>
      </c>
      <c r="J197" s="105">
        <v>14451.84</v>
      </c>
      <c r="K197" s="105">
        <v>13698.720000000001</v>
      </c>
      <c r="L197" s="105">
        <v>13032.81</v>
      </c>
      <c r="M197" s="105">
        <v>15315.93</v>
      </c>
      <c r="N197" s="105">
        <v>17408.79</v>
      </c>
      <c r="O197" s="105">
        <v>16552.62</v>
      </c>
      <c r="P197" s="105">
        <v>17884.439999999999</v>
      </c>
      <c r="Q197" s="105">
        <v>16267.23</v>
      </c>
      <c r="R197" s="105">
        <v>16838.010000000002</v>
      </c>
      <c r="S197" s="249">
        <v>183682.13000000003</v>
      </c>
      <c r="T197" s="249"/>
      <c r="U197" s="106">
        <v>162</v>
      </c>
      <c r="V197" s="106">
        <v>144</v>
      </c>
      <c r="W197" s="106">
        <v>140</v>
      </c>
      <c r="X197" s="106">
        <v>151.91674550614948</v>
      </c>
      <c r="Y197" s="106">
        <v>144.00000000000003</v>
      </c>
      <c r="Z197" s="106">
        <v>137</v>
      </c>
      <c r="AA197" s="106">
        <v>161</v>
      </c>
      <c r="AB197" s="106">
        <v>183.00000000000003</v>
      </c>
      <c r="AC197" s="106">
        <v>174</v>
      </c>
      <c r="AD197" s="106">
        <v>188</v>
      </c>
      <c r="AE197" s="106">
        <v>171</v>
      </c>
      <c r="AF197" s="106">
        <v>177.00000000000003</v>
      </c>
      <c r="AG197" s="106">
        <v>1932.9167455061495</v>
      </c>
      <c r="AH197" s="106">
        <v>161.07639545884578</v>
      </c>
      <c r="AI197" s="337"/>
      <c r="AJ197" s="106"/>
      <c r="AL197" s="106"/>
      <c r="AM197" s="106"/>
      <c r="BJ197" s="104">
        <v>0</v>
      </c>
      <c r="BN197" s="104">
        <v>94.69</v>
      </c>
      <c r="BO197" s="108">
        <v>1.1557617965522682</v>
      </c>
      <c r="BP197" s="108">
        <v>2233.9913303721505</v>
      </c>
      <c r="BQ197" s="108">
        <v>95.845761796552267</v>
      </c>
      <c r="BR197" s="95">
        <v>185916.12133037217</v>
      </c>
    </row>
    <row r="198" spans="1:75" outlineLevel="1">
      <c r="A198" s="79" t="str">
        <f t="shared" si="13"/>
        <v>MURREYSROLL OFFROHAUL20CO</v>
      </c>
      <c r="B198" s="79" t="s">
        <v>500</v>
      </c>
      <c r="C198" s="79" t="s">
        <v>501</v>
      </c>
      <c r="D198" s="242">
        <v>94.69</v>
      </c>
      <c r="E198" s="104">
        <v>95.13</v>
      </c>
      <c r="F198" s="104">
        <v>95.13</v>
      </c>
      <c r="G198" s="105">
        <v>94.69</v>
      </c>
      <c r="H198" s="105">
        <v>0</v>
      </c>
      <c r="I198" s="105">
        <v>94.69</v>
      </c>
      <c r="J198" s="105">
        <v>95.13</v>
      </c>
      <c r="K198" s="105">
        <v>0</v>
      </c>
      <c r="L198" s="105">
        <v>95.13</v>
      </c>
      <c r="M198" s="105">
        <v>95.13</v>
      </c>
      <c r="N198" s="105">
        <v>95.13</v>
      </c>
      <c r="O198" s="105">
        <v>0</v>
      </c>
      <c r="P198" s="105">
        <v>0</v>
      </c>
      <c r="Q198" s="105">
        <v>95.13</v>
      </c>
      <c r="R198" s="105">
        <v>95.13</v>
      </c>
      <c r="S198" s="249">
        <v>760.16</v>
      </c>
      <c r="T198" s="249"/>
      <c r="U198" s="106">
        <v>1</v>
      </c>
      <c r="V198" s="106">
        <v>0</v>
      </c>
      <c r="W198" s="106">
        <v>1</v>
      </c>
      <c r="X198" s="106">
        <v>1</v>
      </c>
      <c r="Y198" s="106">
        <v>0</v>
      </c>
      <c r="Z198" s="106">
        <v>1</v>
      </c>
      <c r="AA198" s="106">
        <v>1</v>
      </c>
      <c r="AB198" s="106">
        <v>1</v>
      </c>
      <c r="AC198" s="106">
        <v>0</v>
      </c>
      <c r="AD198" s="106">
        <v>0</v>
      </c>
      <c r="AE198" s="106">
        <v>1</v>
      </c>
      <c r="AF198" s="106">
        <v>1</v>
      </c>
      <c r="AG198" s="106">
        <v>8</v>
      </c>
      <c r="AH198" s="106">
        <v>0.66666666666666663</v>
      </c>
      <c r="AI198" s="337"/>
      <c r="AJ198" s="106"/>
      <c r="AL198" s="106"/>
      <c r="AM198" s="106"/>
      <c r="BJ198" s="104">
        <v>0</v>
      </c>
      <c r="BN198" s="104">
        <v>94.69</v>
      </c>
      <c r="BO198" s="108">
        <v>1.1557617965522682</v>
      </c>
      <c r="BP198" s="108">
        <v>9.2460943724181455</v>
      </c>
      <c r="BQ198" s="108">
        <v>95.845761796552267</v>
      </c>
      <c r="BR198" s="95">
        <v>769.40609437241812</v>
      </c>
    </row>
    <row r="199" spans="1:75" outlineLevel="1">
      <c r="A199" s="79" t="str">
        <f t="shared" si="13"/>
        <v>MURREYSROLL OFFROHAUL20T</v>
      </c>
      <c r="B199" s="79" t="s">
        <v>502</v>
      </c>
      <c r="C199" s="79" t="s">
        <v>503</v>
      </c>
      <c r="D199" s="242">
        <v>113</v>
      </c>
      <c r="E199" s="104">
        <v>113.53</v>
      </c>
      <c r="F199" s="104">
        <v>113.53</v>
      </c>
      <c r="G199" s="105">
        <v>5989</v>
      </c>
      <c r="H199" s="105">
        <v>3390</v>
      </c>
      <c r="I199" s="105">
        <v>3955</v>
      </c>
      <c r="J199" s="105">
        <v>4659.2299999999996</v>
      </c>
      <c r="K199" s="105">
        <v>4541.2</v>
      </c>
      <c r="L199" s="105">
        <v>3973.55</v>
      </c>
      <c r="M199" s="105">
        <v>5676.5</v>
      </c>
      <c r="N199" s="105">
        <v>5676.5</v>
      </c>
      <c r="O199" s="105">
        <v>2157.0700000000002</v>
      </c>
      <c r="P199" s="105">
        <v>4200.6099999999997</v>
      </c>
      <c r="Q199" s="105">
        <v>4541.2</v>
      </c>
      <c r="R199" s="105">
        <v>3746.49</v>
      </c>
      <c r="S199" s="249">
        <v>52506.349999999991</v>
      </c>
      <c r="T199" s="249"/>
      <c r="U199" s="106">
        <v>53</v>
      </c>
      <c r="V199" s="106">
        <v>30</v>
      </c>
      <c r="W199" s="106">
        <v>35</v>
      </c>
      <c r="X199" s="106">
        <v>41.039637100325898</v>
      </c>
      <c r="Y199" s="106">
        <v>40</v>
      </c>
      <c r="Z199" s="106">
        <v>35</v>
      </c>
      <c r="AA199" s="106">
        <v>50</v>
      </c>
      <c r="AB199" s="106">
        <v>50</v>
      </c>
      <c r="AC199" s="106">
        <v>19</v>
      </c>
      <c r="AD199" s="106">
        <v>37</v>
      </c>
      <c r="AE199" s="106">
        <v>40</v>
      </c>
      <c r="AF199" s="106">
        <v>33</v>
      </c>
      <c r="AG199" s="106">
        <v>463.03963710032588</v>
      </c>
      <c r="AH199" s="106">
        <v>38.586636425027159</v>
      </c>
      <c r="AI199" s="337"/>
      <c r="AJ199" s="106"/>
      <c r="AL199" s="106"/>
      <c r="AM199" s="106"/>
      <c r="BJ199" s="104">
        <v>0</v>
      </c>
      <c r="BN199" s="104">
        <v>113</v>
      </c>
      <c r="BO199" s="108">
        <v>1.3792489493125599</v>
      </c>
      <c r="BP199" s="108">
        <v>638.64693296069345</v>
      </c>
      <c r="BQ199" s="108">
        <v>114.37924894931255</v>
      </c>
      <c r="BR199" s="95">
        <v>53144.996932960683</v>
      </c>
    </row>
    <row r="200" spans="1:75" outlineLevel="1">
      <c r="A200" s="79" t="str">
        <f t="shared" si="13"/>
        <v>MURREYSROLL OFFROHAUL25</v>
      </c>
      <c r="B200" s="79" t="s">
        <v>504</v>
      </c>
      <c r="C200" s="79" t="s">
        <v>505</v>
      </c>
      <c r="D200" s="242">
        <v>103.8</v>
      </c>
      <c r="E200" s="104">
        <v>104.29</v>
      </c>
      <c r="F200" s="104">
        <v>104.29</v>
      </c>
      <c r="G200" s="105">
        <v>10795.2</v>
      </c>
      <c r="H200" s="105">
        <v>10483.800000000001</v>
      </c>
      <c r="I200" s="105">
        <v>8719.2000000000007</v>
      </c>
      <c r="J200" s="105">
        <v>9174.09</v>
      </c>
      <c r="K200" s="105">
        <v>8760.36</v>
      </c>
      <c r="L200" s="105">
        <v>10324.709999999999</v>
      </c>
      <c r="M200" s="105">
        <v>11784.77</v>
      </c>
      <c r="N200" s="105">
        <v>12097.64</v>
      </c>
      <c r="O200" s="105">
        <v>11990.640000000001</v>
      </c>
      <c r="P200" s="105">
        <v>13244.829999999998</v>
      </c>
      <c r="Q200" s="105">
        <v>11263.32</v>
      </c>
      <c r="R200" s="105">
        <v>11576.189999999999</v>
      </c>
      <c r="S200" s="249">
        <v>130214.75</v>
      </c>
      <c r="T200" s="249"/>
      <c r="U200" s="106">
        <v>104.00000000000001</v>
      </c>
      <c r="V200" s="106">
        <v>101.00000000000001</v>
      </c>
      <c r="W200" s="106">
        <v>84.000000000000014</v>
      </c>
      <c r="X200" s="106">
        <v>87.967110940646265</v>
      </c>
      <c r="Y200" s="106">
        <v>84</v>
      </c>
      <c r="Z200" s="106">
        <v>98.999999999999986</v>
      </c>
      <c r="AA200" s="106">
        <v>113</v>
      </c>
      <c r="AB200" s="106">
        <v>115.99999999999999</v>
      </c>
      <c r="AC200" s="106">
        <v>114.97401476651645</v>
      </c>
      <c r="AD200" s="106">
        <v>126.99999999999997</v>
      </c>
      <c r="AE200" s="106">
        <v>107.99999999999999</v>
      </c>
      <c r="AF200" s="106">
        <v>110.99999999999999</v>
      </c>
      <c r="AG200" s="106">
        <v>1249.9411257071627</v>
      </c>
      <c r="AH200" s="106">
        <v>104.16176047559689</v>
      </c>
      <c r="AI200" s="337"/>
      <c r="AJ200" s="106"/>
      <c r="AL200" s="106"/>
      <c r="AM200" s="106"/>
      <c r="BJ200" s="104">
        <v>0</v>
      </c>
      <c r="BN200" s="104">
        <v>103.8</v>
      </c>
      <c r="BO200" s="108">
        <v>1.266956114501272</v>
      </c>
      <c r="BP200" s="108">
        <v>1583.6205519812929</v>
      </c>
      <c r="BQ200" s="108">
        <v>105.06695611450127</v>
      </c>
      <c r="BR200" s="95">
        <v>131798.37055198129</v>
      </c>
    </row>
    <row r="201" spans="1:75" outlineLevel="1">
      <c r="A201" s="79" t="str">
        <f t="shared" si="13"/>
        <v>MURREYSROLL OFFROHAUL25T</v>
      </c>
      <c r="B201" s="79" t="s">
        <v>506</v>
      </c>
      <c r="C201" s="79" t="s">
        <v>507</v>
      </c>
      <c r="D201" s="242">
        <v>120.65</v>
      </c>
      <c r="E201" s="104">
        <v>121.21</v>
      </c>
      <c r="F201" s="104">
        <v>121.21</v>
      </c>
      <c r="G201" s="105">
        <v>2774.95</v>
      </c>
      <c r="H201" s="105">
        <v>2292.35</v>
      </c>
      <c r="I201" s="105">
        <v>2413</v>
      </c>
      <c r="J201" s="105">
        <v>969.12</v>
      </c>
      <c r="K201" s="105">
        <v>2423.64</v>
      </c>
      <c r="L201" s="105">
        <v>1818.1499999999999</v>
      </c>
      <c r="M201" s="105">
        <v>242.42</v>
      </c>
      <c r="N201" s="105">
        <v>1090.8900000000001</v>
      </c>
      <c r="O201" s="105">
        <v>1090.8899999999999</v>
      </c>
      <c r="P201" s="105">
        <v>2060.5699999999997</v>
      </c>
      <c r="Q201" s="105">
        <v>848.47</v>
      </c>
      <c r="R201" s="105">
        <v>2302.9900000000002</v>
      </c>
      <c r="S201" s="249">
        <v>20327.439999999999</v>
      </c>
      <c r="T201" s="249"/>
      <c r="U201" s="106">
        <v>22.999999999999996</v>
      </c>
      <c r="V201" s="106">
        <v>19</v>
      </c>
      <c r="W201" s="106">
        <v>20</v>
      </c>
      <c r="X201" s="106">
        <v>7.9953799191485855</v>
      </c>
      <c r="Y201" s="106">
        <v>19.995379919148586</v>
      </c>
      <c r="Z201" s="106">
        <v>15</v>
      </c>
      <c r="AA201" s="106">
        <v>2</v>
      </c>
      <c r="AB201" s="106">
        <v>9.0000000000000018</v>
      </c>
      <c r="AC201" s="106">
        <v>9</v>
      </c>
      <c r="AD201" s="106">
        <v>17</v>
      </c>
      <c r="AE201" s="106">
        <v>7.0000000000000009</v>
      </c>
      <c r="AF201" s="106">
        <v>19.000000000000004</v>
      </c>
      <c r="AG201" s="106">
        <v>167.99075983829718</v>
      </c>
      <c r="AH201" s="106">
        <v>13.999229986524766</v>
      </c>
      <c r="AI201" s="337"/>
      <c r="AJ201" s="106"/>
      <c r="AL201" s="106"/>
      <c r="AM201" s="106"/>
      <c r="BJ201" s="104">
        <v>0</v>
      </c>
      <c r="BN201" s="104">
        <v>120.65</v>
      </c>
      <c r="BO201" s="108">
        <v>1.4726228826067289</v>
      </c>
      <c r="BP201" s="108">
        <v>247.38703700436793</v>
      </c>
      <c r="BQ201" s="108">
        <v>122.12262288260673</v>
      </c>
      <c r="BR201" s="95">
        <v>20574.827037004368</v>
      </c>
    </row>
    <row r="202" spans="1:75" outlineLevel="1">
      <c r="A202" s="79" t="str">
        <f t="shared" si="13"/>
        <v>MURREYSROLL OFFROHAUL30</v>
      </c>
      <c r="B202" s="79" t="s">
        <v>508</v>
      </c>
      <c r="C202" s="79" t="s">
        <v>509</v>
      </c>
      <c r="D202" s="242">
        <v>111.59</v>
      </c>
      <c r="E202" s="104">
        <v>112.11</v>
      </c>
      <c r="F202" s="104">
        <v>112.11</v>
      </c>
      <c r="G202" s="105">
        <v>39279.68</v>
      </c>
      <c r="H202" s="105">
        <v>40395.58</v>
      </c>
      <c r="I202" s="105">
        <v>43296.92</v>
      </c>
      <c r="J202" s="105">
        <v>44603.14</v>
      </c>
      <c r="K202" s="105">
        <v>49103.66</v>
      </c>
      <c r="L202" s="105">
        <v>41073.81</v>
      </c>
      <c r="M202" s="105">
        <v>40920.149999999994</v>
      </c>
      <c r="N202" s="105">
        <v>45180.33</v>
      </c>
      <c r="O202" s="105">
        <v>39238.5</v>
      </c>
      <c r="P202" s="105">
        <v>48655.74</v>
      </c>
      <c r="Q202" s="105">
        <v>45516.659999999996</v>
      </c>
      <c r="R202" s="105">
        <v>48992.07</v>
      </c>
      <c r="S202" s="249">
        <v>526256.24</v>
      </c>
      <c r="T202" s="249"/>
      <c r="U202" s="106">
        <v>352</v>
      </c>
      <c r="V202" s="106">
        <v>362</v>
      </c>
      <c r="W202" s="106">
        <v>388</v>
      </c>
      <c r="X202" s="106">
        <v>397.85157434662386</v>
      </c>
      <c r="Y202" s="106">
        <v>437.99536169833203</v>
      </c>
      <c r="Z202" s="106">
        <v>366.37061814289535</v>
      </c>
      <c r="AA202" s="106">
        <v>364.99999999999994</v>
      </c>
      <c r="AB202" s="106">
        <v>403</v>
      </c>
      <c r="AC202" s="106">
        <v>350</v>
      </c>
      <c r="AD202" s="106">
        <v>434</v>
      </c>
      <c r="AE202" s="106">
        <v>405.99999999999994</v>
      </c>
      <c r="AF202" s="106">
        <v>437</v>
      </c>
      <c r="AG202" s="106">
        <v>4699.2175541878514</v>
      </c>
      <c r="AH202" s="106">
        <v>391.60146284898764</v>
      </c>
      <c r="AI202" s="337"/>
      <c r="AJ202" s="106"/>
      <c r="AL202" s="106"/>
      <c r="AM202" s="106"/>
      <c r="BJ202" s="104">
        <v>0</v>
      </c>
      <c r="BN202" s="104">
        <v>111.59</v>
      </c>
      <c r="BO202" s="108">
        <v>1.3620388518034388</v>
      </c>
      <c r="BP202" s="108">
        <v>6400.5168818805851</v>
      </c>
      <c r="BQ202" s="108">
        <v>112.95203885180344</v>
      </c>
      <c r="BR202" s="95">
        <v>532656.75688188057</v>
      </c>
    </row>
    <row r="203" spans="1:75" outlineLevel="1">
      <c r="A203" s="79" t="str">
        <f t="shared" si="13"/>
        <v>MURREYSROLL OFFROHAUL30T</v>
      </c>
      <c r="B203" s="79" t="s">
        <v>510</v>
      </c>
      <c r="C203" s="79" t="s">
        <v>511</v>
      </c>
      <c r="D203" s="242">
        <v>127.13</v>
      </c>
      <c r="E203" s="104">
        <v>127.72</v>
      </c>
      <c r="F203" s="104">
        <v>127.72</v>
      </c>
      <c r="G203" s="105">
        <v>7627.8</v>
      </c>
      <c r="H203" s="105">
        <v>7119.2800000000007</v>
      </c>
      <c r="I203" s="105">
        <v>9534.75</v>
      </c>
      <c r="J203" s="105">
        <v>7532.53</v>
      </c>
      <c r="K203" s="105">
        <v>8428.58</v>
      </c>
      <c r="L203" s="105">
        <v>6513.72</v>
      </c>
      <c r="M203" s="105">
        <v>6386</v>
      </c>
      <c r="N203" s="105">
        <v>9962.16</v>
      </c>
      <c r="O203" s="105">
        <v>5236.5200000000004</v>
      </c>
      <c r="P203" s="105">
        <v>5364.24</v>
      </c>
      <c r="Q203" s="105">
        <v>7152.3200000000006</v>
      </c>
      <c r="R203" s="105">
        <v>10345.32</v>
      </c>
      <c r="S203" s="249">
        <v>91203.22000000003</v>
      </c>
      <c r="T203" s="249"/>
      <c r="U203" s="106">
        <v>60.000000000000007</v>
      </c>
      <c r="V203" s="106">
        <v>56.000000000000007</v>
      </c>
      <c r="W203" s="106">
        <v>75</v>
      </c>
      <c r="X203" s="106">
        <v>58.976902599436265</v>
      </c>
      <c r="Y203" s="106">
        <v>65.992640150328839</v>
      </c>
      <c r="Z203" s="106">
        <v>51</v>
      </c>
      <c r="AA203" s="106">
        <v>50</v>
      </c>
      <c r="AB203" s="106">
        <v>78</v>
      </c>
      <c r="AC203" s="106">
        <v>41.000000000000007</v>
      </c>
      <c r="AD203" s="106">
        <v>42</v>
      </c>
      <c r="AE203" s="106">
        <v>56.000000000000007</v>
      </c>
      <c r="AF203" s="106">
        <v>81</v>
      </c>
      <c r="AG203" s="106">
        <v>714.96954274976508</v>
      </c>
      <c r="AH203" s="106">
        <v>59.580795229147093</v>
      </c>
      <c r="AI203" s="337"/>
      <c r="AJ203" s="106"/>
      <c r="AL203" s="106"/>
      <c r="AM203" s="106"/>
      <c r="BJ203" s="104">
        <v>0</v>
      </c>
      <c r="BN203" s="104">
        <v>127.13</v>
      </c>
      <c r="BO203" s="108">
        <v>1.5517160966912014</v>
      </c>
      <c r="BP203" s="108">
        <v>1109.4297481287585</v>
      </c>
      <c r="BQ203" s="108">
        <v>128.68171609669119</v>
      </c>
      <c r="BR203" s="95">
        <v>92312.649748128795</v>
      </c>
    </row>
    <row r="204" spans="1:75" outlineLevel="1">
      <c r="A204" s="79" t="str">
        <f t="shared" si="13"/>
        <v>MURREYSROLL OFFROHAUL40</v>
      </c>
      <c r="B204" s="79" t="s">
        <v>512</v>
      </c>
      <c r="C204" s="79" t="s">
        <v>513</v>
      </c>
      <c r="D204" s="242">
        <v>134.91</v>
      </c>
      <c r="E204" s="104">
        <v>135.54</v>
      </c>
      <c r="F204" s="104">
        <v>135.54</v>
      </c>
      <c r="G204" s="105">
        <v>4452.03</v>
      </c>
      <c r="H204" s="105">
        <v>4452.0300000000007</v>
      </c>
      <c r="I204" s="105">
        <v>4317.12</v>
      </c>
      <c r="J204" s="105">
        <v>4066.2</v>
      </c>
      <c r="K204" s="105">
        <v>4743.8999999999996</v>
      </c>
      <c r="L204" s="105">
        <v>5150.5200000000004</v>
      </c>
      <c r="M204" s="105">
        <v>5557.1399999999994</v>
      </c>
      <c r="N204" s="105">
        <v>6505.92</v>
      </c>
      <c r="O204" s="105">
        <v>5557.1399999999994</v>
      </c>
      <c r="P204" s="105">
        <v>6505.92</v>
      </c>
      <c r="Q204" s="105">
        <v>6370.38</v>
      </c>
      <c r="R204" s="105">
        <v>5421.6</v>
      </c>
      <c r="S204" s="249">
        <v>63099.899999999994</v>
      </c>
      <c r="T204" s="249"/>
      <c r="U204" s="106">
        <v>33</v>
      </c>
      <c r="V204" s="106">
        <v>33.000000000000007</v>
      </c>
      <c r="W204" s="106">
        <v>32</v>
      </c>
      <c r="X204" s="106">
        <v>30</v>
      </c>
      <c r="Y204" s="106">
        <v>35</v>
      </c>
      <c r="Z204" s="106">
        <v>38.000000000000007</v>
      </c>
      <c r="AA204" s="106">
        <v>41</v>
      </c>
      <c r="AB204" s="106">
        <v>48</v>
      </c>
      <c r="AC204" s="106">
        <v>41</v>
      </c>
      <c r="AD204" s="106">
        <v>48</v>
      </c>
      <c r="AE204" s="106">
        <v>47.000000000000007</v>
      </c>
      <c r="AF204" s="106">
        <v>40.000000000000007</v>
      </c>
      <c r="AG204" s="106">
        <v>466</v>
      </c>
      <c r="AH204" s="106">
        <v>38.833333333333336</v>
      </c>
      <c r="AI204" s="337"/>
      <c r="AJ204" s="106"/>
      <c r="AL204" s="106"/>
      <c r="AM204" s="106"/>
      <c r="BJ204" s="104">
        <v>0</v>
      </c>
      <c r="BN204" s="104">
        <v>134.91</v>
      </c>
      <c r="BO204" s="108">
        <v>1.6466767765642254</v>
      </c>
      <c r="BP204" s="108">
        <v>767.35137787892904</v>
      </c>
      <c r="BQ204" s="108">
        <v>136.55667677656422</v>
      </c>
      <c r="BR204" s="95">
        <v>63867.251377878922</v>
      </c>
    </row>
    <row r="205" spans="1:75" outlineLevel="1">
      <c r="A205" s="79" t="str">
        <f t="shared" si="13"/>
        <v>MURREYSROLL OFFROHAUL40T</v>
      </c>
      <c r="B205" s="79" t="s">
        <v>514</v>
      </c>
      <c r="C205" s="79" t="s">
        <v>515</v>
      </c>
      <c r="D205" s="242">
        <v>146.59</v>
      </c>
      <c r="E205" s="104">
        <v>147.28</v>
      </c>
      <c r="F205" s="104">
        <v>147.28</v>
      </c>
      <c r="G205" s="105">
        <v>0</v>
      </c>
      <c r="H205" s="105">
        <v>0</v>
      </c>
      <c r="I205" s="105">
        <v>0</v>
      </c>
      <c r="J205" s="105">
        <v>0</v>
      </c>
      <c r="K205" s="105">
        <v>0</v>
      </c>
      <c r="L205" s="105">
        <v>0</v>
      </c>
      <c r="M205" s="105">
        <v>0</v>
      </c>
      <c r="N205" s="105">
        <v>0</v>
      </c>
      <c r="O205" s="105">
        <v>0</v>
      </c>
      <c r="P205" s="105">
        <v>0</v>
      </c>
      <c r="Q205" s="105">
        <v>0</v>
      </c>
      <c r="R205" s="105">
        <v>736.4</v>
      </c>
      <c r="S205" s="249">
        <v>736.4</v>
      </c>
      <c r="T205" s="249"/>
      <c r="U205" s="106">
        <v>0</v>
      </c>
      <c r="V205" s="106">
        <v>0</v>
      </c>
      <c r="W205" s="106">
        <v>0</v>
      </c>
      <c r="X205" s="106">
        <v>0</v>
      </c>
      <c r="Y205" s="106">
        <v>0</v>
      </c>
      <c r="Z205" s="106">
        <v>0</v>
      </c>
      <c r="AA205" s="106">
        <v>0</v>
      </c>
      <c r="AB205" s="106">
        <v>0</v>
      </c>
      <c r="AC205" s="106">
        <v>0</v>
      </c>
      <c r="AD205" s="106">
        <v>0</v>
      </c>
      <c r="AE205" s="106">
        <v>0</v>
      </c>
      <c r="AF205" s="106">
        <v>5</v>
      </c>
      <c r="AG205" s="106">
        <v>5</v>
      </c>
      <c r="AH205" s="106">
        <v>0.41666666666666669</v>
      </c>
      <c r="AI205" s="337"/>
      <c r="AJ205" s="106"/>
      <c r="AL205" s="106"/>
      <c r="AM205" s="106"/>
      <c r="BJ205" s="104">
        <v>0</v>
      </c>
      <c r="BN205" s="104">
        <v>146.59</v>
      </c>
      <c r="BO205" s="108">
        <v>1.7892398538029042</v>
      </c>
      <c r="BP205" s="108">
        <v>8.9461992690145209</v>
      </c>
      <c r="BQ205" s="108">
        <v>148.37923985380291</v>
      </c>
      <c r="BR205" s="95">
        <v>745.34619926901451</v>
      </c>
    </row>
    <row r="206" spans="1:75" outlineLevel="1">
      <c r="A206" s="79" t="str">
        <f t="shared" si="13"/>
        <v>MURREYSROLL OFFCPHAUL10</v>
      </c>
      <c r="B206" s="79" t="s">
        <v>516</v>
      </c>
      <c r="C206" s="79" t="s">
        <v>517</v>
      </c>
      <c r="D206" s="242">
        <v>136.22999999999999</v>
      </c>
      <c r="E206" s="104">
        <v>136.87</v>
      </c>
      <c r="F206" s="104">
        <v>136.87</v>
      </c>
      <c r="G206" s="105">
        <v>544.91999999999996</v>
      </c>
      <c r="H206" s="105">
        <v>408.69</v>
      </c>
      <c r="I206" s="105">
        <v>544.91999999999996</v>
      </c>
      <c r="J206" s="105">
        <v>410.61</v>
      </c>
      <c r="K206" s="105">
        <v>410.61</v>
      </c>
      <c r="L206" s="105">
        <v>273.74</v>
      </c>
      <c r="M206" s="105">
        <v>958.09</v>
      </c>
      <c r="N206" s="105">
        <v>1231.83</v>
      </c>
      <c r="O206" s="105">
        <v>821.22</v>
      </c>
      <c r="P206" s="105">
        <v>821.22</v>
      </c>
      <c r="Q206" s="105">
        <v>684.35</v>
      </c>
      <c r="R206" s="105">
        <v>821.22</v>
      </c>
      <c r="S206" s="249">
        <v>7931.420000000001</v>
      </c>
      <c r="T206" s="249"/>
      <c r="U206" s="106">
        <v>4</v>
      </c>
      <c r="V206" s="106">
        <v>3</v>
      </c>
      <c r="W206" s="106">
        <v>4</v>
      </c>
      <c r="X206" s="106">
        <v>3</v>
      </c>
      <c r="Y206" s="106">
        <v>3</v>
      </c>
      <c r="Z206" s="106">
        <v>2</v>
      </c>
      <c r="AA206" s="106">
        <v>7</v>
      </c>
      <c r="AB206" s="106">
        <v>9</v>
      </c>
      <c r="AC206" s="106">
        <v>6</v>
      </c>
      <c r="AD206" s="106">
        <v>6</v>
      </c>
      <c r="AE206" s="106">
        <v>5</v>
      </c>
      <c r="AF206" s="106">
        <v>6</v>
      </c>
      <c r="AG206" s="106">
        <v>58</v>
      </c>
      <c r="AH206" s="106">
        <v>4.833333333333333</v>
      </c>
      <c r="AI206" s="337"/>
      <c r="AJ206" s="106"/>
      <c r="AL206" s="106"/>
      <c r="AM206" s="106"/>
      <c r="BJ206" s="104">
        <v>0</v>
      </c>
      <c r="BN206" s="104">
        <v>136.22999999999999</v>
      </c>
      <c r="BO206" s="108">
        <v>1.6627883572110622</v>
      </c>
      <c r="BP206" s="108">
        <v>96.441724718241602</v>
      </c>
      <c r="BQ206" s="108">
        <v>137.89278835721106</v>
      </c>
      <c r="BR206" s="95">
        <v>8027.8617247182428</v>
      </c>
    </row>
    <row r="207" spans="1:75" outlineLevel="1">
      <c r="A207" s="79" t="str">
        <f t="shared" si="13"/>
        <v>MURREYSROLL OFFCPHAUL15</v>
      </c>
      <c r="B207" s="79" t="s">
        <v>518</v>
      </c>
      <c r="C207" s="79" t="s">
        <v>519</v>
      </c>
      <c r="D207" s="242">
        <v>140.76</v>
      </c>
      <c r="E207" s="104">
        <v>141.41999999999999</v>
      </c>
      <c r="F207" s="104">
        <v>141.41999999999999</v>
      </c>
      <c r="G207" s="105">
        <v>281.52</v>
      </c>
      <c r="H207" s="105">
        <v>140.76</v>
      </c>
      <c r="I207" s="105">
        <v>140.76</v>
      </c>
      <c r="J207" s="105">
        <v>141.41999999999999</v>
      </c>
      <c r="K207" s="105">
        <v>282.83999999999997</v>
      </c>
      <c r="L207" s="105">
        <v>282.83999999999997</v>
      </c>
      <c r="M207" s="105">
        <v>141.41999999999999</v>
      </c>
      <c r="N207" s="105">
        <v>282.83999999999997</v>
      </c>
      <c r="O207" s="105">
        <v>0</v>
      </c>
      <c r="P207" s="105">
        <v>282.83999999999997</v>
      </c>
      <c r="Q207" s="105">
        <v>282.83999999999997</v>
      </c>
      <c r="R207" s="105">
        <v>141.41999999999999</v>
      </c>
      <c r="S207" s="249">
        <v>2401.5</v>
      </c>
      <c r="T207" s="249"/>
      <c r="U207" s="106">
        <v>2</v>
      </c>
      <c r="V207" s="106">
        <v>1</v>
      </c>
      <c r="W207" s="106">
        <v>1</v>
      </c>
      <c r="X207" s="106">
        <v>1</v>
      </c>
      <c r="Y207" s="106">
        <v>2</v>
      </c>
      <c r="Z207" s="106">
        <v>2</v>
      </c>
      <c r="AA207" s="106">
        <v>1</v>
      </c>
      <c r="AB207" s="106">
        <v>2</v>
      </c>
      <c r="AC207" s="106">
        <v>0</v>
      </c>
      <c r="AD207" s="106">
        <v>2</v>
      </c>
      <c r="AE207" s="106">
        <v>2</v>
      </c>
      <c r="AF207" s="106">
        <v>1</v>
      </c>
      <c r="AG207" s="106">
        <v>17</v>
      </c>
      <c r="AH207" s="106">
        <v>1.4166666666666667</v>
      </c>
      <c r="AI207" s="337"/>
      <c r="AJ207" s="106"/>
      <c r="AL207" s="106"/>
      <c r="AM207" s="106"/>
      <c r="BJ207" s="104">
        <v>0</v>
      </c>
      <c r="BN207" s="104">
        <v>140.76</v>
      </c>
      <c r="BO207" s="108">
        <v>1.7180803726127074</v>
      </c>
      <c r="BP207" s="108">
        <v>29.207366334416029</v>
      </c>
      <c r="BQ207" s="108">
        <v>142.47808037261271</v>
      </c>
      <c r="BR207" s="95">
        <v>2430.7073663344158</v>
      </c>
    </row>
    <row r="208" spans="1:75" outlineLevel="1">
      <c r="A208" s="79" t="str">
        <f t="shared" si="13"/>
        <v>MURREYSROLL OFFCPHAUL20</v>
      </c>
      <c r="B208" s="79" t="s">
        <v>520</v>
      </c>
      <c r="C208" s="79" t="s">
        <v>521</v>
      </c>
      <c r="D208" s="242">
        <v>140.76</v>
      </c>
      <c r="E208" s="104">
        <v>141.41999999999999</v>
      </c>
      <c r="F208" s="104">
        <v>141.41999999999999</v>
      </c>
      <c r="G208" s="105">
        <v>5771.16</v>
      </c>
      <c r="H208" s="105">
        <v>4504.32</v>
      </c>
      <c r="I208" s="105">
        <v>5489.6399999999994</v>
      </c>
      <c r="J208" s="105">
        <v>6219.18</v>
      </c>
      <c r="K208" s="105">
        <v>5515.38</v>
      </c>
      <c r="L208" s="105">
        <v>6081.0599999999995</v>
      </c>
      <c r="M208" s="105">
        <v>4949.7</v>
      </c>
      <c r="N208" s="105">
        <v>5373.96</v>
      </c>
      <c r="O208" s="105">
        <v>5091.12</v>
      </c>
      <c r="P208" s="105">
        <v>5939.64</v>
      </c>
      <c r="Q208" s="105">
        <v>4949.7</v>
      </c>
      <c r="R208" s="105">
        <v>6363.9000000000005</v>
      </c>
      <c r="S208" s="249">
        <v>66248.759999999995</v>
      </c>
      <c r="T208" s="249"/>
      <c r="U208" s="106">
        <v>41</v>
      </c>
      <c r="V208" s="106">
        <v>32</v>
      </c>
      <c r="W208" s="106">
        <v>39</v>
      </c>
      <c r="X208" s="106">
        <v>43.976665252439545</v>
      </c>
      <c r="Y208" s="106">
        <v>39.000000000000007</v>
      </c>
      <c r="Z208" s="106">
        <v>43</v>
      </c>
      <c r="AA208" s="106">
        <v>35</v>
      </c>
      <c r="AB208" s="106">
        <v>38.000000000000007</v>
      </c>
      <c r="AC208" s="106">
        <v>36</v>
      </c>
      <c r="AD208" s="106">
        <v>42.000000000000007</v>
      </c>
      <c r="AE208" s="106">
        <v>35</v>
      </c>
      <c r="AF208" s="106">
        <v>45.000000000000007</v>
      </c>
      <c r="AG208" s="106">
        <v>468.97666525243955</v>
      </c>
      <c r="AH208" s="106">
        <v>39.081388771036629</v>
      </c>
      <c r="AI208" s="337"/>
      <c r="AJ208" s="106"/>
      <c r="AL208" s="106"/>
      <c r="AM208" s="106"/>
      <c r="BJ208" s="104">
        <v>0</v>
      </c>
      <c r="BN208" s="104">
        <v>140.76</v>
      </c>
      <c r="BO208" s="108">
        <v>1.7180803726127074</v>
      </c>
      <c r="BP208" s="108">
        <v>805.73960378357629</v>
      </c>
      <c r="BQ208" s="108">
        <v>142.47808037261271</v>
      </c>
      <c r="BR208" s="95">
        <v>67054.499603783566</v>
      </c>
    </row>
    <row r="209" spans="1:70" outlineLevel="1">
      <c r="A209" s="79" t="str">
        <f t="shared" si="13"/>
        <v>MURREYSROLL OFFCPHAUL25</v>
      </c>
      <c r="B209" s="79" t="s">
        <v>522</v>
      </c>
      <c r="C209" s="79" t="s">
        <v>523</v>
      </c>
      <c r="D209" s="242">
        <v>146</v>
      </c>
      <c r="E209" s="104">
        <v>146.68</v>
      </c>
      <c r="F209" s="104">
        <v>146.68</v>
      </c>
      <c r="G209" s="105">
        <v>8468</v>
      </c>
      <c r="H209" s="105">
        <v>8614</v>
      </c>
      <c r="I209" s="105">
        <v>9052</v>
      </c>
      <c r="J209" s="105">
        <v>8798.08</v>
      </c>
      <c r="K209" s="105">
        <v>10120.92</v>
      </c>
      <c r="L209" s="105">
        <v>10120.92</v>
      </c>
      <c r="M209" s="105">
        <v>9094.16</v>
      </c>
      <c r="N209" s="105">
        <v>10267.6</v>
      </c>
      <c r="O209" s="105">
        <v>8947.48</v>
      </c>
      <c r="P209" s="105">
        <v>10560.960000000001</v>
      </c>
      <c r="Q209" s="105">
        <v>9680.880000000001</v>
      </c>
      <c r="R209" s="105">
        <v>10414.280000000001</v>
      </c>
      <c r="S209" s="249">
        <v>114139.28000000001</v>
      </c>
      <c r="T209" s="249"/>
      <c r="U209" s="106">
        <v>58</v>
      </c>
      <c r="V209" s="106">
        <v>59</v>
      </c>
      <c r="W209" s="106">
        <v>62</v>
      </c>
      <c r="X209" s="106">
        <v>59.981456231251698</v>
      </c>
      <c r="Y209" s="106">
        <v>69</v>
      </c>
      <c r="Z209" s="106">
        <v>69</v>
      </c>
      <c r="AA209" s="106">
        <v>61.999999999999993</v>
      </c>
      <c r="AB209" s="106">
        <v>70</v>
      </c>
      <c r="AC209" s="106">
        <v>60.999999999999993</v>
      </c>
      <c r="AD209" s="106">
        <v>72</v>
      </c>
      <c r="AE209" s="106">
        <v>66</v>
      </c>
      <c r="AF209" s="106">
        <v>71</v>
      </c>
      <c r="AG209" s="106">
        <v>778.98145623125163</v>
      </c>
      <c r="AH209" s="106">
        <v>64.915121352604302</v>
      </c>
      <c r="AI209" s="337"/>
      <c r="AJ209" s="106"/>
      <c r="AL209" s="106"/>
      <c r="AM209" s="106"/>
      <c r="BJ209" s="104">
        <v>0</v>
      </c>
      <c r="BN209" s="104">
        <v>146</v>
      </c>
      <c r="BO209" s="108">
        <v>1.7820384654834847</v>
      </c>
      <c r="BP209" s="108">
        <v>1388.1749189024299</v>
      </c>
      <c r="BQ209" s="108">
        <v>147.78203846548348</v>
      </c>
      <c r="BR209" s="95">
        <v>115527.45491890244</v>
      </c>
    </row>
    <row r="210" spans="1:70" outlineLevel="1">
      <c r="A210" s="79" t="str">
        <f t="shared" si="13"/>
        <v>MURREYSROLL OFFCPHAUL30</v>
      </c>
      <c r="B210" s="79" t="s">
        <v>524</v>
      </c>
      <c r="C210" s="79" t="s">
        <v>525</v>
      </c>
      <c r="D210" s="242">
        <v>155.04</v>
      </c>
      <c r="E210" s="104">
        <v>155.77000000000001</v>
      </c>
      <c r="F210" s="104">
        <v>155.77000000000001</v>
      </c>
      <c r="G210" s="105">
        <v>19690.080000000002</v>
      </c>
      <c r="H210" s="105">
        <v>17984.64</v>
      </c>
      <c r="I210" s="105">
        <v>18294.72</v>
      </c>
      <c r="J210" s="105">
        <v>18217.060000000001</v>
      </c>
      <c r="K210" s="105">
        <v>18380.86</v>
      </c>
      <c r="L210" s="105">
        <v>19159.71</v>
      </c>
      <c r="M210" s="105">
        <v>19627.02</v>
      </c>
      <c r="N210" s="105">
        <v>20094.330000000002</v>
      </c>
      <c r="O210" s="105">
        <v>16978.93</v>
      </c>
      <c r="P210" s="105">
        <v>20250.099999999999</v>
      </c>
      <c r="Q210" s="105">
        <v>20561.64</v>
      </c>
      <c r="R210" s="105">
        <v>19003.939999999999</v>
      </c>
      <c r="S210" s="249">
        <v>228243.02999999997</v>
      </c>
      <c r="T210" s="249"/>
      <c r="U210" s="106">
        <v>127.00000000000001</v>
      </c>
      <c r="V210" s="106">
        <v>116</v>
      </c>
      <c r="W210" s="106">
        <v>118.00000000000001</v>
      </c>
      <c r="X210" s="106">
        <v>116.94844963728575</v>
      </c>
      <c r="Y210" s="106">
        <v>118</v>
      </c>
      <c r="Z210" s="106">
        <v>122.99999999999999</v>
      </c>
      <c r="AA210" s="106">
        <v>126</v>
      </c>
      <c r="AB210" s="106">
        <v>129</v>
      </c>
      <c r="AC210" s="106">
        <v>109</v>
      </c>
      <c r="AD210" s="106">
        <v>129.99999999999997</v>
      </c>
      <c r="AE210" s="106">
        <v>132</v>
      </c>
      <c r="AF210" s="106">
        <v>121.99999999999999</v>
      </c>
      <c r="AG210" s="106">
        <v>1466.9484496372856</v>
      </c>
      <c r="AH210" s="106">
        <v>122.24570413644047</v>
      </c>
      <c r="AI210" s="337"/>
      <c r="AJ210" s="106"/>
      <c r="AL210" s="106"/>
      <c r="AM210" s="106"/>
      <c r="BJ210" s="104">
        <v>0</v>
      </c>
      <c r="BN210" s="104">
        <v>155.04</v>
      </c>
      <c r="BO210" s="108">
        <v>1.8923783814284894</v>
      </c>
      <c r="BP210" s="108">
        <v>2776.0215327636383</v>
      </c>
      <c r="BQ210" s="108">
        <v>156.93237838142849</v>
      </c>
      <c r="BR210" s="95">
        <v>231019.05153276361</v>
      </c>
    </row>
    <row r="211" spans="1:70" outlineLevel="1">
      <c r="A211" s="79" t="str">
        <f t="shared" si="13"/>
        <v>MURREYSROLL OFFCPHAUL35</v>
      </c>
      <c r="B211" s="79" t="s">
        <v>526</v>
      </c>
      <c r="C211" s="79" t="s">
        <v>527</v>
      </c>
      <c r="D211" s="242">
        <v>160.28</v>
      </c>
      <c r="E211" s="104">
        <v>161.03</v>
      </c>
      <c r="F211" s="104">
        <v>161.03</v>
      </c>
      <c r="G211" s="105">
        <v>1282.24</v>
      </c>
      <c r="H211" s="105">
        <v>801.4</v>
      </c>
      <c r="I211" s="105">
        <v>961.68</v>
      </c>
      <c r="J211" s="105">
        <v>804.4</v>
      </c>
      <c r="K211" s="105">
        <v>966.18000000000006</v>
      </c>
      <c r="L211" s="105">
        <v>1449.27</v>
      </c>
      <c r="M211" s="105">
        <v>1449.27</v>
      </c>
      <c r="N211" s="105">
        <v>1449.27</v>
      </c>
      <c r="O211" s="105">
        <v>1288.24</v>
      </c>
      <c r="P211" s="105">
        <v>1449.27</v>
      </c>
      <c r="Q211" s="105">
        <v>1771.33</v>
      </c>
      <c r="R211" s="105">
        <v>1771.33</v>
      </c>
      <c r="S211" s="249">
        <v>15443.880000000001</v>
      </c>
      <c r="T211" s="249"/>
      <c r="U211" s="106">
        <v>8</v>
      </c>
      <c r="V211" s="106">
        <v>5</v>
      </c>
      <c r="W211" s="106">
        <v>6</v>
      </c>
      <c r="X211" s="106">
        <v>4.9953424827671862</v>
      </c>
      <c r="Y211" s="106">
        <v>6</v>
      </c>
      <c r="Z211" s="106">
        <v>9</v>
      </c>
      <c r="AA211" s="106">
        <v>9</v>
      </c>
      <c r="AB211" s="106">
        <v>9</v>
      </c>
      <c r="AC211" s="106">
        <v>8</v>
      </c>
      <c r="AD211" s="106">
        <v>9</v>
      </c>
      <c r="AE211" s="106">
        <v>11</v>
      </c>
      <c r="AF211" s="106">
        <v>11</v>
      </c>
      <c r="AG211" s="106">
        <v>95.995342482767185</v>
      </c>
      <c r="AH211" s="106">
        <v>7.9996118735639321</v>
      </c>
      <c r="AI211" s="337"/>
      <c r="AJ211" s="106"/>
      <c r="AL211" s="106"/>
      <c r="AM211" s="106"/>
      <c r="BJ211" s="104">
        <v>0</v>
      </c>
      <c r="BN211" s="104">
        <v>160.28</v>
      </c>
      <c r="BO211" s="108">
        <v>1.9563364742992666</v>
      </c>
      <c r="BP211" s="108">
        <v>187.79918986188736</v>
      </c>
      <c r="BQ211" s="108">
        <v>162.23633647429926</v>
      </c>
      <c r="BR211" s="95">
        <v>15631.679189861889</v>
      </c>
    </row>
    <row r="212" spans="1:70" outlineLevel="1">
      <c r="A212" s="79" t="str">
        <f t="shared" si="13"/>
        <v>MURREYSROLL OFFCPHAUL40</v>
      </c>
      <c r="B212" s="79" t="s">
        <v>528</v>
      </c>
      <c r="C212" s="79" t="s">
        <v>529</v>
      </c>
      <c r="D212" s="242">
        <v>166.7</v>
      </c>
      <c r="E212" s="104">
        <v>167.48</v>
      </c>
      <c r="F212" s="104">
        <v>167.48</v>
      </c>
      <c r="G212" s="105">
        <v>12502.5</v>
      </c>
      <c r="H212" s="105">
        <v>11002.2</v>
      </c>
      <c r="I212" s="105">
        <v>11168.9</v>
      </c>
      <c r="J212" s="105">
        <v>11049</v>
      </c>
      <c r="K212" s="105">
        <v>13063.439999999999</v>
      </c>
      <c r="L212" s="105">
        <v>12393.52</v>
      </c>
      <c r="M212" s="105">
        <v>12561</v>
      </c>
      <c r="N212" s="105">
        <v>15240.68</v>
      </c>
      <c r="O212" s="105">
        <v>13230.92</v>
      </c>
      <c r="P212" s="105">
        <v>14068.32</v>
      </c>
      <c r="Q212" s="105">
        <v>12226.04</v>
      </c>
      <c r="R212" s="105">
        <v>12226.04</v>
      </c>
      <c r="S212" s="249">
        <v>150732.56</v>
      </c>
      <c r="T212" s="249"/>
      <c r="U212" s="106">
        <v>75</v>
      </c>
      <c r="V212" s="106">
        <v>66.000000000000014</v>
      </c>
      <c r="W212" s="106">
        <v>67</v>
      </c>
      <c r="X212" s="106">
        <v>65.972056364939107</v>
      </c>
      <c r="Y212" s="106">
        <v>78</v>
      </c>
      <c r="Z212" s="106">
        <v>74.000000000000014</v>
      </c>
      <c r="AA212" s="106">
        <v>75</v>
      </c>
      <c r="AB212" s="106">
        <v>91.000000000000014</v>
      </c>
      <c r="AC212" s="106">
        <v>79</v>
      </c>
      <c r="AD212" s="106">
        <v>84</v>
      </c>
      <c r="AE212" s="106">
        <v>73.000000000000014</v>
      </c>
      <c r="AF212" s="106">
        <v>73.000000000000014</v>
      </c>
      <c r="AG212" s="106">
        <v>900.97205636493914</v>
      </c>
      <c r="AH212" s="106">
        <v>75.081004697078257</v>
      </c>
      <c r="AI212" s="337"/>
      <c r="AJ212" s="106"/>
      <c r="AL212" s="106"/>
      <c r="AM212" s="106"/>
      <c r="BJ212" s="104">
        <v>0</v>
      </c>
      <c r="BN212" s="104">
        <v>166.7</v>
      </c>
      <c r="BO212" s="108">
        <v>2.0346973438088827</v>
      </c>
      <c r="BP212" s="108">
        <v>1833.2054499317685</v>
      </c>
      <c r="BQ212" s="108">
        <v>168.73469734380888</v>
      </c>
      <c r="BR212" s="95">
        <v>152565.76544993176</v>
      </c>
    </row>
    <row r="213" spans="1:70" outlineLevel="1">
      <c r="A213" s="79" t="str">
        <f t="shared" si="13"/>
        <v>MURREYSROLL OFFRORENT20P</v>
      </c>
      <c r="B213" s="79" t="s">
        <v>530</v>
      </c>
      <c r="C213" s="79" t="s">
        <v>531</v>
      </c>
      <c r="D213" s="242">
        <v>90.24</v>
      </c>
      <c r="E213" s="104">
        <v>90.66</v>
      </c>
      <c r="F213" s="104">
        <v>90.66</v>
      </c>
      <c r="G213" s="105">
        <v>6244.6</v>
      </c>
      <c r="H213" s="105">
        <v>6136.32</v>
      </c>
      <c r="I213" s="105">
        <v>6133.2999999999993</v>
      </c>
      <c r="J213" s="105">
        <v>6267.62</v>
      </c>
      <c r="K213" s="105">
        <v>6536.57</v>
      </c>
      <c r="L213" s="105">
        <v>6590.9800000000005</v>
      </c>
      <c r="M213" s="105">
        <v>6947.5599999999995</v>
      </c>
      <c r="N213" s="105">
        <v>7110.76</v>
      </c>
      <c r="O213" s="105">
        <v>7118.53</v>
      </c>
      <c r="P213" s="105">
        <v>7273.27</v>
      </c>
      <c r="Q213" s="105">
        <v>6941.5300000000007</v>
      </c>
      <c r="R213" s="105">
        <v>6512.3899999999994</v>
      </c>
      <c r="S213" s="249">
        <v>79813.429999999993</v>
      </c>
      <c r="T213" s="249"/>
      <c r="U213" s="254">
        <v>69.199911347517741</v>
      </c>
      <c r="V213" s="254">
        <v>68</v>
      </c>
      <c r="W213" s="254">
        <v>67.966533687943254</v>
      </c>
      <c r="X213" s="254">
        <v>69.133245091550847</v>
      </c>
      <c r="Y213" s="254">
        <v>72.099823516435038</v>
      </c>
      <c r="Z213" s="254">
        <v>72.699977939554387</v>
      </c>
      <c r="AA213" s="254">
        <v>76.633134789322739</v>
      </c>
      <c r="AB213" s="254">
        <v>78.433267151996475</v>
      </c>
      <c r="AC213" s="254">
        <v>78.518971983234067</v>
      </c>
      <c r="AD213" s="254">
        <v>80.225788660930959</v>
      </c>
      <c r="AE213" s="254">
        <v>76.566622545775431</v>
      </c>
      <c r="AF213" s="254">
        <v>71.833112728877126</v>
      </c>
      <c r="AG213" s="254">
        <v>881.31038944313809</v>
      </c>
      <c r="AH213" s="254">
        <v>73.442532453594836</v>
      </c>
      <c r="AI213" s="337"/>
      <c r="AJ213" s="106"/>
      <c r="AL213" s="106"/>
      <c r="AM213" s="106"/>
      <c r="BH213" s="239">
        <v>20</v>
      </c>
      <c r="BI213" s="239">
        <v>1</v>
      </c>
      <c r="BJ213" s="104">
        <v>73.442532453594836</v>
      </c>
      <c r="BN213" s="104">
        <v>90.24</v>
      </c>
      <c r="BO213" s="108">
        <v>1.1014462405837646</v>
      </c>
      <c r="BP213" s="108">
        <v>970.71601523955792</v>
      </c>
      <c r="BQ213" s="108">
        <v>91.341446240583764</v>
      </c>
      <c r="BR213" s="95">
        <v>80784.146015239545</v>
      </c>
    </row>
    <row r="214" spans="1:70" outlineLevel="1">
      <c r="A214" s="79" t="str">
        <f t="shared" si="13"/>
        <v>MURREYSROLL OFFRORENT20T</v>
      </c>
      <c r="B214" s="79" t="s">
        <v>532</v>
      </c>
      <c r="C214" s="79" t="s">
        <v>533</v>
      </c>
      <c r="D214" s="242">
        <v>153.35</v>
      </c>
      <c r="E214" s="104">
        <v>154.07</v>
      </c>
      <c r="F214" s="104">
        <v>154.07</v>
      </c>
      <c r="G214" s="105">
        <v>3634.2500000000005</v>
      </c>
      <c r="H214" s="105">
        <v>4017.6000000000004</v>
      </c>
      <c r="I214" s="105">
        <v>4380.5499999999993</v>
      </c>
      <c r="J214" s="105">
        <v>5079.7300000000005</v>
      </c>
      <c r="K214" s="105">
        <v>4170.12</v>
      </c>
      <c r="L214" s="105">
        <v>2788.75</v>
      </c>
      <c r="M214" s="105">
        <v>2220.85</v>
      </c>
      <c r="N214" s="105">
        <v>2495.79</v>
      </c>
      <c r="O214" s="105">
        <v>2711.92</v>
      </c>
      <c r="P214" s="105">
        <v>3055.67</v>
      </c>
      <c r="Q214" s="105">
        <v>3789.94</v>
      </c>
      <c r="R214" s="105">
        <v>4983.3500000000004</v>
      </c>
      <c r="S214" s="249">
        <v>43328.52</v>
      </c>
      <c r="T214" s="249"/>
      <c r="U214" s="254">
        <v>23.699054450603199</v>
      </c>
      <c r="V214" s="254">
        <v>26.198891424845129</v>
      </c>
      <c r="W214" s="254">
        <v>28.565699380502117</v>
      </c>
      <c r="X214" s="254">
        <v>32.970273252417734</v>
      </c>
      <c r="Y214" s="254">
        <v>27.066398390342052</v>
      </c>
      <c r="Z214" s="254">
        <v>18.100538716167975</v>
      </c>
      <c r="AA214" s="254">
        <v>14.414551827091582</v>
      </c>
      <c r="AB214" s="254">
        <v>16.199065359901343</v>
      </c>
      <c r="AC214" s="254">
        <v>17.601869280197313</v>
      </c>
      <c r="AD214" s="254">
        <v>19.832997987927566</v>
      </c>
      <c r="AE214" s="254">
        <v>24.5988187187642</v>
      </c>
      <c r="AF214" s="254">
        <v>32.344713441941977</v>
      </c>
      <c r="AG214" s="254">
        <v>281.59287223070214</v>
      </c>
      <c r="AH214" s="254">
        <v>23.466072685891845</v>
      </c>
      <c r="AI214" s="337"/>
      <c r="AJ214" s="106"/>
      <c r="AL214" s="106"/>
      <c r="AM214" s="106"/>
      <c r="BH214" s="239">
        <v>20</v>
      </c>
      <c r="BI214" s="239">
        <v>1</v>
      </c>
      <c r="BJ214" s="104">
        <v>23.466072685891845</v>
      </c>
      <c r="BN214" s="104">
        <v>153.35</v>
      </c>
      <c r="BO214" s="108">
        <v>1.8717506759033724</v>
      </c>
      <c r="BP214" s="108">
        <v>527.07164892738876</v>
      </c>
      <c r="BQ214" s="108">
        <v>155.22175067590337</v>
      </c>
      <c r="BR214" s="95">
        <v>43855.591648927388</v>
      </c>
    </row>
    <row r="215" spans="1:70" outlineLevel="1">
      <c r="A215" s="79" t="str">
        <f t="shared" si="13"/>
        <v>MURREYSROLL OFFRORENT25P</v>
      </c>
      <c r="B215" s="79" t="s">
        <v>534</v>
      </c>
      <c r="C215" s="79" t="s">
        <v>535</v>
      </c>
      <c r="D215" s="242">
        <v>101.11</v>
      </c>
      <c r="E215" s="104">
        <v>101.58</v>
      </c>
      <c r="F215" s="104">
        <v>101.58</v>
      </c>
      <c r="G215" s="105">
        <v>3818.58</v>
      </c>
      <c r="H215" s="105">
        <v>3639.96</v>
      </c>
      <c r="I215" s="105">
        <v>3562.43</v>
      </c>
      <c r="J215" s="105">
        <v>3555.3</v>
      </c>
      <c r="K215" s="105">
        <v>3758.46</v>
      </c>
      <c r="L215" s="105">
        <v>4025.95</v>
      </c>
      <c r="M215" s="105">
        <v>4086.13</v>
      </c>
      <c r="N215" s="105">
        <v>4154.62</v>
      </c>
      <c r="O215" s="105">
        <v>4041.4100000000003</v>
      </c>
      <c r="P215" s="105">
        <v>3860.04</v>
      </c>
      <c r="Q215" s="105">
        <v>3758.46</v>
      </c>
      <c r="R215" s="105">
        <v>3694.12</v>
      </c>
      <c r="S215" s="249">
        <v>45955.460000000006</v>
      </c>
      <c r="T215" s="249"/>
      <c r="U215" s="254">
        <v>37.766590841657603</v>
      </c>
      <c r="V215" s="254">
        <v>36</v>
      </c>
      <c r="W215" s="254">
        <v>35.233211353970923</v>
      </c>
      <c r="X215" s="254">
        <v>35</v>
      </c>
      <c r="Y215" s="254">
        <v>37</v>
      </c>
      <c r="Z215" s="254">
        <v>39.633293955503049</v>
      </c>
      <c r="AA215" s="254">
        <v>40.225733412088992</v>
      </c>
      <c r="AB215" s="254">
        <v>40.89998031108486</v>
      </c>
      <c r="AC215" s="254">
        <v>39.785489269541252</v>
      </c>
      <c r="AD215" s="254">
        <v>38</v>
      </c>
      <c r="AE215" s="254">
        <v>37</v>
      </c>
      <c r="AF215" s="254">
        <v>36.366607599921245</v>
      </c>
      <c r="AG215" s="254">
        <v>452.91090674376784</v>
      </c>
      <c r="AH215" s="254">
        <v>37.742575561980651</v>
      </c>
      <c r="AI215" s="337"/>
      <c r="AJ215" s="106"/>
      <c r="AL215" s="106"/>
      <c r="AM215" s="106"/>
      <c r="BH215" s="239">
        <v>25</v>
      </c>
      <c r="BI215" s="239">
        <v>1</v>
      </c>
      <c r="BJ215" s="104">
        <v>37.742575561980651</v>
      </c>
      <c r="BN215" s="104">
        <v>101.11</v>
      </c>
      <c r="BO215" s="108">
        <v>1.2341226660618845</v>
      </c>
      <c r="BP215" s="108">
        <v>558.94761571912431</v>
      </c>
      <c r="BQ215" s="108">
        <v>102.34412266606188</v>
      </c>
      <c r="BR215" s="95">
        <v>46514.40761571913</v>
      </c>
    </row>
    <row r="216" spans="1:70" outlineLevel="1">
      <c r="A216" s="79" t="str">
        <f t="shared" si="13"/>
        <v>MURREYSROLL OFFRORENT25T</v>
      </c>
      <c r="B216" s="79" t="s">
        <v>536</v>
      </c>
      <c r="C216" s="79" t="s">
        <v>537</v>
      </c>
      <c r="D216" s="242">
        <v>159.82</v>
      </c>
      <c r="E216" s="104">
        <v>160.57</v>
      </c>
      <c r="F216" s="104">
        <v>160.57</v>
      </c>
      <c r="G216" s="105">
        <v>1523.52</v>
      </c>
      <c r="H216" s="105">
        <v>2205.42</v>
      </c>
      <c r="I216" s="105">
        <v>1800.5600000000002</v>
      </c>
      <c r="J216" s="105">
        <v>1648.4699999999998</v>
      </c>
      <c r="K216" s="105">
        <v>1184.3</v>
      </c>
      <c r="L216" s="105">
        <v>770.67000000000007</v>
      </c>
      <c r="M216" s="105">
        <v>208.74</v>
      </c>
      <c r="N216" s="105">
        <v>567.30999999999995</v>
      </c>
      <c r="O216" s="105">
        <v>859.35</v>
      </c>
      <c r="P216" s="105">
        <v>1471.83</v>
      </c>
      <c r="Q216" s="105">
        <v>417.43999999999994</v>
      </c>
      <c r="R216" s="105">
        <v>1729.4099999999999</v>
      </c>
      <c r="S216" s="249">
        <v>14387.019999999999</v>
      </c>
      <c r="T216" s="249"/>
      <c r="U216" s="254">
        <v>9.532724314854212</v>
      </c>
      <c r="V216" s="254">
        <v>13.79939932423977</v>
      </c>
      <c r="W216" s="254">
        <v>11.266174446252036</v>
      </c>
      <c r="X216" s="254">
        <v>10.26636357974715</v>
      </c>
      <c r="Y216" s="254">
        <v>7.3755994270411662</v>
      </c>
      <c r="Z216" s="254">
        <v>4.7995889643146299</v>
      </c>
      <c r="AA216" s="254">
        <v>1.2999937721865853</v>
      </c>
      <c r="AB216" s="254">
        <v>3.533100828299184</v>
      </c>
      <c r="AC216" s="254">
        <v>5.3518714579311206</v>
      </c>
      <c r="AD216" s="254">
        <v>9.1662826181727599</v>
      </c>
      <c r="AE216" s="254">
        <v>2.5997384318365819</v>
      </c>
      <c r="AF216" s="254">
        <v>10.770442797533786</v>
      </c>
      <c r="AG216" s="254">
        <v>89.761279962408977</v>
      </c>
      <c r="AH216" s="254">
        <v>7.4801066635340812</v>
      </c>
      <c r="AI216" s="337"/>
      <c r="AJ216" s="106"/>
      <c r="AL216" s="106"/>
      <c r="AM216" s="106"/>
      <c r="BH216" s="239">
        <v>25</v>
      </c>
      <c r="BI216" s="239">
        <v>1</v>
      </c>
      <c r="BJ216" s="104">
        <v>7.4801066635340812</v>
      </c>
      <c r="BN216" s="104">
        <v>159.82</v>
      </c>
      <c r="BO216" s="108">
        <v>1.9507218325587021</v>
      </c>
      <c r="BP216" s="108">
        <v>175.09928854108514</v>
      </c>
      <c r="BQ216" s="108">
        <v>161.77072183255871</v>
      </c>
      <c r="BR216" s="95">
        <v>14562.119288541084</v>
      </c>
    </row>
    <row r="217" spans="1:70" outlineLevel="1">
      <c r="A217" s="79" t="str">
        <f t="shared" si="13"/>
        <v>MURREYSROLL OFFRORENT30P</v>
      </c>
      <c r="B217" s="79" t="s">
        <v>538</v>
      </c>
      <c r="C217" s="79" t="s">
        <v>539</v>
      </c>
      <c r="D217" s="242">
        <v>110.9</v>
      </c>
      <c r="E217" s="104">
        <v>111.42</v>
      </c>
      <c r="F217" s="104">
        <v>111.42</v>
      </c>
      <c r="G217" s="105">
        <v>13529.79</v>
      </c>
      <c r="H217" s="105">
        <v>13588.939999999999</v>
      </c>
      <c r="I217" s="105">
        <v>13751.59</v>
      </c>
      <c r="J217" s="105">
        <v>14083.48</v>
      </c>
      <c r="K217" s="105">
        <v>14674.010000000002</v>
      </c>
      <c r="L217" s="105">
        <v>14443.73</v>
      </c>
      <c r="M217" s="105">
        <v>14545.32</v>
      </c>
      <c r="N217" s="105">
        <v>14068.630000000003</v>
      </c>
      <c r="O217" s="105">
        <v>14846.71</v>
      </c>
      <c r="P217" s="105">
        <v>15056.51</v>
      </c>
      <c r="Q217" s="105">
        <v>14707.43</v>
      </c>
      <c r="R217" s="105">
        <v>14748.28</v>
      </c>
      <c r="S217" s="249">
        <v>172044.41999999998</v>
      </c>
      <c r="T217" s="249"/>
      <c r="U217" s="254">
        <v>121.99990982867449</v>
      </c>
      <c r="V217" s="254">
        <v>122.5332732191163</v>
      </c>
      <c r="W217" s="254">
        <v>123.99990982867448</v>
      </c>
      <c r="X217" s="254">
        <v>126.39992819960509</v>
      </c>
      <c r="Y217" s="254">
        <v>131.69996409980257</v>
      </c>
      <c r="Z217" s="254">
        <v>129.63318973254351</v>
      </c>
      <c r="AA217" s="254">
        <v>130.54496499730749</v>
      </c>
      <c r="AB217" s="254">
        <v>126.26664871656797</v>
      </c>
      <c r="AC217" s="254">
        <v>133.24995512475317</v>
      </c>
      <c r="AD217" s="254">
        <v>135.13292048106265</v>
      </c>
      <c r="AE217" s="254">
        <v>131.99991024950637</v>
      </c>
      <c r="AF217" s="254">
        <v>132.3665410159756</v>
      </c>
      <c r="AG217" s="254">
        <v>1545.8271154935899</v>
      </c>
      <c r="AH217" s="254">
        <v>128.8189262911325</v>
      </c>
      <c r="AI217" s="337"/>
      <c r="AJ217" s="106"/>
      <c r="AL217" s="106"/>
      <c r="AM217" s="106"/>
      <c r="BH217" s="239">
        <v>30</v>
      </c>
      <c r="BI217" s="239">
        <v>1</v>
      </c>
      <c r="BJ217" s="104">
        <v>128.8189262911325</v>
      </c>
      <c r="BN217" s="104">
        <v>110.9</v>
      </c>
      <c r="BO217" s="108">
        <v>1.3536168891925922</v>
      </c>
      <c r="BP217" s="108">
        <v>2092.4576913039909</v>
      </c>
      <c r="BQ217" s="108">
        <v>112.2536168891926</v>
      </c>
      <c r="BR217" s="95">
        <v>174136.87769130396</v>
      </c>
    </row>
    <row r="218" spans="1:70" outlineLevel="1">
      <c r="A218" s="79" t="str">
        <f t="shared" si="13"/>
        <v>MURREYSROLL OFFRORENT30T</v>
      </c>
      <c r="B218" s="79" t="s">
        <v>540</v>
      </c>
      <c r="C218" s="79" t="s">
        <v>541</v>
      </c>
      <c r="D218" s="242">
        <v>166.94</v>
      </c>
      <c r="E218" s="104">
        <v>167.72</v>
      </c>
      <c r="F218" s="104">
        <v>167.72</v>
      </c>
      <c r="G218" s="105">
        <v>3321.97</v>
      </c>
      <c r="H218" s="105">
        <v>5063.67</v>
      </c>
      <c r="I218" s="105">
        <v>5336.26</v>
      </c>
      <c r="J218" s="105">
        <v>5863.32</v>
      </c>
      <c r="K218" s="105">
        <v>3761.49</v>
      </c>
      <c r="L218" s="105">
        <v>3466.38</v>
      </c>
      <c r="M218" s="105">
        <v>2802.66</v>
      </c>
      <c r="N218" s="105">
        <v>3057.1</v>
      </c>
      <c r="O218" s="105">
        <v>2797.25</v>
      </c>
      <c r="P218" s="105">
        <v>3046.83</v>
      </c>
      <c r="Q218" s="105">
        <v>4327.01</v>
      </c>
      <c r="R218" s="105">
        <v>5362.41</v>
      </c>
      <c r="S218" s="249">
        <v>48206.350000000006</v>
      </c>
      <c r="T218" s="249"/>
      <c r="U218" s="254">
        <v>19.89918533604888</v>
      </c>
      <c r="V218" s="254">
        <v>30.332275068887025</v>
      </c>
      <c r="W218" s="254">
        <v>31.965137175032947</v>
      </c>
      <c r="X218" s="254">
        <v>34.958979251132838</v>
      </c>
      <c r="Y218" s="254">
        <v>22.42720009539709</v>
      </c>
      <c r="Z218" s="254">
        <v>20.667660386358218</v>
      </c>
      <c r="AA218" s="254">
        <v>16.710350584307179</v>
      </c>
      <c r="AB218" s="254">
        <v>18.227402814214166</v>
      </c>
      <c r="AC218" s="254">
        <v>16.678094443119484</v>
      </c>
      <c r="AD218" s="254">
        <v>18.166169806820893</v>
      </c>
      <c r="AE218" s="254">
        <v>25.79901025518722</v>
      </c>
      <c r="AF218" s="254">
        <v>31.972394466968758</v>
      </c>
      <c r="AG218" s="254">
        <v>287.80385968347474</v>
      </c>
      <c r="AH218" s="254">
        <v>23.983654973622894</v>
      </c>
      <c r="AI218" s="337"/>
      <c r="AJ218" s="106"/>
      <c r="AL218" s="106"/>
      <c r="AM218" s="106"/>
      <c r="BH218" s="239">
        <v>30</v>
      </c>
      <c r="BI218" s="239">
        <v>1</v>
      </c>
      <c r="BJ218" s="104">
        <v>23.983654973622894</v>
      </c>
      <c r="BN218" s="104">
        <v>166.94</v>
      </c>
      <c r="BO218" s="108">
        <v>2.0376267221083078</v>
      </c>
      <c r="BP218" s="108">
        <v>586.43683521695789</v>
      </c>
      <c r="BQ218" s="108">
        <v>168.97762672210831</v>
      </c>
      <c r="BR218" s="95">
        <v>48792.786835216961</v>
      </c>
    </row>
    <row r="219" spans="1:70" outlineLevel="1">
      <c r="A219" s="79" t="str">
        <f t="shared" si="13"/>
        <v>MURREYSROLL OFFRORENT40P</v>
      </c>
      <c r="B219" s="79" t="s">
        <v>542</v>
      </c>
      <c r="C219" s="79" t="s">
        <v>543</v>
      </c>
      <c r="D219" s="242">
        <v>113.07</v>
      </c>
      <c r="E219" s="104">
        <v>113.6</v>
      </c>
      <c r="F219" s="104">
        <v>113.6</v>
      </c>
      <c r="G219" s="105">
        <v>791.49</v>
      </c>
      <c r="H219" s="105">
        <v>791.49</v>
      </c>
      <c r="I219" s="105">
        <v>791.49</v>
      </c>
      <c r="J219" s="105">
        <v>795.2</v>
      </c>
      <c r="K219" s="105">
        <v>958.02</v>
      </c>
      <c r="L219" s="105">
        <v>1022.4000000000001</v>
      </c>
      <c r="M219" s="105">
        <v>1003.4599999999999</v>
      </c>
      <c r="N219" s="105">
        <v>1098.1299999999999</v>
      </c>
      <c r="O219" s="105">
        <v>1249.5999999999999</v>
      </c>
      <c r="P219" s="105">
        <v>1136</v>
      </c>
      <c r="Q219" s="105">
        <v>1136</v>
      </c>
      <c r="R219" s="105">
        <v>1136</v>
      </c>
      <c r="S219" s="249">
        <v>11909.28</v>
      </c>
      <c r="T219" s="249"/>
      <c r="U219" s="254">
        <v>7.0000000000000009</v>
      </c>
      <c r="V219" s="254">
        <v>7.0000000000000009</v>
      </c>
      <c r="W219" s="254">
        <v>7.0000000000000009</v>
      </c>
      <c r="X219" s="254">
        <v>7.0000000000000009</v>
      </c>
      <c r="Y219" s="254">
        <v>8.4332746478873251</v>
      </c>
      <c r="Z219" s="254">
        <v>9.0000000000000018</v>
      </c>
      <c r="AA219" s="254">
        <v>8.8332746478873236</v>
      </c>
      <c r="AB219" s="254">
        <v>9.6666373239436609</v>
      </c>
      <c r="AC219" s="254">
        <v>11</v>
      </c>
      <c r="AD219" s="254">
        <v>10</v>
      </c>
      <c r="AE219" s="254">
        <v>10</v>
      </c>
      <c r="AF219" s="254">
        <v>10</v>
      </c>
      <c r="AG219" s="254">
        <v>104.93318661971831</v>
      </c>
      <c r="AH219" s="254">
        <v>8.7444322183098588</v>
      </c>
      <c r="AI219" s="337"/>
      <c r="AJ219" s="106"/>
      <c r="AL219" s="106"/>
      <c r="AM219" s="106"/>
      <c r="BH219" s="239">
        <v>40</v>
      </c>
      <c r="BI219" s="239">
        <v>1</v>
      </c>
      <c r="BJ219" s="104">
        <v>8.7444322183098588</v>
      </c>
      <c r="BN219" s="104">
        <v>113.07</v>
      </c>
      <c r="BO219" s="108">
        <v>1.3801033513165588</v>
      </c>
      <c r="BP219" s="108">
        <v>144.81864251819911</v>
      </c>
      <c r="BQ219" s="108">
        <v>114.45010335131656</v>
      </c>
      <c r="BR219" s="95">
        <v>12054.0986425182</v>
      </c>
    </row>
    <row r="220" spans="1:70" outlineLevel="1">
      <c r="A220" s="79" t="str">
        <f t="shared" si="13"/>
        <v>MURREYSROLL OFFRORENT40T</v>
      </c>
      <c r="B220" s="79" t="s">
        <v>544</v>
      </c>
      <c r="C220" s="79" t="s">
        <v>545</v>
      </c>
      <c r="D220" s="242">
        <v>202.2</v>
      </c>
      <c r="E220" s="104">
        <v>203.15</v>
      </c>
      <c r="F220" s="104">
        <v>203.15</v>
      </c>
      <c r="G220" s="105">
        <v>202.2</v>
      </c>
      <c r="H220" s="105">
        <v>202.2</v>
      </c>
      <c r="I220" s="105">
        <v>-202.2</v>
      </c>
      <c r="J220" s="105">
        <v>203.15</v>
      </c>
      <c r="K220" s="105">
        <v>0</v>
      </c>
      <c r="L220" s="105">
        <v>0</v>
      </c>
      <c r="M220" s="105">
        <v>0</v>
      </c>
      <c r="N220" s="105">
        <v>0</v>
      </c>
      <c r="O220" s="105">
        <v>0</v>
      </c>
      <c r="P220" s="105">
        <v>0</v>
      </c>
      <c r="Q220" s="105">
        <v>0</v>
      </c>
      <c r="R220" s="105">
        <v>13.54</v>
      </c>
      <c r="S220" s="249">
        <v>418.89000000000004</v>
      </c>
      <c r="T220" s="249"/>
      <c r="U220" s="254">
        <v>1</v>
      </c>
      <c r="V220" s="254">
        <v>1</v>
      </c>
      <c r="W220" s="254">
        <v>-1</v>
      </c>
      <c r="X220" s="254">
        <v>1</v>
      </c>
      <c r="Y220" s="254">
        <v>0</v>
      </c>
      <c r="Z220" s="254">
        <v>0</v>
      </c>
      <c r="AA220" s="254">
        <v>0</v>
      </c>
      <c r="AB220" s="254">
        <v>0</v>
      </c>
      <c r="AC220" s="254">
        <v>0</v>
      </c>
      <c r="AD220" s="254">
        <v>0</v>
      </c>
      <c r="AE220" s="254">
        <v>0</v>
      </c>
      <c r="AF220" s="254">
        <v>6.6650258429731712E-2</v>
      </c>
      <c r="AG220" s="254">
        <v>2.0666502584297319</v>
      </c>
      <c r="AH220" s="254">
        <v>0.17222085486914432</v>
      </c>
      <c r="AI220" s="337"/>
      <c r="AJ220" s="106"/>
      <c r="AL220" s="106"/>
      <c r="AM220" s="106"/>
      <c r="BH220" s="239">
        <v>40</v>
      </c>
      <c r="BI220" s="239">
        <v>1</v>
      </c>
      <c r="BJ220" s="104">
        <v>0.17222085486914432</v>
      </c>
      <c r="BN220" s="104">
        <v>202.2</v>
      </c>
      <c r="BO220" s="108">
        <v>2.4680012172654835</v>
      </c>
      <c r="BP220" s="108">
        <v>5.100495353466604</v>
      </c>
      <c r="BQ220" s="108">
        <v>204.66800121726547</v>
      </c>
      <c r="BR220" s="95">
        <v>423.99049535346666</v>
      </c>
    </row>
    <row r="221" spans="1:70" outlineLevel="1">
      <c r="A221" s="79" t="str">
        <f t="shared" si="13"/>
        <v>MURREYSROLL OFFROSPC</v>
      </c>
      <c r="B221" s="79" t="s">
        <v>546</v>
      </c>
      <c r="C221" s="79" t="s">
        <v>547</v>
      </c>
      <c r="D221" s="242">
        <v>0</v>
      </c>
      <c r="E221" s="104">
        <v>0</v>
      </c>
      <c r="F221" s="104">
        <v>0</v>
      </c>
      <c r="G221" s="105">
        <v>0</v>
      </c>
      <c r="H221" s="105">
        <v>0</v>
      </c>
      <c r="I221" s="105">
        <v>0</v>
      </c>
      <c r="J221" s="105">
        <v>0</v>
      </c>
      <c r="K221" s="105">
        <v>60</v>
      </c>
      <c r="L221" s="105">
        <v>0</v>
      </c>
      <c r="M221" s="105">
        <v>0</v>
      </c>
      <c r="N221" s="105">
        <v>0</v>
      </c>
      <c r="O221" s="105">
        <v>0</v>
      </c>
      <c r="P221" s="105">
        <v>0</v>
      </c>
      <c r="Q221" s="105">
        <v>0</v>
      </c>
      <c r="R221" s="105">
        <v>0</v>
      </c>
      <c r="S221" s="249">
        <v>60</v>
      </c>
      <c r="T221" s="249"/>
      <c r="U221" s="106">
        <v>0</v>
      </c>
      <c r="V221" s="106">
        <v>0</v>
      </c>
      <c r="W221" s="106">
        <v>0</v>
      </c>
      <c r="X221" s="106">
        <v>0</v>
      </c>
      <c r="Y221" s="106">
        <v>0</v>
      </c>
      <c r="Z221" s="106">
        <v>0</v>
      </c>
      <c r="AA221" s="106">
        <v>0</v>
      </c>
      <c r="AB221" s="106">
        <v>0</v>
      </c>
      <c r="AC221" s="106">
        <v>0</v>
      </c>
      <c r="AD221" s="106">
        <v>0</v>
      </c>
      <c r="AE221" s="106">
        <v>0</v>
      </c>
      <c r="AF221" s="106">
        <v>0</v>
      </c>
      <c r="AG221" s="106">
        <v>0</v>
      </c>
      <c r="AH221" s="106">
        <v>0</v>
      </c>
      <c r="AI221" s="337"/>
      <c r="AJ221" s="106"/>
      <c r="AL221" s="106"/>
      <c r="AM221" s="106"/>
      <c r="BJ221" s="104">
        <v>0</v>
      </c>
      <c r="BO221" s="108">
        <v>0</v>
      </c>
      <c r="BP221" s="108">
        <v>0</v>
      </c>
      <c r="BQ221" s="108">
        <v>0</v>
      </c>
      <c r="BR221" s="95">
        <v>60</v>
      </c>
    </row>
    <row r="222" spans="1:70" outlineLevel="1">
      <c r="A222" s="79" t="str">
        <f t="shared" si="13"/>
        <v>MURREYSROLL OFFROTA</v>
      </c>
      <c r="B222" s="79" t="s">
        <v>548</v>
      </c>
      <c r="C222" s="79" t="s">
        <v>549</v>
      </c>
      <c r="D222" s="242">
        <v>21.8</v>
      </c>
      <c r="E222" s="104">
        <v>21.8</v>
      </c>
      <c r="F222" s="104">
        <v>21.8</v>
      </c>
      <c r="G222" s="105">
        <v>7041.4</v>
      </c>
      <c r="H222" s="105">
        <v>6867</v>
      </c>
      <c r="I222" s="105">
        <v>7346.5999999999995</v>
      </c>
      <c r="J222" s="105">
        <v>7412</v>
      </c>
      <c r="K222" s="105">
        <v>7651.8</v>
      </c>
      <c r="L222" s="105">
        <v>7913.4</v>
      </c>
      <c r="M222" s="105">
        <v>7608.2000000000007</v>
      </c>
      <c r="N222" s="105">
        <v>7782.6</v>
      </c>
      <c r="O222" s="105">
        <v>6932.4</v>
      </c>
      <c r="P222" s="105">
        <v>8022.4000000000005</v>
      </c>
      <c r="Q222" s="105">
        <v>7848</v>
      </c>
      <c r="R222" s="105">
        <v>7521</v>
      </c>
      <c r="S222" s="249">
        <v>89946.8</v>
      </c>
      <c r="T222" s="249"/>
      <c r="U222" s="106">
        <v>323</v>
      </c>
      <c r="V222" s="106">
        <v>315</v>
      </c>
      <c r="W222" s="106">
        <v>336.99999999999994</v>
      </c>
      <c r="X222" s="106">
        <v>340</v>
      </c>
      <c r="Y222" s="106">
        <v>351</v>
      </c>
      <c r="Z222" s="106">
        <v>362.99999999999994</v>
      </c>
      <c r="AA222" s="106">
        <v>349</v>
      </c>
      <c r="AB222" s="106">
        <v>357</v>
      </c>
      <c r="AC222" s="106">
        <v>318</v>
      </c>
      <c r="AD222" s="106">
        <v>368</v>
      </c>
      <c r="AE222" s="106">
        <v>360</v>
      </c>
      <c r="AF222" s="106">
        <v>345</v>
      </c>
      <c r="AG222" s="106">
        <v>4126</v>
      </c>
      <c r="AH222" s="106">
        <v>343.83333333333331</v>
      </c>
      <c r="AI222" s="337"/>
      <c r="AJ222" s="106"/>
      <c r="AL222" s="106"/>
      <c r="AM222" s="106"/>
      <c r="BJ222" s="104">
        <v>0</v>
      </c>
      <c r="BN222" s="104">
        <v>21.8</v>
      </c>
      <c r="BO222" s="108">
        <v>0.26608519553109566</v>
      </c>
      <c r="BP222" s="108">
        <v>1097.8675167613007</v>
      </c>
      <c r="BQ222" s="108">
        <v>22.066085195531095</v>
      </c>
      <c r="BR222" s="95">
        <v>91044.667516761299</v>
      </c>
    </row>
    <row r="223" spans="1:70" outlineLevel="1">
      <c r="A223" s="79" t="str">
        <f t="shared" si="13"/>
        <v>MURREYSROLL OFFCPCONNECT</v>
      </c>
      <c r="B223" s="79" t="s">
        <v>552</v>
      </c>
      <c r="C223" s="79" t="s">
        <v>553</v>
      </c>
      <c r="D223" s="242">
        <v>7.14</v>
      </c>
      <c r="E223" s="104">
        <v>7.17</v>
      </c>
      <c r="F223" s="104">
        <v>7.17</v>
      </c>
      <c r="G223" s="105">
        <v>2191.98</v>
      </c>
      <c r="H223" s="105">
        <v>1927.8</v>
      </c>
      <c r="I223" s="105">
        <v>2049.1800000000003</v>
      </c>
      <c r="J223" s="105">
        <v>2049.84</v>
      </c>
      <c r="K223" s="105">
        <v>2215.5299999999997</v>
      </c>
      <c r="L223" s="105">
        <v>2208.36</v>
      </c>
      <c r="M223" s="105">
        <v>2194.02</v>
      </c>
      <c r="N223" s="105">
        <v>2366.1</v>
      </c>
      <c r="O223" s="105">
        <v>2079.3000000000002</v>
      </c>
      <c r="P223" s="105">
        <v>2380.44</v>
      </c>
      <c r="Q223" s="105">
        <v>2237.04</v>
      </c>
      <c r="R223" s="105">
        <v>2265.7200000000003</v>
      </c>
      <c r="S223" s="249">
        <v>26165.309999999998</v>
      </c>
      <c r="T223" s="249"/>
      <c r="U223" s="106">
        <v>307</v>
      </c>
      <c r="V223" s="106">
        <v>270</v>
      </c>
      <c r="W223" s="106">
        <v>287.00000000000006</v>
      </c>
      <c r="X223" s="106">
        <v>285.89121338912139</v>
      </c>
      <c r="Y223" s="106">
        <v>308.99999999999994</v>
      </c>
      <c r="Z223" s="106">
        <v>308</v>
      </c>
      <c r="AA223" s="106">
        <v>306</v>
      </c>
      <c r="AB223" s="106">
        <v>330</v>
      </c>
      <c r="AC223" s="106">
        <v>290</v>
      </c>
      <c r="AD223" s="106">
        <v>332</v>
      </c>
      <c r="AE223" s="106">
        <v>312</v>
      </c>
      <c r="AF223" s="106">
        <v>316.00000000000006</v>
      </c>
      <c r="AG223" s="106">
        <v>3652.8912133891213</v>
      </c>
      <c r="AH223" s="106">
        <v>304.40760111576009</v>
      </c>
      <c r="AI223" s="337"/>
      <c r="AJ223" s="106"/>
      <c r="AL223" s="106"/>
      <c r="AM223" s="106"/>
      <c r="BJ223" s="104">
        <v>0</v>
      </c>
      <c r="BN223" s="104">
        <v>7.14</v>
      </c>
      <c r="BO223" s="108">
        <v>8.7149004407890959E-2</v>
      </c>
      <c r="BP223" s="108">
        <v>318.34583245719466</v>
      </c>
      <c r="BQ223" s="108">
        <v>7.2271490044078908</v>
      </c>
      <c r="BR223" s="95">
        <v>26483.655832457192</v>
      </c>
    </row>
    <row r="224" spans="1:70" outlineLevel="1">
      <c r="A224" s="79" t="str">
        <f t="shared" si="13"/>
        <v>MURREYSROLL OFFROCLEAN</v>
      </c>
      <c r="B224" s="79" t="s">
        <v>554</v>
      </c>
      <c r="C224" s="79" t="s">
        <v>555</v>
      </c>
      <c r="D224" s="242">
        <v>7.53</v>
      </c>
      <c r="E224" s="104">
        <v>7.57</v>
      </c>
      <c r="F224" s="104">
        <v>7.57</v>
      </c>
      <c r="G224" s="105">
        <v>270.89999999999998</v>
      </c>
      <c r="H224" s="105">
        <v>0</v>
      </c>
      <c r="I224" s="105">
        <v>483.15</v>
      </c>
      <c r="J224" s="105">
        <v>0</v>
      </c>
      <c r="K224" s="105">
        <v>0</v>
      </c>
      <c r="L224" s="105">
        <v>0</v>
      </c>
      <c r="M224" s="105">
        <v>0</v>
      </c>
      <c r="N224" s="105">
        <v>0</v>
      </c>
      <c r="O224" s="105">
        <v>0</v>
      </c>
      <c r="P224" s="105">
        <v>0</v>
      </c>
      <c r="Q224" s="105">
        <v>0</v>
      </c>
      <c r="R224" s="105">
        <v>264.95</v>
      </c>
      <c r="S224" s="249">
        <v>1019</v>
      </c>
      <c r="T224" s="249"/>
      <c r="U224" s="106">
        <v>35.976095617529879</v>
      </c>
      <c r="V224" s="106">
        <v>0</v>
      </c>
      <c r="W224" s="106">
        <v>64.163346613545812</v>
      </c>
      <c r="X224" s="106">
        <v>0</v>
      </c>
      <c r="Y224" s="106">
        <v>0</v>
      </c>
      <c r="Z224" s="106">
        <v>0</v>
      </c>
      <c r="AA224" s="106">
        <v>0</v>
      </c>
      <c r="AB224" s="106">
        <v>0</v>
      </c>
      <c r="AC224" s="106">
        <v>0</v>
      </c>
      <c r="AD224" s="106">
        <v>0</v>
      </c>
      <c r="AE224" s="106">
        <v>0</v>
      </c>
      <c r="AF224" s="106">
        <v>35</v>
      </c>
      <c r="AG224" s="106">
        <v>135.13944223107569</v>
      </c>
      <c r="AH224" s="106">
        <v>11.261620185922974</v>
      </c>
      <c r="AI224" s="337"/>
      <c r="AJ224" s="106"/>
      <c r="AL224" s="106"/>
      <c r="AM224" s="106"/>
      <c r="BJ224" s="104">
        <v>0</v>
      </c>
      <c r="BN224" s="104">
        <v>7.53</v>
      </c>
      <c r="BO224" s="108">
        <v>9.1909244144456434E-2</v>
      </c>
      <c r="BP224" s="108">
        <v>12.4205639895616</v>
      </c>
      <c r="BQ224" s="108">
        <v>7.6219092441444563</v>
      </c>
      <c r="BR224" s="95">
        <v>1031.4205639895615</v>
      </c>
    </row>
    <row r="225" spans="1:75" outlineLevel="1">
      <c r="A225" s="79" t="str">
        <f t="shared" si="13"/>
        <v>MURREYSROLL OFFRODEL</v>
      </c>
      <c r="B225" s="79" t="s">
        <v>556</v>
      </c>
      <c r="C225" s="79" t="s">
        <v>557</v>
      </c>
      <c r="D225" s="242">
        <v>97.04</v>
      </c>
      <c r="E225" s="104">
        <v>97.49</v>
      </c>
      <c r="F225" s="104">
        <v>97.49</v>
      </c>
      <c r="G225" s="105">
        <v>6404.6399999999994</v>
      </c>
      <c r="H225" s="105">
        <v>7180.9600000000009</v>
      </c>
      <c r="I225" s="105">
        <v>7574.1500000000005</v>
      </c>
      <c r="J225" s="105">
        <v>5353.3200000000006</v>
      </c>
      <c r="K225" s="105">
        <v>5849.4</v>
      </c>
      <c r="L225" s="105">
        <v>3802.1099999999997</v>
      </c>
      <c r="M225" s="105">
        <v>2534.7399999999998</v>
      </c>
      <c r="N225" s="105">
        <v>4582.03</v>
      </c>
      <c r="O225" s="105">
        <v>4971.99</v>
      </c>
      <c r="P225" s="105">
        <v>5361.95</v>
      </c>
      <c r="Q225" s="105">
        <v>6239.3600000000006</v>
      </c>
      <c r="R225" s="105">
        <v>7896.69</v>
      </c>
      <c r="S225" s="249">
        <v>67751.34</v>
      </c>
      <c r="T225" s="249"/>
      <c r="U225" s="106">
        <v>65.999999999999986</v>
      </c>
      <c r="V225" s="106">
        <v>74</v>
      </c>
      <c r="W225" s="106">
        <v>78.051834295136032</v>
      </c>
      <c r="X225" s="106">
        <v>54.911478100317993</v>
      </c>
      <c r="Y225" s="106">
        <v>60</v>
      </c>
      <c r="Z225" s="106">
        <v>39</v>
      </c>
      <c r="AA225" s="106">
        <v>26</v>
      </c>
      <c r="AB225" s="106">
        <v>47</v>
      </c>
      <c r="AC225" s="106">
        <v>51</v>
      </c>
      <c r="AD225" s="106">
        <v>55</v>
      </c>
      <c r="AE225" s="106">
        <v>64.000000000000014</v>
      </c>
      <c r="AF225" s="106">
        <v>81</v>
      </c>
      <c r="AG225" s="106">
        <v>695.96331239545407</v>
      </c>
      <c r="AH225" s="106">
        <v>57.996942699621172</v>
      </c>
      <c r="AI225" s="337"/>
      <c r="AJ225" s="106"/>
      <c r="AL225" s="106"/>
      <c r="AM225" s="106"/>
      <c r="BJ225" s="104">
        <v>0</v>
      </c>
      <c r="BN225" s="104">
        <v>97.04</v>
      </c>
      <c r="BO225" s="108">
        <v>1.1844452924008038</v>
      </c>
      <c r="BP225" s="108">
        <v>824.33046905046547</v>
      </c>
      <c r="BQ225" s="108">
        <v>98.224445292400816</v>
      </c>
      <c r="BR225" s="95">
        <v>68575.670469050456</v>
      </c>
    </row>
    <row r="226" spans="1:75" outlineLevel="1">
      <c r="A226" s="79" t="str">
        <f t="shared" si="13"/>
        <v>MURREYSROLL OFFROMILE</v>
      </c>
      <c r="B226" s="79" t="s">
        <v>558</v>
      </c>
      <c r="C226" s="79" t="s">
        <v>559</v>
      </c>
      <c r="D226" s="242">
        <v>3.82</v>
      </c>
      <c r="E226" s="104">
        <v>3.84</v>
      </c>
      <c r="F226" s="104">
        <v>3.84</v>
      </c>
      <c r="G226" s="105">
        <v>49071.39</v>
      </c>
      <c r="H226" s="105">
        <v>46576.93</v>
      </c>
      <c r="I226" s="105">
        <v>49034.720000000001</v>
      </c>
      <c r="J226" s="105">
        <v>48922.85</v>
      </c>
      <c r="K226" s="105">
        <v>52498.41</v>
      </c>
      <c r="L226" s="105">
        <v>48432.82</v>
      </c>
      <c r="M226" s="105">
        <v>49810.74</v>
      </c>
      <c r="N226" s="105">
        <v>54284.31</v>
      </c>
      <c r="O226" s="105">
        <v>49288.58</v>
      </c>
      <c r="P226" s="105">
        <v>57306.01</v>
      </c>
      <c r="Q226" s="105">
        <v>53220.86</v>
      </c>
      <c r="R226" s="105">
        <v>54209.75</v>
      </c>
      <c r="S226" s="249">
        <v>612657.37</v>
      </c>
      <c r="T226" s="249"/>
      <c r="U226" s="106">
        <v>12845.913612565446</v>
      </c>
      <c r="V226" s="106">
        <v>12192.913612565446</v>
      </c>
      <c r="W226" s="106">
        <v>12836.314136125655</v>
      </c>
      <c r="X226" s="106">
        <v>12740.325520833334</v>
      </c>
      <c r="Y226" s="106">
        <v>13671.460937500002</v>
      </c>
      <c r="Z226" s="106">
        <v>12612.713541666668</v>
      </c>
      <c r="AA226" s="106">
        <v>12971.546875</v>
      </c>
      <c r="AB226" s="106">
        <v>14136.5390625</v>
      </c>
      <c r="AC226" s="106">
        <v>12835.567708333334</v>
      </c>
      <c r="AD226" s="106">
        <v>14923.440104166668</v>
      </c>
      <c r="AE226" s="106">
        <v>13859.598958333334</v>
      </c>
      <c r="AF226" s="106">
        <v>14117.122395833334</v>
      </c>
      <c r="AG226" s="106">
        <v>159743.45646542322</v>
      </c>
      <c r="AH226" s="106">
        <v>13311.954705451935</v>
      </c>
      <c r="AI226" s="337"/>
      <c r="AJ226" s="106"/>
      <c r="AL226" s="106"/>
      <c r="AM226" s="106"/>
      <c r="BJ226" s="104">
        <v>0</v>
      </c>
      <c r="BN226" s="104">
        <v>3.82</v>
      </c>
      <c r="BO226" s="108">
        <v>4.6625937932513087E-2</v>
      </c>
      <c r="BP226" s="108">
        <v>7448.1884862819297</v>
      </c>
      <c r="BQ226" s="108">
        <v>3.866625937932513</v>
      </c>
      <c r="BR226" s="95">
        <v>620105.55848628189</v>
      </c>
    </row>
    <row r="227" spans="1:75" outlineLevel="1">
      <c r="A227" s="79" t="str">
        <f t="shared" si="13"/>
        <v>MURREYSROLL OFFRORELOCATE</v>
      </c>
      <c r="B227" s="79" t="s">
        <v>560</v>
      </c>
      <c r="C227" s="79" t="s">
        <v>561</v>
      </c>
      <c r="D227" s="242">
        <v>97.31</v>
      </c>
      <c r="E227" s="104">
        <v>97.77</v>
      </c>
      <c r="F227" s="104">
        <v>97.77</v>
      </c>
      <c r="G227" s="105">
        <v>194.62</v>
      </c>
      <c r="H227" s="105">
        <v>97.31</v>
      </c>
      <c r="I227" s="105">
        <v>194.62</v>
      </c>
      <c r="J227" s="105">
        <v>195.54</v>
      </c>
      <c r="K227" s="105">
        <v>195.54</v>
      </c>
      <c r="L227" s="105">
        <v>97.77</v>
      </c>
      <c r="M227" s="105">
        <v>391.08</v>
      </c>
      <c r="N227" s="105">
        <v>488.84999999999997</v>
      </c>
      <c r="O227" s="105">
        <v>97.77</v>
      </c>
      <c r="P227" s="105">
        <v>97.77</v>
      </c>
      <c r="Q227" s="105">
        <v>195.54</v>
      </c>
      <c r="R227" s="105">
        <v>195.54</v>
      </c>
      <c r="S227" s="249">
        <v>2441.9499999999998</v>
      </c>
      <c r="T227" s="249"/>
      <c r="U227" s="106">
        <v>2</v>
      </c>
      <c r="V227" s="106">
        <v>1</v>
      </c>
      <c r="W227" s="106">
        <v>2</v>
      </c>
      <c r="X227" s="106">
        <v>2</v>
      </c>
      <c r="Y227" s="106">
        <v>2</v>
      </c>
      <c r="Z227" s="106">
        <v>1</v>
      </c>
      <c r="AA227" s="106">
        <v>4</v>
      </c>
      <c r="AB227" s="106">
        <v>5</v>
      </c>
      <c r="AC227" s="106">
        <v>1</v>
      </c>
      <c r="AD227" s="106">
        <v>1</v>
      </c>
      <c r="AE227" s="106">
        <v>2</v>
      </c>
      <c r="AF227" s="106">
        <v>2</v>
      </c>
      <c r="AG227" s="106">
        <v>25</v>
      </c>
      <c r="AH227" s="106">
        <v>2.0833333333333335</v>
      </c>
      <c r="AI227" s="337"/>
      <c r="AJ227" s="106"/>
      <c r="AL227" s="106"/>
      <c r="AM227" s="106"/>
      <c r="BJ227" s="104">
        <v>0</v>
      </c>
      <c r="BN227" s="104">
        <v>97.31</v>
      </c>
      <c r="BO227" s="108">
        <v>1.1877408429876568</v>
      </c>
      <c r="BP227" s="108">
        <v>29.693521074691418</v>
      </c>
      <c r="BQ227" s="108">
        <v>98.497740842987653</v>
      </c>
      <c r="BR227" s="95">
        <v>2471.6435210746913</v>
      </c>
    </row>
    <row r="228" spans="1:75" outlineLevel="1">
      <c r="A228" s="79" t="str">
        <f t="shared" si="13"/>
        <v>MURREYSROLL OFFRESTART FEE-RO</v>
      </c>
      <c r="B228" s="79" t="s">
        <v>656</v>
      </c>
      <c r="C228" s="79" t="s">
        <v>328</v>
      </c>
      <c r="D228" s="242">
        <v>11.22</v>
      </c>
      <c r="E228" s="104">
        <v>11.27</v>
      </c>
      <c r="F228" s="104">
        <v>11.27</v>
      </c>
      <c r="G228" s="105">
        <v>0</v>
      </c>
      <c r="H228" s="105">
        <v>0</v>
      </c>
      <c r="I228" s="105">
        <v>11.22</v>
      </c>
      <c r="J228" s="105">
        <v>11.27</v>
      </c>
      <c r="K228" s="105">
        <v>11.27</v>
      </c>
      <c r="L228" s="105">
        <v>11.27</v>
      </c>
      <c r="M228" s="105">
        <v>11.27</v>
      </c>
      <c r="N228" s="105">
        <v>22.54</v>
      </c>
      <c r="O228" s="105">
        <v>0</v>
      </c>
      <c r="P228" s="105">
        <v>0</v>
      </c>
      <c r="Q228" s="105">
        <v>11.27</v>
      </c>
      <c r="R228" s="105">
        <v>0</v>
      </c>
      <c r="S228" s="249">
        <v>90.11</v>
      </c>
      <c r="T228" s="249"/>
      <c r="U228" s="106">
        <v>0</v>
      </c>
      <c r="V228" s="106">
        <v>0</v>
      </c>
      <c r="W228" s="106">
        <v>0.9955634427684118</v>
      </c>
      <c r="X228" s="106">
        <v>1</v>
      </c>
      <c r="Y228" s="106">
        <v>1</v>
      </c>
      <c r="Z228" s="106">
        <v>1</v>
      </c>
      <c r="AA228" s="106">
        <v>1</v>
      </c>
      <c r="AB228" s="106">
        <v>2</v>
      </c>
      <c r="AC228" s="106">
        <v>0</v>
      </c>
      <c r="AD228" s="106">
        <v>0</v>
      </c>
      <c r="AE228" s="106">
        <v>1</v>
      </c>
      <c r="AF228" s="106">
        <v>0</v>
      </c>
      <c r="AG228" s="106">
        <v>7.9955634427684119</v>
      </c>
      <c r="AH228" s="106">
        <v>0.66629695356403429</v>
      </c>
      <c r="AI228" s="337"/>
      <c r="AJ228" s="106"/>
      <c r="AL228" s="106"/>
      <c r="AM228" s="106"/>
      <c r="BJ228" s="104">
        <v>0</v>
      </c>
      <c r="BN228" s="104">
        <v>11.22</v>
      </c>
      <c r="BO228" s="108">
        <v>0.13694843549811436</v>
      </c>
      <c r="BP228" s="108">
        <v>1.094979904413051</v>
      </c>
      <c r="BQ228" s="108">
        <v>11.356948435498115</v>
      </c>
      <c r="BR228" s="95">
        <v>91.204979904413051</v>
      </c>
    </row>
    <row r="229" spans="1:75" outlineLevel="1">
      <c r="A229" s="79" t="s">
        <v>655</v>
      </c>
      <c r="B229" s="79" t="s">
        <v>654</v>
      </c>
      <c r="C229" s="79" t="s">
        <v>653</v>
      </c>
      <c r="D229" s="242">
        <v>89.4</v>
      </c>
      <c r="E229" s="104">
        <v>89.15</v>
      </c>
      <c r="F229" s="104">
        <v>89.4</v>
      </c>
      <c r="G229" s="105">
        <v>0</v>
      </c>
      <c r="H229" s="105">
        <v>0</v>
      </c>
      <c r="I229" s="105">
        <v>0</v>
      </c>
      <c r="J229" s="105">
        <v>89.4</v>
      </c>
      <c r="K229" s="105">
        <v>0</v>
      </c>
      <c r="L229" s="105">
        <v>0</v>
      </c>
      <c r="M229" s="105">
        <v>0</v>
      </c>
      <c r="N229" s="105">
        <v>0</v>
      </c>
      <c r="O229" s="105">
        <v>0</v>
      </c>
      <c r="P229" s="105">
        <v>0</v>
      </c>
      <c r="Q229" s="105">
        <v>0</v>
      </c>
      <c r="R229" s="105">
        <v>0</v>
      </c>
      <c r="S229" s="249">
        <v>89.4</v>
      </c>
      <c r="T229" s="249"/>
      <c r="U229" s="106">
        <v>0</v>
      </c>
      <c r="V229" s="106">
        <v>0</v>
      </c>
      <c r="W229" s="106">
        <v>0</v>
      </c>
      <c r="X229" s="106">
        <v>1.0028042624789679</v>
      </c>
      <c r="Y229" s="106">
        <v>0</v>
      </c>
      <c r="Z229" s="106">
        <v>0</v>
      </c>
      <c r="AA229" s="106">
        <v>0</v>
      </c>
      <c r="AB229" s="106">
        <v>0</v>
      </c>
      <c r="AC229" s="106">
        <v>0</v>
      </c>
      <c r="AD229" s="106">
        <v>0</v>
      </c>
      <c r="AE229" s="106">
        <v>0</v>
      </c>
      <c r="AF229" s="106">
        <v>0</v>
      </c>
      <c r="AG229" s="106">
        <v>1.0028042624789679</v>
      </c>
      <c r="AH229" s="106">
        <v>8.3567021873247327E-2</v>
      </c>
      <c r="AI229" s="337"/>
      <c r="AJ229" s="106"/>
      <c r="AL229" s="106"/>
      <c r="AM229" s="106"/>
      <c r="BJ229" s="104">
        <v>0</v>
      </c>
      <c r="BN229" s="104">
        <v>89.4</v>
      </c>
      <c r="BO229" s="108">
        <v>1.0911934165357777</v>
      </c>
      <c r="BP229" s="108">
        <v>1.0942534092910658</v>
      </c>
      <c r="BQ229" s="108">
        <v>90.491193416535779</v>
      </c>
      <c r="BR229" s="95">
        <v>90.494253409291076</v>
      </c>
    </row>
    <row r="230" spans="1:75" outlineLevel="1">
      <c r="A230" s="79" t="s">
        <v>652</v>
      </c>
      <c r="B230" s="79" t="s">
        <v>651</v>
      </c>
      <c r="C230" s="79" t="s">
        <v>561</v>
      </c>
      <c r="D230" s="104">
        <v>97.31</v>
      </c>
      <c r="E230" s="104">
        <v>97.77</v>
      </c>
      <c r="F230" s="104">
        <v>97.77</v>
      </c>
      <c r="G230" s="105">
        <v>0</v>
      </c>
      <c r="H230" s="105">
        <v>0</v>
      </c>
      <c r="I230" s="104">
        <v>96.77</v>
      </c>
      <c r="J230" s="105">
        <v>0</v>
      </c>
      <c r="K230" s="104">
        <v>97.77</v>
      </c>
      <c r="L230" s="105">
        <v>0</v>
      </c>
      <c r="M230" s="105">
        <v>0</v>
      </c>
      <c r="N230" s="105">
        <v>0</v>
      </c>
      <c r="O230" s="105">
        <v>0</v>
      </c>
      <c r="P230" s="105">
        <v>0</v>
      </c>
      <c r="Q230" s="105">
        <v>0</v>
      </c>
      <c r="R230" s="105">
        <v>0</v>
      </c>
      <c r="S230" s="249">
        <v>194.54</v>
      </c>
      <c r="T230" s="249"/>
      <c r="U230" s="106">
        <v>0</v>
      </c>
      <c r="V230" s="106">
        <v>0</v>
      </c>
      <c r="W230" s="106">
        <v>0.98977191367495143</v>
      </c>
      <c r="X230" s="106">
        <v>0</v>
      </c>
      <c r="Y230" s="106">
        <v>1</v>
      </c>
      <c r="Z230" s="106">
        <v>0</v>
      </c>
      <c r="AA230" s="106">
        <v>0</v>
      </c>
      <c r="AB230" s="106">
        <v>0</v>
      </c>
      <c r="AC230" s="106">
        <v>0</v>
      </c>
      <c r="AD230" s="106">
        <v>0</v>
      </c>
      <c r="AE230" s="106">
        <v>0</v>
      </c>
      <c r="AF230" s="106">
        <v>0</v>
      </c>
      <c r="AG230" s="106">
        <v>1.9897719136749514</v>
      </c>
      <c r="AH230" s="106">
        <v>0.16581432613957928</v>
      </c>
      <c r="AI230" s="337"/>
      <c r="AJ230" s="106"/>
      <c r="AL230" s="106"/>
      <c r="AM230" s="106"/>
      <c r="BJ230" s="104">
        <v>0</v>
      </c>
      <c r="BO230" s="108">
        <v>0</v>
      </c>
      <c r="BP230" s="108">
        <v>0</v>
      </c>
      <c r="BQ230" s="108">
        <v>0</v>
      </c>
      <c r="BR230" s="95">
        <v>194.54</v>
      </c>
    </row>
    <row r="231" spans="1:75" outlineLevel="1">
      <c r="A231" s="79" t="s">
        <v>650</v>
      </c>
      <c r="B231" s="79" t="s">
        <v>649</v>
      </c>
      <c r="C231" s="79" t="s">
        <v>648</v>
      </c>
      <c r="D231" s="242">
        <v>132.37</v>
      </c>
      <c r="E231" s="104">
        <v>132</v>
      </c>
      <c r="F231" s="104">
        <v>132.37</v>
      </c>
      <c r="G231" s="105">
        <v>0</v>
      </c>
      <c r="H231" s="105">
        <v>0</v>
      </c>
      <c r="I231" s="105">
        <v>0</v>
      </c>
      <c r="J231" s="105">
        <v>0</v>
      </c>
      <c r="K231" s="105">
        <v>0</v>
      </c>
      <c r="L231" s="105">
        <v>132.99</v>
      </c>
      <c r="M231" s="105">
        <v>0</v>
      </c>
      <c r="N231" s="105">
        <v>0</v>
      </c>
      <c r="O231" s="105">
        <v>0</v>
      </c>
      <c r="P231" s="105">
        <v>0</v>
      </c>
      <c r="Q231" s="105">
        <v>0</v>
      </c>
      <c r="R231" s="105">
        <v>0</v>
      </c>
      <c r="S231" s="249">
        <v>132.99</v>
      </c>
      <c r="T231" s="249"/>
      <c r="U231" s="106">
        <v>0</v>
      </c>
      <c r="V231" s="106">
        <v>0</v>
      </c>
      <c r="W231" s="106">
        <v>0</v>
      </c>
      <c r="X231" s="106">
        <v>0</v>
      </c>
      <c r="Y231" s="106">
        <v>0</v>
      </c>
      <c r="Z231" s="106">
        <v>1.0075000000000001</v>
      </c>
      <c r="AA231" s="106">
        <v>0</v>
      </c>
      <c r="AB231" s="106">
        <v>0</v>
      </c>
      <c r="AC231" s="106">
        <v>0</v>
      </c>
      <c r="AD231" s="106">
        <v>0</v>
      </c>
      <c r="AE231" s="106">
        <v>0</v>
      </c>
      <c r="AF231" s="106">
        <v>0</v>
      </c>
      <c r="AG231" s="106">
        <v>1.0075000000000001</v>
      </c>
      <c r="AH231" s="106">
        <v>8.3958333333333343E-2</v>
      </c>
      <c r="AI231" s="337"/>
      <c r="AJ231" s="106"/>
      <c r="AL231" s="106"/>
      <c r="AM231" s="106"/>
      <c r="BJ231" s="104">
        <v>0</v>
      </c>
      <c r="BN231" s="104">
        <v>132.37</v>
      </c>
      <c r="BO231" s="108">
        <v>1.6156741895619786</v>
      </c>
      <c r="BP231" s="108">
        <v>1.6277917459836937</v>
      </c>
      <c r="BQ231" s="108">
        <v>133.98567418956199</v>
      </c>
      <c r="BR231" s="95">
        <v>134.61779174598371</v>
      </c>
    </row>
    <row r="232" spans="1:75" outlineLevel="1">
      <c r="A232" s="79" t="str">
        <f>+$A$4&amp;$A$196&amp;B232</f>
        <v>MURREYSROLL OFFOT-RO</v>
      </c>
      <c r="B232" s="79" t="s">
        <v>647</v>
      </c>
      <c r="C232" s="79" t="s">
        <v>646</v>
      </c>
      <c r="D232" s="104">
        <v>76.31</v>
      </c>
      <c r="E232" s="104">
        <v>76.67</v>
      </c>
      <c r="F232" s="104">
        <v>76.67</v>
      </c>
      <c r="G232" s="105">
        <v>0</v>
      </c>
      <c r="H232" s="105">
        <v>0</v>
      </c>
      <c r="I232" s="105">
        <v>0</v>
      </c>
      <c r="J232" s="105">
        <v>0</v>
      </c>
      <c r="K232" s="105">
        <v>0</v>
      </c>
      <c r="L232" s="105">
        <v>0</v>
      </c>
      <c r="M232" s="105">
        <v>0</v>
      </c>
      <c r="N232" s="105">
        <v>0</v>
      </c>
      <c r="O232" s="105">
        <v>0</v>
      </c>
      <c r="P232" s="105">
        <v>0</v>
      </c>
      <c r="Q232" s="105">
        <v>0</v>
      </c>
      <c r="R232" s="105">
        <v>766.7</v>
      </c>
      <c r="S232" s="249">
        <v>766.7</v>
      </c>
      <c r="T232" s="249"/>
      <c r="U232" s="106">
        <v>0</v>
      </c>
      <c r="V232" s="106">
        <v>0</v>
      </c>
      <c r="W232" s="106">
        <v>0</v>
      </c>
      <c r="X232" s="106">
        <v>0</v>
      </c>
      <c r="Y232" s="106">
        <v>0</v>
      </c>
      <c r="Z232" s="106">
        <v>0</v>
      </c>
      <c r="AA232" s="106">
        <v>0</v>
      </c>
      <c r="AB232" s="106">
        <v>0</v>
      </c>
      <c r="AC232" s="106">
        <v>0</v>
      </c>
      <c r="AD232" s="106">
        <v>0</v>
      </c>
      <c r="AE232" s="106">
        <v>0</v>
      </c>
      <c r="AF232" s="106">
        <v>10</v>
      </c>
      <c r="AG232" s="106">
        <v>10</v>
      </c>
      <c r="AH232" s="106">
        <v>0.83333333333333337</v>
      </c>
      <c r="AI232" s="337"/>
      <c r="AJ232" s="106"/>
      <c r="AL232" s="106"/>
      <c r="AM232" s="106"/>
      <c r="BJ232" s="104">
        <v>0</v>
      </c>
      <c r="BN232" s="104">
        <v>76.31</v>
      </c>
      <c r="BO232" s="108">
        <v>0.93142024178797755</v>
      </c>
      <c r="BP232" s="108">
        <v>9.3142024178797769</v>
      </c>
      <c r="BQ232" s="108">
        <v>77.241420241787978</v>
      </c>
      <c r="BR232" s="95">
        <v>776.0142024178798</v>
      </c>
    </row>
    <row r="233" spans="1:75" outlineLevel="1">
      <c r="A233" s="79" t="str">
        <f>+$A$4&amp;$A$196&amp;B233</f>
        <v>MURREYSROLL OFFTARP-RO</v>
      </c>
      <c r="B233" s="79" t="s">
        <v>645</v>
      </c>
      <c r="C233" s="79" t="s">
        <v>644</v>
      </c>
      <c r="D233" s="242">
        <v>12.98</v>
      </c>
      <c r="E233" s="104">
        <v>13.04</v>
      </c>
      <c r="F233" s="104">
        <v>13.04</v>
      </c>
      <c r="G233" s="105">
        <v>687.94</v>
      </c>
      <c r="H233" s="105">
        <v>597.07999999999993</v>
      </c>
      <c r="I233" s="105">
        <v>558.14</v>
      </c>
      <c r="J233" s="105">
        <v>625.43999999999994</v>
      </c>
      <c r="K233" s="105">
        <v>612.88</v>
      </c>
      <c r="L233" s="105">
        <v>691.12</v>
      </c>
      <c r="M233" s="105">
        <v>795.44</v>
      </c>
      <c r="N233" s="105">
        <v>860.64</v>
      </c>
      <c r="O233" s="105">
        <v>743.28</v>
      </c>
      <c r="P233" s="105">
        <v>808.48</v>
      </c>
      <c r="Q233" s="105">
        <v>743.28</v>
      </c>
      <c r="R233" s="105">
        <v>704.16</v>
      </c>
      <c r="S233" s="249">
        <v>8427.880000000001</v>
      </c>
      <c r="T233" s="249"/>
      <c r="U233" s="106">
        <v>52.75613496932516</v>
      </c>
      <c r="V233" s="106">
        <v>45.788343558282207</v>
      </c>
      <c r="W233" s="106">
        <v>42.802147239263803</v>
      </c>
      <c r="X233" s="106">
        <v>47.963190184049076</v>
      </c>
      <c r="Y233" s="106">
        <v>47</v>
      </c>
      <c r="Z233" s="106">
        <v>53.000000000000007</v>
      </c>
      <c r="AA233" s="106">
        <v>61.000000000000007</v>
      </c>
      <c r="AB233" s="106">
        <v>66</v>
      </c>
      <c r="AC233" s="106">
        <v>57</v>
      </c>
      <c r="AD233" s="106">
        <v>62.000000000000007</v>
      </c>
      <c r="AE233" s="106">
        <v>57</v>
      </c>
      <c r="AF233" s="106">
        <v>54</v>
      </c>
      <c r="AG233" s="106">
        <v>646.30981595092032</v>
      </c>
      <c r="AH233" s="106">
        <v>53.85915132924336</v>
      </c>
      <c r="AI233" s="337"/>
      <c r="AJ233" s="106"/>
      <c r="AL233" s="106"/>
      <c r="AM233" s="106"/>
      <c r="BJ233" s="104">
        <v>0</v>
      </c>
      <c r="BN233" s="104">
        <v>12.98</v>
      </c>
      <c r="BO233" s="108">
        <v>0.15843054302723036</v>
      </c>
      <c r="BP233" s="108">
        <v>102.39521510493361</v>
      </c>
      <c r="BQ233" s="108">
        <v>13.13843054302723</v>
      </c>
      <c r="BR233" s="95">
        <v>8530.2752151049353</v>
      </c>
    </row>
    <row r="234" spans="1:75" outlineLevel="1">
      <c r="A234" s="79" t="str">
        <f>+$A$4&amp;$A$196&amp;B234</f>
        <v>MURREYSROLL OFFTIME-RO</v>
      </c>
      <c r="B234" s="79" t="s">
        <v>643</v>
      </c>
      <c r="C234" s="79" t="s">
        <v>642</v>
      </c>
      <c r="D234" s="242">
        <v>103.58</v>
      </c>
      <c r="E234" s="104">
        <v>104.06</v>
      </c>
      <c r="F234" s="104">
        <v>104.06</v>
      </c>
      <c r="G234" s="105">
        <v>1191.21</v>
      </c>
      <c r="H234" s="105">
        <v>1398.3899999999999</v>
      </c>
      <c r="I234" s="105">
        <v>880.44</v>
      </c>
      <c r="J234" s="105">
        <v>1498.85</v>
      </c>
      <c r="K234" s="105">
        <v>1274.78</v>
      </c>
      <c r="L234" s="105">
        <v>1482.91</v>
      </c>
      <c r="M234" s="105">
        <v>1847.1599999999999</v>
      </c>
      <c r="N234" s="105">
        <v>2263.41</v>
      </c>
      <c r="O234" s="105">
        <v>1170.71</v>
      </c>
      <c r="P234" s="105">
        <v>2703.3999999999996</v>
      </c>
      <c r="Q234" s="105">
        <v>2107.27</v>
      </c>
      <c r="R234" s="105">
        <v>12573.849999999999</v>
      </c>
      <c r="S234" s="249">
        <v>30392.379999999994</v>
      </c>
      <c r="T234" s="249"/>
      <c r="U234" s="106">
        <v>11.447338074187968</v>
      </c>
      <c r="V234" s="106">
        <v>13.438304824139918</v>
      </c>
      <c r="W234" s="106">
        <v>8.4608879492600426</v>
      </c>
      <c r="X234" s="106">
        <v>14.403709398423985</v>
      </c>
      <c r="Y234" s="106">
        <v>12.250432442821449</v>
      </c>
      <c r="Z234" s="106">
        <v>14.250528541226217</v>
      </c>
      <c r="AA234" s="106">
        <v>17.750912934845278</v>
      </c>
      <c r="AB234" s="106">
        <v>21.751009033250046</v>
      </c>
      <c r="AC234" s="106">
        <v>11.250336344416683</v>
      </c>
      <c r="AD234" s="106">
        <v>25.979242744570435</v>
      </c>
      <c r="AE234" s="106">
        <v>20.250528541226213</v>
      </c>
      <c r="AF234" s="106">
        <v>120.83269267730154</v>
      </c>
      <c r="AG234" s="106">
        <v>292.06592350566973</v>
      </c>
      <c r="AH234" s="106">
        <v>24.338826958805811</v>
      </c>
      <c r="AI234" s="337"/>
      <c r="AJ234" s="106"/>
      <c r="AL234" s="106"/>
      <c r="AM234" s="106"/>
      <c r="BJ234" s="104">
        <v>0</v>
      </c>
      <c r="BK234" s="94"/>
      <c r="BL234" s="104"/>
      <c r="BN234" s="104">
        <v>103.58</v>
      </c>
      <c r="BO234" s="108">
        <v>1.2642708510601324</v>
      </c>
      <c r="BP234" s="108">
        <v>369.25043367617661</v>
      </c>
      <c r="BQ234" s="108">
        <v>104.84427085106013</v>
      </c>
      <c r="BR234" s="95">
        <v>30761.630433676171</v>
      </c>
    </row>
    <row r="235" spans="1:75" outlineLevel="1">
      <c r="A235" s="79" t="str">
        <f>+$A$4&amp;$A$196&amp;B235</f>
        <v>MURREYSROLL OFFADJRO</v>
      </c>
      <c r="B235" s="79" t="s">
        <v>550</v>
      </c>
      <c r="C235" s="79" t="s">
        <v>551</v>
      </c>
      <c r="D235" s="242">
        <v>0</v>
      </c>
      <c r="E235" s="104">
        <v>0</v>
      </c>
      <c r="F235" s="104">
        <v>0</v>
      </c>
      <c r="G235" s="105">
        <v>0</v>
      </c>
      <c r="H235" s="105">
        <v>-4.78</v>
      </c>
      <c r="I235" s="105">
        <v>351.41</v>
      </c>
      <c r="J235" s="105">
        <v>-351.40999999999985</v>
      </c>
      <c r="K235" s="105">
        <v>0</v>
      </c>
      <c r="L235" s="105">
        <v>0</v>
      </c>
      <c r="M235" s="105">
        <v>0</v>
      </c>
      <c r="N235" s="105">
        <v>0</v>
      </c>
      <c r="O235" s="105">
        <v>0</v>
      </c>
      <c r="P235" s="105">
        <v>0</v>
      </c>
      <c r="Q235" s="105">
        <v>0</v>
      </c>
      <c r="R235" s="105">
        <v>0</v>
      </c>
      <c r="S235" s="249">
        <v>-4.7799999999998022</v>
      </c>
      <c r="T235" s="249"/>
      <c r="U235" s="106">
        <v>0</v>
      </c>
      <c r="V235" s="106">
        <v>0</v>
      </c>
      <c r="W235" s="106">
        <v>0</v>
      </c>
      <c r="X235" s="106">
        <v>0</v>
      </c>
      <c r="Y235" s="106">
        <v>0</v>
      </c>
      <c r="Z235" s="106">
        <v>0</v>
      </c>
      <c r="AA235" s="106">
        <v>0</v>
      </c>
      <c r="AB235" s="106">
        <v>0</v>
      </c>
      <c r="AC235" s="106">
        <v>0</v>
      </c>
      <c r="AD235" s="106">
        <v>0</v>
      </c>
      <c r="AE235" s="106">
        <v>0</v>
      </c>
      <c r="AF235" s="106">
        <v>0</v>
      </c>
      <c r="AG235" s="106">
        <v>0</v>
      </c>
      <c r="AH235" s="106">
        <v>0</v>
      </c>
      <c r="AI235" s="337"/>
      <c r="AJ235" s="106"/>
      <c r="AL235" s="106"/>
      <c r="AM235" s="106"/>
      <c r="BJ235" s="104">
        <v>0</v>
      </c>
      <c r="BK235" s="94"/>
      <c r="BL235" s="104"/>
      <c r="BO235" s="108">
        <v>0</v>
      </c>
      <c r="BP235" s="108">
        <v>0</v>
      </c>
      <c r="BQ235" s="108">
        <v>0</v>
      </c>
      <c r="BR235" s="95">
        <v>-4.7799999999998022</v>
      </c>
    </row>
    <row r="236" spans="1:75" outlineLevel="1">
      <c r="E236" s="104"/>
      <c r="F236" s="104"/>
      <c r="G236" s="247"/>
      <c r="H236" s="247"/>
      <c r="I236" s="247"/>
      <c r="J236" s="247"/>
      <c r="K236" s="247"/>
      <c r="L236" s="247"/>
      <c r="M236" s="104"/>
      <c r="N236" s="105"/>
      <c r="O236" s="105"/>
      <c r="P236" s="105"/>
      <c r="Q236" s="105"/>
      <c r="R236" s="105"/>
      <c r="AB236" s="106"/>
      <c r="AC236" s="106"/>
      <c r="AD236" s="106"/>
      <c r="AE236" s="106"/>
      <c r="AF236" s="106"/>
      <c r="AG236" s="106"/>
      <c r="AH236" s="106"/>
      <c r="AI236" s="337"/>
      <c r="AJ236" s="106"/>
      <c r="AL236" s="106"/>
      <c r="AM236" s="106"/>
      <c r="BJ236" s="104">
        <v>0</v>
      </c>
      <c r="BK236" s="94"/>
      <c r="BL236" s="104"/>
      <c r="BO236" s="108"/>
      <c r="BP236" s="108"/>
      <c r="BQ236" s="108"/>
      <c r="BR236" s="108"/>
    </row>
    <row r="237" spans="1:75" outlineLevel="1">
      <c r="C237" s="107" t="s">
        <v>562</v>
      </c>
      <c r="D237" s="248"/>
      <c r="E237" s="104"/>
      <c r="F237" s="104"/>
      <c r="G237" s="109">
        <v>235014.03</v>
      </c>
      <c r="H237" s="109">
        <v>225510.69999999998</v>
      </c>
      <c r="I237" s="109">
        <v>235374.27999999994</v>
      </c>
      <c r="J237" s="109">
        <v>234494.4</v>
      </c>
      <c r="K237" s="109">
        <v>245950.63999999993</v>
      </c>
      <c r="L237" s="109">
        <v>229625.07</v>
      </c>
      <c r="M237" s="109">
        <v>231766.06999999998</v>
      </c>
      <c r="N237" s="109">
        <v>257160.69000000006</v>
      </c>
      <c r="O237" s="109">
        <v>227090.09</v>
      </c>
      <c r="P237" s="109">
        <v>262869.30000000005</v>
      </c>
      <c r="Q237" s="109">
        <v>249891.91999999998</v>
      </c>
      <c r="R237" s="109">
        <v>275374.19</v>
      </c>
      <c r="S237" s="109">
        <v>2910121.38</v>
      </c>
      <c r="T237" s="109"/>
      <c r="U237" s="109">
        <v>290.09737611935617</v>
      </c>
      <c r="V237" s="109">
        <v>304.86383903708827</v>
      </c>
      <c r="W237" s="109">
        <v>304.99666587237573</v>
      </c>
      <c r="X237" s="109">
        <v>316.72878937445364</v>
      </c>
      <c r="Y237" s="109">
        <v>306.10226017690525</v>
      </c>
      <c r="Z237" s="109">
        <v>294.53424969444177</v>
      </c>
      <c r="AA237" s="109">
        <v>288.66200403019189</v>
      </c>
      <c r="AB237" s="109">
        <v>293.22610250600769</v>
      </c>
      <c r="AC237" s="109">
        <v>302.18625155877641</v>
      </c>
      <c r="AD237" s="109">
        <v>310.52415955491483</v>
      </c>
      <c r="AE237" s="109">
        <v>308.56410020106978</v>
      </c>
      <c r="AF237" s="109">
        <v>325.72046230964821</v>
      </c>
      <c r="AG237" s="109">
        <v>3646.20626043523</v>
      </c>
      <c r="AH237" s="109">
        <v>303.85052170293574</v>
      </c>
      <c r="AI237" s="338"/>
      <c r="AJ237" s="110"/>
      <c r="AL237" s="106"/>
      <c r="AM237" s="106"/>
      <c r="AO237" s="94"/>
      <c r="AP237" s="94"/>
      <c r="BF237" s="252">
        <v>0</v>
      </c>
      <c r="BG237" s="252">
        <v>0</v>
      </c>
      <c r="BH237" s="252">
        <v>303.85052170293574</v>
      </c>
      <c r="BI237" s="252">
        <v>0</v>
      </c>
      <c r="BJ237" s="109">
        <v>303.85052170293574</v>
      </c>
      <c r="BK237" s="251" t="s">
        <v>591</v>
      </c>
      <c r="BL237" s="250">
        <v>0</v>
      </c>
      <c r="BN237" s="109">
        <v>3850.95</v>
      </c>
      <c r="BO237" s="109">
        <v>47.003705675709753</v>
      </c>
      <c r="BP237" s="109">
        <v>35391.997438837745</v>
      </c>
      <c r="BQ237" s="109">
        <v>3897.9537056757099</v>
      </c>
      <c r="BR237" s="109">
        <v>2945513.3774388386</v>
      </c>
      <c r="BW237" s="244"/>
    </row>
    <row r="238" spans="1:75" outlineLevel="1">
      <c r="E238" s="104"/>
      <c r="F238" s="104"/>
      <c r="G238" s="247"/>
      <c r="H238" s="247"/>
      <c r="I238" s="247"/>
      <c r="J238" s="247"/>
      <c r="K238" s="247"/>
      <c r="L238" s="247"/>
      <c r="M238" s="104"/>
      <c r="N238" s="105"/>
      <c r="O238" s="105"/>
      <c r="P238" s="105"/>
      <c r="Q238" s="105"/>
      <c r="R238" s="105"/>
      <c r="AB238" s="106"/>
      <c r="AC238" s="106"/>
      <c r="AD238" s="106"/>
      <c r="AE238" s="106"/>
      <c r="AF238" s="106"/>
      <c r="AG238" s="106"/>
      <c r="AH238" s="106"/>
      <c r="AI238" s="337"/>
      <c r="AJ238" s="106"/>
      <c r="AL238" s="106"/>
      <c r="AM238" s="106"/>
      <c r="AO238" s="94"/>
      <c r="AP238" s="94"/>
      <c r="BJ238" s="104">
        <v>0</v>
      </c>
      <c r="BO238" s="108"/>
      <c r="BP238" s="108"/>
      <c r="BQ238" s="108"/>
      <c r="BR238" s="108"/>
    </row>
    <row r="239" spans="1:75" outlineLevel="1">
      <c r="B239" s="94" t="s">
        <v>563</v>
      </c>
      <c r="E239" s="104"/>
      <c r="F239" s="104"/>
      <c r="G239" s="247"/>
      <c r="H239" s="247"/>
      <c r="I239" s="247"/>
      <c r="J239" s="247"/>
      <c r="K239" s="247"/>
      <c r="L239" s="247"/>
      <c r="M239" s="104"/>
      <c r="N239" s="105"/>
      <c r="O239" s="105"/>
      <c r="P239" s="105"/>
      <c r="Q239" s="105"/>
      <c r="R239" s="105"/>
      <c r="AB239" s="106"/>
      <c r="AC239" s="106"/>
      <c r="AD239" s="106"/>
      <c r="AE239" s="106"/>
      <c r="AF239" s="106"/>
      <c r="AG239" s="106"/>
      <c r="AH239" s="106"/>
      <c r="AI239" s="337"/>
      <c r="AJ239" s="106"/>
      <c r="AL239" s="106"/>
      <c r="AM239" s="106"/>
      <c r="AO239" s="94"/>
      <c r="AP239" s="94"/>
      <c r="BJ239" s="104">
        <v>0</v>
      </c>
      <c r="BO239" s="108"/>
      <c r="BP239" s="108"/>
      <c r="BQ239" s="108"/>
      <c r="BR239" s="108"/>
    </row>
    <row r="240" spans="1:75" outlineLevel="1">
      <c r="A240" s="79" t="str">
        <f>+$A$4&amp;$A$196&amp;B240</f>
        <v>MURREYSROLL OFFDISP</v>
      </c>
      <c r="B240" s="79" t="s">
        <v>564</v>
      </c>
      <c r="C240" s="79" t="s">
        <v>565</v>
      </c>
      <c r="D240" s="242">
        <v>168.51</v>
      </c>
      <c r="E240" s="104">
        <v>168.51</v>
      </c>
      <c r="F240" s="104">
        <v>166.45</v>
      </c>
      <c r="G240" s="105">
        <v>427241.98</v>
      </c>
      <c r="H240" s="105">
        <v>402280.71</v>
      </c>
      <c r="I240" s="105">
        <v>420054.93</v>
      </c>
      <c r="J240" s="105">
        <v>426254.62</v>
      </c>
      <c r="K240" s="105">
        <v>459927.9</v>
      </c>
      <c r="L240" s="105">
        <v>445832.08999999997</v>
      </c>
      <c r="M240" s="105">
        <v>435907.89999999997</v>
      </c>
      <c r="N240" s="105">
        <v>471079.83999999997</v>
      </c>
      <c r="O240" s="105">
        <v>401008.33999999997</v>
      </c>
      <c r="P240" s="105">
        <v>468482.10000000003</v>
      </c>
      <c r="Q240" s="105">
        <v>439368.31999999995</v>
      </c>
      <c r="R240" s="105">
        <v>504490.45</v>
      </c>
      <c r="S240" s="249">
        <v>5301929.18</v>
      </c>
      <c r="T240" s="249"/>
      <c r="U240" s="106">
        <v>2535.4102427155658</v>
      </c>
      <c r="V240" s="106">
        <v>2387.2809328823218</v>
      </c>
      <c r="W240" s="106">
        <v>2492.7596581805237</v>
      </c>
      <c r="X240" s="106">
        <v>2529.5508871877041</v>
      </c>
      <c r="Y240" s="106">
        <v>2729.3804521986826</v>
      </c>
      <c r="Z240" s="106">
        <v>2645.7307578185269</v>
      </c>
      <c r="AA240" s="106">
        <v>2586.8369829683697</v>
      </c>
      <c r="AB240" s="106">
        <v>2795.5601447985282</v>
      </c>
      <c r="AC240" s="106">
        <v>2379.7302237255949</v>
      </c>
      <c r="AD240" s="106">
        <v>2814.5515169720643</v>
      </c>
      <c r="AE240" s="106">
        <v>2639.6414538900572</v>
      </c>
      <c r="AF240" s="106">
        <v>3030.8828477020129</v>
      </c>
      <c r="AG240" s="106">
        <v>31567.316101039949</v>
      </c>
      <c r="AH240" s="106">
        <v>2630.6096750866623</v>
      </c>
      <c r="AI240" s="337"/>
      <c r="AJ240" s="106"/>
      <c r="AL240" s="106"/>
      <c r="AM240" s="106"/>
      <c r="BJ240" s="104">
        <v>0</v>
      </c>
      <c r="BO240" s="108">
        <v>0</v>
      </c>
      <c r="BP240" s="108">
        <v>0</v>
      </c>
      <c r="BQ240" s="108">
        <v>0</v>
      </c>
      <c r="BR240" s="95">
        <v>5301929.18</v>
      </c>
    </row>
    <row r="241" spans="1:75" outlineLevel="1">
      <c r="E241" s="104"/>
      <c r="F241" s="104"/>
      <c r="G241" s="247"/>
      <c r="H241" s="247"/>
      <c r="I241" s="247"/>
      <c r="J241" s="247"/>
      <c r="K241" s="247"/>
      <c r="L241" s="247"/>
      <c r="M241" s="104"/>
      <c r="N241" s="105"/>
      <c r="O241" s="105"/>
      <c r="P241" s="105"/>
      <c r="Q241" s="105"/>
      <c r="R241" s="105"/>
      <c r="AB241" s="106"/>
      <c r="AC241" s="106"/>
      <c r="AD241" s="106"/>
      <c r="AE241" s="106"/>
      <c r="AF241" s="106"/>
      <c r="AG241" s="106"/>
      <c r="AH241" s="106"/>
      <c r="AI241" s="337"/>
      <c r="AJ241" s="106"/>
      <c r="AL241" s="106"/>
      <c r="AM241" s="106"/>
      <c r="BJ241" s="104">
        <v>0</v>
      </c>
      <c r="BO241" s="108">
        <v>0</v>
      </c>
      <c r="BP241" s="108">
        <v>0</v>
      </c>
      <c r="BQ241" s="108">
        <v>0</v>
      </c>
      <c r="BR241" s="108">
        <v>0</v>
      </c>
    </row>
    <row r="242" spans="1:75" outlineLevel="1">
      <c r="C242" s="107" t="s">
        <v>566</v>
      </c>
      <c r="D242" s="248"/>
      <c r="E242" s="104"/>
      <c r="F242" s="104"/>
      <c r="G242" s="109">
        <v>427241.98</v>
      </c>
      <c r="H242" s="109">
        <v>402280.71</v>
      </c>
      <c r="I242" s="109">
        <v>420054.93</v>
      </c>
      <c r="J242" s="109">
        <v>426254.62</v>
      </c>
      <c r="K242" s="109">
        <v>459927.9</v>
      </c>
      <c r="L242" s="109">
        <v>445832.08999999997</v>
      </c>
      <c r="M242" s="109">
        <v>435907.89999999997</v>
      </c>
      <c r="N242" s="109">
        <v>471079.83999999997</v>
      </c>
      <c r="O242" s="109">
        <v>401008.33999999997</v>
      </c>
      <c r="P242" s="109">
        <v>468482.10000000003</v>
      </c>
      <c r="Q242" s="109">
        <v>439368.31999999995</v>
      </c>
      <c r="R242" s="109">
        <v>504490.45</v>
      </c>
      <c r="S242" s="109">
        <v>5301929.18</v>
      </c>
      <c r="T242" s="109"/>
      <c r="U242" s="109"/>
      <c r="V242" s="109"/>
      <c r="W242" s="109"/>
      <c r="X242" s="109"/>
      <c r="Y242" s="109"/>
      <c r="Z242" s="109"/>
      <c r="AA242" s="109"/>
      <c r="AB242" s="109"/>
      <c r="AC242" s="109"/>
      <c r="AD242" s="109"/>
      <c r="AE242" s="109"/>
      <c r="AF242" s="109"/>
      <c r="AG242" s="109"/>
      <c r="AH242" s="109"/>
      <c r="AI242" s="338"/>
      <c r="AJ242" s="110"/>
      <c r="AL242" s="106"/>
      <c r="AM242" s="106"/>
      <c r="BJ242" s="104">
        <v>0</v>
      </c>
      <c r="BN242" s="109">
        <v>0</v>
      </c>
      <c r="BO242" s="109">
        <v>0</v>
      </c>
      <c r="BP242" s="109">
        <v>0</v>
      </c>
      <c r="BQ242" s="109">
        <v>0</v>
      </c>
      <c r="BR242" s="109">
        <v>5301929.18</v>
      </c>
      <c r="BW242" s="244"/>
    </row>
    <row r="243" spans="1:75" outlineLevel="1">
      <c r="E243" s="104"/>
      <c r="F243" s="104"/>
      <c r="G243" s="247"/>
      <c r="H243" s="247"/>
      <c r="I243" s="247"/>
      <c r="J243" s="247"/>
      <c r="K243" s="247"/>
      <c r="L243" s="247"/>
      <c r="M243" s="104"/>
      <c r="N243" s="105"/>
      <c r="O243" s="105"/>
      <c r="P243" s="105"/>
      <c r="Q243" s="105"/>
      <c r="R243" s="105"/>
      <c r="AB243" s="106"/>
      <c r="AC243" s="106"/>
      <c r="AD243" s="106"/>
      <c r="AE243" s="106"/>
      <c r="AF243" s="106"/>
      <c r="AG243" s="106"/>
      <c r="AH243" s="106"/>
      <c r="AI243" s="337"/>
      <c r="AJ243" s="106"/>
      <c r="AL243" s="106"/>
      <c r="AM243" s="106"/>
      <c r="BF243" s="239" t="s">
        <v>634</v>
      </c>
      <c r="BG243" s="239" t="s">
        <v>634</v>
      </c>
      <c r="BH243" s="239" t="s">
        <v>635</v>
      </c>
      <c r="BI243" s="239" t="s">
        <v>634</v>
      </c>
      <c r="BJ243" s="104">
        <v>0</v>
      </c>
      <c r="BO243" s="108"/>
      <c r="BP243" s="108"/>
      <c r="BQ243" s="108"/>
      <c r="BR243" s="108"/>
    </row>
    <row r="244" spans="1:75" outlineLevel="1">
      <c r="E244" s="104"/>
      <c r="F244" s="104"/>
      <c r="G244" s="247"/>
      <c r="H244" s="247"/>
      <c r="I244" s="247"/>
      <c r="J244" s="247"/>
      <c r="K244" s="247"/>
      <c r="L244" s="247"/>
      <c r="M244" s="104"/>
      <c r="N244" s="105"/>
      <c r="O244" s="105"/>
      <c r="P244" s="105"/>
      <c r="Q244" s="105"/>
      <c r="R244" s="105"/>
      <c r="AB244" s="106"/>
      <c r="AC244" s="106"/>
      <c r="AD244" s="106"/>
      <c r="AE244" s="106"/>
      <c r="AF244" s="106"/>
      <c r="AG244" s="106"/>
      <c r="AH244" s="106"/>
      <c r="AI244" s="337"/>
      <c r="AJ244" s="106"/>
      <c r="AL244" s="106"/>
      <c r="AM244" s="106"/>
      <c r="AO244" s="94"/>
      <c r="AP244" s="94"/>
      <c r="BF244" s="239" t="s">
        <v>634</v>
      </c>
      <c r="BG244" s="239" t="s">
        <v>634</v>
      </c>
      <c r="BH244" s="239" t="s">
        <v>635</v>
      </c>
      <c r="BI244" s="239" t="s">
        <v>634</v>
      </c>
      <c r="BJ244" s="104">
        <v>0</v>
      </c>
      <c r="BO244" s="108"/>
      <c r="BP244" s="108"/>
      <c r="BQ244" s="108"/>
      <c r="BR244" s="108"/>
    </row>
    <row r="245" spans="1:75" s="94" customFormat="1">
      <c r="B245" s="94" t="s">
        <v>567</v>
      </c>
      <c r="D245" s="246"/>
      <c r="E245" s="104"/>
      <c r="F245" s="104"/>
      <c r="G245" s="111">
        <v>662256.01</v>
      </c>
      <c r="H245" s="111">
        <v>627791.41</v>
      </c>
      <c r="I245" s="111">
        <v>655429.21</v>
      </c>
      <c r="J245" s="111">
        <v>660749.02</v>
      </c>
      <c r="K245" s="111">
        <v>705878.53999999992</v>
      </c>
      <c r="L245" s="111">
        <v>675457.15999999992</v>
      </c>
      <c r="M245" s="111">
        <v>667673.97</v>
      </c>
      <c r="N245" s="111">
        <v>728240.53</v>
      </c>
      <c r="O245" s="111">
        <v>628098.42999999993</v>
      </c>
      <c r="P245" s="111">
        <v>731351.40000000014</v>
      </c>
      <c r="Q245" s="111">
        <v>689260.24</v>
      </c>
      <c r="R245" s="111">
        <v>779864.64</v>
      </c>
      <c r="S245" s="111">
        <v>8212050.5599999996</v>
      </c>
      <c r="T245" s="111"/>
      <c r="U245" s="111">
        <v>290.09737611935617</v>
      </c>
      <c r="V245" s="111">
        <v>304.86383903708827</v>
      </c>
      <c r="W245" s="111">
        <v>304.99666587237573</v>
      </c>
      <c r="X245" s="111">
        <v>316.72878937445364</v>
      </c>
      <c r="Y245" s="111">
        <v>306.10226017690525</v>
      </c>
      <c r="Z245" s="111">
        <v>294.53424969444177</v>
      </c>
      <c r="AA245" s="111">
        <v>288.66200403019189</v>
      </c>
      <c r="AB245" s="111">
        <v>293.22610250600769</v>
      </c>
      <c r="AC245" s="111">
        <v>302.18625155877641</v>
      </c>
      <c r="AD245" s="111">
        <v>310.52415955491483</v>
      </c>
      <c r="AE245" s="111">
        <v>308.56410020106978</v>
      </c>
      <c r="AF245" s="111">
        <v>325.72046230964821</v>
      </c>
      <c r="AG245" s="111">
        <v>3646.20626043523</v>
      </c>
      <c r="AH245" s="111">
        <v>303.85052170293574</v>
      </c>
      <c r="AI245" s="339"/>
      <c r="AJ245" s="111"/>
      <c r="AL245" s="113"/>
      <c r="AM245" s="113"/>
      <c r="BF245" s="239" t="s">
        <v>634</v>
      </c>
      <c r="BG245" s="239" t="s">
        <v>634</v>
      </c>
      <c r="BH245" s="239" t="s">
        <v>635</v>
      </c>
      <c r="BI245" s="239" t="s">
        <v>634</v>
      </c>
      <c r="BJ245" s="104">
        <v>0</v>
      </c>
      <c r="BW245" s="243"/>
    </row>
    <row r="246" spans="1:75" s="94" customFormat="1" outlineLevel="1">
      <c r="D246" s="246"/>
      <c r="E246" s="104"/>
      <c r="F246" s="104"/>
      <c r="G246" s="247"/>
      <c r="H246" s="247"/>
      <c r="I246" s="247"/>
      <c r="J246" s="247"/>
      <c r="K246" s="247"/>
      <c r="L246" s="247"/>
      <c r="M246" s="104"/>
      <c r="N246" s="105"/>
      <c r="O246" s="105"/>
      <c r="P246" s="105"/>
      <c r="Q246" s="105"/>
      <c r="R246" s="105"/>
      <c r="S246" s="240"/>
      <c r="T246" s="240"/>
      <c r="U246" s="240"/>
      <c r="V246" s="240"/>
      <c r="W246" s="240"/>
      <c r="X246" s="240"/>
      <c r="Y246" s="240"/>
      <c r="Z246" s="240"/>
      <c r="AA246" s="240"/>
      <c r="AB246" s="113"/>
      <c r="AC246" s="113"/>
      <c r="AD246" s="113"/>
      <c r="AE246" s="113"/>
      <c r="AF246" s="113"/>
      <c r="AG246" s="113"/>
      <c r="AH246" s="113"/>
      <c r="AI246" s="339"/>
      <c r="AJ246" s="113"/>
      <c r="AL246" s="113"/>
      <c r="AM246" s="113"/>
      <c r="BF246" s="239" t="s">
        <v>634</v>
      </c>
      <c r="BG246" s="239" t="s">
        <v>634</v>
      </c>
      <c r="BH246" s="239" t="s">
        <v>635</v>
      </c>
      <c r="BI246" s="239" t="s">
        <v>634</v>
      </c>
      <c r="BJ246" s="104">
        <v>0</v>
      </c>
      <c r="BN246" s="243"/>
      <c r="BO246" s="108"/>
      <c r="BP246" s="108"/>
      <c r="BQ246" s="108"/>
      <c r="BR246" s="108"/>
      <c r="BW246" s="243"/>
    </row>
    <row r="247" spans="1:75" s="94" customFormat="1" outlineLevel="1">
      <c r="D247" s="246"/>
      <c r="E247" s="104"/>
      <c r="F247" s="104"/>
      <c r="G247" s="247"/>
      <c r="H247" s="247"/>
      <c r="I247" s="247"/>
      <c r="J247" s="247"/>
      <c r="K247" s="247"/>
      <c r="L247" s="247"/>
      <c r="M247" s="104"/>
      <c r="N247" s="105"/>
      <c r="O247" s="105"/>
      <c r="P247" s="105"/>
      <c r="Q247" s="105"/>
      <c r="R247" s="105"/>
      <c r="S247" s="240"/>
      <c r="T247" s="240"/>
      <c r="U247" s="240"/>
      <c r="V247" s="240"/>
      <c r="W247" s="240"/>
      <c r="X247" s="240"/>
      <c r="Y247" s="240"/>
      <c r="Z247" s="240"/>
      <c r="AA247" s="240"/>
      <c r="AB247" s="113"/>
      <c r="AC247" s="113"/>
      <c r="AD247" s="113"/>
      <c r="AE247" s="113"/>
      <c r="AF247" s="113"/>
      <c r="AG247" s="113"/>
      <c r="AH247" s="113"/>
      <c r="AI247" s="339"/>
      <c r="AJ247" s="113"/>
      <c r="AL247" s="113"/>
      <c r="AM247" s="113"/>
      <c r="AO247" s="79"/>
      <c r="AP247" s="79"/>
      <c r="BF247" s="239" t="s">
        <v>634</v>
      </c>
      <c r="BG247" s="239" t="s">
        <v>634</v>
      </c>
      <c r="BH247" s="239" t="s">
        <v>635</v>
      </c>
      <c r="BI247" s="239" t="s">
        <v>634</v>
      </c>
      <c r="BJ247" s="104">
        <v>0</v>
      </c>
      <c r="BN247" s="243"/>
      <c r="BO247" s="108"/>
      <c r="BP247" s="108"/>
      <c r="BQ247" s="108"/>
      <c r="BR247" s="108"/>
      <c r="BW247" s="243"/>
    </row>
    <row r="248" spans="1:75" outlineLevel="1">
      <c r="A248" s="79" t="s">
        <v>568</v>
      </c>
      <c r="B248" s="100" t="s">
        <v>568</v>
      </c>
      <c r="E248" s="104"/>
      <c r="F248" s="104"/>
      <c r="G248" s="247"/>
      <c r="H248" s="247"/>
      <c r="I248" s="247"/>
      <c r="J248" s="247"/>
      <c r="K248" s="247"/>
      <c r="L248" s="247"/>
      <c r="M248" s="104"/>
      <c r="N248" s="105"/>
      <c r="O248" s="105"/>
      <c r="P248" s="105"/>
      <c r="Q248" s="105"/>
      <c r="R248" s="105"/>
      <c r="AB248" s="106"/>
      <c r="AC248" s="106"/>
      <c r="AD248" s="106"/>
      <c r="AE248" s="106"/>
      <c r="AF248" s="106"/>
      <c r="AG248" s="106"/>
      <c r="AH248" s="106"/>
      <c r="AI248" s="337"/>
      <c r="AJ248" s="106"/>
      <c r="AL248" s="106"/>
      <c r="AM248" s="106"/>
      <c r="BF248" s="239" t="s">
        <v>634</v>
      </c>
      <c r="BG248" s="239" t="s">
        <v>634</v>
      </c>
      <c r="BI248" s="239" t="s">
        <v>634</v>
      </c>
      <c r="BJ248" s="104">
        <v>0</v>
      </c>
      <c r="BO248" s="108"/>
      <c r="BP248" s="108"/>
      <c r="BQ248" s="108"/>
      <c r="BR248" s="108"/>
    </row>
    <row r="249" spans="1:75" outlineLevel="1">
      <c r="A249" s="79" t="str">
        <f>+$A$248&amp;B249</f>
        <v>MEDICAL WASTEMD10</v>
      </c>
      <c r="B249" s="79" t="s">
        <v>569</v>
      </c>
      <c r="C249" s="79" t="s">
        <v>570</v>
      </c>
      <c r="D249" s="253">
        <v>23.599999999999998</v>
      </c>
      <c r="E249" s="253">
        <v>23.599999999999998</v>
      </c>
      <c r="F249" s="253">
        <v>23.599999999999998</v>
      </c>
      <c r="G249" s="105">
        <v>590</v>
      </c>
      <c r="H249" s="105">
        <v>306.8</v>
      </c>
      <c r="I249" s="105">
        <v>505.75</v>
      </c>
      <c r="J249" s="105">
        <v>660.8</v>
      </c>
      <c r="K249" s="105">
        <v>424.8</v>
      </c>
      <c r="L249" s="105">
        <v>309.16000000000003</v>
      </c>
      <c r="M249" s="105">
        <v>472</v>
      </c>
      <c r="N249" s="105">
        <v>777.56000000000006</v>
      </c>
      <c r="O249" s="105">
        <v>495.6</v>
      </c>
      <c r="P249" s="105">
        <v>847.4</v>
      </c>
      <c r="Q249" s="105">
        <v>731.6</v>
      </c>
      <c r="R249" s="105">
        <v>472</v>
      </c>
      <c r="S249" s="249">
        <v>6593.47</v>
      </c>
      <c r="T249" s="249"/>
      <c r="U249" s="254">
        <v>25.000000000000004</v>
      </c>
      <c r="V249" s="254">
        <v>13.000000000000002</v>
      </c>
      <c r="W249" s="254">
        <v>21.430084745762713</v>
      </c>
      <c r="X249" s="254">
        <v>28</v>
      </c>
      <c r="Y249" s="254">
        <v>18.000000000000004</v>
      </c>
      <c r="Z249" s="254">
        <v>13.100000000000001</v>
      </c>
      <c r="AA249" s="254">
        <v>20.000000000000004</v>
      </c>
      <c r="AB249" s="254">
        <v>32.947457627118652</v>
      </c>
      <c r="AC249" s="254">
        <v>21.000000000000004</v>
      </c>
      <c r="AD249" s="254">
        <v>35.906779661016948</v>
      </c>
      <c r="AE249" s="254">
        <v>31.000000000000004</v>
      </c>
      <c r="AF249" s="254">
        <v>20.000000000000004</v>
      </c>
      <c r="AG249" s="254">
        <v>279.38432203389834</v>
      </c>
      <c r="AH249" s="254">
        <v>23.282026836158195</v>
      </c>
      <c r="AI249" s="337"/>
      <c r="AJ249" s="106"/>
      <c r="AL249" s="106"/>
      <c r="AM249" s="106"/>
      <c r="BF249" s="239">
        <v>10</v>
      </c>
      <c r="BI249" s="239">
        <v>1</v>
      </c>
      <c r="BJ249" s="104">
        <v>23.282026836158195</v>
      </c>
      <c r="BN249" s="104">
        <v>23.599999999999998</v>
      </c>
      <c r="BO249" s="108">
        <v>0.28805553277678242</v>
      </c>
      <c r="BP249" s="108">
        <v>80.478199732954749</v>
      </c>
      <c r="BQ249" s="108">
        <v>23.888055532776779</v>
      </c>
      <c r="BR249" s="108">
        <v>6673.9481997329549</v>
      </c>
    </row>
    <row r="250" spans="1:75" outlineLevel="1">
      <c r="A250" s="79" t="str">
        <f>+$A$248&amp;B250</f>
        <v>MEDICAL WASTEMD20</v>
      </c>
      <c r="B250" s="79" t="s">
        <v>571</v>
      </c>
      <c r="C250" s="79" t="s">
        <v>572</v>
      </c>
      <c r="D250" s="253">
        <v>47.2</v>
      </c>
      <c r="E250" s="253">
        <v>47.2</v>
      </c>
      <c r="F250" s="253">
        <v>47.2</v>
      </c>
      <c r="G250" s="105">
        <v>5893.6</v>
      </c>
      <c r="H250" s="105">
        <v>3300.8</v>
      </c>
      <c r="I250" s="105">
        <v>3996.8</v>
      </c>
      <c r="J250" s="105">
        <v>4468</v>
      </c>
      <c r="K250" s="105">
        <v>5500.6</v>
      </c>
      <c r="L250" s="105">
        <v>4734.7999999999993</v>
      </c>
      <c r="M250" s="105">
        <v>4353.6000000000004</v>
      </c>
      <c r="N250" s="105">
        <v>5627.5999999999995</v>
      </c>
      <c r="O250" s="105">
        <v>4941.2</v>
      </c>
      <c r="P250" s="105">
        <v>5619.8</v>
      </c>
      <c r="Q250" s="105">
        <v>4814.95</v>
      </c>
      <c r="R250" s="105">
        <v>5055.2000000000007</v>
      </c>
      <c r="S250" s="249">
        <v>58306.95</v>
      </c>
      <c r="T250" s="255"/>
      <c r="U250" s="254">
        <v>124.86440677966101</v>
      </c>
      <c r="V250" s="254">
        <v>69.932203389830505</v>
      </c>
      <c r="W250" s="254">
        <v>84.677966101694921</v>
      </c>
      <c r="X250" s="254">
        <v>94.66101694915254</v>
      </c>
      <c r="Y250" s="254">
        <v>116.53813559322035</v>
      </c>
      <c r="Z250" s="254">
        <v>100.31355932203388</v>
      </c>
      <c r="AA250" s="254">
        <v>92.237288135593218</v>
      </c>
      <c r="AB250" s="254">
        <v>119.22881355932202</v>
      </c>
      <c r="AC250" s="254">
        <v>104.68644067796609</v>
      </c>
      <c r="AD250" s="254">
        <v>119.0635593220339</v>
      </c>
      <c r="AE250" s="254">
        <v>102.01165254237287</v>
      </c>
      <c r="AF250" s="254">
        <v>107.10169491525424</v>
      </c>
      <c r="AG250" s="254">
        <v>1235.3167372881355</v>
      </c>
      <c r="AH250" s="254">
        <v>102.94306144067797</v>
      </c>
      <c r="AI250" s="337"/>
      <c r="AJ250" s="106"/>
      <c r="AL250" s="106"/>
      <c r="AM250" s="106"/>
      <c r="BF250" s="239">
        <v>20</v>
      </c>
      <c r="BI250" s="239">
        <v>1</v>
      </c>
      <c r="BJ250" s="104">
        <v>102.94306144067797</v>
      </c>
      <c r="BN250" s="104">
        <v>47.199999999999996</v>
      </c>
      <c r="BO250" s="108">
        <v>0.57611106555356484</v>
      </c>
      <c r="BP250" s="108">
        <v>711.67964181522098</v>
      </c>
      <c r="BQ250" s="108">
        <v>47.776111065553557</v>
      </c>
      <c r="BR250" s="108">
        <v>59018.62964181522</v>
      </c>
    </row>
    <row r="251" spans="1:75" outlineLevel="1">
      <c r="A251" s="79" t="str">
        <f>+$A$248&amp;B251</f>
        <v>MEDICAL WASTEMD35</v>
      </c>
      <c r="B251" s="79" t="s">
        <v>573</v>
      </c>
      <c r="C251" s="79" t="s">
        <v>574</v>
      </c>
      <c r="D251" s="253">
        <v>82.6</v>
      </c>
      <c r="E251" s="253">
        <v>82.6</v>
      </c>
      <c r="F251" s="253">
        <v>82.6</v>
      </c>
      <c r="G251" s="105">
        <v>7219.4500000000007</v>
      </c>
      <c r="H251" s="105">
        <v>4200.5499999999993</v>
      </c>
      <c r="I251" s="105">
        <v>4782.3999999999996</v>
      </c>
      <c r="J251" s="105">
        <v>5430.95</v>
      </c>
      <c r="K251" s="105">
        <v>5357.8</v>
      </c>
      <c r="L251" s="105">
        <v>5025.75</v>
      </c>
      <c r="M251" s="105">
        <v>4203.1499999999996</v>
      </c>
      <c r="N251" s="105">
        <v>8401.4500000000007</v>
      </c>
      <c r="O251" s="105">
        <v>7677.75</v>
      </c>
      <c r="P251" s="105">
        <v>8606.7099999999991</v>
      </c>
      <c r="Q251" s="105">
        <v>6739.2</v>
      </c>
      <c r="R251" s="105">
        <v>4799.8499999999995</v>
      </c>
      <c r="S251" s="249">
        <v>72445.010000000009</v>
      </c>
      <c r="T251" s="249"/>
      <c r="U251" s="254">
        <v>87.402542372881371</v>
      </c>
      <c r="V251" s="254">
        <v>50.854116222760283</v>
      </c>
      <c r="W251" s="254">
        <v>57.898305084745765</v>
      </c>
      <c r="X251" s="254">
        <v>65.75</v>
      </c>
      <c r="Y251" s="254">
        <v>64.864406779661024</v>
      </c>
      <c r="Z251" s="254">
        <v>60.844430992736079</v>
      </c>
      <c r="AA251" s="254">
        <v>50.885593220338983</v>
      </c>
      <c r="AB251" s="254">
        <v>101.71246973365619</v>
      </c>
      <c r="AC251" s="254">
        <v>92.95096852300243</v>
      </c>
      <c r="AD251" s="254">
        <v>104.19745762711864</v>
      </c>
      <c r="AE251" s="254">
        <v>81.58837772397095</v>
      </c>
      <c r="AF251" s="254">
        <v>58.109564164648909</v>
      </c>
      <c r="AG251" s="254">
        <v>877.05823244552062</v>
      </c>
      <c r="AH251" s="254">
        <v>73.088186037126718</v>
      </c>
      <c r="AI251" s="337"/>
      <c r="AJ251" s="106"/>
      <c r="AL251" s="106"/>
      <c r="AM251" s="106"/>
      <c r="BF251" s="239">
        <v>35</v>
      </c>
      <c r="BI251" s="239">
        <v>1</v>
      </c>
      <c r="BJ251" s="104">
        <v>73.088186037126718</v>
      </c>
      <c r="BN251" s="104">
        <v>82.6</v>
      </c>
      <c r="BO251" s="108">
        <v>1.0081943647187386</v>
      </c>
      <c r="BP251" s="108">
        <v>884.24516748175142</v>
      </c>
      <c r="BQ251" s="108">
        <v>83.608194364718727</v>
      </c>
      <c r="BR251" s="108">
        <v>73329.255167481766</v>
      </c>
    </row>
    <row r="252" spans="1:75" outlineLevel="1">
      <c r="A252" s="79" t="s">
        <v>638</v>
      </c>
      <c r="B252" s="79" t="s">
        <v>641</v>
      </c>
      <c r="C252" s="79" t="s">
        <v>638</v>
      </c>
      <c r="D252" s="253">
        <v>15</v>
      </c>
      <c r="E252" s="253">
        <v>15</v>
      </c>
      <c r="F252" s="253">
        <v>15</v>
      </c>
      <c r="G252" s="105">
        <v>2325</v>
      </c>
      <c r="H252" s="105">
        <v>2400</v>
      </c>
      <c r="I252" s="105">
        <v>2325</v>
      </c>
      <c r="J252" s="105">
        <v>2310</v>
      </c>
      <c r="K252" s="105">
        <v>2385</v>
      </c>
      <c r="L252" s="105">
        <v>2235</v>
      </c>
      <c r="M252" s="105">
        <v>2325</v>
      </c>
      <c r="N252" s="105">
        <v>2100</v>
      </c>
      <c r="O252" s="105">
        <v>2070</v>
      </c>
      <c r="P252" s="105">
        <v>1965</v>
      </c>
      <c r="Q252" s="105">
        <v>2220</v>
      </c>
      <c r="R252" s="105">
        <v>1965</v>
      </c>
      <c r="S252" s="249">
        <v>26625</v>
      </c>
      <c r="T252" s="249"/>
      <c r="U252" s="254">
        <v>155</v>
      </c>
      <c r="V252" s="254">
        <v>160</v>
      </c>
      <c r="W252" s="254">
        <v>155</v>
      </c>
      <c r="X252" s="254">
        <v>154</v>
      </c>
      <c r="Y252" s="254">
        <v>159</v>
      </c>
      <c r="Z252" s="254">
        <v>149</v>
      </c>
      <c r="AA252" s="254">
        <v>155</v>
      </c>
      <c r="AB252" s="254">
        <v>140</v>
      </c>
      <c r="AC252" s="254">
        <v>138</v>
      </c>
      <c r="AD252" s="254">
        <v>131</v>
      </c>
      <c r="AE252" s="254">
        <v>148</v>
      </c>
      <c r="AF252" s="254">
        <v>131</v>
      </c>
      <c r="AG252" s="254">
        <v>1775</v>
      </c>
      <c r="AH252" s="254">
        <v>147.91666666666666</v>
      </c>
      <c r="AI252" s="337"/>
      <c r="AJ252" s="106"/>
      <c r="AL252" s="106"/>
      <c r="AM252" s="106"/>
      <c r="BF252" s="239" t="s">
        <v>634</v>
      </c>
      <c r="BG252" s="239" t="s">
        <v>634</v>
      </c>
      <c r="BI252" s="239" t="s">
        <v>634</v>
      </c>
      <c r="BN252" s="104">
        <v>15</v>
      </c>
      <c r="BO252" s="108">
        <v>0.18308614371405663</v>
      </c>
      <c r="BP252" s="108">
        <v>324.97790509245044</v>
      </c>
      <c r="BQ252" s="108">
        <v>15.183086143714057</v>
      </c>
      <c r="BR252" s="108">
        <v>26949.977905092452</v>
      </c>
    </row>
    <row r="253" spans="1:75" outlineLevel="1">
      <c r="A253" s="79" t="s">
        <v>638</v>
      </c>
      <c r="B253" s="79" t="s">
        <v>640</v>
      </c>
      <c r="C253" s="79" t="s">
        <v>639</v>
      </c>
      <c r="D253" s="253">
        <v>15</v>
      </c>
      <c r="E253" s="253">
        <v>15</v>
      </c>
      <c r="F253" s="253">
        <v>15</v>
      </c>
      <c r="G253" s="105">
        <v>0</v>
      </c>
      <c r="H253" s="105">
        <v>0</v>
      </c>
      <c r="I253" s="105">
        <v>0</v>
      </c>
      <c r="J253" s="105">
        <v>0</v>
      </c>
      <c r="K253" s="105">
        <v>0</v>
      </c>
      <c r="L253" s="105">
        <v>0</v>
      </c>
      <c r="M253" s="105">
        <v>0</v>
      </c>
      <c r="N253" s="105">
        <v>0</v>
      </c>
      <c r="O253" s="105">
        <v>0</v>
      </c>
      <c r="P253" s="105">
        <v>15</v>
      </c>
      <c r="Q253" s="105">
        <v>15</v>
      </c>
      <c r="R253" s="105">
        <v>45</v>
      </c>
      <c r="S253" s="249">
        <v>75</v>
      </c>
      <c r="T253" s="249"/>
      <c r="U253" s="105">
        <v>0</v>
      </c>
      <c r="V253" s="105">
        <v>0</v>
      </c>
      <c r="W253" s="105">
        <v>0</v>
      </c>
      <c r="X253" s="105">
        <v>0</v>
      </c>
      <c r="Y253" s="105">
        <v>0</v>
      </c>
      <c r="Z253" s="105">
        <v>0</v>
      </c>
      <c r="AA253" s="105">
        <v>0</v>
      </c>
      <c r="AB253" s="105">
        <v>0</v>
      </c>
      <c r="AC253" s="105">
        <v>0</v>
      </c>
      <c r="AD253" s="105">
        <v>1</v>
      </c>
      <c r="AE253" s="105">
        <v>1</v>
      </c>
      <c r="AF253" s="105">
        <v>3</v>
      </c>
      <c r="AG253" s="105">
        <v>5</v>
      </c>
      <c r="AH253" s="105">
        <v>0.41666666666666669</v>
      </c>
      <c r="AI253" s="337"/>
      <c r="AJ253" s="106"/>
      <c r="AL253" s="106"/>
      <c r="AM253" s="106"/>
      <c r="BK253" s="94"/>
      <c r="BL253" s="104"/>
      <c r="BN253" s="104">
        <v>15</v>
      </c>
      <c r="BO253" s="108">
        <v>0.18308614371405663</v>
      </c>
      <c r="BP253" s="108">
        <v>0.91543071857028324</v>
      </c>
      <c r="BQ253" s="108">
        <v>15.183086143714057</v>
      </c>
      <c r="BR253" s="108">
        <v>75.915430718570278</v>
      </c>
    </row>
    <row r="254" spans="1:75" outlineLevel="1">
      <c r="A254" s="79" t="s">
        <v>638</v>
      </c>
      <c r="B254" s="79" t="s">
        <v>637</v>
      </c>
      <c r="C254" s="79" t="s">
        <v>636</v>
      </c>
      <c r="D254" s="242">
        <v>0</v>
      </c>
      <c r="E254" s="104"/>
      <c r="F254" s="104"/>
      <c r="G254" s="105">
        <v>150</v>
      </c>
      <c r="H254" s="105">
        <v>15</v>
      </c>
      <c r="I254" s="105">
        <v>0</v>
      </c>
      <c r="J254" s="105">
        <v>330</v>
      </c>
      <c r="K254" s="105">
        <v>105</v>
      </c>
      <c r="L254" s="105">
        <v>165</v>
      </c>
      <c r="M254" s="105">
        <v>150</v>
      </c>
      <c r="N254" s="105">
        <v>135</v>
      </c>
      <c r="O254" s="105">
        <v>105</v>
      </c>
      <c r="P254" s="105">
        <v>180</v>
      </c>
      <c r="Q254" s="105">
        <v>135</v>
      </c>
      <c r="R254" s="105">
        <v>75</v>
      </c>
      <c r="S254" s="249">
        <v>1545</v>
      </c>
      <c r="T254" s="249"/>
      <c r="U254" s="106">
        <v>0</v>
      </c>
      <c r="V254" s="106">
        <v>0</v>
      </c>
      <c r="W254" s="106">
        <v>0</v>
      </c>
      <c r="X254" s="106">
        <v>0</v>
      </c>
      <c r="Y254" s="106">
        <v>0</v>
      </c>
      <c r="Z254" s="106">
        <v>0</v>
      </c>
      <c r="AA254" s="106">
        <v>0</v>
      </c>
      <c r="AB254" s="106">
        <v>0</v>
      </c>
      <c r="AC254" s="106">
        <v>0</v>
      </c>
      <c r="AD254" s="106">
        <v>0</v>
      </c>
      <c r="AE254" s="106">
        <v>0</v>
      </c>
      <c r="AF254" s="106">
        <v>0</v>
      </c>
      <c r="AG254" s="106">
        <v>0</v>
      </c>
      <c r="AH254" s="106">
        <v>0</v>
      </c>
      <c r="AI254" s="337"/>
      <c r="AJ254" s="106"/>
      <c r="AL254" s="106"/>
      <c r="AM254" s="106"/>
      <c r="BK254" s="94"/>
      <c r="BL254" s="104"/>
      <c r="BO254" s="108">
        <v>0</v>
      </c>
      <c r="BP254" s="108">
        <v>0</v>
      </c>
      <c r="BQ254" s="108">
        <v>0</v>
      </c>
      <c r="BR254" s="108">
        <v>1545</v>
      </c>
    </row>
    <row r="255" spans="1:75" outlineLevel="1">
      <c r="E255" s="104"/>
      <c r="F255" s="104"/>
      <c r="G255" s="247"/>
      <c r="H255" s="247"/>
      <c r="I255" s="247"/>
      <c r="J255" s="247"/>
      <c r="K255" s="247"/>
      <c r="L255" s="247"/>
      <c r="M255" s="104"/>
      <c r="N255" s="105"/>
      <c r="O255" s="105"/>
      <c r="P255" s="105"/>
      <c r="Q255" s="105"/>
      <c r="R255" s="105"/>
      <c r="AB255" s="106"/>
      <c r="AC255" s="106"/>
      <c r="AD255" s="106"/>
      <c r="AE255" s="106"/>
      <c r="AF255" s="106"/>
      <c r="AG255" s="106"/>
      <c r="AH255" s="106"/>
      <c r="AI255" s="337"/>
      <c r="AJ255" s="106"/>
      <c r="AL255" s="106"/>
      <c r="AM255" s="106"/>
      <c r="BK255" s="94"/>
      <c r="BL255" s="104"/>
      <c r="BO255" s="108">
        <v>0</v>
      </c>
      <c r="BP255" s="108">
        <v>0</v>
      </c>
      <c r="BQ255" s="108">
        <v>0</v>
      </c>
      <c r="BR255" s="108">
        <v>0</v>
      </c>
    </row>
    <row r="256" spans="1:75" outlineLevel="1">
      <c r="C256" s="107" t="s">
        <v>575</v>
      </c>
      <c r="D256" s="248"/>
      <c r="E256" s="104"/>
      <c r="F256" s="104"/>
      <c r="G256" s="109">
        <v>16178.050000000001</v>
      </c>
      <c r="H256" s="109">
        <v>10223.15</v>
      </c>
      <c r="I256" s="109">
        <v>11609.95</v>
      </c>
      <c r="J256" s="109">
        <v>13199.75</v>
      </c>
      <c r="K256" s="109">
        <v>13773.2</v>
      </c>
      <c r="L256" s="109">
        <v>12469.71</v>
      </c>
      <c r="M256" s="109">
        <v>11503.75</v>
      </c>
      <c r="N256" s="109">
        <v>17041.61</v>
      </c>
      <c r="O256" s="109">
        <v>15289.55</v>
      </c>
      <c r="P256" s="109">
        <v>17233.91</v>
      </c>
      <c r="Q256" s="109">
        <v>14655.75</v>
      </c>
      <c r="R256" s="109">
        <v>12412.05</v>
      </c>
      <c r="S256" s="109">
        <v>165590.43</v>
      </c>
      <c r="T256" s="109"/>
      <c r="U256" s="109">
        <v>392.2669491525424</v>
      </c>
      <c r="V256" s="109">
        <v>293.78631961259077</v>
      </c>
      <c r="W256" s="109">
        <v>319.00635593220341</v>
      </c>
      <c r="X256" s="109">
        <v>342.41101694915255</v>
      </c>
      <c r="Y256" s="109">
        <v>358.40254237288138</v>
      </c>
      <c r="Z256" s="109">
        <v>323.25799031476993</v>
      </c>
      <c r="AA256" s="109">
        <v>318.12288135593224</v>
      </c>
      <c r="AB256" s="109">
        <v>393.88874092009684</v>
      </c>
      <c r="AC256" s="109">
        <v>356.63740920096853</v>
      </c>
      <c r="AD256" s="109">
        <v>390.16779661016949</v>
      </c>
      <c r="AE256" s="109">
        <v>362.60003026634382</v>
      </c>
      <c r="AF256" s="109">
        <v>316.21125907990313</v>
      </c>
      <c r="AG256" s="109">
        <v>4166.7592917675547</v>
      </c>
      <c r="AH256" s="109">
        <v>347.22994098062952</v>
      </c>
      <c r="AI256" s="338"/>
      <c r="AJ256" s="110"/>
      <c r="AL256" s="106"/>
      <c r="AM256" s="106"/>
      <c r="BF256" s="252">
        <v>199.31327431396289</v>
      </c>
      <c r="BG256" s="252">
        <v>0</v>
      </c>
      <c r="BH256" s="252">
        <v>0</v>
      </c>
      <c r="BI256" s="252">
        <v>0</v>
      </c>
      <c r="BJ256" s="109">
        <v>199.31327431396289</v>
      </c>
      <c r="BK256" s="251" t="s">
        <v>591</v>
      </c>
      <c r="BL256" s="250">
        <v>0</v>
      </c>
      <c r="BN256" s="109">
        <v>183.39999999999998</v>
      </c>
      <c r="BO256" s="109">
        <v>2.2385332504771989</v>
      </c>
      <c r="BP256" s="109">
        <v>2002.2963448409475</v>
      </c>
      <c r="BQ256" s="109">
        <v>185.6385332504772</v>
      </c>
      <c r="BR256" s="109">
        <v>167592.72634484095</v>
      </c>
      <c r="BW256" s="244"/>
    </row>
    <row r="257" spans="1:75" outlineLevel="1">
      <c r="C257" s="107"/>
      <c r="D257" s="248"/>
      <c r="E257" s="104"/>
      <c r="F257" s="104"/>
      <c r="G257" s="247"/>
      <c r="H257" s="247"/>
      <c r="I257" s="247"/>
      <c r="J257" s="247"/>
      <c r="K257" s="247"/>
      <c r="L257" s="247"/>
      <c r="M257" s="104"/>
      <c r="N257" s="110"/>
      <c r="O257" s="110"/>
      <c r="P257" s="110"/>
      <c r="Q257" s="110"/>
      <c r="R257" s="110"/>
      <c r="AB257" s="110"/>
      <c r="AC257" s="110"/>
      <c r="AD257" s="110"/>
      <c r="AE257" s="110"/>
      <c r="AF257" s="110"/>
      <c r="AG257" s="110"/>
      <c r="AH257" s="110"/>
      <c r="AI257" s="338"/>
      <c r="AJ257" s="110"/>
      <c r="AL257" s="106"/>
      <c r="AM257" s="106"/>
      <c r="BF257" s="239" t="s">
        <v>634</v>
      </c>
      <c r="BG257" s="239" t="s">
        <v>634</v>
      </c>
      <c r="BH257" s="239" t="s">
        <v>635</v>
      </c>
      <c r="BI257" s="239" t="s">
        <v>634</v>
      </c>
      <c r="BO257" s="108"/>
      <c r="BP257" s="108"/>
      <c r="BQ257" s="108"/>
      <c r="BR257" s="108"/>
      <c r="BW257" s="244"/>
    </row>
    <row r="258" spans="1:75" outlineLevel="1">
      <c r="E258" s="104"/>
      <c r="F258" s="104"/>
      <c r="G258" s="247"/>
      <c r="H258" s="247"/>
      <c r="I258" s="247"/>
      <c r="J258" s="247"/>
      <c r="K258" s="247"/>
      <c r="L258" s="247"/>
      <c r="M258" s="104"/>
      <c r="N258" s="95"/>
      <c r="O258" s="95"/>
      <c r="P258" s="95"/>
      <c r="Q258" s="95"/>
      <c r="R258" s="95"/>
      <c r="AB258" s="95"/>
      <c r="AC258" s="95"/>
      <c r="AD258" s="95"/>
      <c r="AE258" s="95"/>
      <c r="AF258" s="95"/>
      <c r="AG258" s="95"/>
      <c r="AH258" s="95"/>
      <c r="AI258" s="342"/>
      <c r="AJ258" s="95"/>
      <c r="AL258" s="106"/>
      <c r="AM258" s="106"/>
      <c r="BF258" s="239" t="s">
        <v>634</v>
      </c>
      <c r="BG258" s="239" t="s">
        <v>634</v>
      </c>
      <c r="BH258" s="239" t="s">
        <v>635</v>
      </c>
      <c r="BI258" s="239" t="s">
        <v>634</v>
      </c>
      <c r="BO258" s="108"/>
      <c r="BP258" s="108"/>
      <c r="BQ258" s="108"/>
      <c r="BR258" s="108"/>
    </row>
    <row r="259" spans="1:75" s="94" customFormat="1">
      <c r="B259" s="94" t="s">
        <v>576</v>
      </c>
      <c r="D259" s="246"/>
      <c r="E259" s="104"/>
      <c r="F259" s="104"/>
      <c r="G259" s="111">
        <v>16178.050000000001</v>
      </c>
      <c r="H259" s="111">
        <v>10223.15</v>
      </c>
      <c r="I259" s="111">
        <v>11609.95</v>
      </c>
      <c r="J259" s="111">
        <v>13199.75</v>
      </c>
      <c r="K259" s="111">
        <v>13773.2</v>
      </c>
      <c r="L259" s="111">
        <v>12469.71</v>
      </c>
      <c r="M259" s="111">
        <v>11503.75</v>
      </c>
      <c r="N259" s="111">
        <v>17041.61</v>
      </c>
      <c r="O259" s="111">
        <v>15289.55</v>
      </c>
      <c r="P259" s="111">
        <v>17233.91</v>
      </c>
      <c r="Q259" s="111">
        <v>14655.75</v>
      </c>
      <c r="R259" s="111">
        <v>12412.05</v>
      </c>
      <c r="S259" s="111">
        <v>165590.43</v>
      </c>
      <c r="T259" s="111"/>
      <c r="U259" s="111">
        <v>392.2669491525424</v>
      </c>
      <c r="V259" s="111">
        <v>293.78631961259077</v>
      </c>
      <c r="W259" s="111">
        <v>319.00635593220341</v>
      </c>
      <c r="X259" s="111">
        <v>342.41101694915255</v>
      </c>
      <c r="Y259" s="111">
        <v>358.40254237288138</v>
      </c>
      <c r="Z259" s="111">
        <v>323.25799031476993</v>
      </c>
      <c r="AA259" s="111">
        <v>318.12288135593224</v>
      </c>
      <c r="AB259" s="111">
        <v>393.88874092009684</v>
      </c>
      <c r="AC259" s="111">
        <v>356.63740920096853</v>
      </c>
      <c r="AD259" s="111">
        <v>390.16779661016949</v>
      </c>
      <c r="AE259" s="111">
        <v>362.60003026634382</v>
      </c>
      <c r="AF259" s="111">
        <v>316.21125907990313</v>
      </c>
      <c r="AG259" s="111">
        <v>4166.7592917675547</v>
      </c>
      <c r="AH259" s="111">
        <v>347.22994098062952</v>
      </c>
      <c r="AI259" s="339"/>
      <c r="AJ259" s="111"/>
      <c r="AL259" s="113"/>
      <c r="AM259" s="113"/>
      <c r="AO259" s="79"/>
      <c r="AP259" s="79"/>
      <c r="BF259" s="239" t="s">
        <v>634</v>
      </c>
      <c r="BG259" s="239" t="s">
        <v>634</v>
      </c>
      <c r="BH259" s="239" t="s">
        <v>635</v>
      </c>
      <c r="BI259" s="239" t="s">
        <v>634</v>
      </c>
      <c r="BW259" s="243"/>
    </row>
    <row r="260" spans="1:75" s="94" customFormat="1" outlineLevel="1">
      <c r="D260" s="246"/>
      <c r="E260" s="104"/>
      <c r="F260" s="104"/>
      <c r="G260" s="247"/>
      <c r="H260" s="247"/>
      <c r="I260" s="247"/>
      <c r="J260" s="247"/>
      <c r="K260" s="247"/>
      <c r="L260" s="247"/>
      <c r="M260" s="104"/>
      <c r="N260" s="111"/>
      <c r="O260" s="111"/>
      <c r="P260" s="111"/>
      <c r="Q260" s="111"/>
      <c r="R260" s="111"/>
      <c r="S260" s="240"/>
      <c r="T260" s="240"/>
      <c r="U260" s="240"/>
      <c r="V260" s="240"/>
      <c r="W260" s="240"/>
      <c r="X260" s="240"/>
      <c r="Y260" s="240"/>
      <c r="Z260" s="240"/>
      <c r="AA260" s="240"/>
      <c r="AB260" s="113"/>
      <c r="AC260" s="113"/>
      <c r="AD260" s="113"/>
      <c r="AE260" s="113"/>
      <c r="AF260" s="113"/>
      <c r="AG260" s="113"/>
      <c r="AH260" s="113"/>
      <c r="AI260" s="339"/>
      <c r="AJ260" s="113"/>
      <c r="AL260" s="113"/>
      <c r="AM260" s="113"/>
      <c r="AO260" s="79"/>
      <c r="AP260" s="79"/>
      <c r="BF260" s="239" t="s">
        <v>634</v>
      </c>
      <c r="BG260" s="239" t="s">
        <v>634</v>
      </c>
      <c r="BH260" s="239" t="s">
        <v>635</v>
      </c>
      <c r="BI260" s="239" t="s">
        <v>634</v>
      </c>
      <c r="BW260" s="243"/>
    </row>
    <row r="261" spans="1:75" s="94" customFormat="1" outlineLevel="1">
      <c r="D261" s="246"/>
      <c r="E261" s="104"/>
      <c r="F261" s="104"/>
      <c r="G261" s="247"/>
      <c r="H261" s="247"/>
      <c r="I261" s="247"/>
      <c r="J261" s="247"/>
      <c r="K261" s="247"/>
      <c r="L261" s="247"/>
      <c r="M261" s="104"/>
      <c r="N261" s="111"/>
      <c r="O261" s="111"/>
      <c r="P261" s="111"/>
      <c r="Q261" s="111"/>
      <c r="R261" s="111"/>
      <c r="S261" s="240"/>
      <c r="T261" s="240"/>
      <c r="U261" s="240"/>
      <c r="V261" s="240"/>
      <c r="W261" s="240"/>
      <c r="X261" s="240"/>
      <c r="Y261" s="240"/>
      <c r="Z261" s="240"/>
      <c r="AA261" s="240"/>
      <c r="AB261" s="113"/>
      <c r="AC261" s="113"/>
      <c r="AD261" s="113"/>
      <c r="AE261" s="113"/>
      <c r="AF261" s="113"/>
      <c r="AG261" s="113"/>
      <c r="AH261" s="113"/>
      <c r="AI261" s="339"/>
      <c r="AJ261" s="113"/>
      <c r="AL261" s="113"/>
      <c r="AM261" s="113"/>
      <c r="AO261" s="79"/>
      <c r="AP261" s="79"/>
      <c r="BF261" s="239" t="s">
        <v>634</v>
      </c>
      <c r="BG261" s="239" t="s">
        <v>634</v>
      </c>
      <c r="BH261" s="239" t="s">
        <v>635</v>
      </c>
      <c r="BI261" s="239" t="s">
        <v>634</v>
      </c>
      <c r="BW261" s="243"/>
    </row>
    <row r="262" spans="1:75" outlineLevel="1">
      <c r="A262" s="79" t="s">
        <v>577</v>
      </c>
      <c r="B262" s="100" t="s">
        <v>578</v>
      </c>
      <c r="E262" s="104"/>
      <c r="F262" s="104"/>
      <c r="G262" s="247"/>
      <c r="H262" s="247"/>
      <c r="I262" s="247"/>
      <c r="J262" s="247"/>
      <c r="K262" s="247"/>
      <c r="L262" s="247"/>
      <c r="M262" s="104"/>
      <c r="N262" s="105"/>
      <c r="O262" s="105"/>
      <c r="P262" s="105"/>
      <c r="Q262" s="105"/>
      <c r="R262" s="105"/>
      <c r="AB262" s="106"/>
      <c r="AC262" s="106"/>
      <c r="AD262" s="106"/>
      <c r="AE262" s="106"/>
      <c r="AF262" s="106"/>
      <c r="AG262" s="106"/>
      <c r="AH262" s="106"/>
      <c r="AI262" s="337"/>
      <c r="AJ262" s="106"/>
      <c r="AL262" s="106"/>
      <c r="AM262" s="106"/>
      <c r="BF262" s="239" t="s">
        <v>634</v>
      </c>
      <c r="BG262" s="239" t="s">
        <v>634</v>
      </c>
      <c r="BH262" s="239" t="s">
        <v>635</v>
      </c>
      <c r="BI262" s="239" t="s">
        <v>634</v>
      </c>
      <c r="BO262" s="94"/>
      <c r="BP262" s="94"/>
      <c r="BQ262" s="94"/>
      <c r="BR262" s="94"/>
    </row>
    <row r="263" spans="1:75" outlineLevel="1">
      <c r="A263" s="79" t="str">
        <f>+$A$4&amp;$A$262&amp;B263</f>
        <v>MURREYSACCOUNTINGADJ-SB</v>
      </c>
      <c r="B263" s="79" t="s">
        <v>579</v>
      </c>
      <c r="C263" s="79" t="s">
        <v>580</v>
      </c>
      <c r="D263" s="242">
        <v>0</v>
      </c>
      <c r="E263" s="104">
        <v>0</v>
      </c>
      <c r="F263" s="104">
        <v>0</v>
      </c>
      <c r="G263" s="105">
        <v>0</v>
      </c>
      <c r="H263" s="105">
        <v>0</v>
      </c>
      <c r="I263" s="105">
        <v>0.71</v>
      </c>
      <c r="J263" s="105">
        <v>0</v>
      </c>
      <c r="K263" s="105">
        <v>14.34</v>
      </c>
      <c r="L263" s="105">
        <v>0</v>
      </c>
      <c r="M263" s="105">
        <v>3.1100000000000003</v>
      </c>
      <c r="N263" s="105">
        <v>-0.4</v>
      </c>
      <c r="O263" s="105">
        <v>0</v>
      </c>
      <c r="P263" s="105">
        <v>1.26</v>
      </c>
      <c r="Q263" s="105">
        <v>-7.0000000000000007E-2</v>
      </c>
      <c r="R263" s="105">
        <v>0</v>
      </c>
      <c r="S263" s="249">
        <v>18.950000000000003</v>
      </c>
      <c r="T263" s="249"/>
      <c r="U263" s="106">
        <v>0</v>
      </c>
      <c r="V263" s="106">
        <v>0</v>
      </c>
      <c r="W263" s="106">
        <v>0</v>
      </c>
      <c r="X263" s="106">
        <v>0</v>
      </c>
      <c r="Y263" s="106">
        <v>0</v>
      </c>
      <c r="Z263" s="106">
        <v>0</v>
      </c>
      <c r="AA263" s="106">
        <v>0</v>
      </c>
      <c r="AB263" s="106">
        <v>0</v>
      </c>
      <c r="AC263" s="106">
        <v>0</v>
      </c>
      <c r="AD263" s="106">
        <v>0</v>
      </c>
      <c r="AE263" s="106">
        <v>0</v>
      </c>
      <c r="AF263" s="106">
        <v>0</v>
      </c>
      <c r="AG263" s="106">
        <v>0</v>
      </c>
      <c r="AH263" s="106">
        <v>0</v>
      </c>
      <c r="AI263" s="337"/>
      <c r="AJ263" s="106"/>
      <c r="AL263" s="106"/>
      <c r="AM263" s="106"/>
      <c r="AO263" s="94"/>
      <c r="AP263" s="94"/>
      <c r="BO263" s="108">
        <v>0</v>
      </c>
      <c r="BP263" s="108">
        <v>0</v>
      </c>
      <c r="BQ263" s="108">
        <v>0</v>
      </c>
      <c r="BR263" s="108">
        <v>18.950000000000003</v>
      </c>
    </row>
    <row r="264" spans="1:75" outlineLevel="1">
      <c r="A264" s="79" t="str">
        <f>+$A$4&amp;$A$262&amp;B264</f>
        <v>MURREYSACCOUNTINGADJTAX</v>
      </c>
      <c r="B264" s="79" t="s">
        <v>581</v>
      </c>
      <c r="C264" s="79" t="s">
        <v>582</v>
      </c>
      <c r="D264" s="242">
        <v>0</v>
      </c>
      <c r="E264" s="104">
        <v>0</v>
      </c>
      <c r="F264" s="104">
        <v>0</v>
      </c>
      <c r="G264" s="105">
        <v>-48.33</v>
      </c>
      <c r="H264" s="105">
        <v>0</v>
      </c>
      <c r="I264" s="105">
        <v>-130.18</v>
      </c>
      <c r="J264" s="105">
        <v>261.92</v>
      </c>
      <c r="K264" s="105">
        <v>-122.57</v>
      </c>
      <c r="L264" s="105">
        <v>-13.15</v>
      </c>
      <c r="M264" s="105">
        <v>0</v>
      </c>
      <c r="N264" s="105">
        <v>0</v>
      </c>
      <c r="O264" s="105">
        <v>0</v>
      </c>
      <c r="P264" s="105">
        <v>0</v>
      </c>
      <c r="Q264" s="105">
        <v>0</v>
      </c>
      <c r="R264" s="105">
        <v>0</v>
      </c>
      <c r="S264" s="249">
        <v>-52.309999999999967</v>
      </c>
      <c r="T264" s="249"/>
      <c r="U264" s="106">
        <v>0</v>
      </c>
      <c r="V264" s="106">
        <v>0</v>
      </c>
      <c r="W264" s="106">
        <v>0</v>
      </c>
      <c r="X264" s="106">
        <v>0</v>
      </c>
      <c r="Y264" s="106">
        <v>0</v>
      </c>
      <c r="Z264" s="106">
        <v>0</v>
      </c>
      <c r="AA264" s="106">
        <v>0</v>
      </c>
      <c r="AB264" s="106">
        <v>0</v>
      </c>
      <c r="AC264" s="106">
        <v>0</v>
      </c>
      <c r="AD264" s="106">
        <v>0</v>
      </c>
      <c r="AE264" s="106">
        <v>0</v>
      </c>
      <c r="AF264" s="106">
        <v>0</v>
      </c>
      <c r="AG264" s="106">
        <v>0</v>
      </c>
      <c r="AH264" s="106">
        <v>0</v>
      </c>
      <c r="AI264" s="337"/>
      <c r="AJ264" s="106"/>
      <c r="AL264" s="106"/>
      <c r="AM264" s="106"/>
      <c r="AO264" s="94"/>
      <c r="AP264" s="94"/>
      <c r="BO264" s="108">
        <v>0</v>
      </c>
      <c r="BP264" s="108">
        <v>0</v>
      </c>
      <c r="BQ264" s="108">
        <v>0</v>
      </c>
      <c r="BR264" s="108">
        <v>-52.309999999999967</v>
      </c>
    </row>
    <row r="265" spans="1:75" outlineLevel="1">
      <c r="A265" s="79" t="str">
        <f>+$A$4&amp;$A$262&amp;B265</f>
        <v>MURREYSACCOUNTINGFINCHG</v>
      </c>
      <c r="B265" s="79" t="s">
        <v>583</v>
      </c>
      <c r="C265" s="79" t="s">
        <v>584</v>
      </c>
      <c r="D265" s="242">
        <v>0</v>
      </c>
      <c r="E265" s="104">
        <v>0</v>
      </c>
      <c r="F265" s="104">
        <v>0</v>
      </c>
      <c r="G265" s="105">
        <v>2326.1949999999997</v>
      </c>
      <c r="H265" s="105">
        <v>3145.4300000000003</v>
      </c>
      <c r="I265" s="105">
        <v>2721.9649999999997</v>
      </c>
      <c r="J265" s="105">
        <v>2940.4349999999999</v>
      </c>
      <c r="K265" s="105">
        <v>3295.4600000000005</v>
      </c>
      <c r="L265" s="105">
        <v>3510.08</v>
      </c>
      <c r="M265" s="105">
        <v>2942.9200000000005</v>
      </c>
      <c r="N265" s="105">
        <v>4292.579999999999</v>
      </c>
      <c r="O265" s="105">
        <v>3272.4100000000003</v>
      </c>
      <c r="P265" s="105">
        <v>2530.6249999999995</v>
      </c>
      <c r="Q265" s="105">
        <v>3025.9050000000002</v>
      </c>
      <c r="R265" s="105">
        <v>3555.01</v>
      </c>
      <c r="S265" s="249">
        <v>37559.015000000007</v>
      </c>
      <c r="T265" s="249"/>
      <c r="U265" s="106">
        <v>0</v>
      </c>
      <c r="V265" s="106">
        <v>0</v>
      </c>
      <c r="W265" s="106">
        <v>0</v>
      </c>
      <c r="X265" s="106">
        <v>0</v>
      </c>
      <c r="Y265" s="106">
        <v>0</v>
      </c>
      <c r="Z265" s="106">
        <v>0</v>
      </c>
      <c r="AA265" s="106">
        <v>0</v>
      </c>
      <c r="AB265" s="106">
        <v>0</v>
      </c>
      <c r="AC265" s="106">
        <v>0</v>
      </c>
      <c r="AD265" s="106">
        <v>0</v>
      </c>
      <c r="AE265" s="106">
        <v>0</v>
      </c>
      <c r="AF265" s="106">
        <v>0</v>
      </c>
      <c r="AG265" s="106">
        <v>0</v>
      </c>
      <c r="AH265" s="106">
        <v>0</v>
      </c>
      <c r="AI265" s="337"/>
      <c r="AJ265" s="105"/>
      <c r="AL265" s="105"/>
      <c r="AM265" s="105"/>
      <c r="AO265" s="94"/>
      <c r="AP265" s="94"/>
      <c r="BN265" s="104">
        <v>1</v>
      </c>
      <c r="BO265" s="108">
        <v>1.2205742914270443E-2</v>
      </c>
      <c r="BP265" s="108">
        <v>0</v>
      </c>
      <c r="BQ265" s="108">
        <v>1.0122057429142703</v>
      </c>
      <c r="BR265" s="108">
        <v>37559.015000000007</v>
      </c>
    </row>
    <row r="266" spans="1:75" outlineLevel="1">
      <c r="A266" s="79" t="str">
        <f>+$A$4&amp;$A$262&amp;B266</f>
        <v>MURREYSACCOUNTINGNSF FEES</v>
      </c>
      <c r="B266" s="79" t="s">
        <v>585</v>
      </c>
      <c r="C266" s="79" t="s">
        <v>586</v>
      </c>
      <c r="D266" s="242">
        <v>21.8</v>
      </c>
      <c r="E266" s="104">
        <v>21.8</v>
      </c>
      <c r="F266" s="104">
        <v>21.8</v>
      </c>
      <c r="G266" s="105">
        <v>65.400000000000006</v>
      </c>
      <c r="H266" s="105">
        <v>43.6</v>
      </c>
      <c r="I266" s="105">
        <v>87.2</v>
      </c>
      <c r="J266" s="105">
        <v>87.2</v>
      </c>
      <c r="K266" s="105">
        <v>43.599999999999994</v>
      </c>
      <c r="L266" s="105">
        <v>130.80000000000001</v>
      </c>
      <c r="M266" s="105">
        <v>65.400000000000006</v>
      </c>
      <c r="N266" s="105">
        <v>21.799999999999997</v>
      </c>
      <c r="O266" s="105">
        <v>152.6</v>
      </c>
      <c r="P266" s="105">
        <v>109</v>
      </c>
      <c r="Q266" s="105">
        <v>21.8</v>
      </c>
      <c r="R266" s="105">
        <v>43.6</v>
      </c>
      <c r="S266" s="249">
        <v>872</v>
      </c>
      <c r="T266" s="249"/>
      <c r="U266" s="106">
        <v>3</v>
      </c>
      <c r="V266" s="106">
        <v>2</v>
      </c>
      <c r="W266" s="106">
        <v>4</v>
      </c>
      <c r="X266" s="106">
        <v>4</v>
      </c>
      <c r="Y266" s="106">
        <v>1.9999999999999998</v>
      </c>
      <c r="Z266" s="106">
        <v>6</v>
      </c>
      <c r="AA266" s="106">
        <v>3</v>
      </c>
      <c r="AB266" s="106">
        <v>0.99999999999999989</v>
      </c>
      <c r="AC266" s="106">
        <v>6.9999999999999991</v>
      </c>
      <c r="AD266" s="106">
        <v>5</v>
      </c>
      <c r="AE266" s="106">
        <v>1</v>
      </c>
      <c r="AF266" s="106">
        <v>2</v>
      </c>
      <c r="AG266" s="106">
        <v>40</v>
      </c>
      <c r="AH266" s="106">
        <v>3.3333333333333335</v>
      </c>
      <c r="AI266" s="337"/>
      <c r="AJ266" s="106"/>
      <c r="AL266" s="106"/>
      <c r="AM266" s="106"/>
      <c r="AO266" s="94"/>
      <c r="AP266" s="94"/>
      <c r="BN266" s="104">
        <v>21.8</v>
      </c>
      <c r="BO266" s="108">
        <v>0.26608519553109566</v>
      </c>
      <c r="BP266" s="108">
        <v>10.643407821243827</v>
      </c>
      <c r="BQ266" s="108">
        <v>22.066085195531095</v>
      </c>
      <c r="BR266" s="108">
        <v>882.64340782124384</v>
      </c>
    </row>
    <row r="267" spans="1:75" outlineLevel="1">
      <c r="A267" s="79" t="str">
        <f>+$A$4&amp;$A$262&amp;B267</f>
        <v>MURREYSACCOUNTINGSHOPSERVICE</v>
      </c>
      <c r="B267" s="79" t="s">
        <v>587</v>
      </c>
      <c r="C267" s="79" t="s">
        <v>588</v>
      </c>
      <c r="D267" s="242">
        <v>0</v>
      </c>
      <c r="E267" s="104">
        <v>0</v>
      </c>
      <c r="F267" s="104">
        <v>0</v>
      </c>
      <c r="G267" s="105">
        <v>0</v>
      </c>
      <c r="H267" s="105">
        <v>0</v>
      </c>
      <c r="I267" s="105">
        <v>0</v>
      </c>
      <c r="J267" s="105">
        <v>0</v>
      </c>
      <c r="K267" s="105">
        <v>0</v>
      </c>
      <c r="L267" s="105">
        <v>0</v>
      </c>
      <c r="M267" s="105">
        <v>0</v>
      </c>
      <c r="N267" s="105">
        <v>0</v>
      </c>
      <c r="O267" s="105">
        <v>32.5</v>
      </c>
      <c r="P267" s="105">
        <v>0</v>
      </c>
      <c r="Q267" s="105">
        <v>0</v>
      </c>
      <c r="R267" s="105">
        <v>0</v>
      </c>
      <c r="S267" s="249">
        <v>32.5</v>
      </c>
      <c r="T267" s="249"/>
      <c r="U267" s="106">
        <v>0</v>
      </c>
      <c r="V267" s="106">
        <v>0</v>
      </c>
      <c r="W267" s="106">
        <v>0</v>
      </c>
      <c r="X267" s="106">
        <v>0</v>
      </c>
      <c r="Y267" s="106">
        <v>0</v>
      </c>
      <c r="Z267" s="106">
        <v>0</v>
      </c>
      <c r="AA267" s="106">
        <v>0</v>
      </c>
      <c r="AB267" s="106">
        <v>0</v>
      </c>
      <c r="AC267" s="106">
        <v>0</v>
      </c>
      <c r="AD267" s="106">
        <v>0</v>
      </c>
      <c r="AE267" s="106">
        <v>0</v>
      </c>
      <c r="AF267" s="106">
        <v>0</v>
      </c>
      <c r="AG267" s="106">
        <v>0</v>
      </c>
      <c r="AH267" s="106">
        <v>0</v>
      </c>
      <c r="AI267" s="337"/>
      <c r="AJ267" s="106"/>
      <c r="AL267" s="106"/>
      <c r="AM267" s="106"/>
      <c r="BO267" s="108">
        <v>0</v>
      </c>
      <c r="BP267" s="108">
        <v>0</v>
      </c>
      <c r="BQ267" s="108">
        <v>0</v>
      </c>
      <c r="BR267" s="108">
        <v>32.5</v>
      </c>
    </row>
    <row r="268" spans="1:75" outlineLevel="1">
      <c r="E268" s="104"/>
      <c r="F268" s="104"/>
      <c r="G268" s="247"/>
      <c r="H268" s="247"/>
      <c r="I268" s="247"/>
      <c r="J268" s="247"/>
      <c r="K268" s="247"/>
      <c r="L268" s="247"/>
      <c r="M268" s="104"/>
      <c r="N268" s="105"/>
      <c r="O268" s="105"/>
      <c r="P268" s="105"/>
      <c r="Q268" s="105"/>
      <c r="R268" s="105"/>
      <c r="AB268" s="106"/>
      <c r="AC268" s="106"/>
      <c r="AD268" s="106"/>
      <c r="AE268" s="106"/>
      <c r="AF268" s="106"/>
      <c r="AG268" s="106"/>
      <c r="AH268" s="106"/>
      <c r="AI268" s="337"/>
      <c r="AJ268" s="106"/>
      <c r="AL268" s="106"/>
      <c r="AM268" s="106"/>
      <c r="BF268" s="239" t="s">
        <v>634</v>
      </c>
      <c r="BH268" s="239" t="s">
        <v>635</v>
      </c>
      <c r="BI268" s="239" t="s">
        <v>634</v>
      </c>
    </row>
    <row r="269" spans="1:75" outlineLevel="1">
      <c r="C269" s="107" t="s">
        <v>589</v>
      </c>
      <c r="D269" s="248"/>
      <c r="E269" s="104"/>
      <c r="F269" s="104"/>
      <c r="G269" s="109">
        <v>2343.2649999999999</v>
      </c>
      <c r="H269" s="109">
        <v>3189.03</v>
      </c>
      <c r="I269" s="109">
        <v>2679.6949999999997</v>
      </c>
      <c r="J269" s="109">
        <v>3289.5549999999998</v>
      </c>
      <c r="K269" s="109">
        <v>3230.8300000000004</v>
      </c>
      <c r="L269" s="109">
        <v>3627.73</v>
      </c>
      <c r="M269" s="109">
        <v>3011.4300000000007</v>
      </c>
      <c r="N269" s="109">
        <v>4313.9799999999996</v>
      </c>
      <c r="O269" s="109">
        <v>3457.51</v>
      </c>
      <c r="P269" s="109">
        <v>2640.8849999999998</v>
      </c>
      <c r="Q269" s="109">
        <v>3047.6350000000002</v>
      </c>
      <c r="R269" s="109">
        <v>3598.61</v>
      </c>
      <c r="S269" s="109">
        <v>38430.155000000006</v>
      </c>
      <c r="T269" s="109"/>
      <c r="U269" s="109"/>
      <c r="V269" s="109"/>
      <c r="W269" s="109"/>
      <c r="X269" s="109"/>
      <c r="Y269" s="109"/>
      <c r="Z269" s="109"/>
      <c r="AA269" s="109"/>
      <c r="AB269" s="109"/>
      <c r="AC269" s="109"/>
      <c r="AD269" s="109"/>
      <c r="AE269" s="109"/>
      <c r="AF269" s="109"/>
      <c r="AG269" s="109"/>
      <c r="AH269" s="109"/>
      <c r="AI269" s="338"/>
      <c r="AJ269" s="110"/>
      <c r="AL269" s="106"/>
      <c r="AM269" s="106"/>
      <c r="BN269" s="109">
        <v>22.8</v>
      </c>
      <c r="BO269" s="109">
        <v>0.27829093844536612</v>
      </c>
      <c r="BP269" s="109">
        <v>10.643407821243827</v>
      </c>
      <c r="BQ269" s="109">
        <v>23.078290938445363</v>
      </c>
      <c r="BR269" s="109">
        <v>38440.798407821247</v>
      </c>
      <c r="BW269" s="244"/>
    </row>
    <row r="270" spans="1:75" outlineLevel="1">
      <c r="C270" s="107"/>
      <c r="D270" s="248"/>
      <c r="E270" s="104"/>
      <c r="F270" s="104"/>
      <c r="G270" s="247"/>
      <c r="H270" s="247"/>
      <c r="I270" s="247"/>
      <c r="J270" s="247"/>
      <c r="K270" s="247"/>
      <c r="L270" s="247"/>
      <c r="M270" s="104"/>
      <c r="N270" s="110"/>
      <c r="O270" s="110"/>
      <c r="P270" s="110"/>
      <c r="Q270" s="110"/>
      <c r="R270" s="110"/>
      <c r="AB270" s="110"/>
      <c r="AC270" s="110"/>
      <c r="AD270" s="110"/>
      <c r="AE270" s="110"/>
      <c r="AF270" s="110"/>
      <c r="AG270" s="110"/>
      <c r="AH270" s="110"/>
      <c r="AI270" s="338"/>
      <c r="AJ270" s="110"/>
      <c r="AL270" s="106"/>
      <c r="AM270" s="106"/>
      <c r="BW270" s="244"/>
    </row>
    <row r="271" spans="1:75" outlineLevel="1">
      <c r="E271" s="104"/>
      <c r="F271" s="104"/>
      <c r="G271" s="247"/>
      <c r="H271" s="247"/>
      <c r="I271" s="247"/>
      <c r="J271" s="247"/>
      <c r="K271" s="247"/>
      <c r="L271" s="247"/>
      <c r="M271" s="104"/>
      <c r="N271" s="95"/>
      <c r="O271" s="95"/>
      <c r="P271" s="95"/>
      <c r="Q271" s="95"/>
      <c r="R271" s="95"/>
      <c r="AB271" s="95"/>
      <c r="AC271" s="95"/>
      <c r="AD271" s="95"/>
      <c r="AE271" s="95"/>
      <c r="AF271" s="95"/>
      <c r="AG271" s="95"/>
      <c r="AH271" s="95"/>
      <c r="AI271" s="342"/>
      <c r="AJ271" s="95"/>
      <c r="AL271" s="106"/>
      <c r="AM271" s="106"/>
    </row>
    <row r="272" spans="1:75" s="94" customFormat="1">
      <c r="B272" s="94" t="s">
        <v>590</v>
      </c>
      <c r="D272" s="246"/>
      <c r="E272" s="104"/>
      <c r="F272" s="104"/>
      <c r="G272" s="111">
        <v>2343.2649999999999</v>
      </c>
      <c r="H272" s="111">
        <v>3189.03</v>
      </c>
      <c r="I272" s="111">
        <v>2679.6949999999997</v>
      </c>
      <c r="J272" s="111">
        <v>3289.5549999999998</v>
      </c>
      <c r="K272" s="111">
        <v>3230.8300000000004</v>
      </c>
      <c r="L272" s="111">
        <v>3627.73</v>
      </c>
      <c r="M272" s="111">
        <v>3011.4300000000007</v>
      </c>
      <c r="N272" s="111">
        <v>4313.9799999999996</v>
      </c>
      <c r="O272" s="111">
        <v>3457.51</v>
      </c>
      <c r="P272" s="111">
        <v>2640.8849999999998</v>
      </c>
      <c r="Q272" s="111">
        <v>3047.6350000000002</v>
      </c>
      <c r="R272" s="111">
        <v>3598.61</v>
      </c>
      <c r="S272" s="111">
        <v>38430.155000000006</v>
      </c>
      <c r="T272" s="111"/>
      <c r="U272" s="106">
        <v>0</v>
      </c>
      <c r="V272" s="106">
        <v>0</v>
      </c>
      <c r="W272" s="106">
        <v>0</v>
      </c>
      <c r="X272" s="106">
        <v>0</v>
      </c>
      <c r="Y272" s="106">
        <v>0</v>
      </c>
      <c r="Z272" s="106">
        <v>0</v>
      </c>
      <c r="AA272" s="106">
        <v>0</v>
      </c>
      <c r="AB272" s="106">
        <v>0</v>
      </c>
      <c r="AC272" s="106">
        <v>0</v>
      </c>
      <c r="AD272" s="106">
        <v>0</v>
      </c>
      <c r="AE272" s="106">
        <v>0</v>
      </c>
      <c r="AF272" s="106">
        <v>0</v>
      </c>
      <c r="AG272" s="106">
        <v>0</v>
      </c>
      <c r="AH272" s="106">
        <v>0</v>
      </c>
      <c r="AI272" s="337"/>
      <c r="AJ272" s="111"/>
      <c r="AL272" s="113"/>
      <c r="AM272" s="113"/>
      <c r="AO272" s="79"/>
      <c r="AP272" s="79"/>
      <c r="BF272" s="244"/>
      <c r="BG272" s="244"/>
      <c r="BH272" s="244"/>
      <c r="BI272" s="244"/>
      <c r="BN272" s="243"/>
      <c r="BW272" s="243"/>
    </row>
    <row r="273" spans="2:75" s="94" customFormat="1">
      <c r="D273" s="246"/>
      <c r="E273" s="104"/>
      <c r="F273" s="104"/>
      <c r="G273" s="247"/>
      <c r="H273" s="247"/>
      <c r="I273" s="247"/>
      <c r="J273" s="247"/>
      <c r="K273" s="247"/>
      <c r="L273" s="247"/>
      <c r="M273" s="104"/>
      <c r="N273" s="114"/>
      <c r="O273" s="114"/>
      <c r="P273" s="114"/>
      <c r="Q273" s="114"/>
      <c r="R273" s="114"/>
      <c r="S273" s="240"/>
      <c r="T273" s="240"/>
      <c r="U273" s="240"/>
      <c r="V273" s="240"/>
      <c r="W273" s="240"/>
      <c r="X273" s="240"/>
      <c r="Y273" s="240"/>
      <c r="Z273" s="240"/>
      <c r="AA273" s="240"/>
      <c r="AB273" s="115"/>
      <c r="AC273" s="115"/>
      <c r="AD273" s="115"/>
      <c r="AE273" s="115"/>
      <c r="AF273" s="115"/>
      <c r="AG273" s="115"/>
      <c r="AH273" s="115"/>
      <c r="AI273" s="343"/>
      <c r="AJ273" s="115"/>
      <c r="AL273" s="113"/>
      <c r="AM273" s="113"/>
      <c r="AO273" s="79"/>
      <c r="AP273" s="79"/>
      <c r="BF273" s="244"/>
      <c r="BG273" s="244"/>
      <c r="BH273" s="244"/>
      <c r="BI273" s="244"/>
      <c r="BN273" s="243"/>
      <c r="BW273" s="243"/>
    </row>
    <row r="274" spans="2:75">
      <c r="E274" s="104"/>
      <c r="F274" s="104"/>
      <c r="G274" s="247"/>
      <c r="H274" s="247"/>
      <c r="I274" s="247"/>
      <c r="J274" s="247"/>
      <c r="K274" s="247"/>
      <c r="L274" s="247"/>
      <c r="M274" s="104"/>
      <c r="N274" s="95"/>
      <c r="O274" s="95"/>
      <c r="P274" s="95"/>
      <c r="Q274" s="95"/>
      <c r="R274" s="95"/>
      <c r="AB274" s="106"/>
      <c r="AC274" s="106"/>
      <c r="AD274" s="106"/>
      <c r="AE274" s="106"/>
      <c r="AF274" s="106"/>
      <c r="AG274" s="106"/>
      <c r="AH274" s="106"/>
      <c r="AI274" s="337"/>
      <c r="AJ274" s="106"/>
      <c r="AL274" s="106"/>
      <c r="AM274" s="106"/>
    </row>
    <row r="275" spans="2:75" s="94" customFormat="1" ht="15.75" thickBot="1">
      <c r="B275" s="94" t="s">
        <v>633</v>
      </c>
      <c r="D275" s="246"/>
      <c r="E275" s="104"/>
      <c r="F275" s="104"/>
      <c r="G275" s="116">
        <v>3892477.0250000004</v>
      </c>
      <c r="H275" s="116">
        <v>3857733.49</v>
      </c>
      <c r="I275" s="116">
        <v>3901245.7650000006</v>
      </c>
      <c r="J275" s="116">
        <v>3923494.9849999999</v>
      </c>
      <c r="K275" s="116">
        <v>3965545.9850000008</v>
      </c>
      <c r="L275" s="116">
        <v>3947911.0950000007</v>
      </c>
      <c r="M275" s="116">
        <v>3927603.8400000003</v>
      </c>
      <c r="N275" s="116">
        <v>4000702.3700000006</v>
      </c>
      <c r="O275" s="116">
        <v>3905445.5749999993</v>
      </c>
      <c r="P275" s="116">
        <v>4017479.330000001</v>
      </c>
      <c r="Q275" s="116">
        <v>3991869.1549999993</v>
      </c>
      <c r="R275" s="116">
        <v>4102702.9399999995</v>
      </c>
      <c r="S275" s="116">
        <v>47434211.554999992</v>
      </c>
      <c r="T275" s="116"/>
      <c r="U275" s="116">
        <v>176918.86138905349</v>
      </c>
      <c r="V275" s="116">
        <v>177122.42858642928</v>
      </c>
      <c r="W275" s="116">
        <v>178316.08140029246</v>
      </c>
      <c r="X275" s="116">
        <v>178053.37955928716</v>
      </c>
      <c r="Y275" s="116">
        <v>177878.3423903886</v>
      </c>
      <c r="Z275" s="116">
        <v>179177.41616995877</v>
      </c>
      <c r="AA275" s="116">
        <v>177779.28641174722</v>
      </c>
      <c r="AB275" s="116">
        <v>177856.36960702995</v>
      </c>
      <c r="AC275" s="116">
        <v>178034.95216944726</v>
      </c>
      <c r="AD275" s="116">
        <v>178894.58431698219</v>
      </c>
      <c r="AE275" s="116">
        <v>179646.98521969686</v>
      </c>
      <c r="AF275" s="116">
        <v>180361.94699859299</v>
      </c>
      <c r="AG275" s="116">
        <v>2142142.1631286405</v>
      </c>
      <c r="AH275" s="116">
        <v>177621.79717180529</v>
      </c>
      <c r="AI275" s="344"/>
      <c r="AJ275" s="245"/>
      <c r="AL275" s="113"/>
      <c r="AM275" s="113"/>
      <c r="AO275" s="79"/>
      <c r="AP275" s="79"/>
      <c r="BF275" s="244"/>
      <c r="BG275" s="244"/>
      <c r="BH275" s="244"/>
      <c r="BI275" s="244"/>
      <c r="BN275" s="243"/>
      <c r="BW275" s="243"/>
    </row>
    <row r="276" spans="2:75" ht="15.75" thickTop="1"/>
  </sheetData>
  <mergeCells count="5">
    <mergeCell ref="AL4:AM4"/>
    <mergeCell ref="AR4:BC4"/>
    <mergeCell ref="G4:S4"/>
    <mergeCell ref="U4:AH4"/>
    <mergeCell ref="BF4:BJ4"/>
  </mergeCells>
  <pageMargins left="0.7" right="0.7" top="0.75" bottom="0.75" header="0.3" footer="0.3"/>
  <pageSetup scale="38" fitToWidth="2" fitToHeight="3" pageOrder="overThenDown" orientation="portrait" r:id="rId1"/>
  <headerFooter>
    <oddHeader>&amp;R&amp;F
&amp;A</oddHeader>
    <oddFooter>&amp;L&amp;D&amp;C&amp;P&amp;R&amp;T</oddFooter>
  </headerFooter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DDD2C6-D86C-44D8-BE93-7A619039F2E5}">
  <dimension ref="A1:J64"/>
  <sheetViews>
    <sheetView topLeftCell="A15" workbookViewId="0">
      <selection activeCell="B44" sqref="B44"/>
    </sheetView>
  </sheetViews>
  <sheetFormatPr defaultColWidth="9.140625" defaultRowHeight="12.75"/>
  <cols>
    <col min="1" max="1" width="9.140625" style="358"/>
    <col min="2" max="2" width="37" style="358" customWidth="1"/>
    <col min="3" max="5" width="15.42578125" style="358" customWidth="1"/>
    <col min="6" max="6" width="9.140625" style="358"/>
    <col min="7" max="7" width="37" style="358" customWidth="1"/>
    <col min="8" max="10" width="15.42578125" style="358" customWidth="1"/>
    <col min="11" max="16384" width="9.140625" style="358"/>
  </cols>
  <sheetData>
    <row r="1" spans="1:10" s="356" customFormat="1" ht="15.75">
      <c r="A1" s="355" t="s">
        <v>87</v>
      </c>
    </row>
    <row r="2" spans="1:10" s="356" customFormat="1" ht="15.75">
      <c r="A2" s="355" t="s">
        <v>745</v>
      </c>
    </row>
    <row r="3" spans="1:10">
      <c r="A3" s="357" t="s">
        <v>746</v>
      </c>
    </row>
    <row r="4" spans="1:10">
      <c r="A4" s="357" t="s">
        <v>747</v>
      </c>
    </row>
    <row r="5" spans="1:10">
      <c r="B5" s="359"/>
      <c r="C5" s="481" t="s">
        <v>748</v>
      </c>
      <c r="D5" s="482"/>
      <c r="E5" s="483"/>
      <c r="G5" s="359"/>
      <c r="H5" s="484"/>
      <c r="I5" s="484"/>
      <c r="J5" s="484"/>
    </row>
    <row r="6" spans="1:10">
      <c r="B6" s="360"/>
      <c r="C6" s="361" t="s">
        <v>749</v>
      </c>
      <c r="D6" s="361" t="s">
        <v>750</v>
      </c>
      <c r="E6" s="361" t="s">
        <v>751</v>
      </c>
      <c r="G6" s="360"/>
      <c r="H6" s="362"/>
      <c r="I6" s="362"/>
      <c r="J6" s="362"/>
    </row>
    <row r="7" spans="1:10">
      <c r="B7" s="359"/>
      <c r="C7" s="363" t="s">
        <v>752</v>
      </c>
      <c r="D7" s="363" t="s">
        <v>753</v>
      </c>
      <c r="E7" s="364" t="s">
        <v>754</v>
      </c>
      <c r="G7" s="359"/>
      <c r="H7" s="363"/>
      <c r="I7" s="363"/>
      <c r="J7" s="364"/>
    </row>
    <row r="8" spans="1:10">
      <c r="B8" s="365">
        <v>44348</v>
      </c>
      <c r="C8" s="366">
        <f>+'[50]Murrey''s IS'!J18</f>
        <v>648977.19999999995</v>
      </c>
      <c r="D8" s="366">
        <f>+E8-C8</f>
        <v>1777424.0599999998</v>
      </c>
      <c r="E8" s="367">
        <f>'[50]Murrey''s IS'!J60</f>
        <v>2426401.2599999998</v>
      </c>
      <c r="F8" s="368"/>
      <c r="G8" s="359"/>
      <c r="H8" s="369"/>
      <c r="I8" s="369"/>
      <c r="J8" s="368"/>
    </row>
    <row r="9" spans="1:10">
      <c r="B9" s="365">
        <v>44378</v>
      </c>
      <c r="C9" s="366">
        <f>+'[50]Murrey''s IS'!L18</f>
        <v>655982.74</v>
      </c>
      <c r="D9" s="366">
        <f t="shared" ref="D9:D19" si="0">+E9-C9</f>
        <v>1832557.61</v>
      </c>
      <c r="E9" s="367">
        <f>'[50]Murrey''s IS'!L60</f>
        <v>2488540.35</v>
      </c>
      <c r="F9" s="368"/>
      <c r="G9" s="359"/>
      <c r="H9" s="369"/>
      <c r="I9" s="369"/>
      <c r="J9" s="368"/>
    </row>
    <row r="10" spans="1:10">
      <c r="B10" s="365">
        <v>44409</v>
      </c>
      <c r="C10" s="366">
        <f>+'[50]Murrey''s IS'!N18</f>
        <v>669732.97</v>
      </c>
      <c r="D10" s="366">
        <f t="shared" si="0"/>
        <v>1709269.5599999998</v>
      </c>
      <c r="E10" s="367">
        <f>'[50]Murrey''s IS'!N60</f>
        <v>2379002.5299999998</v>
      </c>
      <c r="F10" s="368"/>
      <c r="G10" s="359"/>
      <c r="H10" s="369"/>
      <c r="I10" s="369"/>
      <c r="J10" s="368"/>
    </row>
    <row r="11" spans="1:10">
      <c r="B11" s="365">
        <v>44440</v>
      </c>
      <c r="C11" s="366">
        <f>+'[50]Murrey''s IS'!P18</f>
        <v>772593.11</v>
      </c>
      <c r="D11" s="366">
        <f t="shared" si="0"/>
        <v>1710792.2800000003</v>
      </c>
      <c r="E11" s="367">
        <f>'[50]Murrey''s IS'!P60</f>
        <v>2483385.39</v>
      </c>
      <c r="F11" s="368"/>
      <c r="G11" s="365"/>
      <c r="H11" s="369"/>
      <c r="I11" s="369"/>
      <c r="J11" s="368"/>
    </row>
    <row r="12" spans="1:10">
      <c r="B12" s="365">
        <v>44470</v>
      </c>
      <c r="C12" s="366">
        <f>+'[50]Murrey''s IS'!R18</f>
        <v>669005.05000000005</v>
      </c>
      <c r="D12" s="366">
        <f t="shared" si="0"/>
        <v>1682852.8800000001</v>
      </c>
      <c r="E12" s="367">
        <f>'[50]Murrey''s IS'!R60</f>
        <v>2351857.9300000002</v>
      </c>
      <c r="F12" s="368"/>
      <c r="G12" s="365"/>
      <c r="H12" s="369"/>
      <c r="I12" s="369"/>
      <c r="J12" s="368"/>
    </row>
    <row r="13" spans="1:10">
      <c r="B13" s="365">
        <v>44501</v>
      </c>
      <c r="C13" s="366">
        <f>+'[50]Murrey''s IS'!T18</f>
        <v>701994.34</v>
      </c>
      <c r="D13" s="366">
        <f t="shared" si="0"/>
        <v>1816516.2200000002</v>
      </c>
      <c r="E13" s="367">
        <f>'[50]Murrey''s IS'!T60</f>
        <v>2518510.56</v>
      </c>
      <c r="F13" s="368"/>
      <c r="G13" s="365"/>
      <c r="H13" s="369"/>
      <c r="I13" s="369"/>
      <c r="J13" s="368"/>
    </row>
    <row r="14" spans="1:10">
      <c r="B14" s="365">
        <v>44531</v>
      </c>
      <c r="C14" s="366">
        <f>+'[50]Murrey''s IS'!V18</f>
        <v>682743.1</v>
      </c>
      <c r="D14" s="366">
        <f t="shared" si="0"/>
        <v>1468181.0299999998</v>
      </c>
      <c r="E14" s="367">
        <f>'[50]Murrey''s IS'!V60</f>
        <v>2150924.13</v>
      </c>
      <c r="F14" s="368"/>
      <c r="G14" s="365"/>
      <c r="H14" s="369"/>
      <c r="I14" s="369"/>
      <c r="J14" s="368"/>
    </row>
    <row r="15" spans="1:10">
      <c r="B15" s="365">
        <v>44562</v>
      </c>
      <c r="C15" s="366">
        <f>+'[50]Murrey''s IS'!X18</f>
        <v>701077.57</v>
      </c>
      <c r="D15" s="366">
        <f t="shared" si="0"/>
        <v>2088502.4200000004</v>
      </c>
      <c r="E15" s="367">
        <f>'[50]Murrey''s IS'!X60</f>
        <v>2789579.99</v>
      </c>
      <c r="F15" s="368"/>
      <c r="G15" s="365"/>
      <c r="H15" s="369"/>
      <c r="I15" s="369"/>
      <c r="J15" s="368"/>
    </row>
    <row r="16" spans="1:10">
      <c r="B16" s="365">
        <v>44593</v>
      </c>
      <c r="C16" s="366">
        <f>+'[50]Murrey''s IS'!Z18</f>
        <v>607633.62</v>
      </c>
      <c r="D16" s="366">
        <f t="shared" si="0"/>
        <v>1516625.4899999998</v>
      </c>
      <c r="E16" s="367">
        <f>'[50]Murrey''s IS'!Z60</f>
        <v>2124259.11</v>
      </c>
      <c r="F16" s="368"/>
      <c r="G16" s="365"/>
      <c r="H16" s="369"/>
      <c r="I16" s="369"/>
      <c r="J16" s="368"/>
    </row>
    <row r="17" spans="2:10">
      <c r="B17" s="365">
        <v>44621</v>
      </c>
      <c r="C17" s="366">
        <f>+'[50]Murrey''s IS'!AB18</f>
        <v>715758.85</v>
      </c>
      <c r="D17" s="366">
        <f t="shared" si="0"/>
        <v>1786104.27</v>
      </c>
      <c r="E17" s="367">
        <f>'[50]Murrey''s IS'!AB60</f>
        <v>2501863.12</v>
      </c>
      <c r="F17" s="368"/>
      <c r="G17" s="365"/>
      <c r="H17" s="369"/>
      <c r="I17" s="369"/>
      <c r="J17" s="368"/>
    </row>
    <row r="18" spans="2:10">
      <c r="B18" s="365">
        <v>44652</v>
      </c>
      <c r="C18" s="366">
        <f>+'[50]Murrey''s IS'!AD18</f>
        <v>690020.57</v>
      </c>
      <c r="D18" s="366">
        <f t="shared" si="0"/>
        <v>1664991.4500000002</v>
      </c>
      <c r="E18" s="367">
        <f>'[50]Murrey''s IS'!AD60</f>
        <v>2355012.02</v>
      </c>
      <c r="F18" s="368"/>
      <c r="G18" s="365"/>
      <c r="H18" s="369"/>
      <c r="I18" s="369"/>
      <c r="J18" s="368"/>
    </row>
    <row r="19" spans="2:10">
      <c r="B19" s="365">
        <v>44682</v>
      </c>
      <c r="C19" s="366">
        <f>+'[50]Murrey''s IS'!AF18</f>
        <v>740641.6</v>
      </c>
      <c r="D19" s="366">
        <f t="shared" si="0"/>
        <v>1757513.54</v>
      </c>
      <c r="E19" s="367">
        <f>'[50]Murrey''s IS'!AF60</f>
        <v>2498155.14</v>
      </c>
      <c r="F19" s="368"/>
      <c r="G19" s="365"/>
      <c r="H19" s="369"/>
      <c r="I19" s="369"/>
      <c r="J19" s="368"/>
    </row>
    <row r="20" spans="2:10">
      <c r="B20" s="370"/>
      <c r="C20" s="371"/>
      <c r="D20" s="371"/>
      <c r="G20" s="370"/>
      <c r="H20" s="369"/>
      <c r="I20" s="369"/>
    </row>
    <row r="21" spans="2:10">
      <c r="B21" s="372" t="s">
        <v>14</v>
      </c>
      <c r="C21" s="373">
        <f>SUM(C8:C19)</f>
        <v>8256160.7199999997</v>
      </c>
      <c r="D21" s="373">
        <f>SUM(D8:D19)</f>
        <v>20811330.809999999</v>
      </c>
      <c r="E21" s="374">
        <f>SUM(E8:E19)</f>
        <v>29067491.530000001</v>
      </c>
      <c r="G21" s="372"/>
      <c r="H21" s="373"/>
      <c r="I21" s="373"/>
      <c r="J21" s="373"/>
    </row>
    <row r="22" spans="2:10">
      <c r="C22" s="375">
        <f>C21/$E$21</f>
        <v>0.28403416619142985</v>
      </c>
      <c r="D22" s="375">
        <f>D21/$E$21</f>
        <v>0.71596583380857004</v>
      </c>
      <c r="H22" s="376"/>
      <c r="I22" s="376"/>
    </row>
    <row r="23" spans="2:10">
      <c r="B23" s="359"/>
      <c r="C23" s="359"/>
      <c r="G23" s="359"/>
      <c r="H23" s="359"/>
    </row>
    <row r="24" spans="2:10">
      <c r="B24" s="359"/>
      <c r="C24" s="369"/>
      <c r="G24" s="359"/>
      <c r="H24" s="369"/>
    </row>
    <row r="25" spans="2:10">
      <c r="B25" s="377" t="s">
        <v>755</v>
      </c>
      <c r="C25" s="369"/>
      <c r="G25" s="377"/>
      <c r="H25" s="369"/>
    </row>
    <row r="26" spans="2:10">
      <c r="B26" s="359" t="s">
        <v>756</v>
      </c>
      <c r="C26" s="378">
        <v>168.51</v>
      </c>
      <c r="G26" s="359"/>
      <c r="H26" s="379"/>
    </row>
    <row r="27" spans="2:10">
      <c r="B27" s="359" t="s">
        <v>757</v>
      </c>
      <c r="C27" s="378">
        <f>C28-C26</f>
        <v>-2.0600000000000023</v>
      </c>
      <c r="D27" s="380">
        <f>C27/C26</f>
        <v>-1.2224793780784537E-2</v>
      </c>
      <c r="G27" s="359"/>
      <c r="H27" s="379"/>
      <c r="I27" s="381"/>
    </row>
    <row r="28" spans="2:10">
      <c r="B28" s="382" t="s">
        <v>758</v>
      </c>
      <c r="C28" s="383">
        <v>166.45</v>
      </c>
      <c r="G28" s="382"/>
      <c r="H28" s="384"/>
    </row>
    <row r="30" spans="2:10" ht="13.5" thickBot="1"/>
    <row r="31" spans="2:10" ht="13.5" thickBot="1">
      <c r="B31" s="459" t="s">
        <v>800</v>
      </c>
      <c r="C31" s="460" t="s">
        <v>801</v>
      </c>
      <c r="D31" s="460" t="s">
        <v>802</v>
      </c>
      <c r="E31" s="461" t="s">
        <v>804</v>
      </c>
    </row>
    <row r="33" spans="2:5">
      <c r="B33" s="358" t="s">
        <v>803</v>
      </c>
      <c r="C33" s="451">
        <f>+SUM(D8:D16)</f>
        <v>15602721.550000001</v>
      </c>
      <c r="D33" s="451">
        <f>+SUM(D17:D19)</f>
        <v>5208609.26</v>
      </c>
      <c r="E33" s="451">
        <f>+D33+C33</f>
        <v>20811330.810000002</v>
      </c>
    </row>
    <row r="34" spans="2:5">
      <c r="B34" s="358" t="s">
        <v>805</v>
      </c>
      <c r="C34" s="385">
        <f>+C26</f>
        <v>168.51</v>
      </c>
      <c r="D34" s="450">
        <f>+C28</f>
        <v>166.45</v>
      </c>
      <c r="E34" s="450">
        <f>+E33/E35</f>
        <v>167.98965918133803</v>
      </c>
    </row>
    <row r="35" spans="2:5">
      <c r="B35" s="358" t="s">
        <v>799</v>
      </c>
      <c r="C35" s="452">
        <f>+C33/C34</f>
        <v>92592.258916384788</v>
      </c>
      <c r="D35" s="452">
        <f>+D33/D34</f>
        <v>31292.335596275159</v>
      </c>
      <c r="E35" s="452">
        <f>+D35+C35</f>
        <v>123884.59451265994</v>
      </c>
    </row>
    <row r="36" spans="2:5">
      <c r="D36" s="386"/>
    </row>
    <row r="37" spans="2:5">
      <c r="C37" s="453" t="s">
        <v>807</v>
      </c>
      <c r="D37" s="453" t="s">
        <v>808</v>
      </c>
      <c r="E37" s="453" t="s">
        <v>14</v>
      </c>
    </row>
    <row r="38" spans="2:5">
      <c r="B38" s="358" t="s">
        <v>806</v>
      </c>
      <c r="C38" s="387">
        <f ca="1">+'Reg-MUR'!J128</f>
        <v>161993976.50541317</v>
      </c>
      <c r="D38" s="387">
        <f ca="1">+NonReg!AJ110</f>
        <v>85775212.5199067</v>
      </c>
      <c r="E38" s="387">
        <f ca="1">+D38+C38</f>
        <v>247769189.02531987</v>
      </c>
    </row>
    <row r="39" spans="2:5">
      <c r="C39" s="455">
        <f ca="1">+C38/E38</f>
        <v>0.65381001222415425</v>
      </c>
      <c r="D39" s="455">
        <f ca="1">+D38/E38</f>
        <v>0.34618998777584575</v>
      </c>
      <c r="E39" s="455">
        <f ca="1">+D39+C39</f>
        <v>1</v>
      </c>
    </row>
    <row r="41" spans="2:5" ht="13.5" thickBot="1">
      <c r="B41" s="454" t="s">
        <v>809</v>
      </c>
      <c r="C41" s="456">
        <f ca="1">+$E35*C39</f>
        <v>80996.988252706593</v>
      </c>
      <c r="D41" s="456">
        <f ca="1">+$E35*D39</f>
        <v>42887.606259953354</v>
      </c>
      <c r="E41" s="456">
        <f ca="1">+D41+C41</f>
        <v>123884.59451265994</v>
      </c>
    </row>
    <row r="42" spans="2:5" ht="13.5" thickTop="1">
      <c r="C42" s="455">
        <f ca="1">+C41/E41</f>
        <v>0.65381001222415425</v>
      </c>
      <c r="D42" s="455">
        <f ca="1">+D41/E41</f>
        <v>0.34618998777584575</v>
      </c>
      <c r="E42" s="455">
        <f ca="1">+D42+C42</f>
        <v>1</v>
      </c>
    </row>
    <row r="45" spans="2:5">
      <c r="B45" s="454" t="s">
        <v>810</v>
      </c>
    </row>
    <row r="46" spans="2:5">
      <c r="C46" s="453" t="s">
        <v>807</v>
      </c>
      <c r="D46" s="453" t="s">
        <v>808</v>
      </c>
      <c r="E46" s="453" t="s">
        <v>14</v>
      </c>
    </row>
    <row r="47" spans="2:5">
      <c r="B47" s="358" t="s">
        <v>811</v>
      </c>
      <c r="C47" s="451">
        <f>+'[50]Consolidated IS'!Z191</f>
        <v>13090543.578274079</v>
      </c>
      <c r="D47" s="451">
        <f>+'[50]Consolidated IS'!AA191</f>
        <v>7426512.3120095469</v>
      </c>
      <c r="E47" s="457">
        <f>SUM(C47:D47)</f>
        <v>20517055.890283626</v>
      </c>
    </row>
    <row r="48" spans="2:5">
      <c r="C48" s="455">
        <f>+C47/E47</f>
        <v>0.63803226195203955</v>
      </c>
      <c r="D48" s="455">
        <f>+D47/E47</f>
        <v>0.36196773804796045</v>
      </c>
      <c r="E48" s="455">
        <f>+D48+C48</f>
        <v>1</v>
      </c>
    </row>
    <row r="50" spans="2:5" ht="13.5" thickBot="1"/>
    <row r="51" spans="2:5" ht="13.5" thickBot="1">
      <c r="B51" s="459" t="s">
        <v>812</v>
      </c>
      <c r="C51" s="462"/>
      <c r="D51" s="462"/>
      <c r="E51" s="463"/>
    </row>
    <row r="53" spans="2:5">
      <c r="B53" s="358" t="s">
        <v>803</v>
      </c>
      <c r="C53" s="368">
        <f>+SUM(C8:C16)</f>
        <v>6109739.7000000002</v>
      </c>
      <c r="D53" s="368">
        <f>+SUM(C17:C19)</f>
        <v>2146421.02</v>
      </c>
      <c r="E53" s="451">
        <f>+D53+C53</f>
        <v>8256160.7200000007</v>
      </c>
    </row>
    <row r="54" spans="2:5">
      <c r="B54" s="358" t="s">
        <v>805</v>
      </c>
      <c r="C54" s="385">
        <v>168.51</v>
      </c>
      <c r="D54" s="450">
        <v>166.45</v>
      </c>
      <c r="E54" s="450">
        <v>167.98965918133803</v>
      </c>
    </row>
    <row r="55" spans="2:5">
      <c r="B55" s="358" t="s">
        <v>799</v>
      </c>
      <c r="C55" s="452">
        <f>+C53/C54</f>
        <v>36257.431012996261</v>
      </c>
      <c r="D55" s="452">
        <f>+D53/D54</f>
        <v>12895.289996996096</v>
      </c>
      <c r="E55" s="452">
        <f>+D55+C55</f>
        <v>49152.721009992354</v>
      </c>
    </row>
    <row r="58" spans="2:5">
      <c r="C58" s="453" t="s">
        <v>807</v>
      </c>
      <c r="D58" s="453" t="s">
        <v>808</v>
      </c>
      <c r="E58" s="453" t="s">
        <v>14</v>
      </c>
    </row>
    <row r="59" spans="2:5">
      <c r="B59" s="358" t="s">
        <v>813</v>
      </c>
      <c r="C59" s="450">
        <v>5301929.18</v>
      </c>
      <c r="D59" s="450">
        <v>2966770.3800000008</v>
      </c>
      <c r="E59" s="450">
        <f>SUM(C59:D59)</f>
        <v>8268699.5600000005</v>
      </c>
    </row>
    <row r="60" spans="2:5">
      <c r="C60" s="455">
        <f>+C59/E59</f>
        <v>0.64120471925817546</v>
      </c>
      <c r="D60" s="455">
        <f>+D59/E59</f>
        <v>0.35879528074182448</v>
      </c>
      <c r="E60" s="455">
        <f>+D60+C60</f>
        <v>1</v>
      </c>
    </row>
    <row r="62" spans="2:5" ht="13.5" thickBot="1">
      <c r="B62" s="358" t="s">
        <v>814</v>
      </c>
      <c r="C62" s="456">
        <f>+$E55*C60</f>
        <v>31516.956675987571</v>
      </c>
      <c r="D62" s="456">
        <f>+$E55*D60</f>
        <v>17635.76433400478</v>
      </c>
      <c r="E62" s="456">
        <f>+D62+C62</f>
        <v>49152.721009992354</v>
      </c>
    </row>
    <row r="63" spans="2:5" ht="13.5" thickTop="1"/>
    <row r="64" spans="2:5">
      <c r="C64" s="450">
        <f>+C60*E55</f>
        <v>31516.956675987571</v>
      </c>
      <c r="D64" s="450">
        <f>+D60*E35</f>
        <v>44449.207867756915</v>
      </c>
      <c r="E64" s="455">
        <f>+D64+C64</f>
        <v>75966.164543744482</v>
      </c>
    </row>
  </sheetData>
  <mergeCells count="2">
    <mergeCell ref="C5:E5"/>
    <mergeCell ref="H5:J5"/>
  </mergeCells>
  <pageMargins left="0.7" right="0.7" top="0.75" bottom="0.75" header="0.3" footer="0.3"/>
  <pageSetup scale="88" orientation="landscape" errors="blank" r:id="rId1"/>
  <colBreaks count="1" manualBreakCount="1">
    <brk id="7" max="1048575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67E947-5DE7-4F37-BCED-B52E52893C8B}">
  <sheetPr>
    <tabColor rgb="FF92D050"/>
  </sheetPr>
  <dimension ref="A1:O154"/>
  <sheetViews>
    <sheetView showGridLines="0" zoomScale="85" zoomScaleNormal="85" workbookViewId="0">
      <pane xSplit="2" ySplit="7" topLeftCell="C118" activePane="bottomRight" state="frozen"/>
      <selection activeCell="E10" sqref="E10"/>
      <selection pane="topRight" activeCell="E10" sqref="E10"/>
      <selection pane="bottomLeft" activeCell="E10" sqref="E10"/>
      <selection pane="bottomRight" activeCell="J28" sqref="J28"/>
    </sheetView>
  </sheetViews>
  <sheetFormatPr defaultRowHeight="15"/>
  <cols>
    <col min="1" max="1" width="20.28515625" style="389" customWidth="1"/>
    <col min="2" max="2" width="27.5703125" style="389" bestFit="1" customWidth="1"/>
    <col min="3" max="3" width="12.5703125" style="390" bestFit="1" customWidth="1"/>
    <col min="4" max="4" width="15.42578125" style="390" bestFit="1" customWidth="1"/>
    <col min="5" max="5" width="2.7109375" style="390" customWidth="1"/>
    <col min="6" max="6" width="18.42578125" style="390" bestFit="1" customWidth="1"/>
    <col min="7" max="7" width="14.28515625" style="390" bestFit="1" customWidth="1"/>
    <col min="8" max="8" width="14.7109375" style="390" bestFit="1" customWidth="1"/>
    <col min="9" max="9" width="17.28515625" style="390" customWidth="1"/>
    <col min="10" max="10" width="15.85546875" style="390" customWidth="1"/>
    <col min="11" max="11" width="9.140625" style="390"/>
    <col min="12" max="12" width="18.28515625" style="390" bestFit="1" customWidth="1"/>
    <col min="13" max="13" width="14" style="390" bestFit="1" customWidth="1"/>
    <col min="14" max="14" width="11.5703125" style="390" bestFit="1" customWidth="1"/>
    <col min="15" max="16384" width="9.140625" style="390"/>
  </cols>
  <sheetData>
    <row r="1" spans="1:15" ht="15.75">
      <c r="A1" s="388" t="s">
        <v>759</v>
      </c>
    </row>
    <row r="2" spans="1:15" ht="15.75">
      <c r="A2" s="388" t="s">
        <v>793</v>
      </c>
    </row>
    <row r="3" spans="1:15" ht="15.75">
      <c r="A3" s="393" t="s">
        <v>794</v>
      </c>
    </row>
    <row r="4" spans="1:15">
      <c r="F4" s="390">
        <f>52/12</f>
        <v>4.333333333333333</v>
      </c>
    </row>
    <row r="5" spans="1:15">
      <c r="A5" s="390"/>
      <c r="B5" s="390"/>
    </row>
    <row r="6" spans="1:15" ht="30">
      <c r="A6" s="397"/>
      <c r="B6" s="398"/>
      <c r="D6" s="399" t="s">
        <v>771</v>
      </c>
      <c r="F6" s="403" t="s">
        <v>772</v>
      </c>
      <c r="G6" s="403" t="s">
        <v>773</v>
      </c>
      <c r="H6" s="403" t="s">
        <v>9</v>
      </c>
      <c r="I6" s="399" t="s">
        <v>31</v>
      </c>
      <c r="J6" s="399" t="s">
        <v>32</v>
      </c>
    </row>
    <row r="7" spans="1:15" ht="15.75" thickBot="1">
      <c r="A7" s="404" t="s">
        <v>300</v>
      </c>
      <c r="B7" s="405"/>
      <c r="L7" s="390" t="s">
        <v>824</v>
      </c>
      <c r="M7" s="390" t="s">
        <v>823</v>
      </c>
      <c r="N7" s="390" t="s">
        <v>822</v>
      </c>
      <c r="O7" s="390" t="s">
        <v>736</v>
      </c>
    </row>
    <row r="8" spans="1:15">
      <c r="A8" s="397"/>
      <c r="B8" s="398"/>
      <c r="L8" s="498" t="s">
        <v>821</v>
      </c>
      <c r="M8" s="497">
        <f>+D27</f>
        <v>800509.39558767888</v>
      </c>
      <c r="N8" s="496">
        <f>+SUM('[52]Murrey''s American G-9 Reg.'!$AG$10,'[52]Murrey''s American G-9 Reg.'!$AG$12:$AG$22,'[52]Murrey''s American G-9 Reg.'!$AG$30,'[52]Murrey''s American G-9 Reg.'!$AG$34:$AG$36)</f>
        <v>800509.39558767888</v>
      </c>
      <c r="O8" s="495">
        <f>+M8-N8</f>
        <v>0</v>
      </c>
    </row>
    <row r="9" spans="1:15">
      <c r="A9" s="406" t="s">
        <v>774</v>
      </c>
      <c r="B9" s="406"/>
      <c r="L9" s="494" t="s">
        <v>12</v>
      </c>
      <c r="M9" s="407">
        <f>+D82</f>
        <v>28407.259351533987</v>
      </c>
      <c r="N9" s="433">
        <f>+SUM('[52]Murrey''s American G-9 Reg.'!$AG$73:$AG$110,'[52]Murrey''s American G-9 Reg.'!$AG$112:$AG$118,'[52]Murrey''s American G-9 Reg.'!$AG$120:$AG$121,'[52]Murrey''s American G-9 Reg.'!$AG$129)</f>
        <v>28407.259351533983</v>
      </c>
      <c r="O9" s="493">
        <f>+M9-N9</f>
        <v>0</v>
      </c>
    </row>
    <row r="10" spans="1:15">
      <c r="A10" s="408" t="s">
        <v>302</v>
      </c>
      <c r="B10" s="411" t="s">
        <v>182</v>
      </c>
      <c r="C10" s="392"/>
      <c r="D10" s="392">
        <f>+VLOOKUP($A10,'[52]Murrey''s American G-9 Reg.'!$B:$AH,32,FALSE)</f>
        <v>1143.4977471439706</v>
      </c>
      <c r="F10" s="410">
        <f>[53]References!$C$10</f>
        <v>1</v>
      </c>
      <c r="G10" s="407">
        <f>+D10*F10</f>
        <v>1143.4977471439706</v>
      </c>
      <c r="H10" s="432">
        <f>[53]References!$C$14</f>
        <v>20</v>
      </c>
      <c r="I10" s="392">
        <f>+G10*H10</f>
        <v>22869.954942879413</v>
      </c>
      <c r="J10" s="392">
        <f ca="1">+I10*$C$138</f>
        <v>16540.640516541032</v>
      </c>
      <c r="L10" s="492" t="s">
        <v>609</v>
      </c>
      <c r="M10" s="491">
        <f ca="1">D124</f>
        <v>78472.830359818443</v>
      </c>
      <c r="N10" s="490">
        <f>+SUM('[52]Murrey''s American G-9 Reg.'!$AG$139:$AG$148,'[52]Murrey''s American G-9 Reg.'!$AG$173,'[52]Murrey''s American G-9 Reg.'!$AG$150:$AG$168)</f>
        <v>78472.536958803219</v>
      </c>
      <c r="O10" s="489">
        <f ca="1">+M10-N10</f>
        <v>0.29340101522393525</v>
      </c>
    </row>
    <row r="11" spans="1:15" ht="15.75" thickBot="1">
      <c r="A11" s="408" t="s">
        <v>303</v>
      </c>
      <c r="B11" s="411" t="s">
        <v>183</v>
      </c>
      <c r="C11" s="392"/>
      <c r="D11" s="392">
        <f>+VLOOKUP($A11,'[52]Murrey''s American G-9 Reg.'!$B:$AH,32,FALSE)</f>
        <v>465.12771085565203</v>
      </c>
      <c r="F11" s="410">
        <f>[53]References!$C$8</f>
        <v>4.33</v>
      </c>
      <c r="G11" s="407">
        <f>+D11*F11</f>
        <v>2014.0029880049733</v>
      </c>
      <c r="H11" s="432">
        <f>[53]References!$C$14</f>
        <v>20</v>
      </c>
      <c r="I11" s="392">
        <f>+G11*H11</f>
        <v>40280.059760099466</v>
      </c>
      <c r="J11" s="392">
        <f ca="1">+I11*$C$138</f>
        <v>29132.457415882905</v>
      </c>
      <c r="L11" s="488"/>
      <c r="M11" s="487">
        <f ca="1">SUM(M8:M10)</f>
        <v>907389.48529903125</v>
      </c>
      <c r="N11" s="487">
        <f>SUM(N8:N10)</f>
        <v>907389.19189801603</v>
      </c>
      <c r="O11" s="486">
        <f ca="1">SUM(O8:O10)</f>
        <v>0.29340101522393525</v>
      </c>
    </row>
    <row r="12" spans="1:15">
      <c r="A12" s="408" t="s">
        <v>304</v>
      </c>
      <c r="B12" s="408" t="s">
        <v>184</v>
      </c>
      <c r="C12" s="392"/>
      <c r="D12" s="392">
        <f>+VLOOKUP($A12,'[52]Murrey''s American G-9 Reg.'!$B:$AH,32,FALSE)</f>
        <v>40179.346151479767</v>
      </c>
      <c r="F12" s="410">
        <f>[53]References!$C$8</f>
        <v>4.33</v>
      </c>
      <c r="G12" s="407">
        <f>+D12*F12</f>
        <v>173976.56883590738</v>
      </c>
      <c r="H12" s="432">
        <f>[53]References!$C$14</f>
        <v>20</v>
      </c>
      <c r="I12" s="392">
        <f>+G12*H12</f>
        <v>3479531.3767181477</v>
      </c>
      <c r="J12" s="392">
        <f ca="1">+I12*$C$138</f>
        <v>2516562.7921903445</v>
      </c>
    </row>
    <row r="13" spans="1:15">
      <c r="A13" s="408" t="s">
        <v>305</v>
      </c>
      <c r="B13" s="408" t="s">
        <v>185</v>
      </c>
      <c r="C13" s="392"/>
      <c r="D13" s="392">
        <f>+VLOOKUP($A13,'[52]Murrey''s American G-9 Reg.'!$B:$AH,32,FALSE)</f>
        <v>5775.714173335512</v>
      </c>
      <c r="F13" s="410">
        <f>[53]References!$C$10</f>
        <v>1</v>
      </c>
      <c r="G13" s="407">
        <f>+D13*F13</f>
        <v>5775.714173335512</v>
      </c>
      <c r="H13" s="432">
        <f>[53]References!$C$22</f>
        <v>40</v>
      </c>
      <c r="I13" s="392">
        <f>+G13*H13</f>
        <v>231028.56693342049</v>
      </c>
      <c r="J13" s="392">
        <f ca="1">+I13*$C$138</f>
        <v>167090.86153609285</v>
      </c>
    </row>
    <row r="14" spans="1:15">
      <c r="A14" s="408" t="s">
        <v>708</v>
      </c>
      <c r="B14" s="408" t="s">
        <v>707</v>
      </c>
      <c r="C14" s="392"/>
      <c r="D14" s="392">
        <f>+VLOOKUP($A14,'[52]Murrey''s American G-9 Reg.'!$B:$AH,32,FALSE)</f>
        <v>1</v>
      </c>
      <c r="F14" s="410">
        <v>1</v>
      </c>
      <c r="G14" s="407">
        <f>+D14*F14</f>
        <v>1</v>
      </c>
      <c r="H14" s="432">
        <f>[53]References!$C$22</f>
        <v>40</v>
      </c>
      <c r="I14" s="392">
        <f>+G14*H14</f>
        <v>40</v>
      </c>
      <c r="J14" s="392">
        <f ca="1">+I14*$C$138</f>
        <v>28.929904860509538</v>
      </c>
    </row>
    <row r="15" spans="1:15">
      <c r="A15" s="408" t="s">
        <v>306</v>
      </c>
      <c r="B15" s="408" t="s">
        <v>186</v>
      </c>
      <c r="C15" s="392"/>
      <c r="D15" s="392">
        <f>+VLOOKUP($A15,'[52]Murrey''s American G-9 Reg.'!$B:$AH,32,FALSE)</f>
        <v>3749.6862090131267</v>
      </c>
      <c r="F15" s="410">
        <f>[53]References!$C$8</f>
        <v>4.33</v>
      </c>
      <c r="G15" s="407">
        <f>+D15*F15</f>
        <v>16236.141285026839</v>
      </c>
      <c r="H15" s="432">
        <f>[53]References!$C$22</f>
        <v>40</v>
      </c>
      <c r="I15" s="392">
        <f>+G15*H15</f>
        <v>649445.65140107356</v>
      </c>
      <c r="J15" s="392">
        <f ca="1">+I15*$C$138</f>
        <v>469710.02267761756</v>
      </c>
    </row>
    <row r="16" spans="1:15">
      <c r="A16" s="408" t="s">
        <v>307</v>
      </c>
      <c r="B16" s="408" t="s">
        <v>187</v>
      </c>
      <c r="C16" s="392"/>
      <c r="D16" s="392">
        <f>+VLOOKUP($A16,'[52]Murrey''s American G-9 Reg.'!$B:$AH,32,FALSE)</f>
        <v>362934.26931852312</v>
      </c>
      <c r="F16" s="410">
        <f>[53]References!$C$8</f>
        <v>4.33</v>
      </c>
      <c r="G16" s="407">
        <f>+D16*F16</f>
        <v>1571505.386149205</v>
      </c>
      <c r="H16" s="432">
        <f>[53]References!$C$22</f>
        <v>40</v>
      </c>
      <c r="I16" s="392">
        <f>+G16*H16</f>
        <v>62860215.445968203</v>
      </c>
      <c r="J16" s="392">
        <f ca="1">+I16*$C$138</f>
        <v>45463501.309074804</v>
      </c>
    </row>
    <row r="17" spans="1:13">
      <c r="A17" s="408" t="s">
        <v>308</v>
      </c>
      <c r="B17" s="408" t="s">
        <v>188</v>
      </c>
      <c r="C17" s="392"/>
      <c r="D17" s="392">
        <f>+VLOOKUP($A17,'[52]Murrey''s American G-9 Reg.'!$B:$AH,32,FALSE)</f>
        <v>1114.7562622787127</v>
      </c>
      <c r="F17" s="410">
        <f>[53]References!$C$10</f>
        <v>1</v>
      </c>
      <c r="G17" s="407">
        <f>+D17*F17</f>
        <v>1114.7562622787127</v>
      </c>
      <c r="H17" s="432">
        <f>[53]References!$C$24</f>
        <v>51</v>
      </c>
      <c r="I17" s="392">
        <f>+G17*H17</f>
        <v>56852.569376214349</v>
      </c>
      <c r="J17" s="392">
        <f ca="1">+I17*$C$138</f>
        <v>41118.485578234984</v>
      </c>
    </row>
    <row r="18" spans="1:13">
      <c r="A18" s="408" t="s">
        <v>706</v>
      </c>
      <c r="B18" s="408" t="s">
        <v>705</v>
      </c>
      <c r="C18" s="392"/>
      <c r="D18" s="392">
        <f>+VLOOKUP($A18,'[52]Murrey''s American G-9 Reg.'!$B:$AH,32,FALSE)</f>
        <v>3</v>
      </c>
      <c r="F18" s="410">
        <v>1</v>
      </c>
      <c r="G18" s="407">
        <f>+D18*F18</f>
        <v>3</v>
      </c>
      <c r="H18" s="432">
        <f>[53]References!$C$24</f>
        <v>51</v>
      </c>
      <c r="I18" s="392">
        <f>+G18*H18</f>
        <v>153</v>
      </c>
      <c r="J18" s="392">
        <f ca="1">+I18*$C$138</f>
        <v>110.65688609144898</v>
      </c>
    </row>
    <row r="19" spans="1:13">
      <c r="A19" s="408" t="s">
        <v>309</v>
      </c>
      <c r="B19" s="408" t="s">
        <v>189</v>
      </c>
      <c r="C19" s="392"/>
      <c r="D19" s="392">
        <f>+VLOOKUP($A19,'[52]Murrey''s American G-9 Reg.'!$B:$AH,32,FALSE)</f>
        <v>2172.1720793078794</v>
      </c>
      <c r="F19" s="410">
        <f>[53]References!$C$8</f>
        <v>4.33</v>
      </c>
      <c r="G19" s="407">
        <f>+D19*F19</f>
        <v>9405.5051034031185</v>
      </c>
      <c r="H19" s="432">
        <f>[53]References!$C$24</f>
        <v>51</v>
      </c>
      <c r="I19" s="392">
        <f>+G19*H19</f>
        <v>479680.76027355902</v>
      </c>
      <c r="J19" s="392">
        <f ca="1">+I19*$C$138</f>
        <v>346927.96895327367</v>
      </c>
    </row>
    <row r="20" spans="1:13">
      <c r="A20" s="408" t="s">
        <v>310</v>
      </c>
      <c r="B20" s="408" t="s">
        <v>190</v>
      </c>
      <c r="C20" s="392"/>
      <c r="D20" s="392">
        <f>+VLOOKUP($A20,'[52]Murrey''s American G-9 Reg.'!$B:$AH,32,FALSE)</f>
        <v>271596.52010243706</v>
      </c>
      <c r="F20" s="410">
        <f>[53]References!$C$8</f>
        <v>4.33</v>
      </c>
      <c r="G20" s="407">
        <f>+D20*F20</f>
        <v>1176012.9320435524</v>
      </c>
      <c r="H20" s="432">
        <f>[53]References!$C$24</f>
        <v>51</v>
      </c>
      <c r="I20" s="392">
        <f>+G20*H20</f>
        <v>59976659.534221172</v>
      </c>
      <c r="J20" s="392">
        <f ca="1">+I20*$C$138</f>
        <v>43377976.35440477</v>
      </c>
    </row>
    <row r="21" spans="1:13">
      <c r="A21" s="408" t="s">
        <v>311</v>
      </c>
      <c r="B21" s="408" t="s">
        <v>191</v>
      </c>
      <c r="C21" s="392"/>
      <c r="D21" s="392">
        <f>+VLOOKUP($A21,'[52]Murrey''s American G-9 Reg.'!$B:$AH,32,FALSE)</f>
        <v>211.49330073400685</v>
      </c>
      <c r="F21" s="410">
        <f>[53]References!$C$10</f>
        <v>1</v>
      </c>
      <c r="G21" s="407">
        <f>+D21*F21</f>
        <v>211.49330073400685</v>
      </c>
      <c r="H21" s="432">
        <f>[53]References!$C$26</f>
        <v>77</v>
      </c>
      <c r="I21" s="392">
        <f>+G21*H21</f>
        <v>16284.984156518527</v>
      </c>
      <c r="J21" s="392">
        <f ca="1">+I21*$C$138</f>
        <v>11778.076057574654</v>
      </c>
    </row>
    <row r="22" spans="1:13">
      <c r="A22" s="408" t="s">
        <v>312</v>
      </c>
      <c r="B22" s="408" t="s">
        <v>192</v>
      </c>
      <c r="C22" s="392"/>
      <c r="D22" s="392">
        <f>+VLOOKUP($A22,'[52]Murrey''s American G-9 Reg.'!$B:$AH,32,FALSE)</f>
        <v>433.75120905536534</v>
      </c>
      <c r="F22" s="410">
        <f>[53]References!$C$8</f>
        <v>4.33</v>
      </c>
      <c r="G22" s="407">
        <f>+D22*F22</f>
        <v>1878.1427352097319</v>
      </c>
      <c r="H22" s="432">
        <f>[53]References!$C$26</f>
        <v>77</v>
      </c>
      <c r="I22" s="392">
        <f>+G22*H22</f>
        <v>144616.99061114935</v>
      </c>
      <c r="J22" s="392">
        <f ca="1">+I22*$C$138</f>
        <v>104593.89448984379</v>
      </c>
    </row>
    <row r="23" spans="1:13">
      <c r="A23" s="408" t="s">
        <v>313</v>
      </c>
      <c r="B23" s="408" t="s">
        <v>193</v>
      </c>
      <c r="C23" s="392"/>
      <c r="D23" s="392">
        <f>+VLOOKUP($A23,'[52]Murrey''s American G-9 Reg.'!$B:$AH,32,FALSE)</f>
        <v>74085.010374806705</v>
      </c>
      <c r="F23" s="410">
        <f>[53]References!$C$8</f>
        <v>4.33</v>
      </c>
      <c r="G23" s="407">
        <f>+D23*F23</f>
        <v>320788.09492291306</v>
      </c>
      <c r="H23" s="432">
        <f>[53]References!$C$26</f>
        <v>77</v>
      </c>
      <c r="I23" s="392">
        <f>+G23*H23</f>
        <v>24700683.309064306</v>
      </c>
      <c r="J23" s="392">
        <f ca="1">+I23*$C$138</f>
        <v>17864710.453020159</v>
      </c>
    </row>
    <row r="24" spans="1:13">
      <c r="A24" s="408" t="s">
        <v>704</v>
      </c>
      <c r="B24" s="408" t="s">
        <v>694</v>
      </c>
      <c r="C24" s="392"/>
      <c r="D24" s="392">
        <f>+VLOOKUP($A24,'[52]Murrey''s American G-9 Reg.'!$B:$AH,32,FALSE)</f>
        <v>668.25035056739875</v>
      </c>
      <c r="F24" s="410">
        <v>0</v>
      </c>
      <c r="G24" s="407">
        <f>+D24*F24</f>
        <v>0</v>
      </c>
      <c r="H24" s="432">
        <v>0</v>
      </c>
      <c r="I24" s="392">
        <f>+G24*H24</f>
        <v>0</v>
      </c>
      <c r="J24" s="392">
        <f ca="1">+I24*$C$138</f>
        <v>0</v>
      </c>
    </row>
    <row r="25" spans="1:13">
      <c r="A25" s="408" t="s">
        <v>329</v>
      </c>
      <c r="B25" s="408" t="s">
        <v>105</v>
      </c>
      <c r="C25" s="392"/>
      <c r="D25" s="392">
        <f>+VLOOKUP($A25,'[52]Murrey''s American G-9 Reg.'!$B:$AH,32,FALSE)</f>
        <v>35975.800598140529</v>
      </c>
      <c r="F25" s="410">
        <f>[53]References!$C$10</f>
        <v>1</v>
      </c>
      <c r="G25" s="407">
        <f>+D25*F25</f>
        <v>35975.800598140529</v>
      </c>
      <c r="H25" s="432">
        <f>[53]References!C15</f>
        <v>34</v>
      </c>
      <c r="I25" s="392">
        <f>+G25*H25</f>
        <v>1223177.2203367781</v>
      </c>
      <c r="J25" s="392">
        <f ca="1">+I25*$C$138</f>
        <v>884660.01529713755</v>
      </c>
    </row>
    <row r="26" spans="1:13">
      <c r="A26" s="412"/>
      <c r="B26" s="412"/>
      <c r="G26" s="407"/>
      <c r="I26" s="407"/>
      <c r="J26" s="407"/>
    </row>
    <row r="27" spans="1:13">
      <c r="B27" s="413" t="s">
        <v>779</v>
      </c>
      <c r="D27" s="416">
        <f>+SUM(D10:D26)</f>
        <v>800509.39558767888</v>
      </c>
      <c r="E27" s="416">
        <f>+SUM(E10:E26)</f>
        <v>0</v>
      </c>
      <c r="F27" s="416">
        <f>+SUM(F10:F26)</f>
        <v>41.639999999999993</v>
      </c>
      <c r="G27" s="416">
        <f>+SUM(G10:G26)</f>
        <v>3316042.0361448554</v>
      </c>
      <c r="H27" s="416">
        <f>+SUM(H10:H26)</f>
        <v>689</v>
      </c>
      <c r="I27" s="416">
        <f>+SUM(I10:I26)</f>
        <v>153881519.42376351</v>
      </c>
      <c r="J27" s="416">
        <f ca="1">+SUM(J10:J26)</f>
        <v>111294442.91800323</v>
      </c>
      <c r="M27" s="391"/>
    </row>
    <row r="28" spans="1:13">
      <c r="B28" s="413"/>
      <c r="D28" s="425">
        <f>+D27-SUM('[52]Murrey''s American G-9 Reg.'!$AG$12:$AG$22,'[52]Murrey''s American G-9 Reg.'!$AG$30,'[52]Murrey''s American G-9 Reg.'!$AG$34:$AG$36,'[52]Murrey''s American G-9 Reg.'!$AG$10)</f>
        <v>0</v>
      </c>
      <c r="E28" s="433"/>
      <c r="F28" s="433"/>
      <c r="G28" s="433"/>
      <c r="H28" s="433"/>
      <c r="I28" s="433"/>
      <c r="J28" s="433"/>
    </row>
    <row r="29" spans="1:13">
      <c r="A29" s="404" t="s">
        <v>780</v>
      </c>
      <c r="B29" s="405"/>
      <c r="G29" s="407"/>
      <c r="I29" s="407"/>
      <c r="J29" s="407"/>
    </row>
    <row r="30" spans="1:13">
      <c r="A30" s="397"/>
      <c r="B30" s="397"/>
      <c r="G30" s="407"/>
      <c r="I30" s="407"/>
      <c r="J30" s="407"/>
    </row>
    <row r="31" spans="1:13">
      <c r="A31" s="406" t="s">
        <v>781</v>
      </c>
      <c r="B31" s="406"/>
      <c r="G31" s="407"/>
      <c r="I31" s="407"/>
      <c r="J31" s="407"/>
    </row>
    <row r="32" spans="1:13">
      <c r="A32" s="408" t="s">
        <v>369</v>
      </c>
      <c r="B32" s="408" t="s">
        <v>194</v>
      </c>
      <c r="C32" s="433"/>
      <c r="D32" s="392">
        <f>+VLOOKUP($A32,'[52]Murrey''s American G-9 Reg.'!$B:$AH,32,FALSE)</f>
        <v>65.880813953488371</v>
      </c>
      <c r="F32" s="410">
        <f>+[53]References!$C$8</f>
        <v>4.33</v>
      </c>
      <c r="G32" s="407">
        <f>+D32*F32</f>
        <v>285.26392441860463</v>
      </c>
      <c r="H32" s="432">
        <f>[53]References!$C$14</f>
        <v>20</v>
      </c>
      <c r="I32" s="392">
        <f>+G32*H32</f>
        <v>5705.2784883720924</v>
      </c>
      <c r="J32" s="392">
        <f ca="1">+I32*$C$138</f>
        <v>4126.329096782908</v>
      </c>
      <c r="L32" s="420"/>
      <c r="M32" s="410"/>
    </row>
    <row r="33" spans="1:13">
      <c r="A33" s="408" t="s">
        <v>370</v>
      </c>
      <c r="B33" s="408" t="s">
        <v>195</v>
      </c>
      <c r="C33" s="433"/>
      <c r="D33" s="392">
        <f>+VLOOKUP($A33,'[52]Murrey''s American G-9 Reg.'!$B:$AH,32,FALSE)</f>
        <v>779.54242235065863</v>
      </c>
      <c r="F33" s="410">
        <f>+[53]References!$C$8</f>
        <v>4.33</v>
      </c>
      <c r="G33" s="407">
        <f>+D33*F33</f>
        <v>3375.4186887783517</v>
      </c>
      <c r="H33" s="432">
        <f>[53]References!$C$22</f>
        <v>40</v>
      </c>
      <c r="I33" s="392">
        <f>+G33*H33</f>
        <v>135016.74755113406</v>
      </c>
      <c r="J33" s="392">
        <f ca="1">+I33*$C$138</f>
        <v>97650.541530743561</v>
      </c>
      <c r="L33" s="420"/>
      <c r="M33" s="410"/>
    </row>
    <row r="34" spans="1:13">
      <c r="A34" s="408" t="s">
        <v>371</v>
      </c>
      <c r="B34" s="408" t="s">
        <v>196</v>
      </c>
      <c r="C34" s="433"/>
      <c r="D34" s="392">
        <f>+VLOOKUP($A34,'[52]Murrey''s American G-9 Reg.'!$B:$AH,32,FALSE)</f>
        <v>861.65130995117136</v>
      </c>
      <c r="F34" s="410">
        <f>+[53]References!$C$8</f>
        <v>4.33</v>
      </c>
      <c r="G34" s="407">
        <f>+D34*F34</f>
        <v>3730.9501720885719</v>
      </c>
      <c r="H34" s="432">
        <f>[53]References!$C$24</f>
        <v>51</v>
      </c>
      <c r="I34" s="392">
        <f>+G34*H34</f>
        <v>190278.45877651716</v>
      </c>
      <c r="J34" s="392">
        <f ca="1">+I34*$C$138</f>
        <v>137618.44273522569</v>
      </c>
      <c r="L34" s="420"/>
      <c r="M34" s="410"/>
    </row>
    <row r="35" spans="1:13">
      <c r="A35" s="408" t="s">
        <v>372</v>
      </c>
      <c r="B35" s="408" t="s">
        <v>197</v>
      </c>
      <c r="C35" s="433"/>
      <c r="D35" s="392">
        <f>+VLOOKUP($A35,'[52]Murrey''s American G-9 Reg.'!$B:$AH,32,FALSE)</f>
        <v>1002.2462351117928</v>
      </c>
      <c r="F35" s="410">
        <f>+[53]References!$C$8</f>
        <v>4.33</v>
      </c>
      <c r="G35" s="407">
        <f>+D35*F35</f>
        <v>4339.7261980340627</v>
      </c>
      <c r="H35" s="432">
        <f>[53]References!$C$26</f>
        <v>77</v>
      </c>
      <c r="I35" s="392">
        <f>+G35*H35</f>
        <v>334158.91724862281</v>
      </c>
      <c r="J35" s="392">
        <f ca="1">+I35*$C$138</f>
        <v>241679.64210733844</v>
      </c>
      <c r="L35" s="420"/>
      <c r="M35" s="410"/>
    </row>
    <row r="36" spans="1:13">
      <c r="A36" s="408" t="s">
        <v>695</v>
      </c>
      <c r="B36" s="408" t="s">
        <v>694</v>
      </c>
      <c r="C36" s="433"/>
      <c r="D36" s="392">
        <f>+VLOOKUP($A36,'[52]Murrey''s American G-9 Reg.'!$B:$AH,32,FALSE)</f>
        <v>24.086211599196094</v>
      </c>
      <c r="F36" s="410">
        <v>1</v>
      </c>
      <c r="G36" s="407">
        <f>+D36*F36</f>
        <v>24.086211599196094</v>
      </c>
      <c r="H36" s="432">
        <v>0</v>
      </c>
      <c r="I36" s="392">
        <f>+G36*H36</f>
        <v>0</v>
      </c>
      <c r="J36" s="392">
        <f ca="1">+I36*$C$138</f>
        <v>0</v>
      </c>
      <c r="L36" s="420"/>
      <c r="M36" s="410"/>
    </row>
    <row r="37" spans="1:13">
      <c r="A37" s="408" t="s">
        <v>422</v>
      </c>
      <c r="B37" s="408" t="s">
        <v>216</v>
      </c>
      <c r="C37" s="433"/>
      <c r="D37" s="392">
        <f>+VLOOKUP($A37,'[52]Murrey''s American G-9 Reg.'!$B:$AH,32,FALSE)</f>
        <v>1337.9503633953864</v>
      </c>
      <c r="F37" s="410">
        <v>1</v>
      </c>
      <c r="G37" s="407">
        <f>+D37*F37</f>
        <v>1337.9503633953864</v>
      </c>
      <c r="H37" s="432">
        <f>[53]References!$C$15</f>
        <v>34</v>
      </c>
      <c r="I37" s="392">
        <f>+G37*H37</f>
        <v>45490.312355443137</v>
      </c>
      <c r="J37" s="392">
        <f ca="1">+I37*$C$138</f>
        <v>32900.760212945788</v>
      </c>
      <c r="L37" s="420"/>
      <c r="M37" s="410"/>
    </row>
    <row r="38" spans="1:13">
      <c r="A38" s="408" t="s">
        <v>423</v>
      </c>
      <c r="B38" s="408" t="s">
        <v>217</v>
      </c>
      <c r="C38" s="433"/>
      <c r="D38" s="392">
        <f>+VLOOKUP($A38,'[52]Murrey''s American G-9 Reg.'!$B:$AH,32,FALSE)</f>
        <v>4278.4010871826877</v>
      </c>
      <c r="F38" s="410">
        <v>1</v>
      </c>
      <c r="G38" s="407">
        <f>+D38*F38</f>
        <v>4278.4010871826877</v>
      </c>
      <c r="H38" s="432">
        <f>[53]References!C31</f>
        <v>125</v>
      </c>
      <c r="I38" s="392">
        <f>+G38*H38</f>
        <v>534800.13589783595</v>
      </c>
      <c r="J38" s="392">
        <f ca="1">+I38*$C$138</f>
        <v>386792.92627279914</v>
      </c>
      <c r="L38" s="420"/>
      <c r="M38" s="410"/>
    </row>
    <row r="39" spans="1:13">
      <c r="A39" s="408" t="s">
        <v>373</v>
      </c>
      <c r="B39" s="408" t="s">
        <v>84</v>
      </c>
      <c r="C39" s="433"/>
      <c r="D39" s="392">
        <f>+VLOOKUP($A39,'[52]Murrey''s American G-9 Reg.'!$B:$AH,32,FALSE)</f>
        <v>33.999947905813713</v>
      </c>
      <c r="F39" s="410">
        <f>[53]References!$C$8</f>
        <v>4.33</v>
      </c>
      <c r="G39" s="407">
        <f>+D39*F39</f>
        <v>147.21977443217338</v>
      </c>
      <c r="H39" s="432">
        <f>[53]References!$C$33</f>
        <v>250</v>
      </c>
      <c r="I39" s="392">
        <f>+G39*H39</f>
        <v>36804.943608043344</v>
      </c>
      <c r="J39" s="392">
        <f ca="1">+I39*$C$138</f>
        <v>26619.087924427815</v>
      </c>
      <c r="L39" s="420"/>
      <c r="M39" s="410"/>
    </row>
    <row r="40" spans="1:13">
      <c r="A40" s="408" t="s">
        <v>374</v>
      </c>
      <c r="B40" s="408" t="s">
        <v>83</v>
      </c>
      <c r="C40" s="433"/>
      <c r="D40" s="392">
        <f>+VLOOKUP($A40,'[52]Murrey''s American G-9 Reg.'!$B:$AH,32,FALSE)</f>
        <v>79</v>
      </c>
      <c r="F40" s="410">
        <f>[53]References!$C$8</f>
        <v>4.33</v>
      </c>
      <c r="G40" s="407">
        <f>+D40*F40</f>
        <v>342.07</v>
      </c>
      <c r="H40" s="432">
        <f>[53]References!$C$32</f>
        <v>175</v>
      </c>
      <c r="I40" s="392">
        <f>+G40*H40</f>
        <v>59862.25</v>
      </c>
      <c r="J40" s="392">
        <f ca="1">+I40*$C$138</f>
        <v>43295.229930900925</v>
      </c>
      <c r="L40" s="420"/>
      <c r="M40" s="410"/>
    </row>
    <row r="41" spans="1:13">
      <c r="A41" s="408" t="s">
        <v>375</v>
      </c>
      <c r="B41" s="408" t="s">
        <v>198</v>
      </c>
      <c r="C41" s="433"/>
      <c r="D41" s="392">
        <f>+VLOOKUP($A41,'[52]Murrey''s American G-9 Reg.'!$B:$AH,32,FALSE)</f>
        <v>1</v>
      </c>
      <c r="F41" s="410">
        <v>1</v>
      </c>
      <c r="G41" s="407">
        <f>+D41*F41</f>
        <v>1</v>
      </c>
      <c r="H41" s="432">
        <f>[53]References!$C$32</f>
        <v>175</v>
      </c>
      <c r="I41" s="392">
        <f>+G41*H41</f>
        <v>175</v>
      </c>
      <c r="J41" s="392">
        <f ca="1">+I41*$C$138</f>
        <v>126.56833376472923</v>
      </c>
      <c r="L41" s="420"/>
      <c r="M41" s="410"/>
    </row>
    <row r="42" spans="1:13">
      <c r="A42" s="408" t="s">
        <v>376</v>
      </c>
      <c r="B42" s="408" t="s">
        <v>85</v>
      </c>
      <c r="C42" s="433"/>
      <c r="D42" s="392">
        <f>+VLOOKUP($A42,'[52]Murrey''s American G-9 Reg.'!$B:$AH,32,FALSE)</f>
        <v>328.99944158031099</v>
      </c>
      <c r="F42" s="410">
        <f>[53]References!$C$8</f>
        <v>4.33</v>
      </c>
      <c r="G42" s="407">
        <f>+D42*F42</f>
        <v>1424.5675820427466</v>
      </c>
      <c r="H42" s="432">
        <f>[53]References!$C$34</f>
        <v>324</v>
      </c>
      <c r="I42" s="392">
        <f>+G42*H42</f>
        <v>461559.8965818499</v>
      </c>
      <c r="J42" s="392">
        <f ca="1">+I42*$C$138</f>
        <v>333822.09738848847</v>
      </c>
      <c r="L42" s="420"/>
      <c r="M42" s="410"/>
    </row>
    <row r="43" spans="1:13">
      <c r="A43" s="408" t="s">
        <v>377</v>
      </c>
      <c r="B43" s="408" t="s">
        <v>86</v>
      </c>
      <c r="C43" s="433"/>
      <c r="D43" s="392">
        <f>+VLOOKUP($A43,'[52]Murrey''s American G-9 Reg.'!$B:$AH,32,FALSE)</f>
        <v>75.222117006019403</v>
      </c>
      <c r="F43" s="410">
        <f>[53]References!$C$7</f>
        <v>8.66</v>
      </c>
      <c r="G43" s="407">
        <f>+D43*F43</f>
        <v>651.423533272128</v>
      </c>
      <c r="H43" s="432">
        <f>[53]References!$C$34</f>
        <v>324</v>
      </c>
      <c r="I43" s="392">
        <f>+G43*H43</f>
        <v>211061.22478016946</v>
      </c>
      <c r="J43" s="392">
        <f ca="1">+I43*$C$138</f>
        <v>152649.52881582303</v>
      </c>
      <c r="L43" s="420"/>
      <c r="M43" s="410"/>
    </row>
    <row r="44" spans="1:13">
      <c r="A44" s="408" t="s">
        <v>378</v>
      </c>
      <c r="B44" s="408" t="s">
        <v>120</v>
      </c>
      <c r="C44" s="433"/>
      <c r="D44" s="392">
        <f>+VLOOKUP($A44,'[52]Murrey''s American G-9 Reg.'!$B:$AH,32,FALSE)</f>
        <v>24</v>
      </c>
      <c r="F44" s="410">
        <f>[53]References!$C$6</f>
        <v>12.99</v>
      </c>
      <c r="G44" s="407">
        <f>+D44*F44</f>
        <v>311.76</v>
      </c>
      <c r="H44" s="432">
        <f>[53]References!$C$34</f>
        <v>324</v>
      </c>
      <c r="I44" s="392">
        <f>+G44*H44</f>
        <v>101010.23999999999</v>
      </c>
      <c r="J44" s="392">
        <f ca="1">+I44*$C$138</f>
        <v>73055.415828430865</v>
      </c>
      <c r="L44" s="420"/>
      <c r="M44" s="410"/>
    </row>
    <row r="45" spans="1:13">
      <c r="A45" s="408" t="s">
        <v>379</v>
      </c>
      <c r="B45" s="408" t="s">
        <v>199</v>
      </c>
      <c r="C45" s="433"/>
      <c r="D45" s="392">
        <f>+VLOOKUP($A45,'[52]Murrey''s American G-9 Reg.'!$B:$AH,32,FALSE)</f>
        <v>5</v>
      </c>
      <c r="F45" s="410">
        <v>1</v>
      </c>
      <c r="G45" s="407">
        <f>+D45*F45</f>
        <v>5</v>
      </c>
      <c r="H45" s="432">
        <f>[53]References!$C$34</f>
        <v>324</v>
      </c>
      <c r="I45" s="392">
        <f>+G45*H45</f>
        <v>1620</v>
      </c>
      <c r="J45" s="392">
        <f ca="1">+I45*$C$138</f>
        <v>1171.6611468506362</v>
      </c>
      <c r="L45" s="420"/>
      <c r="M45" s="410"/>
    </row>
    <row r="46" spans="1:13">
      <c r="A46" s="408" t="s">
        <v>380</v>
      </c>
      <c r="B46" s="408" t="s">
        <v>121</v>
      </c>
      <c r="C46" s="433"/>
      <c r="D46" s="392">
        <f>+VLOOKUP($A46,'[52]Murrey''s American G-9 Reg.'!$B:$AH,32,FALSE)</f>
        <v>2158.4189335343121</v>
      </c>
      <c r="F46" s="410">
        <f>[53]References!$C$8</f>
        <v>4.33</v>
      </c>
      <c r="G46" s="407">
        <f>+D46*F46</f>
        <v>9345.9539822035713</v>
      </c>
      <c r="H46" s="432">
        <f>[53]References!$C$36</f>
        <v>613</v>
      </c>
      <c r="I46" s="392">
        <f>+G46*H46</f>
        <v>5729069.7910907893</v>
      </c>
      <c r="J46" s="392">
        <f ca="1">+I46*$C$138</f>
        <v>4143536.0998868947</v>
      </c>
      <c r="L46" s="420"/>
      <c r="M46" s="410"/>
    </row>
    <row r="47" spans="1:13">
      <c r="A47" s="408" t="s">
        <v>381</v>
      </c>
      <c r="B47" s="408" t="s">
        <v>122</v>
      </c>
      <c r="C47" s="433"/>
      <c r="D47" s="392">
        <f>+VLOOKUP($A47,'[52]Murrey''s American G-9 Reg.'!$B:$AH,32,FALSE)</f>
        <v>368.12418567565237</v>
      </c>
      <c r="F47" s="410">
        <f>[53]References!$C$7</f>
        <v>8.66</v>
      </c>
      <c r="G47" s="407">
        <f>+D47*F47</f>
        <v>3187.9554479511494</v>
      </c>
      <c r="H47" s="432">
        <f>[53]References!$C$36</f>
        <v>613</v>
      </c>
      <c r="I47" s="392">
        <f>+G47*H47</f>
        <v>1954216.6895940546</v>
      </c>
      <c r="J47" s="392">
        <f ca="1">+I47*$C$138</f>
        <v>1413382.5726693976</v>
      </c>
      <c r="L47" s="420"/>
      <c r="M47" s="410"/>
    </row>
    <row r="48" spans="1:13">
      <c r="A48" s="408" t="s">
        <v>382</v>
      </c>
      <c r="B48" s="408" t="s">
        <v>123</v>
      </c>
      <c r="C48" s="433"/>
      <c r="D48" s="392">
        <f>+VLOOKUP($A48,'[52]Murrey''s American G-9 Reg.'!$B:$AH,32,FALSE)</f>
        <v>49</v>
      </c>
      <c r="F48" s="410">
        <f>[53]References!$C$6</f>
        <v>12.99</v>
      </c>
      <c r="G48" s="407">
        <f>+D48*F48</f>
        <v>636.51</v>
      </c>
      <c r="H48" s="432">
        <f>[53]References!$C$36</f>
        <v>613</v>
      </c>
      <c r="I48" s="392">
        <f>+G48*H48</f>
        <v>390180.63</v>
      </c>
      <c r="J48" s="392">
        <f ca="1">+I48*$C$138</f>
        <v>282197.21260784188</v>
      </c>
      <c r="L48" s="420"/>
      <c r="M48" s="410"/>
    </row>
    <row r="49" spans="1:13">
      <c r="A49" s="408" t="s">
        <v>383</v>
      </c>
      <c r="B49" s="408" t="s">
        <v>200</v>
      </c>
      <c r="C49" s="433"/>
      <c r="D49" s="392">
        <f>+VLOOKUP($A49,'[52]Murrey''s American G-9 Reg.'!$B:$AH,32,FALSE)</f>
        <v>0.49999627263442742</v>
      </c>
      <c r="F49" s="410">
        <f>[53]References!$C$5</f>
        <v>17.32</v>
      </c>
      <c r="G49" s="407">
        <f>+D49*F49</f>
        <v>8.6599354420282832</v>
      </c>
      <c r="H49" s="432">
        <f>[53]References!$C$36</f>
        <v>613</v>
      </c>
      <c r="I49" s="392">
        <f>+G49*H49</f>
        <v>5308.5404259633378</v>
      </c>
      <c r="J49" s="392">
        <f ca="1">+I49*$C$138</f>
        <v>3839.3892367822036</v>
      </c>
      <c r="L49" s="420"/>
      <c r="M49" s="410"/>
    </row>
    <row r="50" spans="1:13">
      <c r="A50" s="408" t="s">
        <v>384</v>
      </c>
      <c r="B50" s="408" t="s">
        <v>201</v>
      </c>
      <c r="C50" s="433"/>
      <c r="D50" s="392">
        <f>+VLOOKUP($A50,'[52]Murrey''s American G-9 Reg.'!$B:$AH,32,FALSE)</f>
        <v>72.995384807284523</v>
      </c>
      <c r="F50" s="410">
        <v>1</v>
      </c>
      <c r="G50" s="407">
        <f>+D50*F50</f>
        <v>72.995384807284523</v>
      </c>
      <c r="H50" s="432">
        <f>[53]References!$C$36</f>
        <v>613</v>
      </c>
      <c r="I50" s="392">
        <f>+G50*H50</f>
        <v>44746.17088686541</v>
      </c>
      <c r="J50" s="392">
        <f ca="1">+I50*$C$138</f>
        <v>32362.56166572795</v>
      </c>
      <c r="L50" s="420"/>
      <c r="M50" s="410"/>
    </row>
    <row r="51" spans="1:13">
      <c r="A51" s="408" t="s">
        <v>385</v>
      </c>
      <c r="B51" s="408" t="s">
        <v>124</v>
      </c>
      <c r="C51" s="433"/>
      <c r="D51" s="392">
        <f>+VLOOKUP($A51,'[52]Murrey''s American G-9 Reg.'!$B:$AH,32,FALSE)</f>
        <v>1773.5398038016651</v>
      </c>
      <c r="F51" s="410">
        <f>[53]References!$C$8</f>
        <v>4.33</v>
      </c>
      <c r="G51" s="407">
        <f>+D51*F51</f>
        <v>7679.4273504612102</v>
      </c>
      <c r="H51" s="432">
        <f>[53]References!$C$38</f>
        <v>840</v>
      </c>
      <c r="I51" s="392">
        <f>+G51*H51</f>
        <v>6450718.9743874166</v>
      </c>
      <c r="J51" s="392">
        <f ca="1">+I51*$C$138</f>
        <v>4665467.1552727912</v>
      </c>
      <c r="L51" s="420"/>
      <c r="M51" s="410"/>
    </row>
    <row r="52" spans="1:13">
      <c r="A52" s="408" t="s">
        <v>386</v>
      </c>
      <c r="B52" s="408" t="s">
        <v>125</v>
      </c>
      <c r="C52" s="433"/>
      <c r="D52" s="392">
        <f>+VLOOKUP($A52,'[52]Murrey''s American G-9 Reg.'!$B:$AH,32,FALSE)</f>
        <v>1322.3143552247946</v>
      </c>
      <c r="F52" s="410">
        <f>[53]References!$C$7</f>
        <v>8.66</v>
      </c>
      <c r="G52" s="407">
        <f>+D52*F52</f>
        <v>11451.24231624672</v>
      </c>
      <c r="H52" s="432">
        <f>[53]References!$C$38</f>
        <v>840</v>
      </c>
      <c r="I52" s="392">
        <f>+G52*H52</f>
        <v>9619043.5456472449</v>
      </c>
      <c r="J52" s="392">
        <f ca="1">+I52*$C$138</f>
        <v>6956950.3656168282</v>
      </c>
      <c r="L52" s="420"/>
      <c r="M52" s="410"/>
    </row>
    <row r="53" spans="1:13">
      <c r="A53" s="408" t="s">
        <v>387</v>
      </c>
      <c r="B53" s="408" t="s">
        <v>126</v>
      </c>
      <c r="C53" s="433"/>
      <c r="D53" s="392">
        <f>+VLOOKUP($A53,'[52]Murrey''s American G-9 Reg.'!$B:$AH,32,FALSE)</f>
        <v>245.64212895655422</v>
      </c>
      <c r="F53" s="410">
        <f>[53]References!$C$6</f>
        <v>12.99</v>
      </c>
      <c r="G53" s="407">
        <f>+D53*F53</f>
        <v>3190.8912551456392</v>
      </c>
      <c r="H53" s="432">
        <f>[53]References!$C$38</f>
        <v>840</v>
      </c>
      <c r="I53" s="392">
        <f>+G53*H53</f>
        <v>2680348.6543223369</v>
      </c>
      <c r="J53" s="392">
        <f ca="1">+I53*$C$138</f>
        <v>1938555.7890634993</v>
      </c>
      <c r="L53" s="420"/>
      <c r="M53" s="410"/>
    </row>
    <row r="54" spans="1:13">
      <c r="A54" s="408" t="s">
        <v>388</v>
      </c>
      <c r="B54" s="408" t="s">
        <v>127</v>
      </c>
      <c r="C54" s="433"/>
      <c r="D54" s="392">
        <f>+VLOOKUP($A54,'[52]Murrey''s American G-9 Reg.'!$B:$AH,32,FALSE)</f>
        <v>18.029409558508359</v>
      </c>
      <c r="F54" s="410">
        <f>[53]References!$C$5</f>
        <v>17.32</v>
      </c>
      <c r="G54" s="407">
        <f>+D54*F54</f>
        <v>312.2693735533648</v>
      </c>
      <c r="H54" s="432">
        <f>[53]References!$C$38</f>
        <v>840</v>
      </c>
      <c r="I54" s="392">
        <f>+G54*H54</f>
        <v>262306.27378482645</v>
      </c>
      <c r="J54" s="392">
        <f ca="1">+I54*$C$138</f>
        <v>189712.38862274491</v>
      </c>
      <c r="L54" s="420"/>
      <c r="M54" s="410"/>
    </row>
    <row r="55" spans="1:13">
      <c r="A55" s="408" t="s">
        <v>389</v>
      </c>
      <c r="B55" s="408" t="s">
        <v>128</v>
      </c>
      <c r="C55" s="433"/>
      <c r="D55" s="392">
        <f>+VLOOKUP($A55,'[52]Murrey''s American G-9 Reg.'!$B:$AH,32,FALSE)</f>
        <v>220.26808800014265</v>
      </c>
      <c r="F55" s="410">
        <f>[53]References!$C$4</f>
        <v>21.65</v>
      </c>
      <c r="G55" s="407">
        <f>+D55*F55</f>
        <v>4768.8041052030885</v>
      </c>
      <c r="H55" s="432">
        <f>[53]References!$C$38</f>
        <v>840</v>
      </c>
      <c r="I55" s="392">
        <f>+G55*H55</f>
        <v>4005795.4483705945</v>
      </c>
      <c r="J55" s="392">
        <f ca="1">+I55*$C$138</f>
        <v>2897182.030300586</v>
      </c>
      <c r="L55" s="420"/>
      <c r="M55" s="410"/>
    </row>
    <row r="56" spans="1:13">
      <c r="A56" s="408" t="s">
        <v>390</v>
      </c>
      <c r="B56" s="408" t="s">
        <v>202</v>
      </c>
      <c r="C56" s="433"/>
      <c r="D56" s="392">
        <f>+VLOOKUP($A56,'[52]Murrey''s American G-9 Reg.'!$B:$AH,32,FALSE)</f>
        <v>188.39677016046397</v>
      </c>
      <c r="F56" s="410">
        <v>1</v>
      </c>
      <c r="G56" s="407">
        <f>+D56*F56</f>
        <v>188.39677016046397</v>
      </c>
      <c r="H56" s="432">
        <f>[53]References!$C$38</f>
        <v>840</v>
      </c>
      <c r="I56" s="392">
        <f>+G56*H56</f>
        <v>158253.28693478974</v>
      </c>
      <c r="J56" s="392">
        <f ca="1">+I56*$C$138</f>
        <v>114456.31337215961</v>
      </c>
      <c r="L56" s="420"/>
      <c r="M56" s="410"/>
    </row>
    <row r="57" spans="1:13">
      <c r="A57" s="408" t="s">
        <v>391</v>
      </c>
      <c r="B57" s="408" t="s">
        <v>203</v>
      </c>
      <c r="C57" s="433"/>
      <c r="D57" s="392">
        <f>+VLOOKUP($A57,'[52]Murrey''s American G-9 Reg.'!$B:$AH,32,FALSE)</f>
        <v>12</v>
      </c>
      <c r="F57" s="410">
        <f>[53]References!$C$8</f>
        <v>4.33</v>
      </c>
      <c r="G57" s="407">
        <f>+D57*F57</f>
        <v>51.96</v>
      </c>
      <c r="H57" s="432">
        <f>[53]References!$C$51</f>
        <v>1296</v>
      </c>
      <c r="I57" s="392">
        <f>+G57*H57</f>
        <v>67340.160000000003</v>
      </c>
      <c r="J57" s="392">
        <f ca="1">+I57*$C$138</f>
        <v>48703.610552287253</v>
      </c>
      <c r="L57" s="420"/>
      <c r="M57" s="410"/>
    </row>
    <row r="58" spans="1:13">
      <c r="A58" s="408" t="s">
        <v>392</v>
      </c>
      <c r="B58" s="408" t="s">
        <v>205</v>
      </c>
      <c r="C58" s="433"/>
      <c r="D58" s="392">
        <f>+VLOOKUP($A58,'[52]Murrey''s American G-9 Reg.'!$B:$AH,32,FALSE)</f>
        <v>12</v>
      </c>
      <c r="F58" s="410">
        <f>[53]References!$C$8</f>
        <v>4.33</v>
      </c>
      <c r="G58" s="407">
        <f>+D58*F58</f>
        <v>51.96</v>
      </c>
      <c r="H58" s="432">
        <f>[53]References!$C$53</f>
        <v>2452</v>
      </c>
      <c r="I58" s="392">
        <f>+G58*H58</f>
        <v>127405.92</v>
      </c>
      <c r="J58" s="392">
        <f ca="1">+I58*$C$138</f>
        <v>92146.028606642241</v>
      </c>
      <c r="L58" s="420"/>
      <c r="M58" s="410"/>
    </row>
    <row r="59" spans="1:13">
      <c r="A59" s="408" t="s">
        <v>393</v>
      </c>
      <c r="B59" s="408" t="s">
        <v>206</v>
      </c>
      <c r="C59" s="433"/>
      <c r="D59" s="392">
        <f>+VLOOKUP($A59,'[52]Murrey''s American G-9 Reg.'!$B:$AH,32,FALSE)</f>
        <v>12</v>
      </c>
      <c r="F59" s="410">
        <f>[53]References!$C$8</f>
        <v>4.33</v>
      </c>
      <c r="G59" s="407">
        <f>+D59*F59</f>
        <v>51.96</v>
      </c>
      <c r="H59" s="432">
        <f>[53]References!$C$53</f>
        <v>2452</v>
      </c>
      <c r="I59" s="392">
        <f>+G59*H59</f>
        <v>127405.92</v>
      </c>
      <c r="J59" s="392">
        <f ca="1">+I59*$C$138</f>
        <v>92146.028606642241</v>
      </c>
      <c r="L59" s="420"/>
      <c r="M59" s="410"/>
    </row>
    <row r="60" spans="1:13">
      <c r="A60" s="408" t="s">
        <v>394</v>
      </c>
      <c r="B60" s="408" t="s">
        <v>207</v>
      </c>
      <c r="C60" s="433"/>
      <c r="D60" s="392">
        <f>+VLOOKUP($A60,'[52]Murrey''s American G-9 Reg.'!$B:$AH,32,FALSE)</f>
        <v>12</v>
      </c>
      <c r="F60" s="410">
        <f>[53]References!$C$9</f>
        <v>2.17</v>
      </c>
      <c r="G60" s="407">
        <f>+D60*F60</f>
        <v>26.04</v>
      </c>
      <c r="H60" s="432">
        <f>[53]References!$C$53</f>
        <v>2452</v>
      </c>
      <c r="I60" s="392">
        <f>+G60*H60</f>
        <v>63850.079999999994</v>
      </c>
      <c r="J60" s="392">
        <f ca="1">+I60*$C$138</f>
        <v>46179.418493398065</v>
      </c>
      <c r="L60" s="420"/>
      <c r="M60" s="410"/>
    </row>
    <row r="61" spans="1:13">
      <c r="A61" s="408" t="s">
        <v>395</v>
      </c>
      <c r="B61" s="408" t="s">
        <v>208</v>
      </c>
      <c r="C61" s="433"/>
      <c r="D61" s="392">
        <f>+VLOOKUP($A61,'[52]Murrey''s American G-9 Reg.'!$B:$AH,32,FALSE)</f>
        <v>18.995357536488427</v>
      </c>
      <c r="F61" s="410">
        <v>1</v>
      </c>
      <c r="G61" s="407">
        <f>+D61*F61</f>
        <v>18.995357536488427</v>
      </c>
      <c r="H61" s="432">
        <f>[53]References!$C$53</f>
        <v>2452</v>
      </c>
      <c r="I61" s="392">
        <f>+G61*H61</f>
        <v>46576.616679469626</v>
      </c>
      <c r="J61" s="392">
        <f ca="1">+I61*$C$138</f>
        <v>33686.427231536953</v>
      </c>
      <c r="L61" s="420"/>
      <c r="M61" s="410"/>
    </row>
    <row r="62" spans="1:13">
      <c r="A62" s="408" t="s">
        <v>396</v>
      </c>
      <c r="B62" s="408" t="s">
        <v>209</v>
      </c>
      <c r="C62" s="433"/>
      <c r="D62" s="392">
        <f>+VLOOKUP($A62,'[52]Murrey''s American G-9 Reg.'!$B:$AH,32,FALSE)</f>
        <v>12</v>
      </c>
      <c r="F62" s="410">
        <f>[53]References!$C$7</f>
        <v>8.66</v>
      </c>
      <c r="G62" s="407">
        <f>+D62*F62</f>
        <v>103.92</v>
      </c>
      <c r="H62" s="432">
        <f>[53]References!$C$54</f>
        <v>3360</v>
      </c>
      <c r="I62" s="392">
        <f>+G62*H62</f>
        <v>349171.20000000001</v>
      </c>
      <c r="J62" s="392">
        <f ca="1">+I62*$C$138</f>
        <v>252537.23990074871</v>
      </c>
      <c r="L62" s="420"/>
      <c r="M62" s="410"/>
    </row>
    <row r="63" spans="1:13">
      <c r="A63" s="408" t="s">
        <v>397</v>
      </c>
      <c r="B63" s="408" t="s">
        <v>210</v>
      </c>
      <c r="C63" s="433"/>
      <c r="D63" s="392">
        <f>+VLOOKUP($A63,'[52]Murrey''s American G-9 Reg.'!$B:$AH,32,FALSE)</f>
        <v>12</v>
      </c>
      <c r="F63" s="410">
        <f>[53]References!$C$7</f>
        <v>8.66</v>
      </c>
      <c r="G63" s="407">
        <f>+D63*F63</f>
        <v>103.92</v>
      </c>
      <c r="H63" s="432">
        <f>[53]References!$C$54</f>
        <v>3360</v>
      </c>
      <c r="I63" s="392">
        <f>+G63*H63</f>
        <v>349171.20000000001</v>
      </c>
      <c r="J63" s="392">
        <f ca="1">+I63*$C$138</f>
        <v>252537.23990074871</v>
      </c>
      <c r="L63" s="420"/>
      <c r="M63" s="410"/>
    </row>
    <row r="64" spans="1:13">
      <c r="A64" s="408" t="s">
        <v>400</v>
      </c>
      <c r="B64" s="408" t="s">
        <v>401</v>
      </c>
      <c r="C64" s="433"/>
      <c r="D64" s="392">
        <f>+VLOOKUP($A64,'[52]Murrey''s American G-9 Reg.'!$B:$AH,32,FALSE)</f>
        <v>999.08512595143918</v>
      </c>
      <c r="F64" s="410">
        <f>[53]References!$C$8</f>
        <v>4.33</v>
      </c>
      <c r="G64" s="407">
        <f>+D64*F64</f>
        <v>4326.0385953697314</v>
      </c>
      <c r="H64" s="432">
        <f>[53]References!$C$33</f>
        <v>250</v>
      </c>
      <c r="I64" s="392">
        <f>+G64*H64</f>
        <v>1081509.6488424328</v>
      </c>
      <c r="J64" s="392">
        <f ca="1">+I64*$C$138</f>
        <v>782199.28116836655</v>
      </c>
      <c r="K64" s="391"/>
      <c r="L64" s="420"/>
      <c r="M64" s="410"/>
    </row>
    <row r="65" spans="1:13">
      <c r="A65" s="408" t="s">
        <v>402</v>
      </c>
      <c r="B65" s="408" t="s">
        <v>131</v>
      </c>
      <c r="C65" s="433"/>
      <c r="D65" s="392">
        <f>+VLOOKUP($A65,'[52]Murrey''s American G-9 Reg.'!$B:$AH,32,FALSE)</f>
        <v>54.499930543497136</v>
      </c>
      <c r="F65" s="410">
        <f>[53]References!$C$7</f>
        <v>8.66</v>
      </c>
      <c r="G65" s="407">
        <f>+D65*F65</f>
        <v>471.9693985066852</v>
      </c>
      <c r="H65" s="432">
        <f>[53]References!$C$33</f>
        <v>250</v>
      </c>
      <c r="I65" s="392">
        <f>+G65*H65</f>
        <v>117992.3496266713</v>
      </c>
      <c r="J65" s="392">
        <f ca="1">+I65*$C$138</f>
        <v>85337.686224189471</v>
      </c>
      <c r="K65" s="391"/>
      <c r="L65" s="420"/>
      <c r="M65" s="410"/>
    </row>
    <row r="66" spans="1:13">
      <c r="A66" s="408" t="s">
        <v>403</v>
      </c>
      <c r="B66" s="408" t="s">
        <v>212</v>
      </c>
      <c r="C66" s="433"/>
      <c r="D66" s="392">
        <f>+VLOOKUP($A66,'[52]Murrey''s American G-9 Reg.'!$B:$AH,32,FALSE)</f>
        <v>5.193822612638141</v>
      </c>
      <c r="F66" s="391">
        <v>1</v>
      </c>
      <c r="G66" s="407">
        <f>+D66*F66</f>
        <v>5.193822612638141</v>
      </c>
      <c r="H66" s="432">
        <f>[53]References!$C$33</f>
        <v>250</v>
      </c>
      <c r="I66" s="392">
        <f>+G66*H66</f>
        <v>1298.4556531595354</v>
      </c>
      <c r="J66" s="392">
        <f ca="1">+I66*$C$138</f>
        <v>939.10496278740322</v>
      </c>
      <c r="K66" s="391"/>
      <c r="L66" s="420"/>
      <c r="M66" s="410"/>
    </row>
    <row r="67" spans="1:13">
      <c r="A67" s="408" t="s">
        <v>404</v>
      </c>
      <c r="B67" s="408" t="s">
        <v>137</v>
      </c>
      <c r="C67" s="433"/>
      <c r="D67" s="392">
        <f>+VLOOKUP($A67,'[52]Murrey''s American G-9 Reg.'!$B:$AH,32,FALSE)</f>
        <v>50.879949422375276</v>
      </c>
      <c r="F67" s="410">
        <v>1</v>
      </c>
      <c r="G67" s="407">
        <f>+D67*F67</f>
        <v>50.879949422375276</v>
      </c>
      <c r="H67" s="432">
        <f>[53]References!$C$33</f>
        <v>250</v>
      </c>
      <c r="I67" s="392">
        <f>+G67*H67</f>
        <v>12719.987355593819</v>
      </c>
      <c r="J67" s="392">
        <f ca="1">+I67*$C$138</f>
        <v>9199.700600605338</v>
      </c>
      <c r="L67" s="420"/>
      <c r="M67" s="410"/>
    </row>
    <row r="68" spans="1:13">
      <c r="A68" s="408" t="s">
        <v>405</v>
      </c>
      <c r="B68" s="408" t="s">
        <v>406</v>
      </c>
      <c r="C68" s="433"/>
      <c r="D68" s="392">
        <f>+VLOOKUP($A68,'[52]Murrey''s American G-9 Reg.'!$B:$AH,32,FALSE)</f>
        <v>4238.6517048573987</v>
      </c>
      <c r="F68" s="410">
        <f>[53]References!$C$8</f>
        <v>4.33</v>
      </c>
      <c r="G68" s="407">
        <f>+D68*F68</f>
        <v>18353.361882032536</v>
      </c>
      <c r="H68" s="432">
        <f>[53]References!$C$32</f>
        <v>175</v>
      </c>
      <c r="I68" s="392">
        <f>+G68*H68</f>
        <v>3211838.3293556939</v>
      </c>
      <c r="J68" s="392">
        <f ca="1">+I68*$C$138</f>
        <v>2322954.4323899532</v>
      </c>
      <c r="L68" s="420"/>
      <c r="M68" s="410"/>
    </row>
    <row r="69" spans="1:13">
      <c r="A69" s="408" t="s">
        <v>407</v>
      </c>
      <c r="B69" s="408" t="s">
        <v>129</v>
      </c>
      <c r="C69" s="433"/>
      <c r="D69" s="392">
        <f>+VLOOKUP($A69,'[52]Murrey''s American G-9 Reg.'!$B:$AH,32,FALSE)</f>
        <v>51.999903725328686</v>
      </c>
      <c r="F69" s="410">
        <f>[53]References!$C$7</f>
        <v>8.66</v>
      </c>
      <c r="G69" s="407">
        <f>+D69*F69</f>
        <v>450.31916626134642</v>
      </c>
      <c r="H69" s="432">
        <f>[53]References!$C$32</f>
        <v>175</v>
      </c>
      <c r="I69" s="392">
        <f>+G69*H69</f>
        <v>78805.854095735631</v>
      </c>
      <c r="J69" s="392">
        <f ca="1">+I69*$C$138</f>
        <v>56996.146536020693</v>
      </c>
      <c r="L69" s="420"/>
      <c r="M69" s="410"/>
    </row>
    <row r="70" spans="1:13">
      <c r="A70" s="408" t="s">
        <v>408</v>
      </c>
      <c r="B70" s="408" t="s">
        <v>130</v>
      </c>
      <c r="C70" s="433"/>
      <c r="D70" s="392">
        <f>+VLOOKUP($A70,'[52]Murrey''s American G-9 Reg.'!$B:$AH,32,FALSE)</f>
        <v>72</v>
      </c>
      <c r="F70" s="410">
        <f>[53]References!$C$6</f>
        <v>12.99</v>
      </c>
      <c r="G70" s="407">
        <f>+D70*F70</f>
        <v>935.28</v>
      </c>
      <c r="H70" s="432">
        <f>[53]References!$C$32</f>
        <v>175</v>
      </c>
      <c r="I70" s="392">
        <f>+G70*H70</f>
        <v>163674</v>
      </c>
      <c r="J70" s="392">
        <f ca="1">+I70*$C$138</f>
        <v>118376.83120347596</v>
      </c>
      <c r="L70" s="420"/>
      <c r="M70" s="410"/>
    </row>
    <row r="71" spans="1:13">
      <c r="A71" s="408" t="s">
        <v>409</v>
      </c>
      <c r="B71" s="408" t="s">
        <v>213</v>
      </c>
      <c r="C71" s="433"/>
      <c r="D71" s="392">
        <f>+VLOOKUP($A71,'[52]Murrey''s American G-9 Reg.'!$B:$AH,32,FALSE)</f>
        <v>18</v>
      </c>
      <c r="F71" s="410">
        <v>1</v>
      </c>
      <c r="G71" s="407">
        <f>+D71*F71</f>
        <v>18</v>
      </c>
      <c r="H71" s="432">
        <f>[53]References!$C$32</f>
        <v>175</v>
      </c>
      <c r="I71" s="392">
        <f>+G71*H71</f>
        <v>3150</v>
      </c>
      <c r="J71" s="392">
        <f ca="1">+I71*$C$138</f>
        <v>2278.2300077651262</v>
      </c>
      <c r="L71" s="420"/>
      <c r="M71" s="410"/>
    </row>
    <row r="72" spans="1:13">
      <c r="A72" s="408" t="s">
        <v>410</v>
      </c>
      <c r="B72" s="408" t="s">
        <v>214</v>
      </c>
      <c r="C72" s="433"/>
      <c r="D72" s="392">
        <f>+VLOOKUP($A72,'[52]Murrey''s American G-9 Reg.'!$B:$AH,32,FALSE)</f>
        <v>102.61670452981089</v>
      </c>
      <c r="F72" s="410">
        <v>1</v>
      </c>
      <c r="G72" s="407">
        <f>+D72*F72</f>
        <v>102.61670452981089</v>
      </c>
      <c r="H72" s="432">
        <f>[53]References!$C$32</f>
        <v>175</v>
      </c>
      <c r="I72" s="392">
        <f>+G72*H72</f>
        <v>17957.923292716907</v>
      </c>
      <c r="J72" s="392">
        <f ca="1">+I72*$C$138</f>
        <v>12988.025308765707</v>
      </c>
      <c r="L72" s="420"/>
      <c r="M72" s="410"/>
    </row>
    <row r="73" spans="1:13">
      <c r="A73" s="408" t="s">
        <v>411</v>
      </c>
      <c r="B73" s="408" t="s">
        <v>132</v>
      </c>
      <c r="C73" s="433"/>
      <c r="D73" s="392">
        <f>+VLOOKUP($A73,'[52]Murrey''s American G-9 Reg.'!$B:$AH,32,FALSE)</f>
        <v>5288.738594574379</v>
      </c>
      <c r="F73" s="410">
        <f>[53]References!$C$8</f>
        <v>4.33</v>
      </c>
      <c r="G73" s="407">
        <f>+D73*F73</f>
        <v>22900.238114507061</v>
      </c>
      <c r="H73" s="432">
        <f>[53]References!$C$34</f>
        <v>324</v>
      </c>
      <c r="I73" s="392">
        <f>+G73*H73</f>
        <v>7419677.1491002878</v>
      </c>
      <c r="J73" s="392">
        <f ca="1">+I73*$C$138</f>
        <v>5366263.8504791996</v>
      </c>
      <c r="L73" s="420"/>
      <c r="M73" s="410"/>
    </row>
    <row r="74" spans="1:13">
      <c r="A74" s="408" t="s">
        <v>412</v>
      </c>
      <c r="B74" s="408" t="s">
        <v>133</v>
      </c>
      <c r="C74" s="433"/>
      <c r="D74" s="392">
        <f>+VLOOKUP($A74,'[52]Murrey''s American G-9 Reg.'!$B:$AH,32,FALSE)</f>
        <v>1144.2217403232307</v>
      </c>
      <c r="F74" s="410">
        <f>[53]References!$C$7</f>
        <v>8.66</v>
      </c>
      <c r="G74" s="407">
        <f>+D74*F74</f>
        <v>9908.9602711991774</v>
      </c>
      <c r="H74" s="432">
        <f>[53]References!$C$34</f>
        <v>324</v>
      </c>
      <c r="I74" s="392">
        <f>+G74*H74</f>
        <v>3210503.1278685336</v>
      </c>
      <c r="J74" s="392">
        <f ca="1">+I74*$C$138</f>
        <v>2321988.7510901242</v>
      </c>
      <c r="L74" s="420"/>
      <c r="M74" s="410"/>
    </row>
    <row r="75" spans="1:13">
      <c r="A75" s="408" t="s">
        <v>413</v>
      </c>
      <c r="B75" s="408" t="s">
        <v>134</v>
      </c>
      <c r="C75" s="433"/>
      <c r="D75" s="392">
        <f>+VLOOKUP($A75,'[52]Murrey''s American G-9 Reg.'!$B:$AH,32,FALSE)</f>
        <v>306.86107032717547</v>
      </c>
      <c r="F75" s="410">
        <f>[53]References!$C$6</f>
        <v>12.99</v>
      </c>
      <c r="G75" s="407">
        <f>+D75*F75</f>
        <v>3986.1253035500094</v>
      </c>
      <c r="H75" s="432">
        <f>[53]References!$C$34</f>
        <v>324</v>
      </c>
      <c r="I75" s="392">
        <f>+G75*H75</f>
        <v>1291504.5983502031</v>
      </c>
      <c r="J75" s="392">
        <f ca="1">+I75*$C$138</f>
        <v>934077.62892954901</v>
      </c>
      <c r="L75" s="420"/>
      <c r="M75" s="410"/>
    </row>
    <row r="76" spans="1:13">
      <c r="A76" s="408" t="s">
        <v>414</v>
      </c>
      <c r="B76" s="408" t="s">
        <v>135</v>
      </c>
      <c r="C76" s="433"/>
      <c r="D76" s="392">
        <f>+VLOOKUP($A76,'[52]Murrey''s American G-9 Reg.'!$B:$AH,32,FALSE)</f>
        <v>16</v>
      </c>
      <c r="F76" s="410">
        <f>[53]References!$C$5</f>
        <v>17.32</v>
      </c>
      <c r="G76" s="407">
        <f>+D76*F76</f>
        <v>277.12</v>
      </c>
      <c r="H76" s="432">
        <f>[53]References!$C$34</f>
        <v>324</v>
      </c>
      <c r="I76" s="392">
        <f>+G76*H76</f>
        <v>89786.880000000005</v>
      </c>
      <c r="J76" s="392">
        <f ca="1">+I76*$C$138</f>
        <v>64938.147403049668</v>
      </c>
      <c r="L76" s="420"/>
      <c r="M76" s="410"/>
    </row>
    <row r="77" spans="1:13">
      <c r="A77" s="408" t="s">
        <v>415</v>
      </c>
      <c r="B77" s="408" t="s">
        <v>136</v>
      </c>
      <c r="C77" s="433"/>
      <c r="D77" s="392">
        <f>+VLOOKUP($A77,'[52]Murrey''s American G-9 Reg.'!$B:$AH,32,FALSE)</f>
        <v>38</v>
      </c>
      <c r="F77" s="410">
        <f>[53]References!$C$4</f>
        <v>21.65</v>
      </c>
      <c r="G77" s="407">
        <f>+D77*F77</f>
        <v>822.69999999999993</v>
      </c>
      <c r="H77" s="432">
        <f>[53]References!$C$34</f>
        <v>324</v>
      </c>
      <c r="I77" s="392">
        <f>+G77*H77</f>
        <v>266554.8</v>
      </c>
      <c r="J77" s="392">
        <f ca="1">+I77*$C$138</f>
        <v>192785.12510280369</v>
      </c>
      <c r="L77" s="420"/>
      <c r="M77" s="410"/>
    </row>
    <row r="78" spans="1:13">
      <c r="A78" s="408" t="s">
        <v>795</v>
      </c>
      <c r="B78" s="408" t="s">
        <v>796</v>
      </c>
      <c r="C78" s="433"/>
      <c r="D78" s="392">
        <v>0</v>
      </c>
      <c r="F78" s="391">
        <f>[53]References!$C$9</f>
        <v>2.17</v>
      </c>
      <c r="G78" s="407">
        <f>+D78*F78</f>
        <v>0</v>
      </c>
      <c r="H78" s="432">
        <f>[53]References!$C$34</f>
        <v>324</v>
      </c>
      <c r="I78" s="392">
        <f>+G78*H78</f>
        <v>0</v>
      </c>
      <c r="J78" s="392">
        <f ca="1">+I78*$C$138</f>
        <v>0</v>
      </c>
      <c r="L78" s="420"/>
      <c r="M78" s="410"/>
    </row>
    <row r="79" spans="1:13">
      <c r="A79" s="408" t="s">
        <v>416</v>
      </c>
      <c r="B79" s="408" t="s">
        <v>215</v>
      </c>
      <c r="C79" s="433"/>
      <c r="D79" s="392">
        <f>+VLOOKUP($A79,'[52]Murrey''s American G-9 Reg.'!$B:$AH,32,FALSE)</f>
        <v>70.005989403363287</v>
      </c>
      <c r="F79" s="410">
        <v>1</v>
      </c>
      <c r="G79" s="407">
        <f>+D79*F79</f>
        <v>70.005989403363287</v>
      </c>
      <c r="H79" s="432">
        <f>[53]References!$C$34</f>
        <v>324</v>
      </c>
      <c r="I79" s="392">
        <f>+G79*H79</f>
        <v>22681.940566689704</v>
      </c>
      <c r="J79" s="392">
        <f ca="1">+I79*$C$138</f>
        <v>16404.659566151622</v>
      </c>
      <c r="L79" s="420"/>
      <c r="M79" s="410"/>
    </row>
    <row r="80" spans="1:13">
      <c r="A80" s="408" t="s">
        <v>417</v>
      </c>
      <c r="B80" s="408" t="s">
        <v>138</v>
      </c>
      <c r="C80" s="433"/>
      <c r="D80" s="392">
        <f>+VLOOKUP($A80,'[52]Murrey''s American G-9 Reg.'!$B:$AH,32,FALSE)</f>
        <v>545.30045169832681</v>
      </c>
      <c r="F80" s="410">
        <v>1</v>
      </c>
      <c r="G80" s="407">
        <f>+D80*F80</f>
        <v>545.30045169832681</v>
      </c>
      <c r="H80" s="432">
        <f>[53]References!$C$34</f>
        <v>324</v>
      </c>
      <c r="I80" s="392">
        <f>+G80*H80</f>
        <v>176677.3463502579</v>
      </c>
      <c r="J80" s="392">
        <f ca="1">+I80*$C$138</f>
        <v>127781.47052300633</v>
      </c>
      <c r="L80" s="420"/>
      <c r="M80" s="410"/>
    </row>
    <row r="81" spans="1:13">
      <c r="A81" s="412"/>
      <c r="B81" s="412"/>
      <c r="G81" s="407"/>
      <c r="I81" s="407"/>
      <c r="J81" s="407"/>
    </row>
    <row r="82" spans="1:13">
      <c r="B82" s="413" t="s">
        <v>791</v>
      </c>
      <c r="C82" s="407"/>
      <c r="D82" s="423">
        <f>+SUM(D32:D81)</f>
        <v>28407.259351533987</v>
      </c>
      <c r="E82" s="423"/>
      <c r="F82" s="423">
        <f>+SUM(F32:F81)</f>
        <v>312.78000000000003</v>
      </c>
      <c r="G82" s="423">
        <f>+SUM(G32:G81)</f>
        <v>124730.80846304794</v>
      </c>
      <c r="H82" s="423">
        <f>+SUM(H32:H81)</f>
        <v>32639</v>
      </c>
      <c r="I82" s="423">
        <f>+SUM(I32:I81)</f>
        <v>51714784.897870325</v>
      </c>
      <c r="J82" s="423">
        <f ca="1">+SUM(J32:J81)</f>
        <v>37402595.174427591</v>
      </c>
      <c r="M82" s="407"/>
    </row>
    <row r="83" spans="1:13">
      <c r="B83" s="413"/>
      <c r="D83" s="425">
        <f>+D82-SUM('[52]Murrey''s American G-9 Reg.'!$AG$73:$AG$110,'[52]Murrey''s American G-9 Reg.'!$AG$112:$AG$118,'[52]Murrey''s American G-9 Reg.'!$AG$120,'[52]Murrey''s American G-9 Reg.'!$AG$121,'[52]Murrey''s American G-9 Reg.'!$AG$129)</f>
        <v>0</v>
      </c>
      <c r="E83" s="407"/>
      <c r="F83" s="407"/>
      <c r="G83" s="407"/>
      <c r="H83" s="407"/>
      <c r="I83" s="407"/>
      <c r="J83" s="407"/>
    </row>
    <row r="84" spans="1:13">
      <c r="B84" s="413"/>
      <c r="G84" s="407"/>
      <c r="I84" s="407"/>
      <c r="J84" s="407"/>
    </row>
    <row r="86" spans="1:13">
      <c r="K86" s="434"/>
    </row>
    <row r="87" spans="1:13">
      <c r="I87" s="407"/>
      <c r="J87" s="410"/>
    </row>
    <row r="88" spans="1:13">
      <c r="A88" s="404" t="s">
        <v>818</v>
      </c>
      <c r="B88" s="405"/>
      <c r="I88" s="407"/>
      <c r="J88" s="410"/>
    </row>
    <row r="89" spans="1:13">
      <c r="A89" s="397"/>
      <c r="B89" s="397"/>
      <c r="I89" s="407"/>
      <c r="J89" s="410"/>
    </row>
    <row r="90" spans="1:13">
      <c r="A90" s="406" t="s">
        <v>817</v>
      </c>
      <c r="B90" s="406"/>
      <c r="I90" s="407"/>
      <c r="J90" s="410"/>
    </row>
    <row r="91" spans="1:13">
      <c r="I91" s="407"/>
      <c r="J91" s="410"/>
    </row>
    <row r="92" spans="1:13">
      <c r="A92" s="389" t="s">
        <v>440</v>
      </c>
      <c r="I92" s="407"/>
      <c r="J92" s="410"/>
    </row>
    <row r="93" spans="1:13">
      <c r="A93" s="389" t="s">
        <v>688</v>
      </c>
      <c r="B93" s="389" t="s">
        <v>244</v>
      </c>
      <c r="C93" s="433"/>
      <c r="D93" s="392">
        <f>+VLOOKUP($A93,'[52]Murrey''s American G-9 Reg.'!$B:$AH,32,FALSE)</f>
        <v>240.25000000000003</v>
      </c>
      <c r="F93" s="410">
        <f>+[53]References!$C$8</f>
        <v>4.33</v>
      </c>
      <c r="G93" s="407">
        <f>+D93*F93</f>
        <v>1040.2825</v>
      </c>
      <c r="H93" s="432">
        <f>[53]References!$C$14</f>
        <v>20</v>
      </c>
      <c r="I93" s="392">
        <f>+G93*H93</f>
        <v>20805.650000000001</v>
      </c>
      <c r="J93" s="392">
        <f ca="1">+I93*$C$138</f>
        <v>15047.636876526509</v>
      </c>
    </row>
    <row r="94" spans="1:13">
      <c r="A94" s="389" t="s">
        <v>441</v>
      </c>
      <c r="B94" s="389" t="s">
        <v>218</v>
      </c>
      <c r="C94" s="433"/>
      <c r="D94" s="392">
        <f>+VLOOKUP($A94,'[52]Murrey''s American G-9 Reg.'!$B:$AH,32,FALSE)</f>
        <v>8524.0704359411538</v>
      </c>
      <c r="F94" s="410">
        <f>+[53]References!$C$8</f>
        <v>4.33</v>
      </c>
      <c r="G94" s="407">
        <f>+D94*F94</f>
        <v>36909.224987625195</v>
      </c>
      <c r="H94" s="432">
        <f>[53]References!$C$22</f>
        <v>40</v>
      </c>
      <c r="I94" s="392">
        <f>+G94*H94</f>
        <v>1476368.9995050079</v>
      </c>
      <c r="J94" s="392">
        <f ca="1">+I94*$C$138</f>
        <v>1067780.3673671384</v>
      </c>
    </row>
    <row r="95" spans="1:13">
      <c r="A95" s="389" t="s">
        <v>442</v>
      </c>
      <c r="B95" s="389" t="s">
        <v>219</v>
      </c>
      <c r="C95" s="433"/>
      <c r="D95" s="392">
        <f>+VLOOKUP($A95,'[52]Murrey''s American G-9 Reg.'!$B:$AH,32,FALSE)</f>
        <v>40.749684476230541</v>
      </c>
      <c r="F95" s="410">
        <f>+[53]References!$C$8</f>
        <v>4.33</v>
      </c>
      <c r="G95" s="407">
        <f>+D95*F95</f>
        <v>176.44613378207825</v>
      </c>
      <c r="H95" s="432">
        <f>[53]References!$C$22</f>
        <v>40</v>
      </c>
      <c r="I95" s="392">
        <f>+G95*H95</f>
        <v>7057.8453512831302</v>
      </c>
      <c r="J95" s="392">
        <f ca="1">+I95*$C$138</f>
        <v>5104.5698633202619</v>
      </c>
    </row>
    <row r="96" spans="1:13">
      <c r="A96" s="389" t="s">
        <v>443</v>
      </c>
      <c r="B96" s="389" t="s">
        <v>220</v>
      </c>
      <c r="C96" s="433"/>
      <c r="D96" s="392">
        <f>+VLOOKUP($A96,'[52]Murrey''s American G-9 Reg.'!$B:$AH,32,FALSE)</f>
        <v>4518.483881898429</v>
      </c>
      <c r="F96" s="410">
        <f>+[53]References!$C$8</f>
        <v>4.33</v>
      </c>
      <c r="G96" s="407">
        <f>+D96*F96</f>
        <v>19565.035208620196</v>
      </c>
      <c r="H96" s="432">
        <f>[53]References!$C$24</f>
        <v>51</v>
      </c>
      <c r="I96" s="392">
        <f>+G96*H96</f>
        <v>997816.79563963006</v>
      </c>
      <c r="J96" s="392">
        <f ca="1">+I96*$C$138</f>
        <v>721668.62415182462</v>
      </c>
    </row>
    <row r="97" spans="1:10">
      <c r="A97" s="389" t="s">
        <v>444</v>
      </c>
      <c r="B97" s="389" t="s">
        <v>221</v>
      </c>
      <c r="C97" s="433"/>
      <c r="D97" s="392">
        <f>+VLOOKUP($A97,'[52]Murrey''s American G-9 Reg.'!$B:$AH,32,FALSE)</f>
        <v>3</v>
      </c>
      <c r="F97" s="410">
        <f>+[53]References!$C$8</f>
        <v>4.33</v>
      </c>
      <c r="G97" s="407">
        <f>+D97*F97</f>
        <v>12.99</v>
      </c>
      <c r="H97" s="432">
        <f>[53]References!$C$24</f>
        <v>51</v>
      </c>
      <c r="I97" s="392">
        <f>+G97*H97</f>
        <v>662.49</v>
      </c>
      <c r="J97" s="392">
        <f ca="1">+I97*$C$138</f>
        <v>479.14431677597412</v>
      </c>
    </row>
    <row r="98" spans="1:10">
      <c r="A98" s="389" t="s">
        <v>445</v>
      </c>
      <c r="B98" s="389" t="s">
        <v>222</v>
      </c>
      <c r="C98" s="433"/>
      <c r="D98" s="392">
        <f>+VLOOKUP($A98,'[52]Murrey''s American G-9 Reg.'!$B:$AH,32,FALSE)</f>
        <v>3496.7290395275545</v>
      </c>
      <c r="F98" s="410">
        <f>+[53]References!$C$8</f>
        <v>4.33</v>
      </c>
      <c r="G98" s="407">
        <f>+D98*F98</f>
        <v>15140.836741154311</v>
      </c>
      <c r="H98" s="432">
        <f>[53]References!$C$26</f>
        <v>77</v>
      </c>
      <c r="I98" s="392">
        <f>+G98*H98</f>
        <v>1165844.429068882</v>
      </c>
      <c r="J98" s="392">
        <f ca="1">+I98*$C$138</f>
        <v>843194.21037794545</v>
      </c>
    </row>
    <row r="99" spans="1:10">
      <c r="A99" s="389" t="s">
        <v>446</v>
      </c>
      <c r="B99" s="389" t="s">
        <v>223</v>
      </c>
      <c r="C99" s="433"/>
      <c r="D99" s="392">
        <f>+VLOOKUP($A99,'[52]Murrey''s American G-9 Reg.'!$B:$AH,32,FALSE)</f>
        <v>30.5</v>
      </c>
      <c r="F99" s="410">
        <f>+[53]References!$C$8</f>
        <v>4.33</v>
      </c>
      <c r="G99" s="407">
        <f>+D99*F99</f>
        <v>132.065</v>
      </c>
      <c r="H99" s="432">
        <f>[53]References!$C$26</f>
        <v>77</v>
      </c>
      <c r="I99" s="392">
        <f>+G99*H99</f>
        <v>10169.004999999999</v>
      </c>
      <c r="J99" s="392">
        <f ca="1">+I99*$C$138</f>
        <v>7354.7086794011448</v>
      </c>
    </row>
    <row r="100" spans="1:10">
      <c r="A100" s="389" t="s">
        <v>464</v>
      </c>
      <c r="B100" s="389" t="s">
        <v>230</v>
      </c>
      <c r="C100" s="433"/>
      <c r="D100" s="392">
        <f>+VLOOKUP($A100,'[52]Murrey''s American G-9 Reg.'!$B:$AH,32,FALSE)</f>
        <v>50188.240138583744</v>
      </c>
      <c r="F100" s="410">
        <v>1</v>
      </c>
      <c r="G100" s="407">
        <f>+D100*F100</f>
        <v>50188.240138583744</v>
      </c>
      <c r="H100" s="432">
        <f>[53]References!$C$22</f>
        <v>40</v>
      </c>
      <c r="I100" s="392">
        <f>+G100*H100</f>
        <v>2007529.6055433499</v>
      </c>
      <c r="J100" s="392">
        <f ca="1">+I100*$C$138</f>
        <v>1451941.0123256338</v>
      </c>
    </row>
    <row r="101" spans="1:10">
      <c r="A101" s="389" t="s">
        <v>465</v>
      </c>
      <c r="B101" s="389" t="s">
        <v>231</v>
      </c>
      <c r="C101" s="433"/>
      <c r="D101" s="392">
        <f>+VLOOKUP($A101,'[52]Murrey''s American G-9 Reg.'!$B:$AH,32,FALSE)</f>
        <v>1104.6763793265966</v>
      </c>
      <c r="F101" s="410">
        <v>1</v>
      </c>
      <c r="G101" s="407">
        <f>+D101*F101</f>
        <v>1104.6763793265966</v>
      </c>
      <c r="H101" s="432">
        <f>[53]References!$C$24</f>
        <v>51</v>
      </c>
      <c r="I101" s="392">
        <f>+G101*H101</f>
        <v>56338.495345656425</v>
      </c>
      <c r="J101" s="392">
        <f ca="1">+I101*$C$138</f>
        <v>40746.682758352494</v>
      </c>
    </row>
    <row r="102" spans="1:10">
      <c r="A102" s="464" t="s">
        <v>816</v>
      </c>
      <c r="B102" s="464" t="s">
        <v>232</v>
      </c>
      <c r="C102" s="433"/>
      <c r="D102" s="392">
        <v>1</v>
      </c>
      <c r="F102" s="410">
        <v>1</v>
      </c>
      <c r="G102" s="407">
        <f>+D102*F102</f>
        <v>1</v>
      </c>
      <c r="H102" s="432">
        <f>[53]References!$C$26</f>
        <v>77</v>
      </c>
      <c r="I102" s="392">
        <f>+G102*H102</f>
        <v>77</v>
      </c>
      <c r="J102" s="392">
        <f ca="1">+I102*$C$138</f>
        <v>55.690066856480861</v>
      </c>
    </row>
    <row r="103" spans="1:10">
      <c r="A103" s="389" t="s">
        <v>449</v>
      </c>
      <c r="B103" s="389" t="s">
        <v>106</v>
      </c>
      <c r="C103" s="433"/>
      <c r="D103" s="392">
        <f>+VLOOKUP($A103,'[52]Murrey''s American G-9 Reg.'!$B:$AH,32,FALSE)</f>
        <v>3678.1425660680393</v>
      </c>
      <c r="F103" s="410">
        <f>+[53]References!$C$8</f>
        <v>4.33</v>
      </c>
      <c r="G103" s="407">
        <f>+D103*F103</f>
        <v>15926.357311074611</v>
      </c>
      <c r="H103" s="432">
        <f>[53]References!$C$32</f>
        <v>175</v>
      </c>
      <c r="I103" s="392">
        <f>+G103*H103</f>
        <v>2787112.529438057</v>
      </c>
      <c r="J103" s="392">
        <f ca="1">+I103*$C$138</f>
        <v>2015772.5078044271</v>
      </c>
    </row>
    <row r="104" spans="1:10">
      <c r="A104" s="389" t="s">
        <v>451</v>
      </c>
      <c r="B104" s="389" t="s">
        <v>117</v>
      </c>
      <c r="C104" s="433"/>
      <c r="D104" s="392">
        <f>+VLOOKUP($A104,'[52]Murrey''s American G-9 Reg.'!$B:$AH,32,FALSE)</f>
        <v>4.3300685602350635</v>
      </c>
      <c r="F104" s="410">
        <v>1</v>
      </c>
      <c r="G104" s="407">
        <f>+D104*F104</f>
        <v>4.3300685602350635</v>
      </c>
      <c r="H104" s="432">
        <f>[53]References!$C$32</f>
        <v>175</v>
      </c>
      <c r="I104" s="392">
        <f>+G104*H104</f>
        <v>757.76199804113605</v>
      </c>
      <c r="J104" s="392">
        <f ca="1">+I104*$C$138</f>
        <v>548.04956275599204</v>
      </c>
    </row>
    <row r="105" spans="1:10">
      <c r="A105" s="389" t="s">
        <v>447</v>
      </c>
      <c r="B105" s="389" t="s">
        <v>107</v>
      </c>
      <c r="C105" s="433"/>
      <c r="D105" s="392">
        <f>+VLOOKUP($A105,'[52]Murrey''s American G-9 Reg.'!$B:$AH,32,FALSE)</f>
        <v>859.53787482467521</v>
      </c>
      <c r="F105" s="410">
        <f>+[53]References!$C$8</f>
        <v>4.33</v>
      </c>
      <c r="G105" s="407">
        <f>+D105*F105</f>
        <v>3721.7989979908439</v>
      </c>
      <c r="H105" s="432">
        <f>+[53]References!$C$33</f>
        <v>250</v>
      </c>
      <c r="I105" s="392">
        <f>+G105*H105</f>
        <v>930449.74949771096</v>
      </c>
      <c r="J105" s="392">
        <f ca="1">+I105*$C$138</f>
        <v>672945.56826134282</v>
      </c>
    </row>
    <row r="106" spans="1:10">
      <c r="A106" s="389" t="s">
        <v>448</v>
      </c>
      <c r="B106" s="389" t="s">
        <v>108</v>
      </c>
      <c r="C106" s="433"/>
      <c r="D106" s="392">
        <f>+VLOOKUP($A106,'[52]Murrey''s American G-9 Reg.'!$B:$AH,32,FALSE)</f>
        <v>36</v>
      </c>
      <c r="F106" s="410">
        <f>[53]References!$C$7</f>
        <v>8.66</v>
      </c>
      <c r="G106" s="407">
        <f>+D106*F106</f>
        <v>311.76</v>
      </c>
      <c r="H106" s="432">
        <f>+[53]References!$C$33</f>
        <v>250</v>
      </c>
      <c r="I106" s="392">
        <f>+G106*H106</f>
        <v>77940</v>
      </c>
      <c r="J106" s="392">
        <f ca="1">+I106*$C$138</f>
        <v>56369.919620702836</v>
      </c>
    </row>
    <row r="107" spans="1:10">
      <c r="A107" s="389" t="s">
        <v>676</v>
      </c>
      <c r="B107" s="389" t="s">
        <v>118</v>
      </c>
      <c r="C107" s="433"/>
      <c r="D107" s="392">
        <f>+VLOOKUP($A107,'[52]Murrey''s American G-9 Reg.'!$B:$AH,32,FALSE)</f>
        <v>1.0824032296366659</v>
      </c>
      <c r="F107" s="410">
        <v>1</v>
      </c>
      <c r="G107" s="407">
        <f>+D107*F107</f>
        <v>1.0824032296366659</v>
      </c>
      <c r="H107" s="432">
        <f>+[53]References!$C$33</f>
        <v>250</v>
      </c>
      <c r="I107" s="392">
        <f>+G107*H107</f>
        <v>270.60080740916646</v>
      </c>
      <c r="J107" s="392">
        <f ca="1">+I107*$C$138</f>
        <v>195.71139033810627</v>
      </c>
    </row>
    <row r="108" spans="1:10">
      <c r="A108" s="389" t="s">
        <v>452</v>
      </c>
      <c r="B108" s="389" t="s">
        <v>109</v>
      </c>
      <c r="C108" s="433"/>
      <c r="D108" s="392">
        <f>+VLOOKUP($A108,'[52]Murrey''s American G-9 Reg.'!$B:$AH,32,FALSE)</f>
        <v>1817.5721508042973</v>
      </c>
      <c r="F108" s="410">
        <f>+[53]References!$C$8</f>
        <v>4.33</v>
      </c>
      <c r="G108" s="407">
        <f>+D108*F108</f>
        <v>7870.087412982607</v>
      </c>
      <c r="H108" s="432">
        <f>+[53]References!$C$34</f>
        <v>324</v>
      </c>
      <c r="I108" s="392">
        <f>+G108*H108</f>
        <v>2549908.3218063647</v>
      </c>
      <c r="J108" s="392">
        <f ca="1">+I108*$C$138</f>
        <v>1844215.1288219918</v>
      </c>
    </row>
    <row r="109" spans="1:10">
      <c r="A109" s="389" t="s">
        <v>453</v>
      </c>
      <c r="B109" s="389" t="s">
        <v>110</v>
      </c>
      <c r="C109" s="433"/>
      <c r="D109" s="392">
        <f>+VLOOKUP($A109,'[52]Murrey''s American G-9 Reg.'!$B:$AH,32,FALSE)</f>
        <v>156.25340178393068</v>
      </c>
      <c r="F109" s="410">
        <f>[53]References!$C$7</f>
        <v>8.66</v>
      </c>
      <c r="G109" s="407">
        <f>+D109*F109</f>
        <v>1353.1544594488398</v>
      </c>
      <c r="H109" s="432">
        <f>+[53]References!$C$34</f>
        <v>324</v>
      </c>
      <c r="I109" s="392">
        <f>+G109*H109</f>
        <v>438422.04486142407</v>
      </c>
      <c r="J109" s="392">
        <f ca="1">+I109*$C$138</f>
        <v>317087.70116477611</v>
      </c>
    </row>
    <row r="110" spans="1:10">
      <c r="A110" s="389" t="s">
        <v>454</v>
      </c>
      <c r="B110" s="389" t="s">
        <v>111</v>
      </c>
      <c r="C110" s="433"/>
      <c r="D110" s="392">
        <f>+VLOOKUP($A110,'[52]Murrey''s American G-9 Reg.'!$B:$AH,32,FALSE)</f>
        <v>25.749977204340293</v>
      </c>
      <c r="F110" s="410">
        <f>[53]References!$C$6</f>
        <v>12.99</v>
      </c>
      <c r="G110" s="407">
        <f>+D110*F110</f>
        <v>334.49220388438044</v>
      </c>
      <c r="H110" s="432">
        <f>+[53]References!$C$34</f>
        <v>324</v>
      </c>
      <c r="I110" s="392">
        <f>+G110*H110</f>
        <v>108375.47405853926</v>
      </c>
      <c r="J110" s="392">
        <f ca="1">+I110*$C$138</f>
        <v>78382.303843154004</v>
      </c>
    </row>
    <row r="111" spans="1:10">
      <c r="A111" s="389" t="s">
        <v>671</v>
      </c>
      <c r="B111" s="389" t="s">
        <v>670</v>
      </c>
      <c r="C111" s="433"/>
      <c r="D111" s="392">
        <f>+VLOOKUP($A111,'[52]Murrey''s American G-9 Reg.'!$B:$AH,32,FALSE)</f>
        <v>21.5</v>
      </c>
      <c r="F111" s="410">
        <f>[53]References!$C$5</f>
        <v>17.32</v>
      </c>
      <c r="G111" s="407">
        <f>+D111*F111</f>
        <v>372.38</v>
      </c>
      <c r="H111" s="432">
        <f>+[53]References!$C$34</f>
        <v>324</v>
      </c>
      <c r="I111" s="392">
        <f>+G111*H111</f>
        <v>120651.12</v>
      </c>
      <c r="J111" s="392">
        <f ca="1">+I111*$C$138</f>
        <v>87260.635572847983</v>
      </c>
    </row>
    <row r="112" spans="1:10">
      <c r="A112" s="389" t="s">
        <v>456</v>
      </c>
      <c r="B112" s="389" t="s">
        <v>119</v>
      </c>
      <c r="C112" s="433"/>
      <c r="D112" s="392">
        <f>+VLOOKUP($A112,'[52]Murrey''s American G-9 Reg.'!$B:$AH,32,FALSE)</f>
        <v>57.381547637588646</v>
      </c>
      <c r="F112" s="410">
        <v>1</v>
      </c>
      <c r="G112" s="407">
        <f>+D112*F112</f>
        <v>57.381547637588646</v>
      </c>
      <c r="H112" s="432">
        <f>+[53]References!$C$34</f>
        <v>324</v>
      </c>
      <c r="I112" s="392">
        <f>+G112*H112</f>
        <v>18591.621434578723</v>
      </c>
      <c r="J112" s="392">
        <f ca="1">+I112*$C$138</f>
        <v>13446.345982624309</v>
      </c>
    </row>
    <row r="113" spans="1:13">
      <c r="A113" s="389" t="s">
        <v>457</v>
      </c>
      <c r="B113" s="389" t="s">
        <v>112</v>
      </c>
      <c r="C113" s="433"/>
      <c r="D113" s="392">
        <f>+VLOOKUP($A113,'[52]Murrey''s American G-9 Reg.'!$B:$AH,32,FALSE)</f>
        <v>211.77006128320116</v>
      </c>
      <c r="F113" s="410">
        <f>+[53]References!$C$8</f>
        <v>4.33</v>
      </c>
      <c r="G113" s="407">
        <f>+D113*F113</f>
        <v>916.96436535626106</v>
      </c>
      <c r="H113" s="432">
        <f>+[53]References!$C$36</f>
        <v>613</v>
      </c>
      <c r="I113" s="392">
        <f>+G113*H113</f>
        <v>562099.15596338804</v>
      </c>
      <c r="J113" s="392">
        <f ca="1">+I113*$C$138</f>
        <v>406536.87760483823</v>
      </c>
    </row>
    <row r="114" spans="1:13">
      <c r="A114" s="389" t="s">
        <v>458</v>
      </c>
      <c r="B114" s="389" t="s">
        <v>113</v>
      </c>
      <c r="C114" s="433"/>
      <c r="D114" s="392">
        <f>+VLOOKUP($A114,'[52]Murrey''s American G-9 Reg.'!$B:$AH,32,FALSE)</f>
        <v>48.999990962002876</v>
      </c>
      <c r="F114" s="410">
        <f>[53]References!$C$7</f>
        <v>8.66</v>
      </c>
      <c r="G114" s="407">
        <f>+D114*F114</f>
        <v>424.33992173094492</v>
      </c>
      <c r="H114" s="432">
        <f>+[53]References!$C$36</f>
        <v>613</v>
      </c>
      <c r="I114" s="392">
        <f>+G114*H114</f>
        <v>260120.37202106923</v>
      </c>
      <c r="J114" s="392">
        <f ca="1">+I114*$C$138</f>
        <v>188131.44037124701</v>
      </c>
    </row>
    <row r="115" spans="1:13">
      <c r="A115" s="389" t="s">
        <v>460</v>
      </c>
      <c r="B115" s="389" t="s">
        <v>114</v>
      </c>
      <c r="C115" s="433"/>
      <c r="D115" s="392">
        <f>+VLOOKUP($A115,'[52]Murrey''s American G-9 Reg.'!$B:$AH,32,FALSE)</f>
        <v>407.99989712471245</v>
      </c>
      <c r="F115" s="410">
        <f>+[53]References!$C$8</f>
        <v>4.33</v>
      </c>
      <c r="G115" s="407">
        <f>+D115*F115</f>
        <v>1766.639554550005</v>
      </c>
      <c r="H115" s="432">
        <f>+[53]References!$C$38</f>
        <v>840</v>
      </c>
      <c r="I115" s="392">
        <f>+G115*H115</f>
        <v>1483977.2258220043</v>
      </c>
      <c r="J115" s="392">
        <f ca="1">+I115*$C$138</f>
        <v>1073282.9989548365</v>
      </c>
    </row>
    <row r="116" spans="1:13">
      <c r="A116" s="389" t="s">
        <v>461</v>
      </c>
      <c r="B116" s="389" t="s">
        <v>115</v>
      </c>
      <c r="C116" s="433"/>
      <c r="D116" s="392">
        <f>+VLOOKUP($A116,'[52]Murrey''s American G-9 Reg.'!$B:$AH,32,FALSE)</f>
        <v>298.74995284834313</v>
      </c>
      <c r="F116" s="410">
        <f>[53]References!$C$7</f>
        <v>8.66</v>
      </c>
      <c r="G116" s="407">
        <f>+D116*F116</f>
        <v>2587.1745916666514</v>
      </c>
      <c r="H116" s="432">
        <f>+[53]References!$C$38</f>
        <v>840</v>
      </c>
      <c r="I116" s="392">
        <f>+G116*H116</f>
        <v>2173226.6569999871</v>
      </c>
      <c r="J116" s="392">
        <f ca="1">+I116*$C$138</f>
        <v>1571781.0106833205</v>
      </c>
    </row>
    <row r="117" spans="1:13">
      <c r="A117" s="389" t="s">
        <v>462</v>
      </c>
      <c r="B117" s="389" t="s">
        <v>116</v>
      </c>
      <c r="C117" s="433"/>
      <c r="D117" s="392">
        <f>+VLOOKUP($A117,'[52]Murrey''s American G-9 Reg.'!$B:$AH,32,FALSE)</f>
        <v>95.004660139933137</v>
      </c>
      <c r="F117" s="410">
        <f>[53]References!$C$6</f>
        <v>12.99</v>
      </c>
      <c r="G117" s="407">
        <f>+D117*F117</f>
        <v>1234.1105352177315</v>
      </c>
      <c r="H117" s="432">
        <f>+[53]References!$C$38</f>
        <v>840</v>
      </c>
      <c r="I117" s="392">
        <f>+G117*H117</f>
        <v>1036652.8495828945</v>
      </c>
      <c r="J117" s="392">
        <f ca="1">+I117*$C$138</f>
        <v>749756.70779523102</v>
      </c>
    </row>
    <row r="118" spans="1:13">
      <c r="A118" s="389" t="s">
        <v>450</v>
      </c>
      <c r="B118" s="389" t="s">
        <v>226</v>
      </c>
      <c r="C118" s="433"/>
      <c r="D118" s="392">
        <f>+VLOOKUP($A118,'[52]Murrey''s American G-9 Reg.'!$B:$AH,32,FALSE)</f>
        <v>2</v>
      </c>
      <c r="F118" s="390">
        <v>1</v>
      </c>
      <c r="G118" s="407">
        <f>+D118*F118</f>
        <v>2</v>
      </c>
      <c r="H118" s="432">
        <f>[53]References!$C$32</f>
        <v>175</v>
      </c>
      <c r="I118" s="392">
        <f>+G118*H118</f>
        <v>350</v>
      </c>
      <c r="J118" s="392">
        <f ca="1">+I118*$C$138</f>
        <v>253.13666752945846</v>
      </c>
    </row>
    <row r="119" spans="1:13">
      <c r="A119" s="389" t="s">
        <v>455</v>
      </c>
      <c r="B119" s="389" t="s">
        <v>227</v>
      </c>
      <c r="C119" s="433"/>
      <c r="D119" s="392">
        <f>+VLOOKUP($A119,'[52]Murrey''s American G-9 Reg.'!$B:$AH,32,FALSE)</f>
        <v>4</v>
      </c>
      <c r="F119" s="390">
        <v>1</v>
      </c>
      <c r="G119" s="407">
        <f>+D119*F119</f>
        <v>4</v>
      </c>
      <c r="H119" s="432">
        <f>+[53]References!$C$34</f>
        <v>324</v>
      </c>
      <c r="I119" s="392">
        <f>+G119*H119</f>
        <v>1296</v>
      </c>
      <c r="J119" s="392">
        <f ca="1">+I119*$C$138</f>
        <v>937.32891748050906</v>
      </c>
    </row>
    <row r="120" spans="1:13">
      <c r="A120" s="389" t="s">
        <v>459</v>
      </c>
      <c r="B120" s="389" t="s">
        <v>228</v>
      </c>
      <c r="C120" s="433"/>
      <c r="D120" s="392">
        <f>+VLOOKUP($A120,'[52]Murrey''s American G-9 Reg.'!$B:$AH,32,FALSE)</f>
        <v>1</v>
      </c>
      <c r="F120" s="390">
        <v>1</v>
      </c>
      <c r="G120" s="407">
        <f>+D120*F120</f>
        <v>1</v>
      </c>
      <c r="H120" s="432">
        <f>+[53]References!$C$36</f>
        <v>613</v>
      </c>
      <c r="I120" s="392">
        <f>+G120*H120</f>
        <v>613</v>
      </c>
      <c r="J120" s="392">
        <f ca="1">+I120*$C$138</f>
        <v>443.3507919873087</v>
      </c>
    </row>
    <row r="121" spans="1:13">
      <c r="A121" s="389" t="s">
        <v>463</v>
      </c>
      <c r="B121" s="389" t="s">
        <v>229</v>
      </c>
      <c r="C121" s="433"/>
      <c r="D121" s="392">
        <f>+VLOOKUP($A121,'[52]Murrey''s American G-9 Reg.'!$B:$AH,32,FALSE)</f>
        <v>4</v>
      </c>
      <c r="F121" s="390">
        <v>1</v>
      </c>
      <c r="G121" s="407">
        <f>+D121*F121</f>
        <v>4</v>
      </c>
      <c r="H121" s="432">
        <f>+[53]References!$C$38</f>
        <v>840</v>
      </c>
      <c r="I121" s="392">
        <f>+G121*H121</f>
        <v>3360</v>
      </c>
      <c r="J121" s="392">
        <f ca="1">+I121*$C$138</f>
        <v>2430.1120082828011</v>
      </c>
    </row>
    <row r="122" spans="1:13">
      <c r="A122" s="389" t="s">
        <v>474</v>
      </c>
      <c r="B122" s="389" t="s">
        <v>233</v>
      </c>
      <c r="C122" s="433"/>
      <c r="D122" s="392">
        <f>+VLOOKUP($A122,'[52]Murrey''s American G-9 Reg.'!$B:$AH,32,FALSE)</f>
        <v>2594.0562475937886</v>
      </c>
      <c r="F122" s="390">
        <v>1</v>
      </c>
      <c r="G122" s="407">
        <f>+D122*F122</f>
        <v>2594.0562475937886</v>
      </c>
      <c r="H122" s="390">
        <f>+[53]References!$C$15</f>
        <v>34</v>
      </c>
      <c r="I122" s="392">
        <f>+G122*H122</f>
        <v>88197.912418188818</v>
      </c>
      <c r="J122" s="392">
        <f ca="1">+I122*$C$138</f>
        <v>63788.930378843885</v>
      </c>
    </row>
    <row r="123" spans="1:13">
      <c r="I123" s="407"/>
      <c r="J123" s="410"/>
    </row>
    <row r="124" spans="1:13">
      <c r="B124" s="413" t="s">
        <v>815</v>
      </c>
      <c r="C124" s="407"/>
      <c r="D124" s="423">
        <f ca="1">+SUM(D93:OFFSET(D124,-1,0))</f>
        <v>78472.830359818443</v>
      </c>
      <c r="E124" s="423">
        <f ca="1">+SUM(E93:OFFSET(E124,-1,0))</f>
        <v>0</v>
      </c>
      <c r="F124" s="423">
        <f ca="1">+SUM(F93:OFFSET(F124,-1,0))</f>
        <v>140.89999999999998</v>
      </c>
      <c r="G124" s="423">
        <f ca="1">+SUM(G93:OFFSET(G124,-1,0))</f>
        <v>163757.90671001622</v>
      </c>
      <c r="H124" s="423">
        <f ca="1">+SUM(H93:OFFSET(H124,-1,0))</f>
        <v>8976</v>
      </c>
      <c r="I124" s="423">
        <f ca="1">+SUM(I93:OFFSET(I124,-1,0))</f>
        <v>18385042.712163467</v>
      </c>
      <c r="J124" s="423">
        <f ca="1">+SUM(J93:OFFSET(J124,-1,0))</f>
        <v>13296938.412982333</v>
      </c>
      <c r="M124" s="407"/>
    </row>
    <row r="125" spans="1:13">
      <c r="D125" s="425">
        <f ca="1">+D124-SUM('[52]Murrey''s American G-9 Reg.'!$AG$139:$AG$148,'[52]Murrey''s American G-9 Reg.'!$AG$150:$AG$168,'[52]Murrey''s American G-9 Reg.'!$AG$173)</f>
        <v>0.29340101522393525</v>
      </c>
      <c r="I125" s="407"/>
      <c r="J125" s="410"/>
    </row>
    <row r="126" spans="1:13">
      <c r="I126" s="407"/>
      <c r="J126" s="410"/>
    </row>
    <row r="127" spans="1:13">
      <c r="I127" s="407"/>
      <c r="J127" s="410"/>
    </row>
    <row r="128" spans="1:13" ht="15.75" thickBot="1">
      <c r="B128" s="413" t="s">
        <v>792</v>
      </c>
      <c r="D128" s="427">
        <f ca="1">+D82+D27+D124</f>
        <v>907389.48529903125</v>
      </c>
      <c r="E128" s="427"/>
      <c r="F128" s="427">
        <f ca="1">+F82+F27+F124</f>
        <v>495.32</v>
      </c>
      <c r="G128" s="431">
        <f ca="1">+G82+G27+G124</f>
        <v>3604530.7513179192</v>
      </c>
      <c r="H128" s="427">
        <f ca="1">+H82+H27+H124</f>
        <v>42304</v>
      </c>
      <c r="I128" s="431">
        <f ca="1">+I82+I27+I124</f>
        <v>223981347.03379732</v>
      </c>
      <c r="J128" s="431">
        <f ca="1">+J82+J27+J124</f>
        <v>161993976.50541317</v>
      </c>
    </row>
    <row r="129" spans="2:10" ht="15.75" thickTop="1">
      <c r="I129" s="407"/>
      <c r="J129" s="410"/>
    </row>
    <row r="130" spans="2:10">
      <c r="I130" s="407"/>
      <c r="J130" s="410"/>
    </row>
    <row r="131" spans="2:10">
      <c r="I131" s="407"/>
      <c r="J131" s="410"/>
    </row>
    <row r="132" spans="2:10">
      <c r="I132" s="392"/>
      <c r="J132" s="392"/>
    </row>
    <row r="133" spans="2:10">
      <c r="B133" s="465" t="s">
        <v>80</v>
      </c>
      <c r="C133" s="465"/>
      <c r="D133" s="435" t="s">
        <v>797</v>
      </c>
      <c r="E133" s="394"/>
      <c r="F133" s="435" t="s">
        <v>798</v>
      </c>
      <c r="G133" s="435"/>
    </row>
    <row r="134" spans="2:10">
      <c r="B134" s="390"/>
      <c r="C134" s="436" t="s">
        <v>14</v>
      </c>
      <c r="D134" s="437">
        <f>+I27</f>
        <v>153881519.42376351</v>
      </c>
      <c r="F134" s="437">
        <f ca="1">+J27</f>
        <v>111294442.91800323</v>
      </c>
      <c r="G134" s="438">
        <f ca="1">+F134/$F$137</f>
        <v>0.68702827919212306</v>
      </c>
    </row>
    <row r="135" spans="2:10">
      <c r="B135" s="390" t="s">
        <v>29</v>
      </c>
      <c r="C135" s="439">
        <f>+'[51]6.2021 - 5.2022 Dump Fee Schedu'!$N$4+'[51]6.2021 - 5.2022 Dump Fee Schedu'!$N$5</f>
        <v>123884.59451265994</v>
      </c>
      <c r="D135" s="437">
        <f>+I82</f>
        <v>51714784.897870325</v>
      </c>
      <c r="F135" s="437">
        <f ca="1">+J82</f>
        <v>37402595.174427591</v>
      </c>
      <c r="G135" s="438">
        <f ca="1">+F135/$F$137</f>
        <v>0.23088880204862278</v>
      </c>
    </row>
    <row r="136" spans="2:10">
      <c r="B136" s="390" t="s">
        <v>30</v>
      </c>
      <c r="C136" s="440">
        <f>+C135*[53]References!H17</f>
        <v>247769189.02531987</v>
      </c>
      <c r="D136" s="407">
        <f ca="1">+I124</f>
        <v>18385042.712163467</v>
      </c>
      <c r="F136" s="407">
        <f ca="1">+J124</f>
        <v>13296938.412982333</v>
      </c>
      <c r="G136" s="438">
        <f ca="1">+F136/$F$137</f>
        <v>8.2082918759254012E-2</v>
      </c>
    </row>
    <row r="137" spans="2:10">
      <c r="B137" s="390" t="s">
        <v>3</v>
      </c>
      <c r="C137" s="440">
        <f ca="1">+G128+NonReg!AG110</f>
        <v>5226211.1404585876</v>
      </c>
      <c r="D137" s="441">
        <f ca="1">+D134+D135+D136</f>
        <v>223981347.03379732</v>
      </c>
      <c r="F137" s="441">
        <f ca="1">+F134+F135+F136</f>
        <v>161993976.50541317</v>
      </c>
      <c r="G137" s="442">
        <f ca="1">+G134+G135+G136</f>
        <v>0.99999999999999978</v>
      </c>
    </row>
    <row r="138" spans="2:10">
      <c r="B138" s="443" t="s">
        <v>10</v>
      </c>
      <c r="C138" s="444">
        <f ca="1">+'Reg-MUR'!C136/(I128+NonReg!AI110)</f>
        <v>0.72324762151273847</v>
      </c>
      <c r="D138" s="77"/>
      <c r="E138"/>
      <c r="F138" s="392">
        <f ca="1">F137/2000</f>
        <v>80996.988252706593</v>
      </c>
      <c r="G138" s="49" t="s">
        <v>799</v>
      </c>
    </row>
    <row r="139" spans="2:10">
      <c r="B139" s="390"/>
      <c r="C139" s="445"/>
      <c r="D139" s="77"/>
      <c r="E139"/>
      <c r="F139" s="77"/>
      <c r="G139" s="49"/>
    </row>
    <row r="140" spans="2:10">
      <c r="B140" s="390"/>
      <c r="C140" s="446"/>
      <c r="D140" s="441"/>
      <c r="F140" s="441"/>
      <c r="G140" s="442"/>
    </row>
    <row r="141" spans="2:10">
      <c r="B141" s="447"/>
      <c r="C141" s="446"/>
      <c r="D141" s="437"/>
    </row>
    <row r="142" spans="2:10">
      <c r="B142" s="447"/>
      <c r="C142" s="437"/>
      <c r="D142" s="77">
        <f>NonReg!AI23</f>
        <v>65497327.888500102</v>
      </c>
      <c r="E142" s="77"/>
      <c r="F142" s="77">
        <f ca="1">NonReg!AJ23</f>
        <v>47370786.610797644</v>
      </c>
      <c r="G142" s="49">
        <f ca="1">+F142/$F$145</f>
        <v>0.55226661898160656</v>
      </c>
    </row>
    <row r="143" spans="2:10">
      <c r="B143" s="447"/>
      <c r="C143" s="437"/>
      <c r="D143" s="77">
        <f>NonReg!AI68</f>
        <v>51052859.87532758</v>
      </c>
      <c r="E143"/>
      <c r="F143" s="77">
        <f ca="1">NonReg!AJ68</f>
        <v>36923859.476253785</v>
      </c>
      <c r="G143" s="49">
        <f ca="1">+F143/$F$145</f>
        <v>0.43047237531104338</v>
      </c>
    </row>
    <row r="144" spans="2:10">
      <c r="B144" s="447"/>
      <c r="C144" s="437"/>
      <c r="D144" s="77">
        <f ca="1">+NonReg!AI107</f>
        <v>2047108.6095776318</v>
      </c>
      <c r="E144"/>
      <c r="F144" s="77">
        <f ca="1">+NonReg!AJ107</f>
        <v>1480566.4328552715</v>
      </c>
      <c r="G144" s="49">
        <f ca="1">+F144/$F$145</f>
        <v>1.7261005707350032E-2</v>
      </c>
    </row>
    <row r="145" spans="2:7">
      <c r="B145" s="447"/>
      <c r="C145" s="437"/>
      <c r="D145" s="441">
        <f ca="1">+D142+D143+D144</f>
        <v>118597296.37340531</v>
      </c>
      <c r="F145" s="441">
        <f ca="1">+F142+F143+F144</f>
        <v>85775212.5199067</v>
      </c>
      <c r="G145" s="442">
        <f ca="1">+G142+G143+G144</f>
        <v>0.99999999999999989</v>
      </c>
    </row>
    <row r="146" spans="2:7">
      <c r="B146" s="390"/>
      <c r="C146" s="441"/>
      <c r="D146" s="441"/>
      <c r="E146" s="442"/>
      <c r="F146" s="392">
        <f ca="1">F145/2000</f>
        <v>42887.606259953347</v>
      </c>
      <c r="G146" s="390" t="s">
        <v>799</v>
      </c>
    </row>
    <row r="147" spans="2:7">
      <c r="B147" s="390"/>
      <c r="D147" s="441">
        <f ca="1">+D137+D145+D140</f>
        <v>342578643.4072026</v>
      </c>
      <c r="E147" s="448"/>
      <c r="F147" s="441">
        <f ca="1">+F137+F145+F140</f>
        <v>247769189.02531987</v>
      </c>
    </row>
    <row r="148" spans="2:7">
      <c r="E148" s="433"/>
      <c r="F148" s="437"/>
    </row>
    <row r="149" spans="2:7">
      <c r="D149" s="438">
        <f ca="1">+$F$137/$F$147</f>
        <v>0.65381001222415425</v>
      </c>
      <c r="E149" s="433"/>
      <c r="F149" s="437">
        <f ca="1">+$C$137*$D$149</f>
        <v>3416949.1696292404</v>
      </c>
    </row>
    <row r="150" spans="2:7">
      <c r="D150" s="438"/>
      <c r="E150" s="433"/>
      <c r="F150" s="437"/>
    </row>
    <row r="151" spans="2:7">
      <c r="D151" s="438">
        <f ca="1">$F$145/$F$147</f>
        <v>0.34618998777584575</v>
      </c>
      <c r="F151" s="437">
        <f ca="1">+$C$137*D151</f>
        <v>1809261.9708293474</v>
      </c>
    </row>
    <row r="152" spans="2:7">
      <c r="D152" s="438">
        <f ca="1">SUM(D149:D151)</f>
        <v>1</v>
      </c>
    </row>
    <row r="154" spans="2:7">
      <c r="D154" s="449">
        <f ca="1">+(D134+D142)/D147</f>
        <v>0.6403751416911917</v>
      </c>
    </row>
  </sheetData>
  <mergeCells count="1">
    <mergeCell ref="B133:C133"/>
  </mergeCells>
  <pageMargins left="0.7" right="0.7" top="0.75" bottom="0.75" header="0.3" footer="0.3"/>
  <pageSetup orientation="portrait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A46C56-2912-418E-8F05-AD2DFFFB22B8}">
  <sheetPr>
    <tabColor rgb="FF92D050"/>
  </sheetPr>
  <dimension ref="A1:AP111"/>
  <sheetViews>
    <sheetView showGridLines="0" zoomScale="85" zoomScaleNormal="85" workbookViewId="0">
      <pane xSplit="2" ySplit="7" topLeftCell="C90" activePane="bottomRight" state="frozen"/>
      <selection pane="topRight" activeCell="C1" sqref="C1"/>
      <selection pane="bottomLeft" activeCell="A10" sqref="A10"/>
      <selection pane="bottomRight" activeCell="G71" sqref="G71"/>
    </sheetView>
  </sheetViews>
  <sheetFormatPr defaultRowHeight="15" outlineLevelCol="2"/>
  <cols>
    <col min="1" max="1" width="20.28515625" style="389" customWidth="1"/>
    <col min="2" max="2" width="27.5703125" style="389" bestFit="1" customWidth="1"/>
    <col min="3" max="3" width="12.5703125" style="390" bestFit="1" customWidth="1"/>
    <col min="4" max="4" width="10.5703125" style="390" customWidth="1" outlineLevel="1"/>
    <col min="5" max="5" width="5.5703125" style="390" customWidth="1" outlineLevel="1"/>
    <col min="6" max="6" width="22.42578125" style="390" hidden="1" customWidth="1" outlineLevel="2"/>
    <col min="7" max="7" width="11.85546875" style="390" customWidth="1" outlineLevel="1" collapsed="1"/>
    <col min="8" max="8" width="5.5703125" style="390" customWidth="1" outlineLevel="1"/>
    <col min="9" max="9" width="25.85546875" style="390" hidden="1" customWidth="1" outlineLevel="2"/>
    <col min="10" max="10" width="10.5703125" style="391" customWidth="1" outlineLevel="1" collapsed="1"/>
    <col min="11" max="11" width="5.5703125" style="390" customWidth="1" outlineLevel="1"/>
    <col min="12" max="12" width="21" style="390" hidden="1" customWidth="1" outlineLevel="2"/>
    <col min="13" max="13" width="10.5703125" style="392" customWidth="1" outlineLevel="1" collapsed="1"/>
    <col min="14" max="14" width="5.5703125" style="390" customWidth="1" outlineLevel="1"/>
    <col min="15" max="15" width="21" style="390" hidden="1" customWidth="1" outlineLevel="2"/>
    <col min="16" max="16" width="10.5703125" style="392" customWidth="1" outlineLevel="1" collapsed="1"/>
    <col min="17" max="17" width="5.5703125" style="390" customWidth="1" outlineLevel="1"/>
    <col min="18" max="18" width="20.42578125" style="390" hidden="1" customWidth="1" outlineLevel="2"/>
    <col min="19" max="19" width="10.5703125" style="392" customWidth="1" outlineLevel="1" collapsed="1"/>
    <col min="20" max="20" width="5.5703125" style="390" customWidth="1" outlineLevel="1"/>
    <col min="21" max="21" width="20.28515625" style="390" hidden="1" customWidth="1" outlineLevel="2"/>
    <col min="22" max="22" width="10.5703125" style="392" customWidth="1" outlineLevel="1" collapsed="1"/>
    <col min="23" max="23" width="5.5703125" style="390" customWidth="1" outlineLevel="1"/>
    <col min="24" max="24" width="25.140625" style="390" hidden="1" customWidth="1" outlineLevel="2"/>
    <col min="25" max="25" width="10.5703125" style="392" customWidth="1" outlineLevel="1" collapsed="1"/>
    <col min="26" max="26" width="5.5703125" style="390" customWidth="1" outlineLevel="1"/>
    <col min="27" max="27" width="20.7109375" style="390" hidden="1" customWidth="1" outlineLevel="2"/>
    <col min="28" max="28" width="10.5703125" style="390" customWidth="1" outlineLevel="1" collapsed="1"/>
    <col min="29" max="29" width="5.5703125" style="390" bestFit="1" customWidth="1"/>
    <col min="30" max="30" width="15.42578125" style="390" bestFit="1" customWidth="1"/>
    <col min="31" max="31" width="2.7109375" style="390" customWidth="1"/>
    <col min="32" max="32" width="18.42578125" style="390" bestFit="1" customWidth="1"/>
    <col min="33" max="33" width="14.28515625" style="390" bestFit="1" customWidth="1"/>
    <col min="34" max="34" width="14.7109375" style="390" bestFit="1" customWidth="1"/>
    <col min="35" max="35" width="17.28515625" style="390" customWidth="1"/>
    <col min="36" max="36" width="15.85546875" style="390" customWidth="1"/>
    <col min="37" max="37" width="9.140625" style="390"/>
    <col min="38" max="38" width="12.7109375" style="390" bestFit="1" customWidth="1"/>
    <col min="39" max="39" width="14" style="390" bestFit="1" customWidth="1"/>
    <col min="40" max="40" width="9.140625" style="390" customWidth="1"/>
    <col min="41" max="41" width="16.7109375" style="390" customWidth="1"/>
    <col min="42" max="16384" width="9.140625" style="390"/>
  </cols>
  <sheetData>
    <row r="1" spans="1:42" ht="15.75">
      <c r="A1" s="388" t="s">
        <v>759</v>
      </c>
    </row>
    <row r="2" spans="1:42" ht="15.75">
      <c r="A2" s="388" t="s">
        <v>760</v>
      </c>
    </row>
    <row r="3" spans="1:42" ht="15.75">
      <c r="A3" s="393" t="str">
        <f>'Reg-MUR'!A3</f>
        <v>June 1, 2021- May 31, 2022</v>
      </c>
    </row>
    <row r="5" spans="1:42">
      <c r="A5" s="390"/>
      <c r="B5" s="390"/>
      <c r="D5" s="390" t="s">
        <v>761</v>
      </c>
      <c r="G5" s="394" t="s">
        <v>762</v>
      </c>
      <c r="H5" s="394"/>
      <c r="I5" s="394"/>
      <c r="J5" s="395" t="s">
        <v>763</v>
      </c>
      <c r="K5" s="394"/>
      <c r="L5" s="394"/>
      <c r="M5" s="396" t="s">
        <v>764</v>
      </c>
      <c r="N5" s="394"/>
      <c r="O5" s="394"/>
      <c r="P5" s="396" t="s">
        <v>765</v>
      </c>
      <c r="Q5" s="394"/>
      <c r="R5" s="394"/>
      <c r="S5" s="396" t="s">
        <v>766</v>
      </c>
      <c r="T5" s="394"/>
      <c r="U5" s="394"/>
      <c r="V5" s="396" t="s">
        <v>767</v>
      </c>
      <c r="W5" s="394"/>
      <c r="X5" s="394"/>
      <c r="Y5" s="396" t="s">
        <v>768</v>
      </c>
      <c r="Z5" s="394"/>
      <c r="AA5" s="394"/>
      <c r="AB5" s="394" t="s">
        <v>769</v>
      </c>
    </row>
    <row r="6" spans="1:42" ht="30">
      <c r="A6" s="397"/>
      <c r="B6" s="398"/>
      <c r="D6" s="399" t="s">
        <v>770</v>
      </c>
      <c r="G6" s="399" t="s">
        <v>770</v>
      </c>
      <c r="J6" s="400" t="s">
        <v>770</v>
      </c>
      <c r="M6" s="401" t="s">
        <v>770</v>
      </c>
      <c r="N6" s="402"/>
      <c r="P6" s="401" t="s">
        <v>770</v>
      </c>
      <c r="S6" s="401" t="s">
        <v>770</v>
      </c>
      <c r="V6" s="401" t="s">
        <v>770</v>
      </c>
      <c r="Y6" s="401" t="s">
        <v>770</v>
      </c>
      <c r="AB6" s="399" t="s">
        <v>770</v>
      </c>
      <c r="AD6" s="399" t="s">
        <v>771</v>
      </c>
      <c r="AF6" s="403" t="s">
        <v>772</v>
      </c>
      <c r="AG6" s="403" t="s">
        <v>773</v>
      </c>
      <c r="AH6" s="403" t="s">
        <v>9</v>
      </c>
      <c r="AI6" s="399" t="s">
        <v>31</v>
      </c>
      <c r="AJ6" s="399" t="s">
        <v>32</v>
      </c>
    </row>
    <row r="7" spans="1:42" ht="15.75" thickBot="1">
      <c r="A7" s="404" t="s">
        <v>300</v>
      </c>
      <c r="B7" s="405"/>
      <c r="AM7" s="390" t="s">
        <v>824</v>
      </c>
      <c r="AN7" s="390" t="s">
        <v>823</v>
      </c>
      <c r="AO7" s="390" t="s">
        <v>822</v>
      </c>
      <c r="AP7" s="390" t="s">
        <v>736</v>
      </c>
    </row>
    <row r="8" spans="1:42">
      <c r="A8" s="397"/>
      <c r="B8" s="398"/>
      <c r="AM8" s="498" t="s">
        <v>821</v>
      </c>
      <c r="AN8" s="497">
        <f>+AD23</f>
        <v>361097.79364787362</v>
      </c>
      <c r="AO8" s="496">
        <f>+SUM([52]Puyallup!$AF$71,[52]Puyallup!$AF$67,[52]Puyallup!$AF$10:$AF$48)+SUM([52]BonneyLake!$AF$10:$AF$48,[52]BonneyLake!$AF$67,[52]BonneyLake!$AF$71)+SUM([52]Sumner!$AF$10:$AF$48,[52]Sumner!$AF$67,[52]Sumner!$AF$71)+SUM([52]Buckley!$AG$67,[52]Buckley!$AG$71,[52]Buckley!$AG$10:$AG$48)+SUM([52]Milton!$AF$10:$AF$49,[52]Milton!$AF$68,[52]Milton!$AF$72)+SUM([52]Orting!$AF$10:$AF$48,[52]Orting!$AF$67,[52]Orting!$AF$71)+SUM([52]Carbonado!$AF$10:$AF$48,[52]Carbonado!$AF$67)+SUM([52]Ruston!$AG$10:$AG$48,[52]Ruston!$AG$67)</f>
        <v>361097.79364787356</v>
      </c>
      <c r="AP8" s="495">
        <f>+AN8-AO8</f>
        <v>0</v>
      </c>
    </row>
    <row r="9" spans="1:42">
      <c r="A9" s="406" t="s">
        <v>774</v>
      </c>
      <c r="B9" s="406"/>
      <c r="J9" s="392"/>
      <c r="AG9" s="407"/>
      <c r="AI9" s="407"/>
      <c r="AJ9" s="407"/>
      <c r="AM9" s="494" t="s">
        <v>12</v>
      </c>
      <c r="AN9" s="407">
        <f>+AD68</f>
        <v>23405.974487681273</v>
      </c>
      <c r="AO9" s="433">
        <f>SUM([52]Ruston!$AG$104:$AG$157,[52]Ruston!$AG$160:$AG$166,[52]Ruston!$AG$170,[52]Ruston!$AG$169,[52]Ruston!$AG$171)+SUM([52]Carbonado!$AF$104:$AF$157,[52]Carbonado!$AF$171)+SUM([52]Orting!$AF$172,[52]Orting!$AF$106:$AF$159,[52]Orting!$AF$162:$AF$168,[52]Orting!$AF$173)+SUM([52]Milton!$AF$106:$AF$168,[52]Milton!$AF$172:$AF$173,[52]Milton!$AF$183)+SUM([52]Buckley!$AG$112:$AG$165,[52]Buckley!$AG$166:$AG$172,[52]Buckley!$AG$176,[52]Buckley!$AG$177)+SUM([52]Sumner!$AF$110:$AF$163,[52]Sumner!$AF$165:$AF$172,[52]Sumner!$AF$176:$AF$177)+SUM([52]Puyallup!$AF$183,[52]Puyallup!$AF$173,[52]Puyallup!$AF$172,[52]Puyallup!$AF$106:$AF$159,[52]Puyallup!$AF$162:$AF$168)+SUM([52]BonneyLake!$AF$105:$AF$158,[52]BonneyLake!$AF$162:$AF$167,[52]BonneyLake!$AF$171,[52]BonneyLake!$AF$172)</f>
        <v>23405.974487681277</v>
      </c>
      <c r="AP9" s="493">
        <f>+AN9-AO9</f>
        <v>0</v>
      </c>
    </row>
    <row r="10" spans="1:42">
      <c r="A10" s="408" t="s">
        <v>775</v>
      </c>
      <c r="B10" s="408" t="s">
        <v>776</v>
      </c>
      <c r="D10" s="391"/>
      <c r="F10" s="390" t="str">
        <f>"PUYALLUP"&amp;A10</f>
        <v>PUYALLUP10RW1N</v>
      </c>
      <c r="G10" s="392">
        <f>+VLOOKUP(A10,[52]Puyallup!$B$10:$AG$74,31,FALSE)</f>
        <v>51.05910041841004</v>
      </c>
      <c r="I10" s="390" t="str">
        <f>"BONNEY LAKE"&amp;A10</f>
        <v>BONNEY LAKE10RW1N</v>
      </c>
      <c r="J10" s="392">
        <f>+VLOOKUP(A10,[52]BonneyLake!$B$10:$AG$73,31,FALSE)</f>
        <v>24</v>
      </c>
      <c r="L10" s="390" t="str">
        <f>"SUMNER"&amp;A10</f>
        <v>SUMNER10RW1N</v>
      </c>
      <c r="M10" s="392">
        <f>+VLOOKUP(A10,[52]Sumner!$B$10:$AG$77,31,FALSE)</f>
        <v>12</v>
      </c>
      <c r="N10" s="409"/>
      <c r="O10" s="390" t="str">
        <f>"BUCKLEY"&amp;A10</f>
        <v>BUCKLEY10RW1N</v>
      </c>
      <c r="P10" s="392">
        <f>+VLOOKUP(A10,[52]Buckley!$B$10:$AH$79,32,FALSE)</f>
        <v>44.209780069148913</v>
      </c>
      <c r="R10" s="390" t="str">
        <f>"MILTON"&amp;A10</f>
        <v>MILTON10RW1N</v>
      </c>
      <c r="S10" s="392">
        <f>+VLOOKUP(A10,[52]Milton!$B$10:$AG$73,31,FALSE)</f>
        <v>12</v>
      </c>
      <c r="U10" s="390" t="str">
        <f>"ORTING"&amp;A10</f>
        <v>ORTING10RW1N</v>
      </c>
      <c r="V10" s="392">
        <f>+VLOOKUP(A10,[52]Orting!$B$10:$AG$72,31,FALSE)</f>
        <v>12</v>
      </c>
      <c r="X10" s="390" t="str">
        <f>"CARBONADO"&amp;A10</f>
        <v>CARBONADO10RW1N</v>
      </c>
      <c r="Y10" s="392">
        <f>+VLOOKUP(A10,[52]Carbonado!$B$10:$AG$72,31,FALSE)</f>
        <v>0</v>
      </c>
      <c r="AA10" s="390" t="str">
        <f>"RUSTON"&amp;A10</f>
        <v>RUSTON10RW1N</v>
      </c>
      <c r="AB10" s="392">
        <f>+VLOOKUP(A10,[52]Ruston!$B$10:$AH$70,32,FALSE)</f>
        <v>0</v>
      </c>
      <c r="AD10" s="392">
        <f>SUM(G10:AB10)</f>
        <v>155.26888048755896</v>
      </c>
      <c r="AF10" s="410">
        <f>[53]References!$C$8</f>
        <v>4.33</v>
      </c>
      <c r="AG10" s="407">
        <f>+AD10*AF10</f>
        <v>672.31425251113035</v>
      </c>
      <c r="AH10" s="390">
        <f>[53]References!$C$14/2</f>
        <v>10</v>
      </c>
      <c r="AI10" s="392">
        <f>+AG10*AH10</f>
        <v>6723.1425251113033</v>
      </c>
      <c r="AJ10" s="392">
        <f ca="1">+AI10*'Reg-MUR'!$C$138</f>
        <v>4862.4968403778967</v>
      </c>
      <c r="AM10" s="492" t="s">
        <v>609</v>
      </c>
      <c r="AN10" s="491">
        <f ca="1">+AD107</f>
        <v>987.00591272102804</v>
      </c>
      <c r="AO10" s="490">
        <f>SUM([52]Puyallup!$AF$227:$AF$245,[52]Puyallup!$AF$247:$AF$262,[52]Puyallup!$AF$276)</f>
        <v>987.00591272102804</v>
      </c>
      <c r="AP10" s="489">
        <f ca="1">+AN10-AO10</f>
        <v>0</v>
      </c>
    </row>
    <row r="11" spans="1:42" ht="15.75" thickBot="1">
      <c r="A11" s="408" t="s">
        <v>777</v>
      </c>
      <c r="B11" s="408" t="s">
        <v>778</v>
      </c>
      <c r="D11" s="391"/>
      <c r="F11" s="390" t="str">
        <f>"PUYALLUP"&amp;A11</f>
        <v>PUYALLUP10RW1R</v>
      </c>
      <c r="G11" s="392">
        <f>+VLOOKUP(A11,[52]Puyallup!$B$10:$AG$74,31,FALSE)</f>
        <v>3221.2274999577785</v>
      </c>
      <c r="I11" s="390" t="str">
        <f>"BONNEY LAKE"&amp;A11</f>
        <v>BONNEY LAKE10RW1R</v>
      </c>
      <c r="J11" s="392">
        <f>+VLOOKUP(A11,[52]BonneyLake!$B$10:$AG$73,31,FALSE)</f>
        <v>1299.9110432987422</v>
      </c>
      <c r="L11" s="390" t="str">
        <f>"SUMNER"&amp;A11</f>
        <v>SUMNER10RW1R</v>
      </c>
      <c r="M11" s="392">
        <f>+VLOOKUP(A11,[52]Sumner!$B$10:$AG$77,31,FALSE)</f>
        <v>1285.0851236067003</v>
      </c>
      <c r="N11" s="409"/>
      <c r="O11" s="390" t="str">
        <f>"BUCKLEY"&amp;A11</f>
        <v>BUCKLEY10RW1R</v>
      </c>
      <c r="P11" s="392">
        <f>+VLOOKUP(A11,[52]Buckley!$B$10:$AH$79,32,FALSE)</f>
        <v>821.91012649824404</v>
      </c>
      <c r="R11" s="390" t="str">
        <f>"MILTON"&amp;A11</f>
        <v>MILTON10RW1R</v>
      </c>
      <c r="S11" s="392">
        <f>+VLOOKUP(A11,[52]Milton!$B$10:$AG$73,31,FALSE)</f>
        <v>1098.9991408934707</v>
      </c>
      <c r="U11" s="390" t="str">
        <f>"ORTING"&amp;A11</f>
        <v>ORTING10RW1R</v>
      </c>
      <c r="V11" s="392">
        <f>+VLOOKUP(A11,[52]Orting!$B$10:$AG$72,31,FALSE)</f>
        <v>584.25</v>
      </c>
      <c r="X11" s="390" t="str">
        <f>"CARBONADO"&amp;A11</f>
        <v>CARBONADO10RW1R</v>
      </c>
      <c r="Y11" s="392">
        <f>+VLOOKUP(A11,[52]Carbonado!$B$10:$AG$72,31,FALSE)</f>
        <v>311</v>
      </c>
      <c r="AA11" s="390" t="str">
        <f>"RUSTON"&amp;A11</f>
        <v>RUSTON10RW1R</v>
      </c>
      <c r="AB11" s="392">
        <f>+VLOOKUP(A11,[52]Ruston!$B$10:$AH$70,32,FALSE)</f>
        <v>0</v>
      </c>
      <c r="AD11" s="392">
        <f>SUM(G11:AB11)</f>
        <v>8622.3829342549343</v>
      </c>
      <c r="AF11" s="410">
        <f>[53]References!$C$8</f>
        <v>4.33</v>
      </c>
      <c r="AG11" s="407">
        <f>+AD11*AF11</f>
        <v>37334.918105323864</v>
      </c>
      <c r="AH11" s="390">
        <f>[53]References!$C$14/2</f>
        <v>10</v>
      </c>
      <c r="AI11" s="392">
        <f>+AG11*AH11</f>
        <v>373349.18105323863</v>
      </c>
      <c r="AJ11" s="392">
        <f ca="1">+AI11*'Reg-MUR'!$C$138</f>
        <v>270023.90719048359</v>
      </c>
      <c r="AM11" s="488"/>
      <c r="AN11" s="487">
        <f ca="1">SUM(AN8:AN10)</f>
        <v>385490.77404827595</v>
      </c>
      <c r="AO11" s="487">
        <f>SUM(AO8:AO10)</f>
        <v>385490.7740482759</v>
      </c>
      <c r="AP11" s="486">
        <f ca="1">SUM(AP8:AP10)</f>
        <v>0</v>
      </c>
    </row>
    <row r="12" spans="1:42">
      <c r="A12" s="408" t="s">
        <v>303</v>
      </c>
      <c r="B12" s="411" t="s">
        <v>183</v>
      </c>
      <c r="D12" s="391"/>
      <c r="F12" s="390" t="str">
        <f>"PUYALLUP"&amp;A12</f>
        <v>PUYALLUP20RW1N</v>
      </c>
      <c r="G12" s="392">
        <f>+VLOOKUP(A12,[52]Puyallup!$B$10:$AG$74,31,FALSE)</f>
        <v>102</v>
      </c>
      <c r="I12" s="390" t="str">
        <f>"BONNEY LAKE"&amp;A12</f>
        <v>BONNEY LAKE20RW1N</v>
      </c>
      <c r="J12" s="392">
        <f>+VLOOKUP(A12,[52]BonneyLake!$B$10:$AG$73,31,FALSE)</f>
        <v>0</v>
      </c>
      <c r="L12" s="390" t="str">
        <f>"SUMNER"&amp;A12</f>
        <v>SUMNER20RW1N</v>
      </c>
      <c r="M12" s="392">
        <f>+VLOOKUP(A12,[52]Sumner!$B$10:$AG$77,31,FALSE)</f>
        <v>0</v>
      </c>
      <c r="N12" s="409"/>
      <c r="O12" s="390" t="str">
        <f>"BUCKLEY"&amp;A12</f>
        <v>BUCKLEY20RW1N</v>
      </c>
      <c r="P12" s="392">
        <f>+VLOOKUP(A12,[52]Buckley!$B$10:$AH$79,32,FALSE)</f>
        <v>24.084599092839955</v>
      </c>
      <c r="R12" s="390" t="str">
        <f>"MILTON"&amp;A12</f>
        <v>MILTON20RW1N</v>
      </c>
      <c r="S12" s="392">
        <f>+VLOOKUP(A12,[52]Milton!$B$10:$AG$73,31,FALSE)</f>
        <v>12</v>
      </c>
      <c r="U12" s="390" t="str">
        <f>"ORTING"&amp;A12</f>
        <v>ORTING20RW1N</v>
      </c>
      <c r="V12" s="392">
        <f>+VLOOKUP(A12,[52]Orting!$B$10:$AG$72,31,FALSE)</f>
        <v>5</v>
      </c>
      <c r="X12" s="390" t="str">
        <f>"CARBONADO"&amp;A12</f>
        <v>CARBONADO20RW1N</v>
      </c>
      <c r="Y12" s="392">
        <f>+VLOOKUP(A12,[52]Carbonado!$B$10:$AG$72,31,FALSE)</f>
        <v>0</v>
      </c>
      <c r="AA12" s="390" t="str">
        <f>"RUSTON"&amp;A12</f>
        <v>RUSTON20RW1N</v>
      </c>
      <c r="AB12" s="392">
        <f>+VLOOKUP(A12,[52]Ruston!$B$10:$AH$70,32,FALSE)</f>
        <v>13.5</v>
      </c>
      <c r="AD12" s="392">
        <f>SUM(G12:AB12)</f>
        <v>156.58459909283994</v>
      </c>
      <c r="AF12" s="410">
        <f>[53]References!$C$8</f>
        <v>4.33</v>
      </c>
      <c r="AG12" s="407">
        <f>+AD12*AF12</f>
        <v>678.01131407199694</v>
      </c>
      <c r="AH12" s="390">
        <f>[53]References!$C$14</f>
        <v>20</v>
      </c>
      <c r="AI12" s="392">
        <f>+AG12*AH12</f>
        <v>13560.226281439938</v>
      </c>
      <c r="AJ12" s="392">
        <f ca="1">+AI12*'Reg-MUR'!$C$138</f>
        <v>9807.4014052259608</v>
      </c>
    </row>
    <row r="13" spans="1:42">
      <c r="A13" s="408" t="s">
        <v>304</v>
      </c>
      <c r="B13" s="408" t="s">
        <v>184</v>
      </c>
      <c r="D13" s="391"/>
      <c r="F13" s="390" t="str">
        <f>"PUYALLUP"&amp;A13</f>
        <v>PUYALLUP20RW1R</v>
      </c>
      <c r="G13" s="392">
        <f>+VLOOKUP(A13,[52]Puyallup!$B$10:$AG$74,31,FALSE)</f>
        <v>12653.500814014318</v>
      </c>
      <c r="I13" s="390" t="str">
        <f>"BONNEY LAKE"&amp;A13</f>
        <v>BONNEY LAKE20RW1R</v>
      </c>
      <c r="J13" s="392">
        <f>+VLOOKUP(A13,[52]BonneyLake!$B$10:$AG$73,31,FALSE)</f>
        <v>4371.372962434275</v>
      </c>
      <c r="L13" s="390" t="str">
        <f>"SUMNER"&amp;A13</f>
        <v>SUMNER20RW1R</v>
      </c>
      <c r="M13" s="392">
        <f>+VLOOKUP(A13,[52]Sumner!$B$10:$AG$77,31,FALSE)</f>
        <v>3845.3267986128499</v>
      </c>
      <c r="N13" s="409"/>
      <c r="O13" s="390" t="str">
        <f>"BUCKLEY"&amp;A13</f>
        <v>BUCKLEY20RW1R</v>
      </c>
      <c r="P13" s="392">
        <f>+VLOOKUP(A13,[52]Buckley!$B$10:$AH$79,32,FALSE)</f>
        <v>1805.9113677068731</v>
      </c>
      <c r="R13" s="390" t="str">
        <f>"MILTON"&amp;A13</f>
        <v>MILTON20RW1R</v>
      </c>
      <c r="S13" s="392">
        <f>+VLOOKUP(A13,[52]Milton!$B$10:$AG$73,31,FALSE)</f>
        <v>2269.3709091398978</v>
      </c>
      <c r="U13" s="390" t="str">
        <f>"ORTING"&amp;A13</f>
        <v>ORTING20RW1R</v>
      </c>
      <c r="V13" s="392">
        <f>+VLOOKUP(A13,[52]Orting!$B$10:$AG$72,31,FALSE)</f>
        <v>1775.6037372911373</v>
      </c>
      <c r="X13" s="390" t="str">
        <f>"CARBONADO"&amp;A13</f>
        <v>CARBONADO20RW1R</v>
      </c>
      <c r="Y13" s="392">
        <f>+VLOOKUP(A13,[52]Carbonado!$B$10:$AG$72,31,FALSE)</f>
        <v>562</v>
      </c>
      <c r="AA13" s="390" t="str">
        <f>"RUSTON"&amp;A13</f>
        <v>RUSTON20RW1R</v>
      </c>
      <c r="AB13" s="392">
        <f>+VLOOKUP(A13,[52]Ruston!$B$10:$AH$70,32,FALSE)</f>
        <v>187.92518598618472</v>
      </c>
      <c r="AD13" s="392">
        <f>SUM(G13:AB13)</f>
        <v>27471.011775185536</v>
      </c>
      <c r="AF13" s="410">
        <f>[53]References!$C$8</f>
        <v>4.33</v>
      </c>
      <c r="AG13" s="407">
        <f>+AD13*AF13</f>
        <v>118949.48098655338</v>
      </c>
      <c r="AH13" s="390">
        <f>[53]References!$C$14</f>
        <v>20</v>
      </c>
      <c r="AI13" s="392">
        <f>+AG13*AH13</f>
        <v>2378989.6197310677</v>
      </c>
      <c r="AJ13" s="392">
        <f ca="1">+AI13*'Reg-MUR'!$C$138</f>
        <v>1720598.584073989</v>
      </c>
    </row>
    <row r="14" spans="1:42">
      <c r="A14" s="408" t="s">
        <v>306</v>
      </c>
      <c r="B14" s="408" t="s">
        <v>186</v>
      </c>
      <c r="D14" s="391"/>
      <c r="F14" s="390" t="str">
        <f>"PUYALLUP"&amp;A14</f>
        <v>PUYALLUP35RW1N</v>
      </c>
      <c r="G14" s="392">
        <f>+VLOOKUP(A14,[52]Puyallup!$B$10:$AG$74,31,FALSE)</f>
        <v>640.44221243808465</v>
      </c>
      <c r="I14" s="390" t="str">
        <f>"BONNEY LAKE"&amp;A14</f>
        <v>BONNEY LAKE35RW1N</v>
      </c>
      <c r="J14" s="392">
        <f>+VLOOKUP(A14,[52]BonneyLake!$B$10:$AG$73,31,FALSE)</f>
        <v>114</v>
      </c>
      <c r="L14" s="390" t="str">
        <f>"SUMNER"&amp;A14</f>
        <v>SUMNER35RW1N</v>
      </c>
      <c r="M14" s="392">
        <f>+VLOOKUP(A14,[52]Sumner!$B$10:$AG$77,31,FALSE)</f>
        <v>68.374961502925771</v>
      </c>
      <c r="N14" s="409"/>
      <c r="O14" s="390" t="str">
        <f>"BUCKLEY"&amp;A14</f>
        <v>BUCKLEY35RW1N</v>
      </c>
      <c r="P14" s="392">
        <f>+VLOOKUP(A14,[52]Buckley!$B$10:$AH$79,32,FALSE)</f>
        <v>138.6145223285161</v>
      </c>
      <c r="R14" s="390" t="str">
        <f>"MILTON"&amp;A14</f>
        <v>MILTON35RW1N</v>
      </c>
      <c r="S14" s="392">
        <f>+VLOOKUP(A14,[52]Milton!$B$10:$AG$73,31,FALSE)</f>
        <v>115.5</v>
      </c>
      <c r="U14" s="390" t="str">
        <f>"ORTING"&amp;A14</f>
        <v>ORTING35RW1N</v>
      </c>
      <c r="V14" s="392">
        <f>+VLOOKUP(A14,[52]Orting!$B$10:$AG$72,31,FALSE)</f>
        <v>85.999999999999986</v>
      </c>
      <c r="X14" s="390" t="str">
        <f>"CARBONADO"&amp;A14</f>
        <v>CARBONADO35RW1N</v>
      </c>
      <c r="Y14" s="392">
        <f>+VLOOKUP(A14,[52]Carbonado!$B$10:$AG$72,31,FALSE)</f>
        <v>0</v>
      </c>
      <c r="AA14" s="390" t="str">
        <f>"RUSTON"&amp;A14</f>
        <v>RUSTON35RW1N</v>
      </c>
      <c r="AB14" s="392">
        <f>+VLOOKUP(A14,[52]Ruston!$B$10:$AH$70,32,FALSE)</f>
        <v>82.999720123145835</v>
      </c>
      <c r="AD14" s="392">
        <f>SUM(G14:AB14)</f>
        <v>1245.9314163926724</v>
      </c>
      <c r="AF14" s="410">
        <f>[53]References!$C$8</f>
        <v>4.33</v>
      </c>
      <c r="AG14" s="407">
        <f>+AD14*AF14</f>
        <v>5394.8830329802713</v>
      </c>
      <c r="AH14" s="390">
        <f>[53]References!$C$22</f>
        <v>40</v>
      </c>
      <c r="AI14" s="392">
        <f>+AG14*AH14</f>
        <v>215795.32131921087</v>
      </c>
      <c r="AJ14" s="392">
        <f ca="1">+AI14*'Reg-MUR'!$C$138</f>
        <v>156073.4528776964</v>
      </c>
    </row>
    <row r="15" spans="1:42">
      <c r="A15" s="408" t="s">
        <v>307</v>
      </c>
      <c r="B15" s="408" t="s">
        <v>187</v>
      </c>
      <c r="D15" s="391"/>
      <c r="F15" s="390" t="str">
        <f>"PUYALLUP"&amp;A15</f>
        <v>PUYALLUP35RW1R</v>
      </c>
      <c r="G15" s="392">
        <f>+VLOOKUP(A15,[52]Puyallup!$B$10:$AG$74,31,FALSE)</f>
        <v>73216.320761639829</v>
      </c>
      <c r="I15" s="390" t="str">
        <f>"BONNEY LAKE"&amp;A15</f>
        <v>BONNEY LAKE35RW1R</v>
      </c>
      <c r="J15" s="392">
        <f>+VLOOKUP(A15,[52]BonneyLake!$B$10:$AG$73,31,FALSE)</f>
        <v>39566.930064075088</v>
      </c>
      <c r="L15" s="390" t="str">
        <f>"SUMNER"&amp;A15</f>
        <v>SUMNER35RW1R</v>
      </c>
      <c r="M15" s="392">
        <f>+VLOOKUP(A15,[52]Sumner!$B$10:$AG$77,31,FALSE)</f>
        <v>18237.115451806039</v>
      </c>
      <c r="N15" s="409"/>
      <c r="O15" s="390" t="str">
        <f>"BUCKLEY"&amp;A15</f>
        <v>BUCKLEY35RW1R</v>
      </c>
      <c r="P15" s="392">
        <f>+VLOOKUP(A15,[52]Buckley!$B$10:$AH$79,32,FALSE)</f>
        <v>12100.693771795412</v>
      </c>
      <c r="R15" s="390" t="str">
        <f>"MILTON"&amp;A15</f>
        <v>MILTON35RW1R</v>
      </c>
      <c r="S15" s="392">
        <f>+VLOOKUP(A15,[52]Milton!$B$10:$AG$73,31,FALSE)</f>
        <v>12146.305100170015</v>
      </c>
      <c r="U15" s="390" t="str">
        <f>"ORTING"&amp;A15</f>
        <v>ORTING35RW1R</v>
      </c>
      <c r="V15" s="392">
        <f>+VLOOKUP(A15,[52]Orting!$B$10:$AG$72,31,FALSE)</f>
        <v>14702.185196814713</v>
      </c>
      <c r="X15" s="390" t="str">
        <f>"CARBONADO"&amp;A15</f>
        <v>CARBONADO35RW1R</v>
      </c>
      <c r="Y15" s="392">
        <f>+VLOOKUP(A15,[52]Carbonado!$B$10:$AG$72,31,FALSE)</f>
        <v>3124</v>
      </c>
      <c r="AA15" s="390" t="str">
        <f>"RUSTON"&amp;A15</f>
        <v>RUSTON35RW1R</v>
      </c>
      <c r="AB15" s="392">
        <f>+VLOOKUP(A15,[52]Ruston!$B$10:$AH$70,32,FALSE)</f>
        <v>2638.4920235908976</v>
      </c>
      <c r="AD15" s="392">
        <f>SUM(G15:AB15)</f>
        <v>175732.04236989198</v>
      </c>
      <c r="AF15" s="410">
        <f>[53]References!$C$8</f>
        <v>4.33</v>
      </c>
      <c r="AG15" s="407">
        <f>+AD15*AF15</f>
        <v>760919.74346163229</v>
      </c>
      <c r="AH15" s="390">
        <f>[53]References!$C$22</f>
        <v>40</v>
      </c>
      <c r="AI15" s="392">
        <f>+AG15*AH15</f>
        <v>30436789.738465291</v>
      </c>
      <c r="AJ15" s="392">
        <f ca="1">+AI15*'Reg-MUR'!$C$138</f>
        <v>22013335.784828346</v>
      </c>
    </row>
    <row r="16" spans="1:42">
      <c r="A16" s="408" t="s">
        <v>309</v>
      </c>
      <c r="B16" s="408" t="s">
        <v>189</v>
      </c>
      <c r="D16" s="391"/>
      <c r="F16" s="390" t="str">
        <f>"PUYALLUP"&amp;A16</f>
        <v>PUYALLUP65RW1N</v>
      </c>
      <c r="G16" s="392">
        <f>+VLOOKUP(A16,[52]Puyallup!$B$10:$AG$74,31,FALSE)</f>
        <v>350</v>
      </c>
      <c r="I16" s="390" t="str">
        <f>"BONNEY LAKE"&amp;A16</f>
        <v>BONNEY LAKE65RW1N</v>
      </c>
      <c r="J16" s="392">
        <f>+VLOOKUP(A16,[52]BonneyLake!$B$10:$AG$73,31,FALSE)</f>
        <v>75</v>
      </c>
      <c r="L16" s="390" t="str">
        <f>"SUMNER"&amp;A16</f>
        <v>SUMNER65RW1N</v>
      </c>
      <c r="M16" s="392">
        <f>+VLOOKUP(A16,[52]Sumner!$B$10:$AG$77,31,FALSE)</f>
        <v>52</v>
      </c>
      <c r="N16" s="409"/>
      <c r="O16" s="390" t="str">
        <f>"BUCKLEY"&amp;A16</f>
        <v>BUCKLEY65RW1N</v>
      </c>
      <c r="P16" s="392">
        <f>+VLOOKUP(A16,[52]Buckley!$B$10:$AH$79,32,FALSE)</f>
        <v>26.82611674907886</v>
      </c>
      <c r="R16" s="390" t="str">
        <f>"MILTON"&amp;A16</f>
        <v>MILTON65RW1N</v>
      </c>
      <c r="S16" s="392">
        <f>+VLOOKUP(A16,[52]Milton!$B$10:$AG$73,31,FALSE)</f>
        <v>71</v>
      </c>
      <c r="U16" s="390" t="str">
        <f>"ORTING"&amp;A16</f>
        <v>ORTING65RW1N</v>
      </c>
      <c r="V16" s="392">
        <f>+VLOOKUP(A16,[52]Orting!$B$10:$AG$72,31,FALSE)</f>
        <v>15</v>
      </c>
      <c r="X16" s="390" t="str">
        <f>"CARBONADO"&amp;A16</f>
        <v>CARBONADO65RW1N</v>
      </c>
      <c r="Y16" s="392">
        <f>+VLOOKUP(A16,[52]Carbonado!$B$10:$AG$72,31,FALSE)</f>
        <v>24</v>
      </c>
      <c r="AA16" s="390" t="str">
        <f>"RUSTON"&amp;A16</f>
        <v>RUSTON65RW1N</v>
      </c>
      <c r="AB16" s="392">
        <f>+VLOOKUP(A16,[52]Ruston!$B$10:$AH$70,32,FALSE)</f>
        <v>12</v>
      </c>
      <c r="AD16" s="392">
        <f>SUM(G16:AB16)</f>
        <v>625.82611674907889</v>
      </c>
      <c r="AF16" s="410">
        <f>[53]References!$C$8</f>
        <v>4.33</v>
      </c>
      <c r="AG16" s="407">
        <f>+AD16*AF16</f>
        <v>2709.8270855235119</v>
      </c>
      <c r="AH16" s="390">
        <f>[53]References!$C$24</f>
        <v>51</v>
      </c>
      <c r="AI16" s="392">
        <f>+AG16*AH16</f>
        <v>138201.1813616991</v>
      </c>
      <c r="AJ16" s="392">
        <f ca="1">+AI16*'Reg-MUR'!$C$138</f>
        <v>99953.675710099473</v>
      </c>
    </row>
    <row r="17" spans="1:39">
      <c r="A17" s="408" t="s">
        <v>310</v>
      </c>
      <c r="B17" s="408" t="s">
        <v>190</v>
      </c>
      <c r="D17" s="391"/>
      <c r="F17" s="390" t="str">
        <f>"PUYALLUP"&amp;A17</f>
        <v>PUYALLUP65RW1R</v>
      </c>
      <c r="G17" s="392">
        <f>+VLOOKUP(A17,[52]Puyallup!$B$10:$AG$74,31,FALSE)</f>
        <v>36412.704281264552</v>
      </c>
      <c r="I17" s="390" t="str">
        <f>"BONNEY LAKE"&amp;A17</f>
        <v>BONNEY LAKE65RW1R</v>
      </c>
      <c r="J17" s="392">
        <f>+VLOOKUP(A17,[52]BonneyLake!$B$10:$AG$73,31,FALSE)</f>
        <v>28872.965236672131</v>
      </c>
      <c r="L17" s="390" t="str">
        <f>"SUMNER"&amp;A17</f>
        <v>SUMNER65RW1R</v>
      </c>
      <c r="M17" s="392">
        <f>+VLOOKUP(A17,[52]Sumner!$B$10:$AG$77,31,FALSE)</f>
        <v>9294.0818637153407</v>
      </c>
      <c r="N17" s="409"/>
      <c r="O17" s="390" t="str">
        <f>"BUCKLEY"&amp;A17</f>
        <v>BUCKLEY65RW1R</v>
      </c>
      <c r="P17" s="392">
        <f>+VLOOKUP(A17,[52]Buckley!$B$10:$AH$79,32,FALSE)</f>
        <v>5873.9603417472608</v>
      </c>
      <c r="R17" s="390" t="str">
        <f>"MILTON"&amp;A17</f>
        <v>MILTON65RW1R</v>
      </c>
      <c r="S17" s="392">
        <f>+VLOOKUP(A17,[52]Milton!$B$10:$AG$73,31,FALSE)</f>
        <v>6791.2660202561028</v>
      </c>
      <c r="U17" s="390" t="str">
        <f>"ORTING"&amp;A17</f>
        <v>ORTING65RW1R</v>
      </c>
      <c r="V17" s="392">
        <f>+VLOOKUP(A17,[52]Orting!$B$10:$AG$72,31,FALSE)</f>
        <v>12281.9184649705</v>
      </c>
      <c r="X17" s="390" t="str">
        <f>"CARBONADO"&amp;A17</f>
        <v>CARBONADO65RW1R</v>
      </c>
      <c r="Y17" s="392">
        <f>+VLOOKUP(A17,[52]Carbonado!$B$10:$AG$72,31,FALSE)</f>
        <v>1718.9997463860004</v>
      </c>
      <c r="AA17" s="390" t="str">
        <f>"RUSTON"&amp;A17</f>
        <v>RUSTON65RW1R</v>
      </c>
      <c r="AB17" s="392">
        <f>+VLOOKUP(A17,[52]Ruston!$B$10:$AH$70,32,FALSE)</f>
        <v>1148.4058819998472</v>
      </c>
      <c r="AD17" s="392">
        <f>SUM(G17:AB17)</f>
        <v>102394.30183701175</v>
      </c>
      <c r="AF17" s="410">
        <f>[53]References!$C$8</f>
        <v>4.33</v>
      </c>
      <c r="AG17" s="407">
        <f>+AD17*AF17</f>
        <v>443367.32695426088</v>
      </c>
      <c r="AH17" s="390">
        <f>[53]References!$C$24</f>
        <v>51</v>
      </c>
      <c r="AI17" s="392">
        <f>+AG17*AH17</f>
        <v>22611733.674667306</v>
      </c>
      <c r="AJ17" s="392">
        <f ca="1">+AI17*'Reg-MUR'!$C$138</f>
        <v>16353882.598482624</v>
      </c>
    </row>
    <row r="18" spans="1:39">
      <c r="A18" s="408" t="s">
        <v>312</v>
      </c>
      <c r="B18" s="408" t="s">
        <v>192</v>
      </c>
      <c r="D18" s="391"/>
      <c r="F18" s="390" t="str">
        <f>"PUYALLUP"&amp;A18</f>
        <v>PUYALLUP95RW1N</v>
      </c>
      <c r="G18" s="392">
        <f>+VLOOKUP(A18,[52]Puyallup!$B$10:$AG$74,31,FALSE)</f>
        <v>29</v>
      </c>
      <c r="I18" s="390" t="str">
        <f>"BONNEY LAKE"&amp;A18</f>
        <v>BONNEY LAKE95RW1N</v>
      </c>
      <c r="J18" s="392">
        <f>+VLOOKUP(A18,[52]BonneyLake!$B$10:$AG$73,31,FALSE)</f>
        <v>81</v>
      </c>
      <c r="L18" s="390" t="str">
        <f>"SUMNER"&amp;A18</f>
        <v>SUMNER95RW1N</v>
      </c>
      <c r="M18" s="392">
        <f>+VLOOKUP(A18,[52]Sumner!$B$10:$AG$77,31,FALSE)</f>
        <v>77.999999999999986</v>
      </c>
      <c r="N18" s="409"/>
      <c r="O18" s="390" t="str">
        <f>"BUCKLEY"&amp;A18</f>
        <v>BUCKLEY95RW1N</v>
      </c>
      <c r="P18" s="392">
        <f>+VLOOKUP(A18,[52]Buckley!$B$10:$AH$79,32,FALSE)</f>
        <v>0</v>
      </c>
      <c r="R18" s="390" t="str">
        <f>"MILTON"&amp;A18</f>
        <v>MILTON95RW1N</v>
      </c>
      <c r="S18" s="392">
        <f>+VLOOKUP(A18,[52]Milton!$B$10:$AG$73,31,FALSE)</f>
        <v>11</v>
      </c>
      <c r="U18" s="390" t="str">
        <f>"ORTING"&amp;A18</f>
        <v>ORTING95RW1N</v>
      </c>
      <c r="V18" s="392">
        <f>+VLOOKUP(A18,[52]Orting!$B$10:$AG$72,31,FALSE)</f>
        <v>2</v>
      </c>
      <c r="X18" s="390" t="str">
        <f>"CARBONADO"&amp;A18</f>
        <v>CARBONADO95RW1N</v>
      </c>
      <c r="Y18" s="392">
        <f>+VLOOKUP(A18,[52]Carbonado!$B$10:$AG$72,31,FALSE)</f>
        <v>0</v>
      </c>
      <c r="AA18" s="390" t="str">
        <f>"RUSTON"&amp;A18</f>
        <v>RUSTON95RW1N</v>
      </c>
      <c r="AB18" s="392">
        <f>+VLOOKUP(A18,[52]Ruston!$B$10:$AH$70,32,FALSE)</f>
        <v>0</v>
      </c>
      <c r="AD18" s="392">
        <f>SUM(G18:AB18)</f>
        <v>201</v>
      </c>
      <c r="AF18" s="410">
        <f>[53]References!$C$8</f>
        <v>4.33</v>
      </c>
      <c r="AG18" s="407">
        <f>+AD18*AF18</f>
        <v>870.33</v>
      </c>
      <c r="AH18" s="390">
        <f>[53]References!$C$26</f>
        <v>77</v>
      </c>
      <c r="AI18" s="392">
        <f>+AG18*AH18</f>
        <v>67015.41</v>
      </c>
      <c r="AJ18" s="392">
        <f ca="1">+AI18*'Reg-MUR'!$C$138</f>
        <v>48468.735887200994</v>
      </c>
    </row>
    <row r="19" spans="1:39">
      <c r="A19" s="408" t="s">
        <v>313</v>
      </c>
      <c r="B19" s="408" t="s">
        <v>193</v>
      </c>
      <c r="D19" s="391"/>
      <c r="F19" s="390" t="str">
        <f>"PUYALLUP"&amp;A19</f>
        <v>PUYALLUP95RW1R</v>
      </c>
      <c r="G19" s="392">
        <f>+VLOOKUP(A19,[52]Puyallup!$B$10:$AG$74,31,FALSE)</f>
        <v>9113.3329589603054</v>
      </c>
      <c r="I19" s="390" t="str">
        <f>"BONNEY LAKE"&amp;A19</f>
        <v>BONNEY LAKE95RW1R</v>
      </c>
      <c r="J19" s="392">
        <f>+VLOOKUP(A19,[52]BonneyLake!$B$10:$AG$73,31,FALSE)</f>
        <v>6840.8244870996896</v>
      </c>
      <c r="L19" s="390" t="str">
        <f>"SUMNER"&amp;A19</f>
        <v>SUMNER95RW1R</v>
      </c>
      <c r="M19" s="392">
        <f>+VLOOKUP(A19,[52]Sumner!$B$10:$AG$77,31,FALSE)</f>
        <v>2510.5073218220155</v>
      </c>
      <c r="N19" s="409"/>
      <c r="O19" s="390" t="str">
        <f>"BUCKLEY"&amp;A19</f>
        <v>BUCKLEY95RW1R</v>
      </c>
      <c r="P19" s="392">
        <f>+VLOOKUP(A19,[52]Buckley!$B$10:$AH$79,32,FALSE)</f>
        <v>1189.7757191512428</v>
      </c>
      <c r="R19" s="390" t="str">
        <f>"MILTON"&amp;A19</f>
        <v>MILTON95RW1R</v>
      </c>
      <c r="S19" s="392">
        <f>+VLOOKUP(A19,[52]Milton!$B$10:$AG$73,31,FALSE)</f>
        <v>1761.3308723378441</v>
      </c>
      <c r="U19" s="390" t="str">
        <f>"ORTING"&amp;A19</f>
        <v>ORTING95RW1R</v>
      </c>
      <c r="V19" s="392">
        <f>+VLOOKUP(A19,[52]Orting!$B$10:$AG$72,31,FALSE)</f>
        <v>4263.0889489672691</v>
      </c>
      <c r="X19" s="390" t="str">
        <f>"CARBONADO"&amp;A19</f>
        <v>CARBONADO95RW1R</v>
      </c>
      <c r="Y19" s="392">
        <f>+VLOOKUP(A19,[52]Carbonado!$B$10:$AG$72,31,FALSE)</f>
        <v>194</v>
      </c>
      <c r="AA19" s="390" t="str">
        <f>"RUSTON"&amp;A19</f>
        <v>RUSTON95RW1R</v>
      </c>
      <c r="AB19" s="392">
        <f>+VLOOKUP(A19,[52]Ruston!$B$10:$AH$70,32,FALSE)</f>
        <v>15.5</v>
      </c>
      <c r="AD19" s="392">
        <f>SUM(G19:AB19)</f>
        <v>25888.360308338368</v>
      </c>
      <c r="AF19" s="410">
        <f>[53]References!$C$8</f>
        <v>4.33</v>
      </c>
      <c r="AG19" s="407">
        <f>+AD19*AF19</f>
        <v>112096.60013510514</v>
      </c>
      <c r="AH19" s="390">
        <f>[53]References!$C$26</f>
        <v>77</v>
      </c>
      <c r="AI19" s="392">
        <f>+AG19*AH19</f>
        <v>8631438.2104030959</v>
      </c>
      <c r="AJ19" s="392">
        <f ca="1">+AI19*'Reg-MUR'!$C$138</f>
        <v>6242667.1559082074</v>
      </c>
    </row>
    <row r="20" spans="1:39">
      <c r="A20" s="408" t="s">
        <v>704</v>
      </c>
      <c r="B20" s="408" t="s">
        <v>694</v>
      </c>
      <c r="D20" s="391"/>
      <c r="F20" s="390" t="str">
        <f>"PUYALLUP"&amp;A20</f>
        <v>PUYALLUPBULKY-RES</v>
      </c>
      <c r="G20" s="392">
        <f>+VLOOKUP(A20,[52]Puyallup!$B$10:$AG$74,31,FALSE)</f>
        <v>206.72640330320274</v>
      </c>
      <c r="I20" s="390" t="str">
        <f>"BONNEY LAKE"&amp;A20</f>
        <v>BONNEY LAKEBULKY-RES</v>
      </c>
      <c r="J20" s="392">
        <f>+VLOOKUP(A20,[52]BonneyLake!$B$10:$AG$73,31,FALSE)</f>
        <v>20.135985155195684</v>
      </c>
      <c r="L20" s="390" t="str">
        <f>"SUMNER"&amp;A20</f>
        <v>SUMNERBULKY-RES</v>
      </c>
      <c r="M20" s="392">
        <f>+VLOOKUP(A20,[52]Sumner!$B$10:$AG$77,31,FALSE)</f>
        <v>14.978070175438596</v>
      </c>
      <c r="N20" s="409"/>
      <c r="O20" s="390" t="str">
        <f>"BUCKLEY"&amp;A20</f>
        <v>BUCKLEYBULKY-RES</v>
      </c>
      <c r="P20" s="392">
        <f>+VLOOKUP(A20,[52]Buckley!$B$10:$AH$79,32,FALSE)</f>
        <v>2.5001764913519238</v>
      </c>
      <c r="R20" s="390" t="str">
        <f>"MILTON"&amp;A20</f>
        <v>MILTONBULKY-RES</v>
      </c>
      <c r="S20" s="392">
        <f>+VLOOKUP(A20,[52]Milton!$B$10:$AG$73,31,FALSE)</f>
        <v>6.8277078085642318</v>
      </c>
      <c r="U20" s="390" t="str">
        <f>"ORTING"&amp;A20</f>
        <v>ORTINGBULKY-RES</v>
      </c>
      <c r="V20" s="392">
        <f>+VLOOKUP(A20,[52]Orting!$B$10:$AG$72,31,FALSE)</f>
        <v>8.8508706928492042</v>
      </c>
      <c r="X20" s="390" t="str">
        <f>"CARBONADO"&amp;A20</f>
        <v>CARBONADOBULKY-RES</v>
      </c>
      <c r="Y20" s="392">
        <v>0</v>
      </c>
      <c r="AA20" s="390" t="str">
        <f>"RUSTON"&amp;A20</f>
        <v>RUSTONBULKY-RES</v>
      </c>
      <c r="AB20" s="392">
        <v>0</v>
      </c>
      <c r="AD20" s="392">
        <f>SUM(G20:AB20)</f>
        <v>260.01921362660238</v>
      </c>
      <c r="AF20" s="410">
        <v>0</v>
      </c>
      <c r="AG20" s="407">
        <f>+AD20*AF20</f>
        <v>0</v>
      </c>
      <c r="AH20" s="390">
        <v>0</v>
      </c>
      <c r="AI20" s="392">
        <f>+AG20*AH20</f>
        <v>0</v>
      </c>
      <c r="AJ20" s="392">
        <f ca="1">+AI20*'Reg-MUR'!$C$138</f>
        <v>0</v>
      </c>
    </row>
    <row r="21" spans="1:39">
      <c r="A21" s="408" t="s">
        <v>329</v>
      </c>
      <c r="B21" s="408" t="s">
        <v>105</v>
      </c>
      <c r="D21" s="391"/>
      <c r="F21" s="390" t="str">
        <f>"PUYALLUP"&amp;A21</f>
        <v>PUYALLUPREXTRA</v>
      </c>
      <c r="G21" s="392">
        <f>+VLOOKUP(A21,[52]Puyallup!$B$10:$AG$74,31,FALSE)</f>
        <v>8403.9532896841665</v>
      </c>
      <c r="I21" s="390" t="str">
        <f>"BONNEY LAKE"&amp;A21</f>
        <v>BONNEY LAKEREXTRA</v>
      </c>
      <c r="J21" s="392">
        <f>+VLOOKUP(A21,[52]BonneyLake!$B$10:$AG$73,31,FALSE)</f>
        <v>4426.6125529494993</v>
      </c>
      <c r="L21" s="390" t="str">
        <f>"SUMNER"&amp;A21</f>
        <v>SUMNERREXTRA</v>
      </c>
      <c r="M21" s="392">
        <f>+VLOOKUP(A21,[52]Sumner!$B$10:$AG$77,31,FALSE)</f>
        <v>1753.6807817589577</v>
      </c>
      <c r="N21" s="409"/>
      <c r="O21" s="390" t="str">
        <f>"BUCKLEY"&amp;A21</f>
        <v>BUCKLEYREXTRA</v>
      </c>
      <c r="P21" s="392">
        <f>+VLOOKUP(A21,[52]Buckley!$B$10:$AH$79,32,FALSE)</f>
        <v>1150.4857597061157</v>
      </c>
      <c r="R21" s="390" t="str">
        <f>"MILTON"&amp;A21</f>
        <v>MILTONREXTRA</v>
      </c>
      <c r="S21" s="392">
        <f>+VLOOKUP(A21,[52]Milton!$B$10:$AG$73,31,FALSE)</f>
        <v>480.12876276649121</v>
      </c>
      <c r="U21" s="390" t="str">
        <f>"ORTING"&amp;A21</f>
        <v>ORTINGREXTRA</v>
      </c>
      <c r="V21" s="392">
        <f>+VLOOKUP(A21,[52]Orting!$B$10:$AG$72,31,FALSE)</f>
        <v>2067.0755813953492</v>
      </c>
      <c r="X21" s="390" t="str">
        <f>"CARBONADO"&amp;A21</f>
        <v>CARBONADOREXTRA</v>
      </c>
      <c r="Y21" s="392">
        <f>+VLOOKUP(A21,[52]Carbonado!$B$10:$AG$72,31,FALSE)</f>
        <v>21</v>
      </c>
      <c r="AA21" s="390" t="str">
        <f>"RUSTON"&amp;A21</f>
        <v>RUSTONREXTRA</v>
      </c>
      <c r="AB21" s="392">
        <f>+VLOOKUP(A21,[52]Ruston!$B$10:$AH$70,32,FALSE)</f>
        <v>42.127468581687609</v>
      </c>
      <c r="AD21" s="392">
        <f>SUM(G21:AB21)</f>
        <v>18345.064196842268</v>
      </c>
      <c r="AF21" s="410">
        <f>[53]References!$C$10</f>
        <v>1</v>
      </c>
      <c r="AG21" s="407">
        <f>+AD21*AF21</f>
        <v>18345.064196842268</v>
      </c>
      <c r="AH21" s="390">
        <f>[53]References!C15</f>
        <v>34</v>
      </c>
      <c r="AI21" s="392">
        <f>+AG21*AH21</f>
        <v>623732.18269263708</v>
      </c>
      <c r="AJ21" s="392">
        <f ca="1">+AI21*'Reg-MUR'!$C$138</f>
        <v>451112.81759339862</v>
      </c>
    </row>
    <row r="22" spans="1:39">
      <c r="A22" s="412"/>
      <c r="B22" s="412"/>
      <c r="J22" s="392"/>
      <c r="AG22" s="407"/>
      <c r="AI22" s="407"/>
      <c r="AJ22" s="407"/>
    </row>
    <row r="23" spans="1:39">
      <c r="B23" s="413" t="s">
        <v>779</v>
      </c>
      <c r="D23" s="414">
        <f>+SUM(D10:D22)</f>
        <v>0</v>
      </c>
      <c r="E23" s="415"/>
      <c r="F23" s="415"/>
      <c r="G23" s="416">
        <f>+SUM(G10:G22)</f>
        <v>144400.26732168064</v>
      </c>
      <c r="H23" s="417"/>
      <c r="I23" s="417"/>
      <c r="J23" s="416">
        <f>+SUM(J10:J22)</f>
        <v>85692.75233168462</v>
      </c>
      <c r="K23" s="417"/>
      <c r="L23" s="417"/>
      <c r="M23" s="416">
        <f>+SUM(M10:M22)</f>
        <v>37151.150373000266</v>
      </c>
      <c r="N23" s="417"/>
      <c r="O23" s="417"/>
      <c r="P23" s="416">
        <f>+SUM(P10:P22)</f>
        <v>23178.972281336082</v>
      </c>
      <c r="Q23" s="417"/>
      <c r="R23" s="417"/>
      <c r="S23" s="416">
        <f>+SUM(S10:S22)</f>
        <v>24775.728513372382</v>
      </c>
      <c r="T23" s="417"/>
      <c r="U23" s="417"/>
      <c r="V23" s="416">
        <f>+SUM(V10:V22)</f>
        <v>35802.972800131822</v>
      </c>
      <c r="W23" s="417"/>
      <c r="X23" s="417"/>
      <c r="Y23" s="416">
        <f>+SUM(Y10:Y22)</f>
        <v>5954.999746386</v>
      </c>
      <c r="Z23" s="417"/>
      <c r="AA23" s="417"/>
      <c r="AB23" s="416">
        <f>+SUM(AB10:AB22)</f>
        <v>4140.9502802817633</v>
      </c>
      <c r="AC23" s="415"/>
      <c r="AD23" s="416">
        <f>+SUM(AD10:AD22)</f>
        <v>361097.79364787362</v>
      </c>
      <c r="AE23" s="416">
        <f>+SUM(AE10:AE22)</f>
        <v>0</v>
      </c>
      <c r="AF23" s="416">
        <f>+SUM(AF10:AF22)</f>
        <v>44.29999999999999</v>
      </c>
      <c r="AG23" s="416">
        <f>+SUM(AG10:AG22)</f>
        <v>1501338.4995248048</v>
      </c>
      <c r="AH23" s="416">
        <f>+SUM(AH10:AH22)</f>
        <v>430</v>
      </c>
      <c r="AI23" s="416">
        <f>+SUM(AI10:AI22)</f>
        <v>65497327.888500102</v>
      </c>
      <c r="AJ23" s="416">
        <f ca="1">+SUM(AJ10:AJ22)</f>
        <v>47370786.610797644</v>
      </c>
    </row>
    <row r="24" spans="1:39">
      <c r="G24" s="418">
        <f>+G23-SUM([52]Puyallup!$AF$71,[52]Puyallup!$AF$67,[52]Puyallup!$AF$10:$AF$48)</f>
        <v>0</v>
      </c>
      <c r="J24" s="207">
        <f>SUM([52]BonneyLake!$AF$10:$AF$48,[52]BonneyLake!$AF$67,[52]BonneyLake!$AF$71)-J23</f>
        <v>0</v>
      </c>
      <c r="M24" s="419">
        <f>+M23-SUM([52]Sumner!$AF$10:$AF$48,[52]Sumner!$AF$67,[52]Sumner!$AF$71)</f>
        <v>0</v>
      </c>
      <c r="P24" s="419">
        <f>+P23-SUM([52]Buckley!$AG$67,[52]Buckley!$AG$71,[52]Buckley!$AG$10:$AG$48)</f>
        <v>0</v>
      </c>
      <c r="S24" s="419">
        <f>+S23-SUM([52]Milton!$AF$10:$AF$49,[52]Milton!$AF$68,[52]Milton!$AF$72)</f>
        <v>0</v>
      </c>
      <c r="V24" s="419">
        <f>+V23-SUM([52]Orting!$AF$10:$AF$48,[52]Orting!$AF$67,[52]Orting!$AF$71)</f>
        <v>0</v>
      </c>
      <c r="Y24" s="419">
        <f>SUM([52]Carbonado!$AF$10:$AF$48,[52]Carbonado!$AF$67)-Y23</f>
        <v>0</v>
      </c>
      <c r="AB24" s="419">
        <f>+AB23-SUM([52]Ruston!$AG$10:$AG$48,[52]Ruston!$AG$67)</f>
        <v>0</v>
      </c>
      <c r="AD24" s="410"/>
      <c r="AG24" s="407"/>
      <c r="AI24" s="407"/>
      <c r="AJ24" s="407"/>
    </row>
    <row r="25" spans="1:39">
      <c r="A25" s="404" t="s">
        <v>780</v>
      </c>
      <c r="B25" s="405"/>
      <c r="AD25" s="390">
        <v>361097.79364787362</v>
      </c>
      <c r="AG25" s="407"/>
      <c r="AI25" s="407"/>
      <c r="AJ25" s="407"/>
    </row>
    <row r="26" spans="1:39">
      <c r="A26" s="397"/>
      <c r="B26" s="397"/>
      <c r="AG26" s="407"/>
      <c r="AI26" s="407"/>
      <c r="AJ26" s="407"/>
    </row>
    <row r="27" spans="1:39">
      <c r="A27" s="406" t="s">
        <v>781</v>
      </c>
      <c r="B27" s="406"/>
      <c r="AG27" s="407"/>
      <c r="AI27" s="407"/>
      <c r="AJ27" s="407"/>
    </row>
    <row r="28" spans="1:39">
      <c r="A28" s="408" t="s">
        <v>369</v>
      </c>
      <c r="B28" s="408" t="s">
        <v>194</v>
      </c>
      <c r="D28" s="391"/>
      <c r="F28" s="390" t="str">
        <f>"PUYALLUP"&amp;A28</f>
        <v>PUYALLUP20CW1</v>
      </c>
      <c r="G28" s="392">
        <f>+VLOOKUP(A28,[52]Puyallup!$B$106:$AG$186,31,FALSE)</f>
        <v>0</v>
      </c>
      <c r="I28" s="390" t="str">
        <f>"BONNEY LAKE"&amp;A28</f>
        <v>BONNEY LAKE20CW1</v>
      </c>
      <c r="J28" s="392">
        <f>+VLOOKUP(A28,[52]BonneyLake!$B$105:$AG$182,31,FALSE)</f>
        <v>0</v>
      </c>
      <c r="L28" s="390" t="str">
        <f>"SUMNER"&amp;A28</f>
        <v>SUMNER20CW1</v>
      </c>
      <c r="M28" s="392">
        <f>+VLOOKUP(A28,[52]Sumner!$B$110:$AG$186,31,FALSE)</f>
        <v>2.4998080614203455</v>
      </c>
      <c r="N28" s="409"/>
      <c r="O28" s="390" t="str">
        <f>"BUCKLEY"&amp;A28</f>
        <v>BUCKLEY20CW1</v>
      </c>
      <c r="P28" s="392">
        <f>+VLOOKUP(A28,[52]Buckley!$B$112:$AH$189,32,FALSE)</f>
        <v>0</v>
      </c>
      <c r="R28" s="390" t="str">
        <f>"MILTON"&amp;A28</f>
        <v>MILTON20CW1</v>
      </c>
      <c r="S28" s="392">
        <f>+VLOOKUP(A28,[52]Milton!$B$106:$AG$183,31,FALSE)</f>
        <v>0</v>
      </c>
      <c r="U28" s="390" t="str">
        <f>"ORTING"&amp;A28</f>
        <v>ORTING20CW1</v>
      </c>
      <c r="V28" s="392">
        <f>+VLOOKUP(A28,[52]Orting!$B$106:$AG$183,31,FALSE)</f>
        <v>0</v>
      </c>
      <c r="X28" s="390" t="str">
        <f>"CARBONADO"&amp;A28</f>
        <v>CARBONADO20CW1</v>
      </c>
      <c r="Y28" s="392">
        <f>+VLOOKUP(A28,[52]Carbonado!$B$104:$AG$180,31,FALSE)</f>
        <v>0</v>
      </c>
      <c r="AA28" s="390" t="str">
        <f>"RUSTON"&amp;A28</f>
        <v>RUSTON20CW1</v>
      </c>
      <c r="AB28" s="392">
        <f>+VLOOKUP(A28,[52]Ruston!$B$103:$AH$181,32,FALSE)</f>
        <v>0</v>
      </c>
      <c r="AD28" s="392">
        <f>SUM(G28:AB28)</f>
        <v>2.4998080614203455</v>
      </c>
      <c r="AF28" s="410">
        <f>+[53]References!$C$8</f>
        <v>4.33</v>
      </c>
      <c r="AG28" s="407">
        <f>+AD28*AF28</f>
        <v>10.824168905950096</v>
      </c>
      <c r="AH28" s="392">
        <f>[53]References!$C$14</f>
        <v>20</v>
      </c>
      <c r="AI28" s="392">
        <f>+AG28*AH28</f>
        <v>216.48337811900191</v>
      </c>
      <c r="AJ28" s="392">
        <f ca="1">+AI28*'Reg-MUR'!$C$138</f>
        <v>156.57108832161094</v>
      </c>
      <c r="AL28" s="420"/>
      <c r="AM28" s="410"/>
    </row>
    <row r="29" spans="1:39">
      <c r="A29" s="408" t="s">
        <v>370</v>
      </c>
      <c r="B29" s="408" t="s">
        <v>195</v>
      </c>
      <c r="D29" s="391"/>
      <c r="F29" s="390" t="str">
        <f>"PUYALLUP"&amp;A29</f>
        <v>PUYALLUP35CW1</v>
      </c>
      <c r="G29" s="392">
        <f>+VLOOKUP(A29,[52]Puyallup!$B$106:$AG$186,31,FALSE)</f>
        <v>0</v>
      </c>
      <c r="I29" s="390" t="str">
        <f>"BONNEY LAKE"&amp;A29</f>
        <v>BONNEY LAKE35CW1</v>
      </c>
      <c r="J29" s="392">
        <f>+VLOOKUP(A29,[52]BonneyLake!$B$105:$AG$182,31,FALSE)</f>
        <v>0</v>
      </c>
      <c r="L29" s="390" t="str">
        <f>"SUMNER"&amp;A29</f>
        <v>SUMNER35CW1</v>
      </c>
      <c r="M29" s="392">
        <f>+VLOOKUP(A29,[52]Sumner!$B$110:$AG$186,31,FALSE)</f>
        <v>149.22513089005236</v>
      </c>
      <c r="N29" s="409"/>
      <c r="O29" s="390" t="str">
        <f>"BUCKLEY"&amp;A29</f>
        <v>BUCKLEY35CW1</v>
      </c>
      <c r="P29" s="392">
        <f>+VLOOKUP(A29,[52]Buckley!$B$112:$AH$189,32,FALSE)</f>
        <v>0</v>
      </c>
      <c r="R29" s="390" t="str">
        <f>"MILTON"&amp;A29</f>
        <v>MILTON35CW1</v>
      </c>
      <c r="S29" s="392">
        <f>+VLOOKUP(A29,[52]Milton!$B$106:$AG$183,31,FALSE)</f>
        <v>0</v>
      </c>
      <c r="U29" s="390" t="str">
        <f>"ORTING"&amp;A29</f>
        <v>ORTING35CW1</v>
      </c>
      <c r="V29" s="392">
        <f>+VLOOKUP(A29,[52]Orting!$B$106:$AG$183,31,FALSE)</f>
        <v>0</v>
      </c>
      <c r="X29" s="390" t="str">
        <f>"CARBONADO"&amp;A29</f>
        <v>CARBONADO35CW1</v>
      </c>
      <c r="Y29" s="392">
        <f>+VLOOKUP(A29,[52]Carbonado!$B$104:$AG$180,31,FALSE)</f>
        <v>0</v>
      </c>
      <c r="AA29" s="390" t="str">
        <f>"RUSTON"&amp;A29</f>
        <v>RUSTON35CW1</v>
      </c>
      <c r="AB29" s="392">
        <f>+VLOOKUP(A29,[52]Ruston!$B$103:$AH$181,32,FALSE)</f>
        <v>80</v>
      </c>
      <c r="AD29" s="392">
        <f>SUM(G29:AB29)</f>
        <v>229.22513089005236</v>
      </c>
      <c r="AF29" s="410">
        <f>+[53]References!$C$8</f>
        <v>4.33</v>
      </c>
      <c r="AG29" s="407">
        <f>+AD29*AF29</f>
        <v>992.54481675392674</v>
      </c>
      <c r="AH29" s="392">
        <f>[53]References!$C$22</f>
        <v>40</v>
      </c>
      <c r="AI29" s="392">
        <f>+AG29*AH29</f>
        <v>39701.792670157069</v>
      </c>
      <c r="AJ29" s="392">
        <f ca="1">+AI29*'Reg-MUR'!$C$138</f>
        <v>28714.227118482973</v>
      </c>
      <c r="AL29" s="420"/>
      <c r="AM29" s="410"/>
    </row>
    <row r="30" spans="1:39">
      <c r="A30" s="408" t="s">
        <v>371</v>
      </c>
      <c r="B30" s="408" t="s">
        <v>196</v>
      </c>
      <c r="D30" s="391"/>
      <c r="F30" s="390" t="str">
        <f>"PUYALLUP"&amp;A30</f>
        <v>PUYALLUP65CW1</v>
      </c>
      <c r="G30" s="392">
        <f>+VLOOKUP(A30,[52]Puyallup!$B$106:$AG$186,31,FALSE)</f>
        <v>0</v>
      </c>
      <c r="I30" s="390" t="str">
        <f>"BONNEY LAKE"&amp;A30</f>
        <v>BONNEY LAKE65CW1</v>
      </c>
      <c r="J30" s="392">
        <f>+VLOOKUP(A30,[52]BonneyLake!$B$105:$AG$182,31,FALSE)</f>
        <v>0</v>
      </c>
      <c r="L30" s="390" t="str">
        <f>"SUMNER"&amp;A30</f>
        <v>SUMNER65CW1</v>
      </c>
      <c r="M30" s="392">
        <f>+VLOOKUP(A30,[52]Sumner!$B$110:$AG$186,31,FALSE)</f>
        <v>107</v>
      </c>
      <c r="N30" s="409"/>
      <c r="O30" s="390" t="str">
        <f>"BUCKLEY"&amp;A30</f>
        <v>BUCKLEY65CW1</v>
      </c>
      <c r="P30" s="392">
        <f>+VLOOKUP(A30,[52]Buckley!$B$112:$AH$189,32,FALSE)</f>
        <v>0</v>
      </c>
      <c r="R30" s="390" t="str">
        <f>"MILTON"&amp;A30</f>
        <v>MILTON65CW1</v>
      </c>
      <c r="S30" s="392">
        <f>+VLOOKUP(A30,[52]Milton!$B$106:$AG$183,31,FALSE)</f>
        <v>0</v>
      </c>
      <c r="U30" s="390" t="str">
        <f>"ORTING"&amp;A30</f>
        <v>ORTING65CW1</v>
      </c>
      <c r="V30" s="392">
        <f>+VLOOKUP(A30,[52]Orting!$B$106:$AG$183,31,FALSE)</f>
        <v>0</v>
      </c>
      <c r="X30" s="390" t="str">
        <f>"CARBONADO"&amp;A30</f>
        <v>CARBONADO65CW1</v>
      </c>
      <c r="Y30" s="392">
        <f>+VLOOKUP(A30,[52]Carbonado!$B$104:$AG$180,31,FALSE)</f>
        <v>0</v>
      </c>
      <c r="AA30" s="390" t="str">
        <f>"RUSTON"&amp;A30</f>
        <v>RUSTON65CW1</v>
      </c>
      <c r="AB30" s="392">
        <f>+VLOOKUP(A30,[52]Ruston!$B$103:$AH$181,32,FALSE)</f>
        <v>60</v>
      </c>
      <c r="AD30" s="392">
        <f>SUM(G30:AB30)</f>
        <v>167</v>
      </c>
      <c r="AF30" s="410">
        <f>+[53]References!$C$8</f>
        <v>4.33</v>
      </c>
      <c r="AG30" s="407">
        <f>+AD30*AF30</f>
        <v>723.11</v>
      </c>
      <c r="AH30" s="392">
        <f>[53]References!$C$24</f>
        <v>51</v>
      </c>
      <c r="AI30" s="392">
        <f>+AG30*AH30</f>
        <v>36878.61</v>
      </c>
      <c r="AJ30" s="392">
        <f ca="1">+AI30*'Reg-MUR'!$C$138</f>
        <v>26672.366967195892</v>
      </c>
      <c r="AL30" s="420"/>
      <c r="AM30" s="410"/>
    </row>
    <row r="31" spans="1:39">
      <c r="A31" s="408" t="s">
        <v>372</v>
      </c>
      <c r="B31" s="408" t="s">
        <v>197</v>
      </c>
      <c r="D31" s="391"/>
      <c r="F31" s="390" t="str">
        <f>"PUYALLUP"&amp;A31</f>
        <v>PUYALLUP95CW1</v>
      </c>
      <c r="G31" s="392">
        <f>+VLOOKUP(A31,[52]Puyallup!$B$106:$AG$186,31,FALSE)</f>
        <v>0</v>
      </c>
      <c r="I31" s="390" t="str">
        <f>"BONNEY LAKE"&amp;A31</f>
        <v>BONNEY LAKE95CW1</v>
      </c>
      <c r="J31" s="392">
        <f>+VLOOKUP(A31,[52]BonneyLake!$B$105:$AG$182,31,FALSE)</f>
        <v>0</v>
      </c>
      <c r="L31" s="390" t="str">
        <f>"SUMNER"&amp;A31</f>
        <v>SUMNER95CW1</v>
      </c>
      <c r="M31" s="392">
        <f>+VLOOKUP(A31,[52]Sumner!$B$110:$AG$186,31,FALSE)</f>
        <v>296.26878506427249</v>
      </c>
      <c r="N31" s="409"/>
      <c r="O31" s="390" t="str">
        <f>"BUCKLEY"&amp;A31</f>
        <v>BUCKLEY95CW1</v>
      </c>
      <c r="P31" s="392">
        <f>+VLOOKUP(A31,[52]Buckley!$B$112:$AH$189,32,FALSE)</f>
        <v>0</v>
      </c>
      <c r="R31" s="390" t="str">
        <f>"MILTON"&amp;A31</f>
        <v>MILTON95CW1</v>
      </c>
      <c r="S31" s="392">
        <f>+VLOOKUP(A31,[52]Milton!$B$106:$AG$183,31,FALSE)</f>
        <v>0</v>
      </c>
      <c r="U31" s="390" t="str">
        <f>"ORTING"&amp;A31</f>
        <v>ORTING95CW1</v>
      </c>
      <c r="V31" s="392">
        <f>+VLOOKUP(A31,[52]Orting!$B$106:$AG$183,31,FALSE)</f>
        <v>0</v>
      </c>
      <c r="X31" s="390" t="str">
        <f>"CARBONADO"&amp;A31</f>
        <v>CARBONADO95CW1</v>
      </c>
      <c r="Y31" s="392">
        <f>+VLOOKUP(A31,[52]Carbonado!$B$104:$AG$180,31,FALSE)</f>
        <v>0</v>
      </c>
      <c r="AA31" s="390" t="str">
        <f>"RUSTON"&amp;A31</f>
        <v>RUSTON95CW1</v>
      </c>
      <c r="AB31" s="392">
        <f>+VLOOKUP(A31,[52]Ruston!$B$103:$AH$181,32,FALSE)</f>
        <v>231.5</v>
      </c>
      <c r="AD31" s="392">
        <f>SUM(G31:AB31)</f>
        <v>527.76878506427249</v>
      </c>
      <c r="AF31" s="410">
        <f>+[53]References!$C$8</f>
        <v>4.33</v>
      </c>
      <c r="AG31" s="407">
        <f>+AD31*AF31</f>
        <v>2285.2388393282999</v>
      </c>
      <c r="AH31" s="392">
        <f>[53]References!$C$26</f>
        <v>77</v>
      </c>
      <c r="AI31" s="392">
        <f>+AG31*AH31</f>
        <v>175963.3906282791</v>
      </c>
      <c r="AJ31" s="392">
        <f ca="1">+AI31*'Reg-MUR'!$C$138</f>
        <v>127265.10374521975</v>
      </c>
      <c r="AL31" s="420"/>
      <c r="AM31" s="410"/>
    </row>
    <row r="32" spans="1:39">
      <c r="A32" s="408" t="s">
        <v>695</v>
      </c>
      <c r="B32" s="408" t="s">
        <v>694</v>
      </c>
      <c r="D32" s="391"/>
      <c r="F32" s="390" t="str">
        <f>"PUYALLUP"&amp;A32</f>
        <v>PUYALLUPBULKY-COM</v>
      </c>
      <c r="G32" s="392">
        <f>+VLOOKUP(A32,[52]Puyallup!$B$106:$AG$186,31,FALSE)</f>
        <v>10.884573894282632</v>
      </c>
      <c r="I32" s="390" t="str">
        <f>"BONNEY LAKE"&amp;A32</f>
        <v>BONNEY LAKEBULKY-COM</v>
      </c>
      <c r="J32" s="392">
        <v>0</v>
      </c>
      <c r="L32" s="390" t="str">
        <f>"SUMNER"&amp;A32</f>
        <v>SUMNERBULKY-COM</v>
      </c>
      <c r="M32" s="392">
        <v>0</v>
      </c>
      <c r="N32" s="409"/>
      <c r="O32" s="390" t="str">
        <f>"BUCKLEY"&amp;A32</f>
        <v>BUCKLEYBULKY-COM</v>
      </c>
      <c r="P32" s="392">
        <v>0</v>
      </c>
      <c r="R32" s="390" t="str">
        <f>"MILTON"&amp;A32</f>
        <v>MILTONBULKY-COM</v>
      </c>
      <c r="S32" s="392">
        <f>+VLOOKUP(A32,[52]Milton!$B$106:$AG$183,31,FALSE)</f>
        <v>7.3869230769230771</v>
      </c>
      <c r="U32" s="390" t="str">
        <f>"ORTING"&amp;A32</f>
        <v>ORTINGBULKY-COM</v>
      </c>
      <c r="V32" s="392">
        <v>0</v>
      </c>
      <c r="X32" s="390" t="str">
        <f>"CARBONADO"&amp;A32</f>
        <v>CARBONADOBULKY-COM</v>
      </c>
      <c r="Y32" s="392">
        <v>0</v>
      </c>
      <c r="AA32" s="390" t="str">
        <f>"RUSTON"&amp;A32</f>
        <v>RUSTONBULKY-COM</v>
      </c>
      <c r="AB32" s="392">
        <v>0</v>
      </c>
      <c r="AD32" s="392">
        <f>SUM(G32:AB32)</f>
        <v>18.271496971205707</v>
      </c>
      <c r="AF32" s="410">
        <v>0</v>
      </c>
      <c r="AG32" s="407">
        <f>+AD32*AF32</f>
        <v>0</v>
      </c>
      <c r="AH32" s="392">
        <v>0</v>
      </c>
      <c r="AI32" s="392">
        <f>+AG32*AH32</f>
        <v>0</v>
      </c>
      <c r="AJ32" s="392">
        <f ca="1">+AI32*'Reg-MUR'!$C$138</f>
        <v>0</v>
      </c>
      <c r="AL32" s="420"/>
      <c r="AM32" s="410"/>
    </row>
    <row r="33" spans="1:39">
      <c r="A33" s="408" t="s">
        <v>422</v>
      </c>
      <c r="B33" s="408" t="s">
        <v>216</v>
      </c>
      <c r="D33" s="391"/>
      <c r="F33" s="390" t="str">
        <f>"PUYALLUP"&amp;A33</f>
        <v>PUYALLUPCEX</v>
      </c>
      <c r="G33" s="392">
        <f>+VLOOKUP(A33,[52]Puyallup!$B$106:$AG$186,31,FALSE)</f>
        <v>672.51457725947523</v>
      </c>
      <c r="I33" s="390" t="str">
        <f>"BONNEY LAKE"&amp;A33</f>
        <v>BONNEY LAKECEX</v>
      </c>
      <c r="J33" s="392">
        <f>+VLOOKUP(A33,[52]BonneyLake!$B$105:$AG$182,31,FALSE)</f>
        <v>210</v>
      </c>
      <c r="L33" s="390" t="str">
        <f>"SUMNER"&amp;A33</f>
        <v>SUMNERCEX</v>
      </c>
      <c r="M33" s="392">
        <f>+VLOOKUP(A33,[52]Sumner!$B$110:$AG$186,31,FALSE)</f>
        <v>318.95439739413678</v>
      </c>
      <c r="N33" s="409"/>
      <c r="O33" s="390" t="str">
        <f>"BUCKLEY"&amp;A33</f>
        <v>BUCKLEYCEX</v>
      </c>
      <c r="P33" s="392">
        <f>+VLOOKUP(A33,[52]Buckley!$B$112:$AH$189,32,FALSE)</f>
        <v>72.208816705336432</v>
      </c>
      <c r="R33" s="390" t="str">
        <f>"MILTON"&amp;A33</f>
        <v>MILTONCEX</v>
      </c>
      <c r="S33" s="392">
        <f>+VLOOKUP(A33,[52]Milton!$B$106:$AG$183,31,FALSE)</f>
        <v>0</v>
      </c>
      <c r="U33" s="390" t="str">
        <f>"ORTING"&amp;A33</f>
        <v>ORTINGCEX</v>
      </c>
      <c r="V33" s="392">
        <f>+VLOOKUP(A33,[52]Orting!$B$106:$AG$183,31,FALSE)</f>
        <v>85</v>
      </c>
      <c r="X33" s="390" t="str">
        <f>"CARBONADO"&amp;A33</f>
        <v>CARBONADOCEX</v>
      </c>
      <c r="Y33" s="392">
        <f>+VLOOKUP(A33,[52]Carbonado!$B$104:$AG$180,31,FALSE)</f>
        <v>0</v>
      </c>
      <c r="AA33" s="390" t="str">
        <f>"RUSTON"&amp;A33</f>
        <v>RUSTONCEX</v>
      </c>
      <c r="AB33" s="392">
        <f>+VLOOKUP(A33,[52]Ruston!$B$103:$AH$181,32,FALSE)</f>
        <v>21</v>
      </c>
      <c r="AD33" s="392">
        <f>SUM(G33:AB33)</f>
        <v>1379.6777913589483</v>
      </c>
      <c r="AF33" s="410">
        <v>1</v>
      </c>
      <c r="AG33" s="407">
        <f>+AD33*AF33</f>
        <v>1379.6777913589483</v>
      </c>
      <c r="AH33" s="392">
        <f>[53]References!$C$15</f>
        <v>34</v>
      </c>
      <c r="AI33" s="392">
        <f>+AG33*AH33</f>
        <v>46909.044906204239</v>
      </c>
      <c r="AJ33" s="392">
        <f ca="1">+AI33*'Reg-MUR'!$C$138</f>
        <v>33926.855155846453</v>
      </c>
      <c r="AL33" s="420"/>
      <c r="AM33" s="410"/>
    </row>
    <row r="34" spans="1:39">
      <c r="A34" s="408" t="s">
        <v>423</v>
      </c>
      <c r="B34" s="408" t="s">
        <v>217</v>
      </c>
      <c r="D34" s="391"/>
      <c r="F34" s="390" t="str">
        <f>"PUYALLUP"&amp;A34</f>
        <v>PUYALLUPCEXYD</v>
      </c>
      <c r="G34" s="392">
        <f>+VLOOKUP(A34,[52]Puyallup!$B$106:$AG$186,31,FALSE)</f>
        <v>1362.462913827731</v>
      </c>
      <c r="I34" s="390" t="str">
        <f>"BONNEY LAKE"&amp;A34</f>
        <v>BONNEY LAKECEXYD</v>
      </c>
      <c r="J34" s="392">
        <f>+VLOOKUP(A34,[52]BonneyLake!$B$105:$AG$182,31,FALSE)</f>
        <v>424.47378834931487</v>
      </c>
      <c r="L34" s="390" t="str">
        <f>"SUMNER"&amp;A34</f>
        <v>SUMNERCEXYD</v>
      </c>
      <c r="M34" s="392">
        <f>+VLOOKUP(A34,[52]Sumner!$B$110:$AG$186,31,FALSE)</f>
        <v>648.26792374637375</v>
      </c>
      <c r="N34" s="409"/>
      <c r="O34" s="390" t="str">
        <f>"BUCKLEY"&amp;A34</f>
        <v>BUCKLEYCEXYD</v>
      </c>
      <c r="P34" s="392">
        <f>+VLOOKUP(A34,[52]Buckley!$B$112:$AH$189,32,FALSE)</f>
        <v>193.26406926406926</v>
      </c>
      <c r="R34" s="390" t="str">
        <f>"MILTON"&amp;A34</f>
        <v>MILTONCEXYD</v>
      </c>
      <c r="S34" s="392">
        <f>+VLOOKUP(A34,[52]Milton!$B$106:$AG$183,31,FALSE)</f>
        <v>241.02214839424141</v>
      </c>
      <c r="U34" s="390" t="str">
        <f>"ORTING"&amp;A34</f>
        <v>ORTINGCEXYD</v>
      </c>
      <c r="V34" s="392">
        <f>+VLOOKUP(A34,[52]Orting!$B$106:$AG$183,31,FALSE)</f>
        <v>27</v>
      </c>
      <c r="X34" s="390" t="str">
        <f>"CARBONADO"&amp;A34</f>
        <v>CARBONADOCEXYD</v>
      </c>
      <c r="Y34" s="392">
        <f>+VLOOKUP(A34,[52]Carbonado!$B$104:$AG$180,31,FALSE)</f>
        <v>1</v>
      </c>
      <c r="AA34" s="390" t="str">
        <f>"RUSTON"&amp;A34</f>
        <v>RUSTONCEXYD</v>
      </c>
      <c r="AB34" s="392">
        <f>+VLOOKUP(A34,[52]Ruston!$B$103:$AH$181,32,FALSE)</f>
        <v>64.843712090578236</v>
      </c>
      <c r="AD34" s="392">
        <f>SUM(G34:AB34)</f>
        <v>2962.3345556723084</v>
      </c>
      <c r="AF34" s="410">
        <v>1</v>
      </c>
      <c r="AG34" s="407">
        <f>+AD34*AF34</f>
        <v>2962.3345556723084</v>
      </c>
      <c r="AH34" s="77">
        <f>[53]References!C31</f>
        <v>125</v>
      </c>
      <c r="AI34" s="392">
        <f>+AG34*AH34</f>
        <v>370291.81945903855</v>
      </c>
      <c r="AJ34" s="392">
        <f ca="1">+AI34*'Reg-MUR'!$C$138</f>
        <v>267812.67768937402</v>
      </c>
      <c r="AL34" s="420"/>
      <c r="AM34" s="410"/>
    </row>
    <row r="35" spans="1:39">
      <c r="A35" s="408" t="s">
        <v>376</v>
      </c>
      <c r="B35" s="408" t="s">
        <v>85</v>
      </c>
      <c r="D35" s="391"/>
      <c r="F35" s="390" t="str">
        <f>"PUYALLUP"&amp;A35</f>
        <v>PUYALLUPF2YD1W</v>
      </c>
      <c r="G35" s="392">
        <f>+VLOOKUP(A35,[52]Puyallup!$B$106:$AG$186,31,FALSE)</f>
        <v>0</v>
      </c>
      <c r="I35" s="390" t="str">
        <f>"BONNEY LAKE"&amp;A35</f>
        <v>BONNEY LAKEF2YD1W</v>
      </c>
      <c r="J35" s="392">
        <f>+VLOOKUP(A35,[52]BonneyLake!$B$105:$AG$182,31,FALSE)</f>
        <v>0</v>
      </c>
      <c r="L35" s="390" t="str">
        <f>"SUMNER"&amp;A35</f>
        <v>SUMNERF2YD1W</v>
      </c>
      <c r="M35" s="392">
        <f>+VLOOKUP(A35,[52]Sumner!$B$110:$AG$186,31,FALSE)</f>
        <v>0</v>
      </c>
      <c r="N35" s="409"/>
      <c r="O35" s="390" t="str">
        <f>"BUCKLEY"&amp;A35</f>
        <v>BUCKLEYF2YD1W</v>
      </c>
      <c r="P35" s="392">
        <f>+VLOOKUP(A35,[52]Buckley!$B$112:$AH$189,32,FALSE)</f>
        <v>21.5</v>
      </c>
      <c r="R35" s="390" t="str">
        <f>"MILTON"&amp;A35</f>
        <v>MILTONF2YD1W</v>
      </c>
      <c r="S35" s="392">
        <f>+VLOOKUP(A35,[52]Milton!$B$106:$AG$183,31,FALSE)</f>
        <v>0</v>
      </c>
      <c r="U35" s="390" t="str">
        <f>"ORTING"&amp;A35</f>
        <v>ORTINGF2YD1W</v>
      </c>
      <c r="V35" s="392">
        <f>+VLOOKUP(A35,[52]Orting!$B$106:$AG$183,31,FALSE)</f>
        <v>0</v>
      </c>
      <c r="X35" s="390" t="str">
        <f>"CARBONADO"&amp;A35</f>
        <v>CARBONADOF2YD1W</v>
      </c>
      <c r="Y35" s="392">
        <f>+VLOOKUP(A35,[52]Carbonado!$B$104:$AG$180,31,FALSE)</f>
        <v>0</v>
      </c>
      <c r="AA35" s="390" t="str">
        <f>"RUSTON"&amp;A35</f>
        <v>RUSTONF2YD1W</v>
      </c>
      <c r="AB35" s="392">
        <f>+VLOOKUP(A35,[52]Ruston!$B$103:$AH$181,32,FALSE)</f>
        <v>0</v>
      </c>
      <c r="AD35" s="392">
        <f>SUM(G35:AB35)</f>
        <v>21.5</v>
      </c>
      <c r="AF35" s="410">
        <f>[53]References!$C$8</f>
        <v>4.33</v>
      </c>
      <c r="AG35" s="407">
        <f>+AD35*AF35</f>
        <v>93.094999999999999</v>
      </c>
      <c r="AH35" s="392">
        <f>[53]References!$C$34</f>
        <v>324</v>
      </c>
      <c r="AI35" s="392">
        <f>+AG35*AH35</f>
        <v>30162.78</v>
      </c>
      <c r="AJ35" s="392">
        <f ca="1">+AI35*'Reg-MUR'!$C$138</f>
        <v>21815.158893211996</v>
      </c>
      <c r="AL35" s="420"/>
      <c r="AM35" s="410"/>
    </row>
    <row r="36" spans="1:39">
      <c r="A36" s="408" t="s">
        <v>377</v>
      </c>
      <c r="B36" s="408" t="s">
        <v>86</v>
      </c>
      <c r="D36" s="391"/>
      <c r="F36" s="390" t="str">
        <f>"PUYALLUP"&amp;A36</f>
        <v>PUYALLUPF2YD2W</v>
      </c>
      <c r="G36" s="392">
        <f>+VLOOKUP(A36,[52]Puyallup!$B$106:$AG$186,31,FALSE)</f>
        <v>0</v>
      </c>
      <c r="I36" s="390" t="str">
        <f>"BONNEY LAKE"&amp;A36</f>
        <v>BONNEY LAKEF2YD2W</v>
      </c>
      <c r="J36" s="392">
        <f>+VLOOKUP(A36,[52]BonneyLake!$B$105:$AG$182,31,FALSE)</f>
        <v>0</v>
      </c>
      <c r="L36" s="390" t="str">
        <f>"SUMNER"&amp;A36</f>
        <v>SUMNERF2YD2W</v>
      </c>
      <c r="M36" s="392">
        <f>+VLOOKUP(A36,[52]Sumner!$B$110:$AG$186,31,FALSE)</f>
        <v>4.75</v>
      </c>
      <c r="N36" s="409"/>
      <c r="O36" s="390" t="str">
        <f>"BUCKLEY"&amp;A36</f>
        <v>BUCKLEYF2YD2W</v>
      </c>
      <c r="P36" s="392">
        <f>+VLOOKUP(A36,[52]Buckley!$B$112:$AH$189,32,FALSE)</f>
        <v>0</v>
      </c>
      <c r="R36" s="390" t="str">
        <f>"MILTON"&amp;A36</f>
        <v>MILTONF2YD2W</v>
      </c>
      <c r="S36" s="392">
        <f>+VLOOKUP(A36,[52]Milton!$B$106:$AG$183,31,FALSE)</f>
        <v>0</v>
      </c>
      <c r="U36" s="390" t="str">
        <f>"ORTING"&amp;A36</f>
        <v>ORTINGF2YD2W</v>
      </c>
      <c r="V36" s="392">
        <f>+VLOOKUP(A36,[52]Orting!$B$106:$AG$183,31,FALSE)</f>
        <v>0</v>
      </c>
      <c r="X36" s="390" t="str">
        <f>"CARBONADO"&amp;A36</f>
        <v>CARBONADOF2YD2W</v>
      </c>
      <c r="Y36" s="392">
        <f>+VLOOKUP(A36,[52]Carbonado!$B$104:$AG$180,31,FALSE)</f>
        <v>0</v>
      </c>
      <c r="AA36" s="390" t="str">
        <f>"RUSTON"&amp;A36</f>
        <v>RUSTONF2YD2W</v>
      </c>
      <c r="AB36" s="392">
        <f>+VLOOKUP(A36,[52]Ruston!$B$103:$AH$181,32,FALSE)</f>
        <v>0</v>
      </c>
      <c r="AD36" s="392">
        <f>SUM(G36:AB36)</f>
        <v>4.75</v>
      </c>
      <c r="AF36" s="410">
        <f>[53]References!$C$7</f>
        <v>8.66</v>
      </c>
      <c r="AG36" s="407">
        <f>+AD36*AF36</f>
        <v>41.134999999999998</v>
      </c>
      <c r="AH36" s="392">
        <f>[53]References!$C$34</f>
        <v>324</v>
      </c>
      <c r="AI36" s="392">
        <f>+AG36*AH36</f>
        <v>13327.74</v>
      </c>
      <c r="AJ36" s="392">
        <f ca="1">+AI36*'Reg-MUR'!$C$138</f>
        <v>9639.2562551401843</v>
      </c>
      <c r="AL36" s="420"/>
      <c r="AM36" s="410"/>
    </row>
    <row r="37" spans="1:39">
      <c r="A37" s="408" t="s">
        <v>378</v>
      </c>
      <c r="B37" s="408" t="s">
        <v>120</v>
      </c>
      <c r="D37" s="391"/>
      <c r="F37" s="390" t="str">
        <f>"PUYALLUP"&amp;A37</f>
        <v>PUYALLUPF2YD3W</v>
      </c>
      <c r="G37" s="392">
        <f>+VLOOKUP(A37,[52]Puyallup!$B$106:$AG$186,31,FALSE)</f>
        <v>0</v>
      </c>
      <c r="I37" s="390" t="str">
        <f>"BONNEY LAKE"&amp;A37</f>
        <v>BONNEY LAKEF2YD3W</v>
      </c>
      <c r="J37" s="392">
        <f>+VLOOKUP(A37,[52]BonneyLake!$B$105:$AG$182,31,FALSE)</f>
        <v>0</v>
      </c>
      <c r="L37" s="390" t="str">
        <f>"SUMNER"&amp;A37</f>
        <v>SUMNERF2YD3W</v>
      </c>
      <c r="M37" s="392">
        <f>+VLOOKUP(A37,[52]Sumner!$B$110:$AG$186,31,FALSE)</f>
        <v>0</v>
      </c>
      <c r="N37" s="409"/>
      <c r="O37" s="390" t="str">
        <f>"BUCKLEY"&amp;A37</f>
        <v>BUCKLEYF2YD3W</v>
      </c>
      <c r="P37" s="392">
        <f>+VLOOKUP(A37,[52]Buckley!$B$112:$AH$189,32,FALSE)</f>
        <v>0</v>
      </c>
      <c r="R37" s="390" t="str">
        <f>"MILTON"&amp;A37</f>
        <v>MILTONF2YD3W</v>
      </c>
      <c r="S37" s="392">
        <f>+VLOOKUP(A37,[52]Milton!$B$106:$AG$183,31,FALSE)</f>
        <v>0</v>
      </c>
      <c r="U37" s="390" t="str">
        <f>"ORTING"&amp;A37</f>
        <v>ORTINGF2YD3W</v>
      </c>
      <c r="V37" s="392">
        <f>+VLOOKUP(A37,[52]Orting!$B$106:$AG$183,31,FALSE)</f>
        <v>0</v>
      </c>
      <c r="X37" s="390" t="str">
        <f>"CARBONADO"&amp;A37</f>
        <v>CARBONADOF2YD3W</v>
      </c>
      <c r="Y37" s="392">
        <f>+VLOOKUP(A37,[52]Carbonado!$B$104:$AG$180,31,FALSE)</f>
        <v>0</v>
      </c>
      <c r="AA37" s="390" t="str">
        <f>"RUSTON"&amp;A37</f>
        <v>RUSTONF2YD3W</v>
      </c>
      <c r="AB37" s="392">
        <f>+VLOOKUP(A37,[52]Ruston!$B$103:$AH$181,32,FALSE)</f>
        <v>22.84612108233457</v>
      </c>
      <c r="AD37" s="392">
        <f>SUM(G37:AB37)</f>
        <v>22.84612108233457</v>
      </c>
      <c r="AF37" s="410">
        <f>[53]References!$C$6</f>
        <v>12.99</v>
      </c>
      <c r="AG37" s="407">
        <f>+AD37*AF37</f>
        <v>296.77111285952606</v>
      </c>
      <c r="AH37" s="392">
        <f>[53]References!$C$34</f>
        <v>324</v>
      </c>
      <c r="AI37" s="392">
        <f>+AG37*AH37</f>
        <v>96153.84056648644</v>
      </c>
      <c r="AJ37" s="392">
        <f ca="1">+AI37*'Reg-MUR'!$C$138</f>
        <v>69543.036489026388</v>
      </c>
      <c r="AL37" s="420"/>
      <c r="AM37" s="410"/>
    </row>
    <row r="38" spans="1:39">
      <c r="A38" s="408" t="s">
        <v>379</v>
      </c>
      <c r="B38" s="408" t="s">
        <v>199</v>
      </c>
      <c r="D38" s="391"/>
      <c r="F38" s="390" t="str">
        <f>"PUYALLUP"&amp;A38</f>
        <v>PUYALLUPF2YDEX</v>
      </c>
      <c r="G38" s="392">
        <f>+VLOOKUP(A38,[52]Puyallup!$B$106:$AG$186,31,FALSE)</f>
        <v>4</v>
      </c>
      <c r="I38" s="390" t="str">
        <f>"BONNEY LAKE"&amp;A38</f>
        <v>BONNEY LAKEF2YDEX</v>
      </c>
      <c r="J38" s="392">
        <f>+VLOOKUP(A38,[52]BonneyLake!$B$105:$AG$182,31,FALSE)</f>
        <v>0</v>
      </c>
      <c r="L38" s="390" t="str">
        <f>"SUMNER"&amp;A38</f>
        <v>SUMNERF2YDEX</v>
      </c>
      <c r="M38" s="392">
        <f>+VLOOKUP(A38,[52]Sumner!$B$110:$AG$186,31,FALSE)</f>
        <v>0</v>
      </c>
      <c r="N38" s="409"/>
      <c r="O38" s="390" t="str">
        <f>"BUCKLEY"&amp;A38</f>
        <v>BUCKLEYF2YDEX</v>
      </c>
      <c r="P38" s="392">
        <f>+VLOOKUP(A38,[52]Buckley!$B$112:$AH$189,32,FALSE)</f>
        <v>0</v>
      </c>
      <c r="R38" s="390" t="str">
        <f>"MILTON"&amp;A38</f>
        <v>MILTONF2YDEX</v>
      </c>
      <c r="S38" s="392">
        <f>+VLOOKUP(A38,[52]Milton!$B$106:$AG$183,31,FALSE)</f>
        <v>0</v>
      </c>
      <c r="U38" s="390" t="str">
        <f>"ORTING"&amp;A38</f>
        <v>ORTINGF2YDEX</v>
      </c>
      <c r="V38" s="392">
        <f>+VLOOKUP(A38,[52]Orting!$B$106:$AG$183,31,FALSE)</f>
        <v>0</v>
      </c>
      <c r="X38" s="390" t="str">
        <f>"CARBONADO"&amp;A38</f>
        <v>CARBONADOF2YDEX</v>
      </c>
      <c r="Y38" s="392">
        <f>+VLOOKUP(A38,[52]Carbonado!$B$104:$AG$180,31,FALSE)</f>
        <v>0</v>
      </c>
      <c r="AA38" s="390" t="str">
        <f>"RUSTON"&amp;A38</f>
        <v>RUSTONF2YDEX</v>
      </c>
      <c r="AB38" s="392">
        <f>+VLOOKUP(A38,[52]Ruston!$B$103:$AH$181,32,FALSE)</f>
        <v>0</v>
      </c>
      <c r="AD38" s="392">
        <f>SUM(G38:AB38)</f>
        <v>4</v>
      </c>
      <c r="AF38" s="410">
        <v>1</v>
      </c>
      <c r="AG38" s="407">
        <f>+AD38*AF38</f>
        <v>4</v>
      </c>
      <c r="AH38" s="392">
        <f>[53]References!$C$34</f>
        <v>324</v>
      </c>
      <c r="AI38" s="392">
        <f>+AG38*AH38</f>
        <v>1296</v>
      </c>
      <c r="AJ38" s="392">
        <f ca="1">+AI38*'Reg-MUR'!$C$138</f>
        <v>937.32891748050906</v>
      </c>
      <c r="AL38" s="420"/>
      <c r="AM38" s="410"/>
    </row>
    <row r="39" spans="1:39">
      <c r="A39" s="408" t="s">
        <v>380</v>
      </c>
      <c r="B39" s="408" t="s">
        <v>121</v>
      </c>
      <c r="D39" s="391"/>
      <c r="F39" s="390" t="str">
        <f>"PUYALLUP"&amp;A39</f>
        <v>PUYALLUPF4YD1W</v>
      </c>
      <c r="G39" s="392">
        <f>+VLOOKUP(A39,[52]Puyallup!$B$106:$AG$186,31,FALSE)</f>
        <v>620.14953787692446</v>
      </c>
      <c r="I39" s="390" t="str">
        <f>"BONNEY LAKE"&amp;A39</f>
        <v>BONNEY LAKEF4YD1W</v>
      </c>
      <c r="J39" s="392">
        <f>+VLOOKUP(A39,[52]BonneyLake!$B$105:$AG$182,31,FALSE)</f>
        <v>249.16304212440525</v>
      </c>
      <c r="L39" s="390" t="str">
        <f>"SUMNER"&amp;A39</f>
        <v>SUMNERF4YD1W</v>
      </c>
      <c r="M39" s="392">
        <f>+VLOOKUP(A39,[52]Sumner!$B$110:$AG$186,31,FALSE)</f>
        <v>637.89985729093621</v>
      </c>
      <c r="N39" s="409"/>
      <c r="O39" s="390" t="str">
        <f>"BUCKLEY"&amp;A39</f>
        <v>BUCKLEYF4YD1W</v>
      </c>
      <c r="P39" s="392">
        <f>+VLOOKUP(A39,[52]Buckley!$B$112:$AH$189,32,FALSE)</f>
        <v>133.00833629917594</v>
      </c>
      <c r="R39" s="390" t="str">
        <f>"MILTON"&amp;A39</f>
        <v>MILTONF4YD1W</v>
      </c>
      <c r="S39" s="392">
        <f>+VLOOKUP(A39,[52]Milton!$B$106:$AG$183,31,FALSE)</f>
        <v>206.77178315749813</v>
      </c>
      <c r="U39" s="390" t="str">
        <f>"ORTING"&amp;A39</f>
        <v>ORTINGF4YD1W</v>
      </c>
      <c r="V39" s="392">
        <f>+VLOOKUP(A39,[52]Orting!$B$106:$AG$183,31,FALSE)</f>
        <v>82.032333905692781</v>
      </c>
      <c r="X39" s="390" t="str">
        <f>"CARBONADO"&amp;A39</f>
        <v>CARBONADOF4YD1W</v>
      </c>
      <c r="Y39" s="392">
        <f>+VLOOKUP(A39,[52]Carbonado!$B$104:$AG$180,31,FALSE)</f>
        <v>0</v>
      </c>
      <c r="AA39" s="390" t="str">
        <f>"RUSTON"&amp;A39</f>
        <v>RUSTONF4YD1W</v>
      </c>
      <c r="AB39" s="392">
        <f>+VLOOKUP(A39,[52]Ruston!$B$103:$AH$181,32,FALSE)</f>
        <v>23.25</v>
      </c>
      <c r="AD39" s="392">
        <f>SUM(G39:AB39)</f>
        <v>1952.2748906546326</v>
      </c>
      <c r="AF39" s="410">
        <f>[53]References!$C$8</f>
        <v>4.33</v>
      </c>
      <c r="AG39" s="407">
        <f>+AD39*AF39</f>
        <v>8453.3502765345602</v>
      </c>
      <c r="AH39" s="392">
        <f>[53]References!$C$36</f>
        <v>613</v>
      </c>
      <c r="AI39" s="392">
        <f>+AG39*AH39</f>
        <v>5181903.719515685</v>
      </c>
      <c r="AJ39" s="392">
        <f ca="1">+AI39*'Reg-MUR'!$C$138</f>
        <v>3747799.5400477317</v>
      </c>
      <c r="AL39" s="420"/>
      <c r="AM39" s="410"/>
    </row>
    <row r="40" spans="1:39">
      <c r="A40" s="408" t="s">
        <v>381</v>
      </c>
      <c r="B40" s="408" t="s">
        <v>122</v>
      </c>
      <c r="D40" s="391"/>
      <c r="F40" s="390" t="str">
        <f>"PUYALLUP"&amp;A40</f>
        <v>PUYALLUPF4YD2W</v>
      </c>
      <c r="G40" s="392">
        <f>+VLOOKUP(A40,[52]Puyallup!$B$106:$AG$186,31,FALSE)</f>
        <v>245.37498237961279</v>
      </c>
      <c r="I40" s="390" t="str">
        <f>"BONNEY LAKE"&amp;A40</f>
        <v>BONNEY LAKEF4YD2W</v>
      </c>
      <c r="J40" s="392">
        <f>+VLOOKUP(A40,[52]BonneyLake!$B$105:$AG$182,31,FALSE)</f>
        <v>84</v>
      </c>
      <c r="L40" s="390" t="str">
        <f>"SUMNER"&amp;A40</f>
        <v>SUMNERF4YD2W</v>
      </c>
      <c r="M40" s="392">
        <f>+VLOOKUP(A40,[52]Sumner!$B$110:$AG$186,31,FALSE)</f>
        <v>133.87497742079213</v>
      </c>
      <c r="N40" s="409"/>
      <c r="O40" s="390" t="str">
        <f>"BUCKLEY"&amp;A40</f>
        <v>BUCKLEYF4YD2W</v>
      </c>
      <c r="P40" s="392">
        <f>+VLOOKUP(A40,[52]Buckley!$B$112:$AH$189,32,FALSE)</f>
        <v>55.229156063631265</v>
      </c>
      <c r="R40" s="390" t="str">
        <f>"MILTON"&amp;A40</f>
        <v>MILTONF4YD2W</v>
      </c>
      <c r="S40" s="392">
        <f>+VLOOKUP(A40,[52]Milton!$B$106:$AG$183,31,FALSE)</f>
        <v>34.625006157332152</v>
      </c>
      <c r="U40" s="390" t="str">
        <f>"ORTING"&amp;A40</f>
        <v>ORTINGF4YD2W</v>
      </c>
      <c r="V40" s="392">
        <f>+VLOOKUP(A40,[52]Orting!$B$106:$AG$183,31,FALSE)</f>
        <v>21</v>
      </c>
      <c r="X40" s="390" t="str">
        <f>"CARBONADO"&amp;A40</f>
        <v>CARBONADOF4YD2W</v>
      </c>
      <c r="Y40" s="392">
        <f>+VLOOKUP(A40,[52]Carbonado!$B$104:$AG$180,31,FALSE)</f>
        <v>0</v>
      </c>
      <c r="AA40" s="390" t="str">
        <f>"RUSTON"&amp;A40</f>
        <v>RUSTONF4YD2W</v>
      </c>
      <c r="AB40" s="392">
        <f>+VLOOKUP(A40,[52]Ruston!$B$103:$AH$181,32,FALSE)</f>
        <v>12</v>
      </c>
      <c r="AD40" s="392">
        <f>SUM(G40:AB40)</f>
        <v>586.10412202136831</v>
      </c>
      <c r="AF40" s="410">
        <f>[53]References!$C$7</f>
        <v>8.66</v>
      </c>
      <c r="AG40" s="407">
        <f>+AD40*AF40</f>
        <v>5075.6616967050495</v>
      </c>
      <c r="AH40" s="392">
        <f>[53]References!$C$36</f>
        <v>613</v>
      </c>
      <c r="AI40" s="392">
        <f>+AG40*AH40</f>
        <v>3111380.6200801954</v>
      </c>
      <c r="AJ40" s="392">
        <f ca="1">+AI40*'Reg-MUR'!$C$138</f>
        <v>2250298.6330938307</v>
      </c>
      <c r="AL40" s="420"/>
      <c r="AM40" s="410"/>
    </row>
    <row r="41" spans="1:39">
      <c r="A41" s="408" t="s">
        <v>382</v>
      </c>
      <c r="B41" s="408" t="s">
        <v>123</v>
      </c>
      <c r="D41" s="391"/>
      <c r="F41" s="390" t="str">
        <f>"PUYALLUP"&amp;A41</f>
        <v>PUYALLUPF4YD3W</v>
      </c>
      <c r="G41" s="392">
        <f>+VLOOKUP(A41,[52]Puyallup!$B$106:$AG$186,31,FALSE)</f>
        <v>56.198057583786031</v>
      </c>
      <c r="I41" s="390" t="str">
        <f>"BONNEY LAKE"&amp;A41</f>
        <v>BONNEY LAKEF4YD3W</v>
      </c>
      <c r="J41" s="392">
        <f>+VLOOKUP(A41,[52]BonneyLake!$B$105:$AG$182,31,FALSE)</f>
        <v>12</v>
      </c>
      <c r="L41" s="390" t="str">
        <f>"SUMNER"&amp;A41</f>
        <v>SUMNERF4YD3W</v>
      </c>
      <c r="M41" s="392">
        <f>+VLOOKUP(A41,[52]Sumner!$B$110:$AG$186,31,FALSE)</f>
        <v>36</v>
      </c>
      <c r="N41" s="409"/>
      <c r="O41" s="390" t="str">
        <f>"BUCKLEY"&amp;A41</f>
        <v>BUCKLEYF4YD3W</v>
      </c>
      <c r="P41" s="392">
        <f>+VLOOKUP(A41,[52]Buckley!$B$112:$AH$189,32,FALSE)</f>
        <v>0</v>
      </c>
      <c r="R41" s="390" t="str">
        <f>"MILTON"&amp;A41</f>
        <v>MILTONF4YD3W</v>
      </c>
      <c r="S41" s="392">
        <f>+VLOOKUP(A41,[52]Milton!$B$106:$AG$183,31,FALSE)</f>
        <v>12</v>
      </c>
      <c r="U41" s="390" t="str">
        <f>"ORTING"&amp;A41</f>
        <v>ORTINGF4YD3W</v>
      </c>
      <c r="V41" s="392">
        <f>+VLOOKUP(A41,[52]Orting!$B$106:$AG$183,31,FALSE)</f>
        <v>0</v>
      </c>
      <c r="X41" s="390" t="str">
        <f>"CARBONADO"&amp;A41</f>
        <v>CARBONADOF4YD3W</v>
      </c>
      <c r="Y41" s="392">
        <f>+VLOOKUP(A41,[52]Carbonado!$B$104:$AG$180,31,FALSE)</f>
        <v>0</v>
      </c>
      <c r="AA41" s="390" t="str">
        <f>"RUSTON"&amp;A41</f>
        <v>RUSTONF4YD3W</v>
      </c>
      <c r="AB41" s="392">
        <f>+VLOOKUP(A41,[52]Ruston!$B$103:$AH$181,32,FALSE)</f>
        <v>12</v>
      </c>
      <c r="AD41" s="392">
        <f>SUM(G41:AB41)</f>
        <v>128.19805758378604</v>
      </c>
      <c r="AF41" s="410">
        <f>[53]References!$C$6</f>
        <v>12.99</v>
      </c>
      <c r="AG41" s="407">
        <f>+AD41*AF41</f>
        <v>1665.2927680133807</v>
      </c>
      <c r="AH41" s="392">
        <f>[53]References!$C$36</f>
        <v>613</v>
      </c>
      <c r="AI41" s="392">
        <f>+AG41*AH41</f>
        <v>1020824.4667922024</v>
      </c>
      <c r="AJ41" s="392">
        <f ca="1">+AI41*'Reg-MUR'!$C$138</f>
        <v>738308.86758946988</v>
      </c>
      <c r="AL41" s="420"/>
      <c r="AM41" s="410"/>
    </row>
    <row r="42" spans="1:39">
      <c r="A42" s="408" t="s">
        <v>383</v>
      </c>
      <c r="B42" s="408" t="s">
        <v>200</v>
      </c>
      <c r="D42" s="391"/>
      <c r="F42" s="390" t="str">
        <f>"PUYALLUP"&amp;A42</f>
        <v>PUYALLUPF4YD4W</v>
      </c>
      <c r="G42" s="392">
        <f>+VLOOKUP(A42,[52]Puyallup!$B$106:$AG$186,31,FALSE)</f>
        <v>15.295089052756971</v>
      </c>
      <c r="I42" s="390" t="str">
        <f>"BONNEY LAKE"&amp;A42</f>
        <v>BONNEY LAKEF4YD4W</v>
      </c>
      <c r="J42" s="392">
        <f>+VLOOKUP(A42,[52]BonneyLake!$B$105:$AG$182,31,FALSE)</f>
        <v>5</v>
      </c>
      <c r="L42" s="390" t="str">
        <f>"SUMNER"&amp;A42</f>
        <v>SUMNERF4YD4W</v>
      </c>
      <c r="M42" s="392">
        <f>+VLOOKUP(A42,[52]Sumner!$B$110:$AG$186,31,FALSE)</f>
        <v>0</v>
      </c>
      <c r="N42" s="409"/>
      <c r="O42" s="390" t="str">
        <f>"BUCKLEY"&amp;A42</f>
        <v>BUCKLEYF4YD4W</v>
      </c>
      <c r="P42" s="392">
        <f>+VLOOKUP(A42,[52]Buckley!$B$112:$AH$189,32,FALSE)</f>
        <v>0</v>
      </c>
      <c r="R42" s="390" t="str">
        <f>"MILTON"&amp;A42</f>
        <v>MILTONF4YD4W</v>
      </c>
      <c r="S42" s="392">
        <f>+VLOOKUP(A42,[52]Milton!$B$106:$AG$183,31,FALSE)</f>
        <v>0</v>
      </c>
      <c r="U42" s="390" t="str">
        <f>"ORTING"&amp;A42</f>
        <v>ORTINGF4YD4W</v>
      </c>
      <c r="V42" s="392">
        <f>+VLOOKUP(A42,[52]Orting!$B$106:$AG$183,31,FALSE)</f>
        <v>0</v>
      </c>
      <c r="X42" s="390" t="str">
        <f>"CARBONADO"&amp;A42</f>
        <v>CARBONADOF4YD4W</v>
      </c>
      <c r="Y42" s="392">
        <f>+VLOOKUP(A42,[52]Carbonado!$B$104:$AG$180,31,FALSE)</f>
        <v>0</v>
      </c>
      <c r="AA42" s="390" t="str">
        <f>"RUSTON"&amp;A42</f>
        <v>RUSTONF4YD4W</v>
      </c>
      <c r="AB42" s="392">
        <f>+VLOOKUP(A42,[52]Ruston!$B$103:$AH$181,32,FALSE)</f>
        <v>0</v>
      </c>
      <c r="AD42" s="392">
        <f>SUM(G42:AB42)</f>
        <v>20.295089052756971</v>
      </c>
      <c r="AF42" s="410">
        <f>[53]References!$C$5</f>
        <v>17.32</v>
      </c>
      <c r="AG42" s="407">
        <f>+AD42*AF42</f>
        <v>351.51094239375072</v>
      </c>
      <c r="AH42" s="392">
        <f>[53]References!$C$36</f>
        <v>613</v>
      </c>
      <c r="AI42" s="392">
        <f>+AG42*AH42</f>
        <v>215476.2076873692</v>
      </c>
      <c r="AJ42" s="392">
        <f ca="1">+AI42*'Reg-MUR'!$C$138</f>
        <v>155842.65470247463</v>
      </c>
      <c r="AL42" s="420"/>
      <c r="AM42" s="410"/>
    </row>
    <row r="43" spans="1:39">
      <c r="A43" s="408" t="s">
        <v>384</v>
      </c>
      <c r="B43" s="408" t="s">
        <v>201</v>
      </c>
      <c r="D43" s="391"/>
      <c r="F43" s="390" t="str">
        <f>"PUYALLUP"&amp;A43</f>
        <v>PUYALLUPF4YDEX</v>
      </c>
      <c r="G43" s="392">
        <f>+VLOOKUP(A43,[52]Puyallup!$B$106:$AG$186,31,FALSE)</f>
        <v>8</v>
      </c>
      <c r="I43" s="390" t="str">
        <f>"BONNEY LAKE"&amp;A43</f>
        <v>BONNEY LAKEF4YDEX</v>
      </c>
      <c r="J43" s="392">
        <f>+VLOOKUP(A43,[52]BonneyLake!$B$105:$AG$182,31,FALSE)</f>
        <v>0</v>
      </c>
      <c r="L43" s="390" t="str">
        <f>"SUMNER"&amp;A43</f>
        <v>SUMNERF4YDEX</v>
      </c>
      <c r="M43" s="392">
        <f>+VLOOKUP(A43,[52]Sumner!$B$110:$AG$186,31,FALSE)</f>
        <v>9.955893393393394</v>
      </c>
      <c r="N43" s="409"/>
      <c r="O43" s="390" t="str">
        <f>"BUCKLEY"&amp;A43</f>
        <v>BUCKLEYF4YDEX</v>
      </c>
      <c r="P43" s="392">
        <f>+VLOOKUP(A43,[52]Buckley!$B$112:$AH$189,32,FALSE)</f>
        <v>2</v>
      </c>
      <c r="R43" s="390" t="str">
        <f>"MILTON"&amp;A43</f>
        <v>MILTONF4YDEX</v>
      </c>
      <c r="S43" s="392">
        <f>+VLOOKUP(A43,[52]Milton!$B$106:$AG$183,31,FALSE)</f>
        <v>13</v>
      </c>
      <c r="U43" s="390" t="str">
        <f>"ORTING"&amp;A43</f>
        <v>ORTINGF4YDEX</v>
      </c>
      <c r="V43" s="392">
        <f>+VLOOKUP(A43,[52]Orting!$B$106:$AG$183,31,FALSE)</f>
        <v>0</v>
      </c>
      <c r="X43" s="390" t="str">
        <f>"CARBONADO"&amp;A43</f>
        <v>CARBONADOF4YDEX</v>
      </c>
      <c r="Y43" s="392">
        <f>+VLOOKUP(A43,[52]Carbonado!$B$104:$AG$180,31,FALSE)</f>
        <v>0</v>
      </c>
      <c r="AA43" s="390" t="str">
        <f>"RUSTON"&amp;A43</f>
        <v>RUSTONF4YDEX</v>
      </c>
      <c r="AB43" s="392">
        <f>+VLOOKUP(A43,[52]Ruston!$B$103:$AH$181,32,FALSE)</f>
        <v>1</v>
      </c>
      <c r="AD43" s="392">
        <f>SUM(G43:AB43)</f>
        <v>33.955893393393396</v>
      </c>
      <c r="AF43" s="410">
        <v>1</v>
      </c>
      <c r="AG43" s="407">
        <f>+AD43*AF43</f>
        <v>33.955893393393396</v>
      </c>
      <c r="AH43" s="392">
        <f>[53]References!$C$36</f>
        <v>613</v>
      </c>
      <c r="AI43" s="392">
        <f>+AG43*AH43</f>
        <v>20814.962650150152</v>
      </c>
      <c r="AJ43" s="392">
        <f ca="1">+AI43*'Reg-MUR'!$C$138</f>
        <v>15054.372228597584</v>
      </c>
      <c r="AL43" s="420"/>
      <c r="AM43" s="410"/>
    </row>
    <row r="44" spans="1:39">
      <c r="A44" s="408" t="s">
        <v>385</v>
      </c>
      <c r="B44" s="408" t="s">
        <v>124</v>
      </c>
      <c r="D44" s="391"/>
      <c r="F44" s="390" t="str">
        <f>"PUYALLUP"&amp;A44</f>
        <v>PUYALLUPF6YD1W</v>
      </c>
      <c r="G44" s="392">
        <f>+VLOOKUP(A44,[52]Puyallup!$B$106:$AG$186,31,FALSE)</f>
        <v>700.51399223334352</v>
      </c>
      <c r="I44" s="390" t="str">
        <f>"BONNEY LAKE"&amp;A44</f>
        <v>BONNEY LAKEF6YD1W</v>
      </c>
      <c r="J44" s="392">
        <f>+VLOOKUP(A44,[52]BonneyLake!$B$105:$AG$182,31,FALSE)</f>
        <v>206.25001318125098</v>
      </c>
      <c r="L44" s="390" t="str">
        <f>"SUMNER"&amp;A44</f>
        <v>SUMNERF6YD1W</v>
      </c>
      <c r="M44" s="392">
        <f>+VLOOKUP(A44,[52]Sumner!$B$110:$AG$186,31,FALSE)</f>
        <v>393.62500407126339</v>
      </c>
      <c r="N44" s="409"/>
      <c r="O44" s="390" t="str">
        <f>"BUCKLEY"&amp;A44</f>
        <v>BUCKLEYF6YD1W</v>
      </c>
      <c r="P44" s="392">
        <f>+VLOOKUP(A44,[52]Buckley!$B$112:$AH$189,32,FALSE)</f>
        <v>137.00052122387024</v>
      </c>
      <c r="R44" s="390" t="str">
        <f>"MILTON"&amp;A44</f>
        <v>MILTONF6YD1W</v>
      </c>
      <c r="S44" s="392">
        <f>+VLOOKUP(A44,[52]Milton!$B$106:$AG$183,31,FALSE)</f>
        <v>189.76082771194893</v>
      </c>
      <c r="U44" s="390" t="str">
        <f>"ORTING"&amp;A44</f>
        <v>ORTINGF6YD1W</v>
      </c>
      <c r="V44" s="392">
        <f>+VLOOKUP(A44,[52]Orting!$B$106:$AG$183,31,FALSE)</f>
        <v>46.5</v>
      </c>
      <c r="X44" s="390" t="str">
        <f>"CARBONADO"&amp;A44</f>
        <v>CARBONADOF6YD1W</v>
      </c>
      <c r="Y44" s="392">
        <f>+VLOOKUP(A44,[52]Carbonado!$B$104:$AG$180,31,FALSE)</f>
        <v>0</v>
      </c>
      <c r="AA44" s="390" t="str">
        <f>"RUSTON"&amp;A44</f>
        <v>RUSTONF6YD1W</v>
      </c>
      <c r="AB44" s="392">
        <f>+VLOOKUP(A44,[52]Ruston!$B$103:$AH$181,32,FALSE)</f>
        <v>1.7499928076181708</v>
      </c>
      <c r="AD44" s="392">
        <f>SUM(G44:AB44)</f>
        <v>1675.4003512292952</v>
      </c>
      <c r="AF44" s="410">
        <f>[53]References!$C$8</f>
        <v>4.33</v>
      </c>
      <c r="AG44" s="407">
        <f>+AD44*AF44</f>
        <v>7254.4835208228487</v>
      </c>
      <c r="AH44" s="392">
        <f>[53]References!$C$38</f>
        <v>840</v>
      </c>
      <c r="AI44" s="392">
        <f>+AG44*AH44</f>
        <v>6093766.1574911932</v>
      </c>
      <c r="AJ44" s="392">
        <f ca="1">+AI44*'Reg-MUR'!$C$138</f>
        <v>4407301.8794603255</v>
      </c>
      <c r="AL44" s="420"/>
      <c r="AM44" s="410"/>
    </row>
    <row r="45" spans="1:39">
      <c r="A45" s="408" t="s">
        <v>386</v>
      </c>
      <c r="B45" s="408" t="s">
        <v>125</v>
      </c>
      <c r="D45" s="391"/>
      <c r="F45" s="390" t="str">
        <f>"PUYALLUP"&amp;A45</f>
        <v>PUYALLUPF6YD2W</v>
      </c>
      <c r="G45" s="392">
        <f>+VLOOKUP(A45,[52]Puyallup!$B$106:$AG$186,31,FALSE)</f>
        <v>433.7017470319783</v>
      </c>
      <c r="I45" s="390" t="str">
        <f>"BONNEY LAKE"&amp;A45</f>
        <v>BONNEY LAKEF6YD2W</v>
      </c>
      <c r="J45" s="392">
        <f>+VLOOKUP(A45,[52]BonneyLake!$B$105:$AG$182,31,FALSE)</f>
        <v>200.4999956063655</v>
      </c>
      <c r="L45" s="390" t="str">
        <f>"SUMNER"&amp;A45</f>
        <v>SUMNERF6YD2W</v>
      </c>
      <c r="M45" s="392">
        <f>+VLOOKUP(A45,[52]Sumner!$B$110:$AG$186,31,FALSE)</f>
        <v>259.38240448462977</v>
      </c>
      <c r="N45" s="409"/>
      <c r="O45" s="390" t="str">
        <f>"BUCKLEY"&amp;A45</f>
        <v>BUCKLEYF6YD2W</v>
      </c>
      <c r="P45" s="392">
        <f>+VLOOKUP(A45,[52]Buckley!$B$112:$AH$189,32,FALSE)</f>
        <v>27.571206672622097</v>
      </c>
      <c r="R45" s="390" t="str">
        <f>"MILTON"&amp;A45</f>
        <v>MILTONF6YD2W</v>
      </c>
      <c r="S45" s="392">
        <f>+VLOOKUP(A45,[52]Milton!$B$106:$AG$183,31,FALSE)</f>
        <v>46.75</v>
      </c>
      <c r="U45" s="390" t="str">
        <f>"ORTING"&amp;A45</f>
        <v>ORTINGF6YD2W</v>
      </c>
      <c r="V45" s="392">
        <f>+VLOOKUP(A45,[52]Orting!$B$106:$AG$183,31,FALSE)</f>
        <v>168.49999765158347</v>
      </c>
      <c r="X45" s="390" t="str">
        <f>"CARBONADO"&amp;A45</f>
        <v>CARBONADOF6YD2W</v>
      </c>
      <c r="Y45" s="392">
        <f>+VLOOKUP(A45,[52]Carbonado!$B$104:$AG$180,31,FALSE)</f>
        <v>0</v>
      </c>
      <c r="AA45" s="390" t="str">
        <f>"RUSTON"&amp;A45</f>
        <v>RUSTONF6YD2W</v>
      </c>
      <c r="AB45" s="392">
        <f>+VLOOKUP(A45,[52]Ruston!$B$103:$AH$181,32,FALSE)</f>
        <v>0.62499813234920587</v>
      </c>
      <c r="AD45" s="392">
        <f>SUM(G45:AB45)</f>
        <v>1137.0303495795283</v>
      </c>
      <c r="AF45" s="410">
        <f>[53]References!$C$7</f>
        <v>8.66</v>
      </c>
      <c r="AG45" s="407">
        <f>+AD45*AF45</f>
        <v>9846.6828273587162</v>
      </c>
      <c r="AH45" s="392">
        <f>[53]References!$C$38</f>
        <v>840</v>
      </c>
      <c r="AI45" s="392">
        <f>+AG45*AH45</f>
        <v>8271213.5749813216</v>
      </c>
      <c r="AJ45" s="392">
        <f ca="1">+AI45*'Reg-MUR'!$C$138</f>
        <v>5982135.5451291157</v>
      </c>
      <c r="AL45" s="420"/>
      <c r="AM45" s="410"/>
    </row>
    <row r="46" spans="1:39">
      <c r="A46" s="408" t="s">
        <v>387</v>
      </c>
      <c r="B46" s="408" t="s">
        <v>126</v>
      </c>
      <c r="D46" s="391"/>
      <c r="F46" s="390" t="str">
        <f>"PUYALLUP"&amp;A46</f>
        <v>PUYALLUPF6YD3W</v>
      </c>
      <c r="G46" s="392">
        <f>+VLOOKUP(A46,[52]Puyallup!$B$106:$AG$186,31,FALSE)</f>
        <v>265.3112820321914</v>
      </c>
      <c r="I46" s="390" t="str">
        <f>"BONNEY LAKE"&amp;A46</f>
        <v>BONNEY LAKEF6YD3W</v>
      </c>
      <c r="J46" s="392">
        <f>+VLOOKUP(A46,[52]BonneyLake!$B$105:$AG$182,31,FALSE)</f>
        <v>100</v>
      </c>
      <c r="L46" s="390" t="str">
        <f>"SUMNER"&amp;A46</f>
        <v>SUMNERF6YD3W</v>
      </c>
      <c r="M46" s="392">
        <f>+VLOOKUP(A46,[52]Sumner!$B$110:$AG$186,31,FALSE)</f>
        <v>95.749998642860632</v>
      </c>
      <c r="N46" s="409"/>
      <c r="O46" s="390" t="str">
        <f>"BUCKLEY"&amp;A46</f>
        <v>BUCKLEYF6YD3W</v>
      </c>
      <c r="P46" s="392">
        <f>+VLOOKUP(A46,[52]Buckley!$B$112:$AH$189,32,FALSE)</f>
        <v>0</v>
      </c>
      <c r="R46" s="390" t="str">
        <f>"MILTON"&amp;A46</f>
        <v>MILTONF6YD3W</v>
      </c>
      <c r="S46" s="392">
        <f>+VLOOKUP(A46,[52]Milton!$B$106:$AG$183,31,FALSE)</f>
        <v>20.249998456227885</v>
      </c>
      <c r="U46" s="390" t="str">
        <f>"ORTING"&amp;A46</f>
        <v>ORTINGF6YD3W</v>
      </c>
      <c r="V46" s="392">
        <f>+VLOOKUP(A46,[52]Orting!$B$106:$AG$183,31,FALSE)</f>
        <v>0</v>
      </c>
      <c r="X46" s="390" t="str">
        <f>"CARBONADO"&amp;A46</f>
        <v>CARBONADOF6YD3W</v>
      </c>
      <c r="Y46" s="392">
        <f>+VLOOKUP(A46,[52]Carbonado!$B$104:$AG$180,31,FALSE)</f>
        <v>0</v>
      </c>
      <c r="AA46" s="390" t="str">
        <f>"RUSTON"&amp;A46</f>
        <v>RUSTONF6YD3W</v>
      </c>
      <c r="AB46" s="392">
        <f>+VLOOKUP(A46,[52]Ruston!$B$103:$AH$181,32,FALSE)</f>
        <v>3.8012726916605493</v>
      </c>
      <c r="AD46" s="392">
        <f>SUM(G46:AB46)</f>
        <v>485.11255182294047</v>
      </c>
      <c r="AF46" s="410">
        <f>[53]References!$C$6</f>
        <v>12.99</v>
      </c>
      <c r="AG46" s="407">
        <f>+AD46*AF46</f>
        <v>6301.6120481799971</v>
      </c>
      <c r="AH46" s="392">
        <f>[53]References!$C$38</f>
        <v>840</v>
      </c>
      <c r="AI46" s="392">
        <f>+AG46*AH46</f>
        <v>5293354.1204711972</v>
      </c>
      <c r="AJ46" s="392">
        <f ca="1">+AI46*'Reg-MUR'!$C$138</f>
        <v>3828405.7774554472</v>
      </c>
      <c r="AL46" s="420"/>
      <c r="AM46" s="410"/>
    </row>
    <row r="47" spans="1:39">
      <c r="A47" s="408" t="s">
        <v>388</v>
      </c>
      <c r="B47" s="408" t="s">
        <v>127</v>
      </c>
      <c r="D47" s="391"/>
      <c r="F47" s="390" t="str">
        <f>"PUYALLUP"&amp;A47</f>
        <v>PUYALLUPF6YD4W</v>
      </c>
      <c r="G47" s="392">
        <f>+VLOOKUP(A47,[52]Puyallup!$B$106:$AG$186,31,FALSE)</f>
        <v>36.5</v>
      </c>
      <c r="I47" s="390" t="str">
        <f>"BONNEY LAKE"&amp;A47</f>
        <v>BONNEY LAKEF6YD4W</v>
      </c>
      <c r="J47" s="392">
        <f>+VLOOKUP(A47,[52]BonneyLake!$B$105:$AG$182,31,FALSE)</f>
        <v>0</v>
      </c>
      <c r="L47" s="390" t="str">
        <f>"SUMNER"&amp;A47</f>
        <v>SUMNERF6YD4W</v>
      </c>
      <c r="M47" s="392">
        <f>+VLOOKUP(A47,[52]Sumner!$B$110:$AG$186,31,FALSE)</f>
        <v>25.187485435124337</v>
      </c>
      <c r="N47" s="409"/>
      <c r="O47" s="390" t="str">
        <f>"BUCKLEY"&amp;A47</f>
        <v>BUCKLEYF6YD4W</v>
      </c>
      <c r="P47" s="392">
        <f>+VLOOKUP(A47,[52]Buckley!$B$112:$AH$189,32,FALSE)</f>
        <v>0</v>
      </c>
      <c r="R47" s="390" t="str">
        <f>"MILTON"&amp;A47</f>
        <v>MILTONF6YD4W</v>
      </c>
      <c r="S47" s="392">
        <f>+VLOOKUP(A47,[52]Milton!$B$106:$AG$183,31,FALSE)</f>
        <v>0</v>
      </c>
      <c r="U47" s="390" t="str">
        <f>"ORTING"&amp;A47</f>
        <v>ORTINGF6YD4W</v>
      </c>
      <c r="V47" s="392">
        <f>+VLOOKUP(A47,[52]Orting!$B$106:$AG$183,31,FALSE)</f>
        <v>0</v>
      </c>
      <c r="X47" s="390" t="str">
        <f>"CARBONADO"&amp;A47</f>
        <v>CARBONADOF6YD4W</v>
      </c>
      <c r="Y47" s="392">
        <f>+VLOOKUP(A47,[52]Carbonado!$B$104:$AG$180,31,FALSE)</f>
        <v>0</v>
      </c>
      <c r="AA47" s="390" t="str">
        <f>"RUSTON"&amp;A47</f>
        <v>RUSTONF6YD4W</v>
      </c>
      <c r="AB47" s="392">
        <f>+VLOOKUP(A47,[52]Ruston!$B$103:$AH$181,32,FALSE)</f>
        <v>0</v>
      </c>
      <c r="AD47" s="392">
        <f>SUM(G47:AB47)</f>
        <v>61.687485435124337</v>
      </c>
      <c r="AF47" s="410">
        <f>[53]References!$C$5</f>
        <v>17.32</v>
      </c>
      <c r="AG47" s="407">
        <f>+AD47*AF47</f>
        <v>1068.4272477363536</v>
      </c>
      <c r="AH47" s="392">
        <f>[53]References!$C$38</f>
        <v>840</v>
      </c>
      <c r="AI47" s="392">
        <f>+AG47*AH47</f>
        <v>897478.88809853699</v>
      </c>
      <c r="AJ47" s="392">
        <f ca="1">+AI47*'Reg-MUR'!$C$138</f>
        <v>649099.4711751641</v>
      </c>
      <c r="AL47" s="420"/>
      <c r="AM47" s="410"/>
    </row>
    <row r="48" spans="1:39">
      <c r="A48" s="408" t="s">
        <v>389</v>
      </c>
      <c r="B48" s="408" t="s">
        <v>128</v>
      </c>
      <c r="D48" s="391"/>
      <c r="F48" s="390" t="str">
        <f>"PUYALLUP"&amp;A48</f>
        <v>PUYALLUPF6YD5W</v>
      </c>
      <c r="G48" s="392">
        <f>+VLOOKUP(A48,[52]Puyallup!$B$106:$AG$186,31,FALSE)</f>
        <v>21</v>
      </c>
      <c r="I48" s="390" t="str">
        <f>"BONNEY LAKE"&amp;A48</f>
        <v>BONNEY LAKEF6YD5W</v>
      </c>
      <c r="J48" s="392">
        <f>+VLOOKUP(A48,[52]BonneyLake!$B$105:$AG$182,31,FALSE)</f>
        <v>0</v>
      </c>
      <c r="L48" s="390" t="str">
        <f>"SUMNER"&amp;A48</f>
        <v>SUMNERF6YD5W</v>
      </c>
      <c r="M48" s="392">
        <f>+VLOOKUP(A48,[52]Sumner!$B$110:$AG$186,31,FALSE)</f>
        <v>29.099997759676672</v>
      </c>
      <c r="N48" s="409"/>
      <c r="O48" s="390" t="str">
        <f>"BUCKLEY"&amp;A48</f>
        <v>BUCKLEYF6YD5W</v>
      </c>
      <c r="P48" s="392">
        <f>+VLOOKUP(A48,[52]Buckley!$B$112:$AH$189,32,FALSE)</f>
        <v>0</v>
      </c>
      <c r="R48" s="390" t="str">
        <f>"MILTON"&amp;A48</f>
        <v>MILTONF6YD5W</v>
      </c>
      <c r="S48" s="392">
        <f>+VLOOKUP(A48,[52]Milton!$B$106:$AG$183,31,FALSE)</f>
        <v>21</v>
      </c>
      <c r="U48" s="390" t="str">
        <f>"ORTING"&amp;A48</f>
        <v>ORTINGF6YD5W</v>
      </c>
      <c r="V48" s="392">
        <f>+VLOOKUP(A48,[52]Orting!$B$106:$AG$183,31,FALSE)</f>
        <v>0</v>
      </c>
      <c r="X48" s="390" t="str">
        <f>"CARBONADO"&amp;A48</f>
        <v>CARBONADOF6YD5W</v>
      </c>
      <c r="Y48" s="392">
        <f>+VLOOKUP(A48,[52]Carbonado!$B$104:$AG$180,31,FALSE)</f>
        <v>0</v>
      </c>
      <c r="AA48" s="390" t="str">
        <f>"RUSTON"&amp;A48</f>
        <v>RUSTONF6YD5W</v>
      </c>
      <c r="AB48" s="392">
        <f>+VLOOKUP(A48,[52]Ruston!$B$103:$AH$181,32,FALSE)</f>
        <v>0</v>
      </c>
      <c r="AD48" s="392">
        <f>SUM(G48:AB48)</f>
        <v>71.099997759676668</v>
      </c>
      <c r="AF48" s="410">
        <f>[53]References!$C$4</f>
        <v>21.65</v>
      </c>
      <c r="AG48" s="407">
        <f>+AD48*AF48</f>
        <v>1539.3149514969998</v>
      </c>
      <c r="AH48" s="392">
        <f>[53]References!$C$38</f>
        <v>840</v>
      </c>
      <c r="AI48" s="392">
        <f>+AG48*AH48</f>
        <v>1293024.5592574799</v>
      </c>
      <c r="AJ48" s="392">
        <f ca="1">+AI48*'Reg-MUR'!$C$138</f>
        <v>935176.93704052921</v>
      </c>
      <c r="AL48" s="420"/>
      <c r="AM48" s="410"/>
    </row>
    <row r="49" spans="1:39">
      <c r="A49" s="408" t="s">
        <v>390</v>
      </c>
      <c r="B49" s="408" t="s">
        <v>202</v>
      </c>
      <c r="D49" s="391"/>
      <c r="F49" s="390" t="str">
        <f>"PUYALLUP"&amp;A49</f>
        <v>PUYALLUPF6YDEX</v>
      </c>
      <c r="G49" s="392">
        <f>+VLOOKUP(A49,[52]Puyallup!$B$106:$AG$186,31,FALSE)</f>
        <v>22</v>
      </c>
      <c r="I49" s="390" t="str">
        <f>"BONNEY LAKE"&amp;A49</f>
        <v>BONNEY LAKEF6YDEX</v>
      </c>
      <c r="J49" s="392">
        <f>+VLOOKUP(A49,[52]BonneyLake!$B$105:$AG$182,31,FALSE)</f>
        <v>7</v>
      </c>
      <c r="L49" s="390" t="str">
        <f>"SUMNER"&amp;A49</f>
        <v>SUMNERF6YDEX</v>
      </c>
      <c r="M49" s="392">
        <f>+VLOOKUP(A49,[52]Sumner!$B$110:$AG$186,31,FALSE)</f>
        <v>38.955674461619765</v>
      </c>
      <c r="N49" s="409"/>
      <c r="O49" s="390" t="str">
        <f>"BUCKLEY"&amp;A49</f>
        <v>BUCKLEYF6YDEX</v>
      </c>
      <c r="P49" s="392">
        <f>+VLOOKUP(A49,[52]Buckley!$B$112:$AH$189,32,FALSE)</f>
        <v>0</v>
      </c>
      <c r="R49" s="390" t="str">
        <f>"MILTON"&amp;A49</f>
        <v>MILTONF6YDEX</v>
      </c>
      <c r="S49" s="392">
        <f>+VLOOKUP(A49,[52]Milton!$B$106:$AG$183,31,FALSE)</f>
        <v>1</v>
      </c>
      <c r="U49" s="390" t="str">
        <f>"ORTING"&amp;A49</f>
        <v>ORTINGF6YDEX</v>
      </c>
      <c r="V49" s="392">
        <f>+VLOOKUP(A49,[52]Orting!$B$106:$AG$183,31,FALSE)</f>
        <v>0</v>
      </c>
      <c r="X49" s="390" t="str">
        <f>"CARBONADO"&amp;A49</f>
        <v>CARBONADOF6YDEX</v>
      </c>
      <c r="Y49" s="392">
        <f>+VLOOKUP(A49,[52]Carbonado!$B$104:$AG$180,31,FALSE)</f>
        <v>0</v>
      </c>
      <c r="AA49" s="390" t="str">
        <f>"RUSTON"&amp;A49</f>
        <v>RUSTONF6YDEX</v>
      </c>
      <c r="AB49" s="392">
        <f>+VLOOKUP(A49,[52]Ruston!$B$103:$AH$181,32,FALSE)</f>
        <v>0</v>
      </c>
      <c r="AD49" s="392">
        <f>SUM(G49:AB49)</f>
        <v>68.955674461619765</v>
      </c>
      <c r="AF49" s="410">
        <v>1</v>
      </c>
      <c r="AG49" s="407">
        <f>+AD49*AF49</f>
        <v>68.955674461619765</v>
      </c>
      <c r="AH49" s="392">
        <f>[53]References!$C$38</f>
        <v>840</v>
      </c>
      <c r="AI49" s="392">
        <f>+AG49*AH49</f>
        <v>57922.766547760606</v>
      </c>
      <c r="AJ49" s="392">
        <f ca="1">+AI49*'Reg-MUR'!$C$138</f>
        <v>41892.503137105472</v>
      </c>
      <c r="AL49" s="420"/>
      <c r="AM49" s="410"/>
    </row>
    <row r="50" spans="1:39">
      <c r="A50" s="408" t="s">
        <v>782</v>
      </c>
      <c r="B50" s="408" t="s">
        <v>783</v>
      </c>
      <c r="D50" s="391"/>
      <c r="F50" s="390" t="str">
        <f>"PUYALLUP"&amp;A50</f>
        <v>PUYALLUPF8YD2W</v>
      </c>
      <c r="G50" s="392">
        <f>+VLOOKUP(A50,[52]Puyallup!$B$106:$AG$186,31,FALSE)</f>
        <v>12</v>
      </c>
      <c r="I50" s="390" t="str">
        <f>"BONNEY LAKE"&amp;A50</f>
        <v>BONNEY LAKEF8YD2W</v>
      </c>
      <c r="J50" s="392">
        <f>+VLOOKUP(A50,[52]BonneyLake!$B$105:$AG$182,31,FALSE)</f>
        <v>0</v>
      </c>
      <c r="L50" s="390" t="str">
        <f>"SUMNER"&amp;A50</f>
        <v>SUMNERF8YD2W</v>
      </c>
      <c r="M50" s="392">
        <f>+VLOOKUP(A50,[52]Sumner!$B$110:$AG$186,31,FALSE)</f>
        <v>0</v>
      </c>
      <c r="N50" s="409"/>
      <c r="O50" s="390" t="str">
        <f>"BUCKLEY"&amp;A50</f>
        <v>BUCKLEYF8YD2W</v>
      </c>
      <c r="P50" s="392">
        <f>+VLOOKUP(A50,[52]Buckley!$B$112:$AH$189,32,FALSE)</f>
        <v>0</v>
      </c>
      <c r="R50" s="390" t="str">
        <f>"MILTON"&amp;A50</f>
        <v>MILTONF8YD2W</v>
      </c>
      <c r="S50" s="392">
        <f>+VLOOKUP(A50,[52]Milton!$B$106:$AG$183,31,FALSE)</f>
        <v>0</v>
      </c>
      <c r="U50" s="390" t="str">
        <f>"ORTING"&amp;A50</f>
        <v>ORTINGF8YD2W</v>
      </c>
      <c r="V50" s="392">
        <f>+VLOOKUP(A50,[52]Orting!$B$106:$AG$183,31,FALSE)</f>
        <v>0</v>
      </c>
      <c r="X50" s="390" t="str">
        <f>"CARBONADO"&amp;A50</f>
        <v>CARBONADOF8YD2W</v>
      </c>
      <c r="Y50" s="392">
        <f>+VLOOKUP(A50,[52]Carbonado!$B$104:$AG$180,31,FALSE)</f>
        <v>0</v>
      </c>
      <c r="AA50" s="390" t="str">
        <f>"RUSTON"&amp;A50</f>
        <v>RUSTONF8YD2W</v>
      </c>
      <c r="AB50" s="392">
        <f>+VLOOKUP(A50,[52]Ruston!$B$103:$AH$181,32,FALSE)</f>
        <v>0</v>
      </c>
      <c r="AD50" s="392">
        <f>SUM(G50:AB50)</f>
        <v>12</v>
      </c>
      <c r="AF50" s="410">
        <f>[53]References!$C$7</f>
        <v>8.66</v>
      </c>
      <c r="AG50" s="407">
        <f>+AD50*AF50</f>
        <v>103.92</v>
      </c>
      <c r="AH50" s="392">
        <f>[53]References!$C$39</f>
        <v>980</v>
      </c>
      <c r="AI50" s="392">
        <f>+AG50*AH50</f>
        <v>101841.60000000001</v>
      </c>
      <c r="AJ50" s="392">
        <f ca="1">+AI50*'Reg-MUR'!$C$138</f>
        <v>73656.694971051707</v>
      </c>
      <c r="AL50" s="420"/>
      <c r="AM50" s="410"/>
    </row>
    <row r="51" spans="1:39">
      <c r="A51" s="408" t="s">
        <v>784</v>
      </c>
      <c r="B51" s="408" t="s">
        <v>785</v>
      </c>
      <c r="D51" s="391"/>
      <c r="F51" s="390" t="str">
        <f>"PUYALLUP"&amp;A51</f>
        <v>PUYALLUPFCP2YD1W4-1</v>
      </c>
      <c r="G51" s="392">
        <f>+VLOOKUP(A51,[52]Puyallup!$B$106:$AG$186,31,FALSE)</f>
        <v>0</v>
      </c>
      <c r="I51" s="390" t="str">
        <f>"BONNEY LAKE"&amp;A51</f>
        <v>BONNEY LAKEFCP2YD1W4-1</v>
      </c>
      <c r="J51" s="392">
        <f>+VLOOKUP(A51,[52]BonneyLake!$B$105:$AG$182,31,FALSE)</f>
        <v>0</v>
      </c>
      <c r="L51" s="390" t="str">
        <f>"SUMNER"&amp;A51</f>
        <v>SUMNERFCP2YD1W4-1</v>
      </c>
      <c r="M51" s="392">
        <f>+VLOOKUP(A51,[52]Sumner!$B$110:$AG$186,31,FALSE)</f>
        <v>0</v>
      </c>
      <c r="N51" s="409"/>
      <c r="O51" s="390" t="str">
        <f>"BUCKLEY"&amp;A51</f>
        <v>BUCKLEYFCP2YD1W4-1</v>
      </c>
      <c r="P51" s="392">
        <f>+VLOOKUP(A51,[52]Buckley!$B$112:$AH$189,32,FALSE)</f>
        <v>0</v>
      </c>
      <c r="R51" s="390" t="str">
        <f>"MILTON"&amp;A51</f>
        <v>MILTONFCP2YD1W4-1</v>
      </c>
      <c r="S51" s="392">
        <f>+VLOOKUP(A51,[52]Milton!$B$106:$AG$183,31,FALSE)</f>
        <v>42</v>
      </c>
      <c r="U51" s="390" t="str">
        <f>"ORTING"&amp;A51</f>
        <v>ORTINGFCP2YD1W4-1</v>
      </c>
      <c r="V51" s="392">
        <f>+VLOOKUP(A51,[52]Orting!$B$106:$AG$183,31,FALSE)</f>
        <v>0</v>
      </c>
      <c r="X51" s="390" t="str">
        <f>"CARBONADO"&amp;A51</f>
        <v>CARBONADOFCP2YD1W4-1</v>
      </c>
      <c r="Y51" s="392">
        <f>+VLOOKUP(A51,[52]Carbonado!$B$104:$AG$180,31,FALSE)</f>
        <v>0</v>
      </c>
      <c r="AA51" s="390" t="str">
        <f>"RUSTON"&amp;A51</f>
        <v>RUSTONFCP2YD1W4-1</v>
      </c>
      <c r="AB51" s="392">
        <f>+VLOOKUP(A51,[52]Ruston!$B$103:$AH$181,32,FALSE)</f>
        <v>0</v>
      </c>
      <c r="AD51" s="392">
        <f>SUM(G51:AB51)</f>
        <v>42</v>
      </c>
      <c r="AF51" s="410">
        <f>[53]References!$C$8</f>
        <v>4.33</v>
      </c>
      <c r="AG51" s="407">
        <f>+AD51*AF51</f>
        <v>181.86</v>
      </c>
      <c r="AH51" s="392">
        <f>[53]References!$C$51</f>
        <v>1296</v>
      </c>
      <c r="AI51" s="392">
        <f>+AG51*AH51</f>
        <v>235690.56000000003</v>
      </c>
      <c r="AJ51" s="392">
        <f ca="1">+AI51*'Reg-MUR'!$C$138</f>
        <v>170462.63693300539</v>
      </c>
      <c r="AL51" s="420"/>
      <c r="AM51" s="410"/>
    </row>
    <row r="52" spans="1:39">
      <c r="A52" s="408" t="s">
        <v>786</v>
      </c>
      <c r="B52" s="408" t="s">
        <v>787</v>
      </c>
      <c r="D52" s="391"/>
      <c r="F52" s="390" t="str">
        <f>"PUYALLUP"&amp;A52</f>
        <v>PUYALLUPFCP2YD2W</v>
      </c>
      <c r="G52" s="392">
        <f>+VLOOKUP(A52,[52]Puyallup!$B$106:$AG$186,31,FALSE)</f>
        <v>57.000000000000007</v>
      </c>
      <c r="I52" s="390" t="str">
        <f>"BONNEY LAKE"&amp;A52</f>
        <v>BONNEY LAKEFCP2YD2W</v>
      </c>
      <c r="J52" s="392">
        <f>+VLOOKUP(A52,[52]BonneyLake!$B$105:$AG$182,31,FALSE)</f>
        <v>0</v>
      </c>
      <c r="L52" s="390" t="str">
        <f>"SUMNER"&amp;A52</f>
        <v>SUMNERFCP2YD2W</v>
      </c>
      <c r="M52" s="392">
        <f>+VLOOKUP(A52,[52]Sumner!$B$110:$AG$186,31,FALSE)</f>
        <v>0</v>
      </c>
      <c r="N52" s="409"/>
      <c r="O52" s="390" t="str">
        <f>"BUCKLEY"&amp;A52</f>
        <v>BUCKLEYFCP2YD2W</v>
      </c>
      <c r="P52" s="392">
        <f>+VLOOKUP(A52,[52]Buckley!$B$112:$AH$189,32,FALSE)</f>
        <v>0</v>
      </c>
      <c r="R52" s="390" t="str">
        <f>"MILTON"&amp;A52</f>
        <v>MILTONFCP2YD2W</v>
      </c>
      <c r="S52" s="392">
        <f>+VLOOKUP(A52,[52]Milton!$B$106:$AG$183,31,FALSE)</f>
        <v>0</v>
      </c>
      <c r="U52" s="390" t="str">
        <f>"ORTING"&amp;A52</f>
        <v>ORTINGFCP2YD2W</v>
      </c>
      <c r="V52" s="392">
        <f>+VLOOKUP(A52,[52]Orting!$B$106:$AG$183,31,FALSE)</f>
        <v>0</v>
      </c>
      <c r="X52" s="390" t="str">
        <f>"CARBONADO"&amp;A52</f>
        <v>CARBONADOFCP2YD2W</v>
      </c>
      <c r="Y52" s="392">
        <f>+VLOOKUP(A52,[52]Carbonado!$B$104:$AG$180,31,FALSE)</f>
        <v>0</v>
      </c>
      <c r="AA52" s="390" t="str">
        <f>"RUSTON"&amp;A52</f>
        <v>RUSTONFCP2YD2W</v>
      </c>
      <c r="AB52" s="392">
        <f>+VLOOKUP(A52,[52]Ruston!$B$103:$AH$181,32,FALSE)</f>
        <v>29.88889121979668</v>
      </c>
      <c r="AD52" s="392">
        <f>SUM(G52:AB52)</f>
        <v>86.88889121979669</v>
      </c>
      <c r="AF52" s="410">
        <f>[53]References!$C$7</f>
        <v>8.66</v>
      </c>
      <c r="AG52" s="407">
        <f>+AD52*AF52</f>
        <v>752.45779796343936</v>
      </c>
      <c r="AH52" s="392">
        <f>[53]References!$C$51</f>
        <v>1296</v>
      </c>
      <c r="AI52" s="392">
        <f>+AG52*AH52</f>
        <v>975185.30616061739</v>
      </c>
      <c r="AJ52" s="392">
        <f ca="1">+AI52*'Reg-MUR'!$C$138</f>
        <v>705300.45321483817</v>
      </c>
      <c r="AL52" s="420"/>
      <c r="AM52" s="410"/>
    </row>
    <row r="53" spans="1:39">
      <c r="A53" s="408" t="s">
        <v>788</v>
      </c>
      <c r="B53" s="408" t="s">
        <v>789</v>
      </c>
      <c r="D53" s="391"/>
      <c r="F53" s="390" t="str">
        <f>"PUYALLUP"&amp;A53</f>
        <v>PUYALLUPFCP6YD2W</v>
      </c>
      <c r="G53" s="392">
        <f>+VLOOKUP(A53,[52]Puyallup!$B$106:$AG$186,31,FALSE)</f>
        <v>12</v>
      </c>
      <c r="I53" s="390" t="str">
        <f>"BONNEY LAKE"&amp;A53</f>
        <v>BONNEY LAKEFCP6YD2W</v>
      </c>
      <c r="J53" s="392">
        <f>+VLOOKUP(A53,[52]BonneyLake!$B$105:$AG$182,31,FALSE)</f>
        <v>0</v>
      </c>
      <c r="L53" s="390" t="str">
        <f>"SUMNER"&amp;A53</f>
        <v>SUMNERFCP6YD2W</v>
      </c>
      <c r="M53" s="392">
        <f>+VLOOKUP(A53,[52]Sumner!$B$110:$AG$186,31,FALSE)</f>
        <v>0</v>
      </c>
      <c r="N53" s="409"/>
      <c r="O53" s="390" t="str">
        <f>"BUCKLEY"&amp;A53</f>
        <v>BUCKLEYFCP6YD2W</v>
      </c>
      <c r="P53" s="392">
        <f>+VLOOKUP(A53,[52]Buckley!$B$112:$AH$189,32,FALSE)</f>
        <v>0</v>
      </c>
      <c r="R53" s="390" t="str">
        <f>"MILTON"&amp;A53</f>
        <v>MILTONFCP6YD2W</v>
      </c>
      <c r="S53" s="392">
        <f>+VLOOKUP(A53,[52]Milton!$B$106:$AG$183,31,FALSE)</f>
        <v>0</v>
      </c>
      <c r="U53" s="390" t="str">
        <f>"ORTING"&amp;A53</f>
        <v>ORTINGFCP6YD2W</v>
      </c>
      <c r="V53" s="392">
        <f>+VLOOKUP(A53,[52]Orting!$B$106:$AG$183,31,FALSE)</f>
        <v>0</v>
      </c>
      <c r="X53" s="390" t="str">
        <f>"CARBONADO"&amp;A53</f>
        <v>CARBONADOFCP6YD2W</v>
      </c>
      <c r="Y53" s="392">
        <f>+VLOOKUP(A53,[52]Carbonado!$B$104:$AG$180,31,FALSE)</f>
        <v>0</v>
      </c>
      <c r="AA53" s="390" t="str">
        <f>"RUSTON"&amp;A53</f>
        <v>RUSTONFCP6YD2W</v>
      </c>
      <c r="AB53" s="392">
        <f>+VLOOKUP(A53,[52]Ruston!$B$103:$AH$181,32,FALSE)</f>
        <v>0</v>
      </c>
      <c r="AD53" s="392">
        <f>SUM(G53:AB53)</f>
        <v>12</v>
      </c>
      <c r="AF53" s="410">
        <f>[53]References!$C$7</f>
        <v>8.66</v>
      </c>
      <c r="AG53" s="407">
        <f>+AD53*AF53</f>
        <v>103.92</v>
      </c>
      <c r="AH53" s="392">
        <f>[53]References!$C$54</f>
        <v>3360</v>
      </c>
      <c r="AI53" s="392">
        <f>+AG53*AH53</f>
        <v>349171.20000000001</v>
      </c>
      <c r="AJ53" s="392">
        <f ca="1">+AI53*'Reg-MUR'!$C$138</f>
        <v>252537.23990074871</v>
      </c>
      <c r="AL53" s="420"/>
      <c r="AM53" s="410"/>
    </row>
    <row r="54" spans="1:39">
      <c r="A54" s="408" t="s">
        <v>400</v>
      </c>
      <c r="B54" s="408" t="s">
        <v>401</v>
      </c>
      <c r="D54" s="391"/>
      <c r="E54" s="391"/>
      <c r="F54" s="390" t="str">
        <f>"PUYALLUP"&amp;A54</f>
        <v>PUYALLUPR1.5YD1W</v>
      </c>
      <c r="G54" s="392">
        <f>+VLOOKUP(A54,[52]Puyallup!$B$106:$AG$186,31,FALSE)</f>
        <v>532.88866493315584</v>
      </c>
      <c r="H54" s="391"/>
      <c r="I54" s="390" t="str">
        <f>"BONNEY LAKE"&amp;A54</f>
        <v>BONNEY LAKER1.5YD1W</v>
      </c>
      <c r="J54" s="392">
        <f>+VLOOKUP(A54,[52]BonneyLake!$B$105:$AG$182,31,FALSE)</f>
        <v>93.5</v>
      </c>
      <c r="K54" s="391"/>
      <c r="L54" s="390" t="str">
        <f>"SUMNER"&amp;A54</f>
        <v>SUMNERR1.5YD1W</v>
      </c>
      <c r="M54" s="392">
        <f>+VLOOKUP(A54,[52]Sumner!$B$110:$AG$186,31,FALSE)</f>
        <v>278.34862242974748</v>
      </c>
      <c r="N54" s="409"/>
      <c r="O54" s="390" t="str">
        <f>"BUCKLEY"&amp;A54</f>
        <v>BUCKLEYR1.5YD1W</v>
      </c>
      <c r="P54" s="392">
        <f>+VLOOKUP(A54,[52]Buckley!$B$112:$AH$189,32,FALSE)</f>
        <v>214.6376347592485</v>
      </c>
      <c r="Q54" s="391"/>
      <c r="R54" s="390" t="str">
        <f>"MILTON"&amp;A54</f>
        <v>MILTONR1.5YD1W</v>
      </c>
      <c r="S54" s="392">
        <f>+VLOOKUP(A54,[52]Milton!$B$106:$AG$183,31,FALSE)</f>
        <v>61.5</v>
      </c>
      <c r="T54" s="391"/>
      <c r="U54" s="390" t="str">
        <f>"ORTING"&amp;A54</f>
        <v>ORTINGR1.5YD1W</v>
      </c>
      <c r="V54" s="392">
        <f>+VLOOKUP(A54,[52]Orting!$B$106:$AG$183,31,FALSE)</f>
        <v>120.99995944303167</v>
      </c>
      <c r="W54" s="391"/>
      <c r="X54" s="390" t="str">
        <f>"CARBONADO"&amp;A54</f>
        <v>CARBONADOR1.5YD1W</v>
      </c>
      <c r="Y54" s="392">
        <f>+VLOOKUP(A54,[52]Carbonado!$B$104:$AG$180,31,FALSE)</f>
        <v>17</v>
      </c>
      <c r="Z54" s="391"/>
      <c r="AA54" s="390" t="str">
        <f>"RUSTON"&amp;A54</f>
        <v>RUSTONR1.5YD1W</v>
      </c>
      <c r="AB54" s="392">
        <f>+VLOOKUP(A54,[52]Ruston!$B$103:$AH$181,32,FALSE)</f>
        <v>0</v>
      </c>
      <c r="AC54" s="391"/>
      <c r="AD54" s="392">
        <f>SUM(G54:AB54)</f>
        <v>1318.8748815651836</v>
      </c>
      <c r="AF54" s="410">
        <f>[53]References!$C$8</f>
        <v>4.33</v>
      </c>
      <c r="AG54" s="407">
        <f>+AD54*AF54</f>
        <v>5710.7282371772453</v>
      </c>
      <c r="AH54" s="392">
        <f>[53]References!$C$33</f>
        <v>250</v>
      </c>
      <c r="AI54" s="392">
        <f>+AG54*AH54</f>
        <v>1427682.0592943113</v>
      </c>
      <c r="AJ54" s="392">
        <f ca="1">+AI54*'Reg-MUR'!$C$138</f>
        <v>1032567.6536610192</v>
      </c>
      <c r="AK54" s="391"/>
      <c r="AL54" s="420"/>
      <c r="AM54" s="410"/>
    </row>
    <row r="55" spans="1:39">
      <c r="A55" s="408" t="s">
        <v>402</v>
      </c>
      <c r="B55" s="408" t="s">
        <v>131</v>
      </c>
      <c r="D55" s="391"/>
      <c r="E55" s="391"/>
      <c r="F55" s="390" t="str">
        <f>"PUYALLUP"&amp;A55</f>
        <v>PUYALLUPR1.5YD2W</v>
      </c>
      <c r="G55" s="392">
        <f>+VLOOKUP(A55,[52]Puyallup!$B$106:$AG$186,31,FALSE)</f>
        <v>107.49998517508229</v>
      </c>
      <c r="H55" s="391"/>
      <c r="I55" s="390" t="str">
        <f>"BONNEY LAKE"&amp;A55</f>
        <v>BONNEY LAKER1.5YD2W</v>
      </c>
      <c r="J55" s="392">
        <f>+VLOOKUP(A55,[52]BonneyLake!$B$105:$AG$182,31,FALSE)</f>
        <v>12</v>
      </c>
      <c r="K55" s="391"/>
      <c r="L55" s="390" t="str">
        <f>"SUMNER"&amp;A55</f>
        <v>SUMNERR1.5YD2W</v>
      </c>
      <c r="M55" s="392">
        <f>+VLOOKUP(A55,[52]Sumner!$B$110:$AG$186,31,FALSE)</f>
        <v>166.87499532937306</v>
      </c>
      <c r="N55" s="409"/>
      <c r="O55" s="390" t="str">
        <f>"BUCKLEY"&amp;A55</f>
        <v>BUCKLEYR1.5YD2W</v>
      </c>
      <c r="P55" s="392">
        <f>+VLOOKUP(A55,[52]Buckley!$B$112:$AH$189,32,FALSE)</f>
        <v>11.046777361185502</v>
      </c>
      <c r="Q55" s="391"/>
      <c r="R55" s="390" t="str">
        <f>"MILTON"&amp;A55</f>
        <v>MILTONR1.5YD2W</v>
      </c>
      <c r="S55" s="392">
        <f>+VLOOKUP(A55,[52]Milton!$B$106:$AG$183,31,FALSE)</f>
        <v>17</v>
      </c>
      <c r="T55" s="391"/>
      <c r="U55" s="390" t="str">
        <f>"ORTING"&amp;A55</f>
        <v>ORTINGR1.5YD2W</v>
      </c>
      <c r="V55" s="392">
        <f>+VLOOKUP(A55,[52]Orting!$B$106:$AG$183,31,FALSE)</f>
        <v>0.74999187916192944</v>
      </c>
      <c r="W55" s="391"/>
      <c r="X55" s="390" t="str">
        <f>"CARBONADO"&amp;A55</f>
        <v>CARBONADOR1.5YD2W</v>
      </c>
      <c r="Y55" s="392">
        <f>+VLOOKUP(A55,[52]Carbonado!$B$104:$AG$180,31,FALSE)</f>
        <v>0</v>
      </c>
      <c r="Z55" s="391"/>
      <c r="AA55" s="390" t="str">
        <f>"RUSTON"&amp;A55</f>
        <v>RUSTONR1.5YD2W</v>
      </c>
      <c r="AB55" s="392">
        <f>+VLOOKUP(A55,[52]Ruston!$B$103:$AH$181,32,FALSE)</f>
        <v>0</v>
      </c>
      <c r="AC55" s="391"/>
      <c r="AD55" s="392">
        <f>SUM(G55:AB55)</f>
        <v>315.17174974480281</v>
      </c>
      <c r="AF55" s="410">
        <f>[53]References!$C$7</f>
        <v>8.66</v>
      </c>
      <c r="AG55" s="407">
        <f>+AD55*AF55</f>
        <v>2729.3873527899923</v>
      </c>
      <c r="AH55" s="392">
        <f>[53]References!$C$33</f>
        <v>250</v>
      </c>
      <c r="AI55" s="392">
        <f>+AG55*AH55</f>
        <v>682346.83819749812</v>
      </c>
      <c r="AJ55" s="392">
        <f ca="1">+AI55*'Reg-MUR'!$C$138</f>
        <v>493505.7277730779</v>
      </c>
      <c r="AK55" s="391"/>
      <c r="AL55" s="420"/>
      <c r="AM55" s="410"/>
    </row>
    <row r="56" spans="1:39">
      <c r="A56" s="411" t="s">
        <v>790</v>
      </c>
      <c r="B56" s="411" t="s">
        <v>211</v>
      </c>
      <c r="D56" s="391"/>
      <c r="E56" s="391"/>
      <c r="F56" s="390" t="str">
        <f>"PUYALLUP"&amp;A56</f>
        <v>PUYALLUPR1.5YD3W</v>
      </c>
      <c r="G56" s="392">
        <f>+VLOOKUP(A56,[52]Puyallup!$B$106:$AG$186,31,FALSE)</f>
        <v>7.2499900442037353</v>
      </c>
      <c r="H56" s="391"/>
      <c r="I56" s="390" t="str">
        <f>"BONNEY LAKE"&amp;A56</f>
        <v>BONNEY LAKER1.5YD3W</v>
      </c>
      <c r="J56" s="392">
        <f>+VLOOKUP(A56,[52]BonneyLake!$B$105:$AG$182,31,FALSE)</f>
        <v>0</v>
      </c>
      <c r="K56" s="391"/>
      <c r="L56" s="390" t="str">
        <f>"SUMNER"&amp;A56</f>
        <v>SUMNERR1.5YD3W</v>
      </c>
      <c r="M56" s="392">
        <f>+VLOOKUP(A56,[52]Sumner!$B$110:$AG$186,31,FALSE)</f>
        <v>1.5268416927899691</v>
      </c>
      <c r="N56" s="409"/>
      <c r="O56" s="390" t="str">
        <f>"BUCKLEY"&amp;A56</f>
        <v>BUCKLEYR1.5YD3W</v>
      </c>
      <c r="P56" s="392">
        <f>+VLOOKUP(A56,[52]Buckley!$B$112:$AH$189,32,FALSE)</f>
        <v>0</v>
      </c>
      <c r="Q56" s="391"/>
      <c r="R56" s="390" t="str">
        <f>"MILTON"&amp;A56</f>
        <v>MILTONR1.5YD3W</v>
      </c>
      <c r="S56" s="392">
        <f>+VLOOKUP(A56,[52]Milton!$B$106:$AG$183,31,FALSE)</f>
        <v>12</v>
      </c>
      <c r="T56" s="391"/>
      <c r="U56" s="390" t="str">
        <f>"ORTING"&amp;A56</f>
        <v>ORTINGR1.5YD3W</v>
      </c>
      <c r="V56" s="392">
        <f>+VLOOKUP(A56,[52]Orting!$B$106:$AG$183,31,FALSE)</f>
        <v>0</v>
      </c>
      <c r="W56" s="391"/>
      <c r="X56" s="390" t="str">
        <f>"CARBONADO"&amp;A56</f>
        <v>CARBONADOR1.5YD3W</v>
      </c>
      <c r="Y56" s="392">
        <f>+VLOOKUP(A56,[52]Carbonado!$B$104:$AG$180,31,FALSE)</f>
        <v>0</v>
      </c>
      <c r="Z56" s="391"/>
      <c r="AA56" s="390" t="str">
        <f>"RUSTON"&amp;A56</f>
        <v>RUSTONR1.5YD3W</v>
      </c>
      <c r="AB56" s="392">
        <f>+VLOOKUP(A56,[52]Ruston!$B$103:$AH$181,32,FALSE)</f>
        <v>0</v>
      </c>
      <c r="AC56" s="391"/>
      <c r="AD56" s="392">
        <f>SUM(G56:AB56)</f>
        <v>20.776831736993707</v>
      </c>
      <c r="AF56" s="410">
        <f>[53]References!$C$6</f>
        <v>12.99</v>
      </c>
      <c r="AG56" s="407">
        <f>+AD56*AF56</f>
        <v>269.89104426354828</v>
      </c>
      <c r="AH56" s="392">
        <f>[53]References!$C$33</f>
        <v>250</v>
      </c>
      <c r="AI56" s="392">
        <f>+AG56*AH56</f>
        <v>67472.761065887069</v>
      </c>
      <c r="AJ56" s="392">
        <f ca="1">+AI56*'Reg-MUR'!$C$138</f>
        <v>48799.513957800125</v>
      </c>
      <c r="AK56" s="391"/>
      <c r="AL56" s="420"/>
      <c r="AM56" s="410"/>
    </row>
    <row r="57" spans="1:39">
      <c r="A57" s="408" t="s">
        <v>403</v>
      </c>
      <c r="B57" s="408" t="s">
        <v>212</v>
      </c>
      <c r="D57" s="391"/>
      <c r="E57" s="391"/>
      <c r="F57" s="390" t="str">
        <f>"PUYALLUP"&amp;A57</f>
        <v>PUYALLUPR1.5YDEX</v>
      </c>
      <c r="G57" s="392">
        <f>+VLOOKUP(A57,[52]Puyallup!$B$106:$AG$186,31,FALSE)</f>
        <v>3</v>
      </c>
      <c r="H57" s="391"/>
      <c r="I57" s="390" t="str">
        <f>"BONNEY LAKE"&amp;A57</f>
        <v>BONNEY LAKER1.5YDEX</v>
      </c>
      <c r="J57" s="392">
        <f>+VLOOKUP(A57,[52]BonneyLake!$B$105:$AG$182,31,FALSE)</f>
        <v>0</v>
      </c>
      <c r="K57" s="391"/>
      <c r="L57" s="390" t="str">
        <f>"SUMNER"&amp;A57</f>
        <v>SUMNERR1.5YDEX</v>
      </c>
      <c r="M57" s="392">
        <f>+VLOOKUP(A57,[52]Sumner!$B$110:$AG$186,31,FALSE)</f>
        <v>2</v>
      </c>
      <c r="N57" s="409"/>
      <c r="O57" s="390" t="str">
        <f>"BUCKLEY"&amp;A57</f>
        <v>BUCKLEYR1.5YDEX</v>
      </c>
      <c r="P57" s="392">
        <f>+VLOOKUP(A57,[52]Buckley!$B$112:$AH$189,32,FALSE)</f>
        <v>0</v>
      </c>
      <c r="Q57" s="391"/>
      <c r="R57" s="390" t="str">
        <f>"MILTON"&amp;A57</f>
        <v>MILTONR1.5YDEX</v>
      </c>
      <c r="S57" s="392">
        <f>+VLOOKUP(A57,[52]Milton!$B$106:$AG$183,31,FALSE)</f>
        <v>0</v>
      </c>
      <c r="T57" s="391"/>
      <c r="U57" s="390" t="str">
        <f>"ORTING"&amp;A57</f>
        <v>ORTINGR1.5YDEX</v>
      </c>
      <c r="V57" s="392">
        <f>+VLOOKUP(A57,[52]Orting!$B$106:$AG$183,31,FALSE)</f>
        <v>0</v>
      </c>
      <c r="W57" s="391"/>
      <c r="X57" s="390" t="str">
        <f>"CARBONADO"&amp;A57</f>
        <v>CARBONADOR1.5YDEX</v>
      </c>
      <c r="Y57" s="392">
        <f>+VLOOKUP(A57,[52]Carbonado!$B$104:$AG$180,31,FALSE)</f>
        <v>0</v>
      </c>
      <c r="Z57" s="391"/>
      <c r="AA57" s="390" t="str">
        <f>"RUSTON"&amp;A57</f>
        <v>RUSTONR1.5YDEX</v>
      </c>
      <c r="AB57" s="392">
        <f>+VLOOKUP(A57,[52]Ruston!$B$103:$AH$181,32,FALSE)</f>
        <v>0</v>
      </c>
      <c r="AC57" s="391"/>
      <c r="AD57" s="392">
        <f>SUM(G57:AB57)</f>
        <v>5</v>
      </c>
      <c r="AF57" s="391">
        <v>1</v>
      </c>
      <c r="AG57" s="407">
        <f>+AD57*AF57</f>
        <v>5</v>
      </c>
      <c r="AH57" s="392">
        <f>[53]References!$C$33</f>
        <v>250</v>
      </c>
      <c r="AI57" s="392">
        <f>+AG57*AH57</f>
        <v>1250</v>
      </c>
      <c r="AJ57" s="392">
        <f ca="1">+AI57*'Reg-MUR'!$C$138</f>
        <v>904.05952689092305</v>
      </c>
      <c r="AK57" s="391"/>
      <c r="AL57" s="420"/>
      <c r="AM57" s="410"/>
    </row>
    <row r="58" spans="1:39">
      <c r="A58" s="408" t="s">
        <v>405</v>
      </c>
      <c r="B58" s="408" t="s">
        <v>406</v>
      </c>
      <c r="D58" s="391"/>
      <c r="F58" s="390" t="str">
        <f>"PUYALLUP"&amp;A58</f>
        <v>PUYALLUPR1YD1W</v>
      </c>
      <c r="G58" s="392">
        <f>+VLOOKUP(A58,[52]Puyallup!$B$106:$AG$186,31,FALSE)</f>
        <v>1507.2333369478422</v>
      </c>
      <c r="I58" s="390" t="str">
        <f>"BONNEY LAKE"&amp;A58</f>
        <v>BONNEY LAKER1YD1W</v>
      </c>
      <c r="J58" s="392">
        <f>+VLOOKUP(A58,[52]BonneyLake!$B$105:$AG$182,31,FALSE)</f>
        <v>467.20048670385188</v>
      </c>
      <c r="L58" s="390" t="str">
        <f>"SUMNER"&amp;A58</f>
        <v>SUMNERR1YD1W</v>
      </c>
      <c r="M58" s="392">
        <f>+VLOOKUP(A58,[52]Sumner!$B$110:$AG$186,31,FALSE)</f>
        <v>1139.5267300358591</v>
      </c>
      <c r="N58" s="409"/>
      <c r="O58" s="390" t="str">
        <f>"BUCKLEY"&amp;A58</f>
        <v>BUCKLEYR1YD1W</v>
      </c>
      <c r="P58" s="392">
        <f>+VLOOKUP(A58,[52]Buckley!$B$112:$AH$189,32,FALSE)</f>
        <v>276.08200770674836</v>
      </c>
      <c r="R58" s="390" t="str">
        <f>"MILTON"&amp;A58</f>
        <v>MILTONR1YD1W</v>
      </c>
      <c r="S58" s="392">
        <f>+VLOOKUP(A58,[52]Milton!$B$106:$AG$183,31,FALSE)</f>
        <v>282.74984517384763</v>
      </c>
      <c r="U58" s="390" t="str">
        <f>"ORTING"&amp;A58</f>
        <v>ORTINGR1YD1W</v>
      </c>
      <c r="V58" s="392">
        <f>+VLOOKUP(A58,[52]Orting!$B$106:$AG$183,31,FALSE)</f>
        <v>264.23212453163336</v>
      </c>
      <c r="X58" s="390" t="str">
        <f>"CARBONADO"&amp;A58</f>
        <v>CARBONADOR1YD1W</v>
      </c>
      <c r="Y58" s="392">
        <f>+VLOOKUP(A58,[52]Carbonado!$B$104:$AG$180,31,FALSE)</f>
        <v>22.499952816834952</v>
      </c>
      <c r="AA58" s="390" t="str">
        <f>"RUSTON"&amp;A58</f>
        <v>RUSTONR1YD1W</v>
      </c>
      <c r="AB58" s="392">
        <f>+VLOOKUP(A58,[52]Ruston!$B$103:$AH$181,32,FALSE)</f>
        <v>5.4999105065330234</v>
      </c>
      <c r="AD58" s="392">
        <f>SUM(G58:AB58)</f>
        <v>3965.0243944231506</v>
      </c>
      <c r="AF58" s="410">
        <f>[53]References!$C$8</f>
        <v>4.33</v>
      </c>
      <c r="AG58" s="407">
        <f>+AD58*AF58</f>
        <v>17168.555627852242</v>
      </c>
      <c r="AH58" s="392">
        <f>[53]References!$C$32</f>
        <v>175</v>
      </c>
      <c r="AI58" s="392">
        <f>+AG58*AH58</f>
        <v>3004497.2348741423</v>
      </c>
      <c r="AJ58" s="392">
        <f ca="1">+AI58*'Reg-MUR'!$C$138</f>
        <v>2172995.4789643232</v>
      </c>
      <c r="AL58" s="420"/>
      <c r="AM58" s="410"/>
    </row>
    <row r="59" spans="1:39">
      <c r="A59" s="408" t="s">
        <v>407</v>
      </c>
      <c r="B59" s="408" t="s">
        <v>129</v>
      </c>
      <c r="D59" s="391"/>
      <c r="F59" s="390" t="str">
        <f>"PUYALLUP"&amp;A59</f>
        <v>PUYALLUPR1YD2W</v>
      </c>
      <c r="G59" s="392">
        <f>+VLOOKUP(A59,[52]Puyallup!$B$106:$AG$186,31,FALSE)</f>
        <v>36.249980355178373</v>
      </c>
      <c r="I59" s="390" t="str">
        <f>"BONNEY LAKE"&amp;A59</f>
        <v>BONNEY LAKER1YD2W</v>
      </c>
      <c r="J59" s="392">
        <f>+VLOOKUP(A59,[52]BonneyLake!$B$105:$AG$182,31,FALSE)</f>
        <v>13</v>
      </c>
      <c r="L59" s="390" t="str">
        <f>"SUMNER"&amp;A59</f>
        <v>SUMNERR1YD2W</v>
      </c>
      <c r="M59" s="392">
        <f>+VLOOKUP(A59,[52]Sumner!$B$110:$AG$186,31,FALSE)</f>
        <v>11.582021916453819</v>
      </c>
      <c r="N59" s="409"/>
      <c r="O59" s="390" t="str">
        <f>"BUCKLEY"&amp;A59</f>
        <v>BUCKLEYR1YD2W</v>
      </c>
      <c r="P59" s="392">
        <f>+VLOOKUP(A59,[52]Buckley!$B$112:$AH$189,32,FALSE)</f>
        <v>11.045642191196253</v>
      </c>
      <c r="R59" s="390" t="str">
        <f>"MILTON"&amp;A59</f>
        <v>MILTONR1YD2W</v>
      </c>
      <c r="S59" s="392">
        <f>+VLOOKUP(A59,[52]Milton!$B$106:$AG$183,31,FALSE)</f>
        <v>0</v>
      </c>
      <c r="U59" s="390" t="str">
        <f>"ORTING"&amp;A59</f>
        <v>ORTINGR1YD2W</v>
      </c>
      <c r="V59" s="392">
        <f>+VLOOKUP(A59,[52]Orting!$B$106:$AG$183,31,FALSE)</f>
        <v>0</v>
      </c>
      <c r="X59" s="390" t="str">
        <f>"CARBONADO"&amp;A59</f>
        <v>CARBONADOR1YD2W</v>
      </c>
      <c r="Y59" s="392">
        <f>+VLOOKUP(A59,[52]Carbonado!$B$104:$AG$180,31,FALSE)</f>
        <v>0</v>
      </c>
      <c r="AA59" s="390" t="str">
        <f>"RUSTON"&amp;A59</f>
        <v>RUSTONR1YD2W</v>
      </c>
      <c r="AB59" s="392">
        <f>+VLOOKUP(A59,[52]Ruston!$B$103:$AH$181,32,FALSE)</f>
        <v>0</v>
      </c>
      <c r="AD59" s="392">
        <f>SUM(G59:AB59)</f>
        <v>71.877644462828442</v>
      </c>
      <c r="AF59" s="410">
        <f>[53]References!$C$7</f>
        <v>8.66</v>
      </c>
      <c r="AG59" s="407">
        <f>+AD59*AF59</f>
        <v>622.46040104809435</v>
      </c>
      <c r="AH59" s="392">
        <f>[53]References!$C$32</f>
        <v>175</v>
      </c>
      <c r="AI59" s="392">
        <f>+AG59*AH59</f>
        <v>108930.57018341651</v>
      </c>
      <c r="AJ59" s="392">
        <f ca="1">+AI59*'Reg-MUR'!$C$138</f>
        <v>78783.775795182417</v>
      </c>
      <c r="AL59" s="420"/>
      <c r="AM59" s="410"/>
    </row>
    <row r="60" spans="1:39">
      <c r="A60" s="408" t="s">
        <v>409</v>
      </c>
      <c r="B60" s="408" t="s">
        <v>213</v>
      </c>
      <c r="D60" s="391"/>
      <c r="F60" s="390" t="str">
        <f>"PUYALLUP"&amp;A60</f>
        <v>PUYALLUPR1YDEX</v>
      </c>
      <c r="G60" s="392">
        <f>+VLOOKUP(A60,[52]Puyallup!$B$106:$AG$186,31,FALSE)</f>
        <v>3</v>
      </c>
      <c r="I60" s="390" t="str">
        <f>"BONNEY LAKE"&amp;A60</f>
        <v>BONNEY LAKER1YDEX</v>
      </c>
      <c r="J60" s="392">
        <f>+VLOOKUP(A60,[52]BonneyLake!$B$105:$AG$182,31,FALSE)</f>
        <v>1</v>
      </c>
      <c r="L60" s="390" t="str">
        <f>"SUMNER"&amp;A60</f>
        <v>SUMNERR1YDEX</v>
      </c>
      <c r="M60" s="392">
        <f>+VLOOKUP(A60,[52]Sumner!$B$110:$AG$186,31,FALSE)</f>
        <v>4</v>
      </c>
      <c r="N60" s="409"/>
      <c r="O60" s="390" t="str">
        <f>"BUCKLEY"&amp;A60</f>
        <v>BUCKLEYR1YDEX</v>
      </c>
      <c r="P60" s="392">
        <f>+VLOOKUP(A60,[52]Buckley!$B$112:$AH$189,32,FALSE)</f>
        <v>0</v>
      </c>
      <c r="R60" s="390" t="str">
        <f>"MILTON"&amp;A60</f>
        <v>MILTONR1YDEX</v>
      </c>
      <c r="S60" s="392">
        <f>+VLOOKUP(A60,[52]Milton!$B$106:$AG$183,31,FALSE)</f>
        <v>0</v>
      </c>
      <c r="U60" s="390" t="str">
        <f>"ORTING"&amp;A60</f>
        <v>ORTINGR1YDEX</v>
      </c>
      <c r="V60" s="392">
        <f>+VLOOKUP(A60,[52]Orting!$B$106:$AG$183,31,FALSE)</f>
        <v>0</v>
      </c>
      <c r="X60" s="390" t="str">
        <f>"CARBONADO"&amp;A60</f>
        <v>CARBONADOR1YDEX</v>
      </c>
      <c r="Y60" s="392">
        <f>+VLOOKUP(A60,[52]Carbonado!$B$104:$AG$180,31,FALSE)</f>
        <v>0</v>
      </c>
      <c r="AA60" s="390" t="str">
        <f>"RUSTON"&amp;A60</f>
        <v>RUSTONR1YDEX</v>
      </c>
      <c r="AB60" s="392">
        <f>+VLOOKUP(A60,[52]Ruston!$B$103:$AH$181,32,FALSE)</f>
        <v>0</v>
      </c>
      <c r="AD60" s="392">
        <f>SUM(G60:AB60)</f>
        <v>8</v>
      </c>
      <c r="AF60" s="410">
        <v>1</v>
      </c>
      <c r="AG60" s="407">
        <f>+AD60*AF60</f>
        <v>8</v>
      </c>
      <c r="AH60" s="392">
        <f>[53]References!$C$32</f>
        <v>175</v>
      </c>
      <c r="AI60" s="392">
        <f>+AG60*AH60</f>
        <v>1400</v>
      </c>
      <c r="AJ60" s="392">
        <f ca="1">+AI60*'Reg-MUR'!$C$138</f>
        <v>1012.5466701178339</v>
      </c>
      <c r="AL60" s="420"/>
      <c r="AM60" s="410"/>
    </row>
    <row r="61" spans="1:39">
      <c r="A61" s="408" t="s">
        <v>411</v>
      </c>
      <c r="B61" s="408" t="s">
        <v>132</v>
      </c>
      <c r="D61" s="391"/>
      <c r="F61" s="390" t="str">
        <f>"PUYALLUP"&amp;A61</f>
        <v>PUYALLUPR2YD1W</v>
      </c>
      <c r="G61" s="392">
        <f>+VLOOKUP(A61,[52]Puyallup!$B$106:$AG$186,31,FALSE)</f>
        <v>1733.8212803675531</v>
      </c>
      <c r="I61" s="390" t="str">
        <f>"BONNEY LAKE"&amp;A61</f>
        <v>BONNEY LAKER2YD1W</v>
      </c>
      <c r="J61" s="392">
        <f>+VLOOKUP(A61,[52]BonneyLake!$B$105:$AG$182,31,FALSE)</f>
        <v>487.24626120447431</v>
      </c>
      <c r="L61" s="390" t="str">
        <f>"SUMNER"&amp;A61</f>
        <v>SUMNERR2YD1W</v>
      </c>
      <c r="M61" s="392">
        <f>+VLOOKUP(A61,[52]Sumner!$B$110:$AG$186,31,FALSE)</f>
        <v>1221.2809157525828</v>
      </c>
      <c r="N61" s="409"/>
      <c r="O61" s="390" t="str">
        <f>"BUCKLEY"&amp;A61</f>
        <v>BUCKLEYR2YD1W</v>
      </c>
      <c r="P61" s="392">
        <f>+VLOOKUP(A61,[52]Buckley!$B$112:$AH$189,32,FALSE)</f>
        <v>236.33127123164792</v>
      </c>
      <c r="R61" s="390" t="str">
        <f>"MILTON"&amp;A61</f>
        <v>MILTONR2YD1W</v>
      </c>
      <c r="S61" s="392">
        <f>+VLOOKUP(A61,[52]Milton!$B$106:$AG$183,31,FALSE)</f>
        <v>312.72644574354808</v>
      </c>
      <c r="U61" s="390" t="str">
        <f>"ORTING"&amp;A61</f>
        <v>ORTINGR2YD1W</v>
      </c>
      <c r="V61" s="392">
        <f>+VLOOKUP(A61,[52]Orting!$B$106:$AG$183,31,FALSE)</f>
        <v>122.06519865082959</v>
      </c>
      <c r="X61" s="390" t="str">
        <f>"CARBONADO"&amp;A61</f>
        <v>CARBONADOR2YD1W</v>
      </c>
      <c r="Y61" s="392">
        <f>+VLOOKUP(A61,[52]Carbonado!$B$104:$AG$180,31,FALSE)</f>
        <v>38.499973551970371</v>
      </c>
      <c r="AA61" s="390" t="str">
        <f>"RUSTON"&amp;A61</f>
        <v>RUSTONR2YD1W</v>
      </c>
      <c r="AB61" s="392">
        <f>+VLOOKUP(A61,[52]Ruston!$B$103:$AH$181,32,FALSE)</f>
        <v>19.99996450502254</v>
      </c>
      <c r="AD61" s="392">
        <f>SUM(G61:AB61)</f>
        <v>4171.9713110076291</v>
      </c>
      <c r="AF61" s="410">
        <f>[53]References!$C$8</f>
        <v>4.33</v>
      </c>
      <c r="AG61" s="407">
        <f>+AD61*AF61</f>
        <v>18064.635776663035</v>
      </c>
      <c r="AH61" s="392">
        <f>[53]References!$C$34</f>
        <v>324</v>
      </c>
      <c r="AI61" s="392">
        <f>+AG61*AH61</f>
        <v>5852941.9916388234</v>
      </c>
      <c r="AJ61" s="392">
        <f ca="1">+AI61*'Reg-MUR'!$C$138</f>
        <v>4233126.3743048096</v>
      </c>
      <c r="AL61" s="420"/>
      <c r="AM61" s="410"/>
    </row>
    <row r="62" spans="1:39">
      <c r="A62" s="408" t="s">
        <v>412</v>
      </c>
      <c r="B62" s="408" t="s">
        <v>133</v>
      </c>
      <c r="D62" s="391"/>
      <c r="F62" s="390" t="str">
        <f>"PUYALLUP"&amp;A62</f>
        <v>PUYALLUPR2YD2W</v>
      </c>
      <c r="G62" s="392">
        <f>+VLOOKUP(A62,[52]Puyallup!$B$106:$AG$186,31,FALSE)</f>
        <v>498.45219556358819</v>
      </c>
      <c r="I62" s="390" t="str">
        <f>"BONNEY LAKE"&amp;A62</f>
        <v>BONNEY LAKER2YD2W</v>
      </c>
      <c r="J62" s="392">
        <f>+VLOOKUP(A62,[52]BonneyLake!$B$105:$AG$182,31,FALSE)</f>
        <v>155.99997599154904</v>
      </c>
      <c r="L62" s="390" t="str">
        <f>"SUMNER"&amp;A62</f>
        <v>SUMNERR2YD2W</v>
      </c>
      <c r="M62" s="392">
        <f>+VLOOKUP(A62,[52]Sumner!$B$110:$AG$186,31,FALSE)</f>
        <v>247.62530987222161</v>
      </c>
      <c r="N62" s="409"/>
      <c r="O62" s="390" t="str">
        <f>"BUCKLEY"&amp;A62</f>
        <v>BUCKLEYR2YD2W</v>
      </c>
      <c r="P62" s="392">
        <f>+VLOOKUP(A62,[52]Buckley!$B$112:$AH$189,32,FALSE)</f>
        <v>88.894340263843659</v>
      </c>
      <c r="R62" s="390" t="str">
        <f>"MILTON"&amp;A62</f>
        <v>MILTONR2YD2W</v>
      </c>
      <c r="S62" s="392">
        <f>+VLOOKUP(A62,[52]Milton!$B$106:$AG$183,31,FALSE)</f>
        <v>85.782585395405192</v>
      </c>
      <c r="U62" s="390" t="str">
        <f>"ORTING"&amp;A62</f>
        <v>ORTINGR2YD2W</v>
      </c>
      <c r="V62" s="392">
        <f>+VLOOKUP(A62,[52]Orting!$B$106:$AG$183,31,FALSE)</f>
        <v>12</v>
      </c>
      <c r="X62" s="390" t="str">
        <f>"CARBONADO"&amp;A62</f>
        <v>CARBONADOR2YD2W</v>
      </c>
      <c r="Y62" s="392">
        <f>+VLOOKUP(A62,[52]Carbonado!$B$104:$AG$180,31,FALSE)</f>
        <v>0</v>
      </c>
      <c r="AA62" s="390" t="str">
        <f>"RUSTON"&amp;A62</f>
        <v>RUSTONR2YD2W</v>
      </c>
      <c r="AB62" s="392">
        <f>+VLOOKUP(A62,[52]Ruston!$B$103:$AH$181,32,FALSE)</f>
        <v>6.5</v>
      </c>
      <c r="AD62" s="392">
        <f>SUM(G62:AB62)</f>
        <v>1095.2544070866077</v>
      </c>
      <c r="AF62" s="410">
        <f>[53]References!$C$7</f>
        <v>8.66</v>
      </c>
      <c r="AG62" s="407">
        <f>+AD62*AF62</f>
        <v>9484.9031653700222</v>
      </c>
      <c r="AH62" s="392">
        <f>[53]References!$C$34</f>
        <v>324</v>
      </c>
      <c r="AI62" s="392">
        <f>+AG62*AH62</f>
        <v>3073108.6255798871</v>
      </c>
      <c r="AJ62" s="392">
        <f ca="1">+AI62*'Reg-MUR'!$C$138</f>
        <v>2222618.5041009341</v>
      </c>
      <c r="AL62" s="420"/>
      <c r="AM62" s="410"/>
    </row>
    <row r="63" spans="1:39">
      <c r="A63" s="408" t="s">
        <v>413</v>
      </c>
      <c r="B63" s="408" t="s">
        <v>134</v>
      </c>
      <c r="D63" s="391"/>
      <c r="F63" s="390" t="str">
        <f>"PUYALLUP"&amp;A63</f>
        <v>PUYALLUPR2YD3W</v>
      </c>
      <c r="G63" s="392">
        <f>+VLOOKUP(A63,[52]Puyallup!$B$106:$AG$186,31,FALSE)</f>
        <v>216</v>
      </c>
      <c r="I63" s="390" t="str">
        <f>"BONNEY LAKE"&amp;A63</f>
        <v>BONNEY LAKER2YD3W</v>
      </c>
      <c r="J63" s="392">
        <f>+VLOOKUP(A63,[52]BonneyLake!$B$105:$AG$182,31,FALSE)</f>
        <v>133</v>
      </c>
      <c r="L63" s="390" t="str">
        <f>"SUMNER"&amp;A63</f>
        <v>SUMNERR2YD3W</v>
      </c>
      <c r="M63" s="392">
        <f>+VLOOKUP(A63,[52]Sumner!$B$110:$AG$186,31,FALSE)</f>
        <v>137.37510051738002</v>
      </c>
      <c r="N63" s="409"/>
      <c r="O63" s="390" t="str">
        <f>"BUCKLEY"&amp;A63</f>
        <v>BUCKLEYR2YD3W</v>
      </c>
      <c r="P63" s="392">
        <f>+VLOOKUP(A63,[52]Buckley!$B$112:$AH$189,32,FALSE)</f>
        <v>9.7711238222397547</v>
      </c>
      <c r="R63" s="390" t="str">
        <f>"MILTON"&amp;A63</f>
        <v>MILTONR2YD3W</v>
      </c>
      <c r="S63" s="392">
        <f>+VLOOKUP(A63,[52]Milton!$B$106:$AG$183,31,FALSE)</f>
        <v>24</v>
      </c>
      <c r="U63" s="390" t="str">
        <f>"ORTING"&amp;A63</f>
        <v>ORTINGR2YD3W</v>
      </c>
      <c r="V63" s="392">
        <f>+VLOOKUP(A63,[52]Orting!$B$106:$AG$183,31,FALSE)</f>
        <v>0</v>
      </c>
      <c r="X63" s="390" t="str">
        <f>"CARBONADO"&amp;A63</f>
        <v>CARBONADOR2YD3W</v>
      </c>
      <c r="Y63" s="392">
        <f>+VLOOKUP(A63,[52]Carbonado!$B$104:$AG$180,31,FALSE)</f>
        <v>0</v>
      </c>
      <c r="AA63" s="390" t="str">
        <f>"RUSTON"&amp;A63</f>
        <v>RUSTONR2YD3W</v>
      </c>
      <c r="AB63" s="392">
        <f>+VLOOKUP(A63,[52]Ruston!$B$103:$AH$181,32,FALSE)</f>
        <v>0</v>
      </c>
      <c r="AD63" s="392">
        <f>SUM(G63:AB63)</f>
        <v>520.14622433961972</v>
      </c>
      <c r="AF63" s="410">
        <f>[53]References!$C$6</f>
        <v>12.99</v>
      </c>
      <c r="AG63" s="407">
        <f>+AD63*AF63</f>
        <v>6756.6994541716604</v>
      </c>
      <c r="AH63" s="392">
        <f>[53]References!$C$34</f>
        <v>324</v>
      </c>
      <c r="AI63" s="392">
        <f>+AG63*AH63</f>
        <v>2189170.6231516181</v>
      </c>
      <c r="AJ63" s="392">
        <f ca="1">+AI63*'Reg-MUR'!$C$138</f>
        <v>1583312.4462799672</v>
      </c>
      <c r="AL63" s="420"/>
      <c r="AM63" s="410"/>
    </row>
    <row r="64" spans="1:39">
      <c r="A64" s="408" t="s">
        <v>414</v>
      </c>
      <c r="B64" s="408" t="s">
        <v>135</v>
      </c>
      <c r="D64" s="391"/>
      <c r="F64" s="390" t="str">
        <f>"PUYALLUP"&amp;A64</f>
        <v>PUYALLUPR2YD4W</v>
      </c>
      <c r="G64" s="392">
        <f>+VLOOKUP(A64,[52]Puyallup!$B$106:$AG$186,31,FALSE)</f>
        <v>36</v>
      </c>
      <c r="I64" s="390" t="str">
        <f>"BONNEY LAKE"&amp;A64</f>
        <v>BONNEY LAKER2YD4W</v>
      </c>
      <c r="J64" s="392">
        <f>+VLOOKUP(A64,[52]BonneyLake!$B$105:$AG$182,31,FALSE)</f>
        <v>14</v>
      </c>
      <c r="L64" s="390" t="str">
        <f>"SUMNER"&amp;A64</f>
        <v>SUMNERR2YD4W</v>
      </c>
      <c r="M64" s="392">
        <f>+VLOOKUP(A64,[52]Sumner!$B$110:$AG$186,31,FALSE)</f>
        <v>12</v>
      </c>
      <c r="N64" s="409"/>
      <c r="O64" s="390" t="str">
        <f>"BUCKLEY"&amp;A64</f>
        <v>BUCKLEYR2YD4W</v>
      </c>
      <c r="P64" s="392">
        <f>+VLOOKUP(A64,[52]Buckley!$B$112:$AH$189,32,FALSE)</f>
        <v>0</v>
      </c>
      <c r="R64" s="390" t="str">
        <f>"MILTON"&amp;A64</f>
        <v>MILTONR2YD4W</v>
      </c>
      <c r="S64" s="392">
        <f>+VLOOKUP(A64,[52]Milton!$B$106:$AG$183,31,FALSE)</f>
        <v>0</v>
      </c>
      <c r="U64" s="390" t="str">
        <f>"ORTING"&amp;A64</f>
        <v>ORTINGR2YD4W</v>
      </c>
      <c r="V64" s="392">
        <f>+VLOOKUP(A64,[52]Orting!$B$106:$AG$183,31,FALSE)</f>
        <v>0</v>
      </c>
      <c r="X64" s="390" t="str">
        <f>"CARBONADO"&amp;A64</f>
        <v>CARBONADOR2YD4W</v>
      </c>
      <c r="Y64" s="392">
        <f>+VLOOKUP(A64,[52]Carbonado!$B$104:$AG$180,31,FALSE)</f>
        <v>0</v>
      </c>
      <c r="AA64" s="390" t="str">
        <f>"RUSTON"&amp;A64</f>
        <v>RUSTONR2YD4W</v>
      </c>
      <c r="AB64" s="392">
        <f>+VLOOKUP(A64,[52]Ruston!$B$103:$AH$181,32,FALSE)</f>
        <v>0</v>
      </c>
      <c r="AD64" s="392">
        <f>SUM(G64:AB64)</f>
        <v>62</v>
      </c>
      <c r="AF64" s="410">
        <f>[53]References!$C$5</f>
        <v>17.32</v>
      </c>
      <c r="AG64" s="407">
        <f>+AD64*AF64</f>
        <v>1073.8399999999999</v>
      </c>
      <c r="AH64" s="392">
        <f>[53]References!$C$34</f>
        <v>324</v>
      </c>
      <c r="AI64" s="392">
        <f>+AG64*AH64</f>
        <v>347924.16</v>
      </c>
      <c r="AJ64" s="392">
        <f ca="1">+AI64*'Reg-MUR'!$C$138</f>
        <v>251635.32118681745</v>
      </c>
      <c r="AL64" s="420"/>
      <c r="AM64" s="410"/>
    </row>
    <row r="65" spans="1:39">
      <c r="A65" s="408" t="s">
        <v>415</v>
      </c>
      <c r="B65" s="408" t="s">
        <v>136</v>
      </c>
      <c r="D65" s="391"/>
      <c r="F65" s="390" t="str">
        <f>"PUYALLUP"&amp;A65</f>
        <v>PUYALLUPR2YD5W</v>
      </c>
      <c r="G65" s="392">
        <f>+VLOOKUP(A65,[52]Puyallup!$B$106:$AG$186,31,FALSE)</f>
        <v>48</v>
      </c>
      <c r="I65" s="390" t="str">
        <f>"BONNEY LAKE"&amp;A65</f>
        <v>BONNEY LAKER2YD5W</v>
      </c>
      <c r="J65" s="392">
        <f>+VLOOKUP(A65,[52]BonneyLake!$B$105:$AG$182,31,FALSE)</f>
        <v>0</v>
      </c>
      <c r="L65" s="390" t="str">
        <f>"SUMNER"&amp;A65</f>
        <v>SUMNERR2YD5W</v>
      </c>
      <c r="M65" s="392">
        <f>+VLOOKUP(A65,[52]Sumner!$B$110:$AG$186,31,FALSE)</f>
        <v>0</v>
      </c>
      <c r="N65" s="409"/>
      <c r="O65" s="390" t="str">
        <f>"BUCKLEY"&amp;A65</f>
        <v>BUCKLEYR2YD5W</v>
      </c>
      <c r="P65" s="392">
        <f>+VLOOKUP(A65,[52]Buckley!$B$112:$AH$189,32,FALSE)</f>
        <v>0</v>
      </c>
      <c r="R65" s="390" t="str">
        <f>"MILTON"&amp;A65</f>
        <v>MILTONR2YD5W</v>
      </c>
      <c r="S65" s="392">
        <f>+VLOOKUP(A65,[52]Milton!$B$106:$AG$183,31,FALSE)</f>
        <v>0</v>
      </c>
      <c r="U65" s="390" t="str">
        <f>"ORTING"&amp;A65</f>
        <v>ORTINGR2YD5W</v>
      </c>
      <c r="V65" s="392">
        <f>+VLOOKUP(A65,[52]Orting!$B$106:$AG$183,31,FALSE)</f>
        <v>0</v>
      </c>
      <c r="X65" s="390" t="str">
        <f>"CARBONADO"&amp;A65</f>
        <v>CARBONADOR2YD5W</v>
      </c>
      <c r="Y65" s="392">
        <f>+VLOOKUP(A65,[52]Carbonado!$B$104:$AG$180,31,FALSE)</f>
        <v>0</v>
      </c>
      <c r="AA65" s="390" t="str">
        <f>"RUSTON"&amp;A65</f>
        <v>RUSTONR2YD5W</v>
      </c>
      <c r="AB65" s="392">
        <f>+VLOOKUP(A65,[52]Ruston!$B$103:$AH$181,32,FALSE)</f>
        <v>0</v>
      </c>
      <c r="AD65" s="392">
        <f>SUM(G65:AB65)</f>
        <v>48</v>
      </c>
      <c r="AF65" s="410">
        <f>[53]References!$C$4</f>
        <v>21.65</v>
      </c>
      <c r="AG65" s="407">
        <f>+AD65*AF65</f>
        <v>1039.1999999999998</v>
      </c>
      <c r="AH65" s="392">
        <f>[53]References!$C$34</f>
        <v>324</v>
      </c>
      <c r="AI65" s="392">
        <f>+AG65*AH65</f>
        <v>336700.79999999993</v>
      </c>
      <c r="AJ65" s="392">
        <f ca="1">+AI65*'Reg-MUR'!$C$138</f>
        <v>243518.05276143621</v>
      </c>
      <c r="AL65" s="420"/>
      <c r="AM65" s="410"/>
    </row>
    <row r="66" spans="1:39">
      <c r="A66" s="408" t="s">
        <v>416</v>
      </c>
      <c r="B66" s="408" t="s">
        <v>215</v>
      </c>
      <c r="D66" s="391"/>
      <c r="F66" s="390" t="str">
        <f>"PUYALLUP"&amp;A66</f>
        <v>PUYALLUPR2YDEX</v>
      </c>
      <c r="G66" s="392">
        <f>+VLOOKUP(A66,[52]Puyallup!$B$106:$AG$186,31,FALSE)</f>
        <v>79</v>
      </c>
      <c r="I66" s="390" t="str">
        <f>"BONNEY LAKE"&amp;A66</f>
        <v>BONNEY LAKER2YDEX</v>
      </c>
      <c r="J66" s="392">
        <f>+VLOOKUP(A66,[52]BonneyLake!$B$105:$AG$182,31,FALSE)</f>
        <v>1</v>
      </c>
      <c r="L66" s="390" t="str">
        <f>"SUMNER"&amp;A66</f>
        <v>SUMNERR2YDEX</v>
      </c>
      <c r="M66" s="392">
        <f>+VLOOKUP(A66,[52]Sumner!$B$110:$AG$186,31,FALSE)</f>
        <v>2</v>
      </c>
      <c r="N66" s="409"/>
      <c r="O66" s="390" t="str">
        <f>"BUCKLEY"&amp;A66</f>
        <v>BUCKLEYR2YDEX</v>
      </c>
      <c r="P66" s="392">
        <f>+VLOOKUP(A66,[52]Buckley!$B$112:$AH$189,32,FALSE)</f>
        <v>2</v>
      </c>
      <c r="R66" s="390" t="str">
        <f>"MILTON"&amp;A66</f>
        <v>MILTONR2YDEX</v>
      </c>
      <c r="S66" s="392">
        <f>+VLOOKUP(A66,[52]Milton!$B$106:$AG$183,31,FALSE)</f>
        <v>0</v>
      </c>
      <c r="U66" s="390" t="str">
        <f>"ORTING"&amp;A66</f>
        <v>ORTINGR2YDEX</v>
      </c>
      <c r="V66" s="392">
        <f>+VLOOKUP(A66,[52]Orting!$B$106:$AG$183,31,FALSE)</f>
        <v>1</v>
      </c>
      <c r="X66" s="390" t="str">
        <f>"CARBONADO"&amp;A66</f>
        <v>CARBONADOR2YDEX</v>
      </c>
      <c r="Y66" s="392">
        <f>+VLOOKUP(A66,[52]Carbonado!$B$104:$AG$180,31,FALSE)</f>
        <v>0</v>
      </c>
      <c r="AA66" s="390" t="str">
        <f>"RUSTON"&amp;A66</f>
        <v>RUSTONR2YDEX</v>
      </c>
      <c r="AB66" s="392">
        <f>+VLOOKUP(A66,[52]Ruston!$B$103:$AH$181,32,FALSE)</f>
        <v>6</v>
      </c>
      <c r="AD66" s="392">
        <f>SUM(G66:AB66)</f>
        <v>91</v>
      </c>
      <c r="AF66" s="410">
        <v>1</v>
      </c>
      <c r="AG66" s="407">
        <f>+AD66*AF66</f>
        <v>91</v>
      </c>
      <c r="AH66" s="392">
        <f>[53]References!$C$34</f>
        <v>324</v>
      </c>
      <c r="AI66" s="392">
        <f>+AG66*AH66</f>
        <v>29484</v>
      </c>
      <c r="AJ66" s="392">
        <f ca="1">+AI66*'Reg-MUR'!$C$138</f>
        <v>21324.232872681579</v>
      </c>
      <c r="AL66" s="420"/>
      <c r="AM66" s="410"/>
    </row>
    <row r="67" spans="1:39">
      <c r="A67" s="412"/>
      <c r="B67" s="412"/>
      <c r="AG67" s="407"/>
      <c r="AI67" s="407"/>
      <c r="AJ67" s="407"/>
    </row>
    <row r="68" spans="1:39">
      <c r="B68" s="413" t="s">
        <v>791</v>
      </c>
      <c r="D68" s="414">
        <f>+SUM(D28:D67)</f>
        <v>0</v>
      </c>
      <c r="E68" s="415"/>
      <c r="F68" s="415"/>
      <c r="G68" s="416">
        <f>+SUM(G28:G67)</f>
        <v>9363.3021865586852</v>
      </c>
      <c r="H68" s="415"/>
      <c r="I68" s="415"/>
      <c r="J68" s="421">
        <f>+SUM(J28:J67)</f>
        <v>2876.3335631612117</v>
      </c>
      <c r="K68" s="415"/>
      <c r="L68" s="415"/>
      <c r="M68" s="416">
        <f>+SUM(M28:M67)</f>
        <v>6410.8378756629609</v>
      </c>
      <c r="N68" s="422"/>
      <c r="O68" s="415"/>
      <c r="P68" s="416">
        <f>+SUM(P28:P67)</f>
        <v>1491.5909035648151</v>
      </c>
      <c r="Q68" s="415"/>
      <c r="R68" s="415"/>
      <c r="S68" s="416">
        <f>+SUM(S28:S67)</f>
        <v>1631.3255632669725</v>
      </c>
      <c r="T68" s="415"/>
      <c r="U68" s="415"/>
      <c r="V68" s="416">
        <f>+SUM(V28:V67)</f>
        <v>951.07960606193296</v>
      </c>
      <c r="W68" s="415"/>
      <c r="X68" s="415"/>
      <c r="Y68" s="416">
        <f>+SUM(Y28:Y67)</f>
        <v>78.999926368805319</v>
      </c>
      <c r="Z68" s="415"/>
      <c r="AA68" s="415"/>
      <c r="AB68" s="416">
        <f>+SUM(AB28:AB67)</f>
        <v>602.50486303589298</v>
      </c>
      <c r="AC68" s="415"/>
      <c r="AD68" s="423">
        <f>+SUM(AD28:AD67)</f>
        <v>23405.974487681273</v>
      </c>
      <c r="AE68" s="423"/>
      <c r="AF68" s="423">
        <f>+SUM(AF28:AF67)</f>
        <v>293.78000000000003</v>
      </c>
      <c r="AG68" s="423">
        <f>+SUM(AG28:AG67)</f>
        <v>114614.4379892749</v>
      </c>
      <c r="AH68" s="423">
        <f>+SUM(AH28:AH67)</f>
        <v>20149</v>
      </c>
      <c r="AI68" s="423">
        <f>+SUM(AI28:AI67)</f>
        <v>51052859.87532758</v>
      </c>
      <c r="AJ68" s="423">
        <f ca="1">+SUM(AJ28:AJ67)</f>
        <v>36923859.476253785</v>
      </c>
    </row>
    <row r="69" spans="1:39">
      <c r="B69" s="413"/>
      <c r="D69" s="410"/>
      <c r="G69" s="424">
        <f>G68-SUM([52]Puyallup!$AF$183,[52]Puyallup!$AF$173,[52]Puyallup!$AF$172,[52]Puyallup!$AF$106:$AF$159,[52]Puyallup!$AF$162:$AF$168)</f>
        <v>0</v>
      </c>
      <c r="J69" s="424">
        <f>+J68-SUM([52]BonneyLake!$AF$105:$AF$158,[52]BonneyLake!$AF$162:$AF$167,[52]BonneyLake!$AF$171,[52]BonneyLake!$AF$172)</f>
        <v>0</v>
      </c>
      <c r="M69" s="425">
        <f>+M68-SUM([52]Sumner!$AF$110:$AF$163,[52]Sumner!$AF$165:$AF$172,[52]Sumner!$AF$176:$AF$177)</f>
        <v>0</v>
      </c>
      <c r="N69" s="426"/>
      <c r="P69" s="425">
        <f>P68-SUM([52]Buckley!$AG$112:$AG$165,[52]Buckley!$AG$166:$AG$172,[52]Buckley!$AG$176,[52]Buckley!$AG$177)</f>
        <v>0</v>
      </c>
      <c r="S69" s="425">
        <f>+S68-SUM([52]Milton!$AF$106:$AF$168,[52]Milton!$AF$172:$AF$173,[52]Milton!$AF$183)</f>
        <v>0</v>
      </c>
      <c r="V69" s="425">
        <f>+V68-SUM([52]Orting!$AF$172,[52]Orting!$AF$106:$AF$159,[52]Orting!$AF$162:$AF$168,[52]Orting!$AF$173)</f>
        <v>0</v>
      </c>
      <c r="Y69" s="425">
        <f>+Y68-SUM([52]Carbonado!$AF$104:$AF$157,[52]Carbonado!$AF$171)</f>
        <v>0</v>
      </c>
      <c r="AB69" s="424">
        <f>+AB68-SUM([52]Ruston!$AG$104:$AG$157,[52]Ruston!$AG$160:$AG$166,[52]Ruston!$AG$170,[52]Ruston!$AG$169,[52]Ruston!$AG$171)</f>
        <v>0</v>
      </c>
      <c r="AD69" s="407"/>
      <c r="AE69" s="407"/>
      <c r="AF69" s="407"/>
      <c r="AG69" s="407"/>
      <c r="AH69" s="407"/>
      <c r="AI69" s="407"/>
      <c r="AJ69" s="407"/>
    </row>
    <row r="70" spans="1:39">
      <c r="B70" s="413"/>
      <c r="G70" s="426"/>
      <c r="J70" s="485"/>
      <c r="K70"/>
      <c r="L70"/>
      <c r="M70" s="77"/>
      <c r="N70" s="426"/>
      <c r="S70" s="77"/>
      <c r="AB70" s="426"/>
      <c r="AG70" s="407"/>
      <c r="AI70" s="407"/>
      <c r="AJ70" s="407"/>
    </row>
    <row r="72" spans="1:39">
      <c r="P72" s="392">
        <f>+P69-P70</f>
        <v>0</v>
      </c>
    </row>
    <row r="73" spans="1:39">
      <c r="A73" s="404" t="s">
        <v>818</v>
      </c>
      <c r="B73" s="405"/>
    </row>
    <row r="74" spans="1:39">
      <c r="A74" s="397"/>
    </row>
    <row r="75" spans="1:39">
      <c r="A75" s="406" t="s">
        <v>817</v>
      </c>
      <c r="B75" s="406"/>
    </row>
    <row r="76" spans="1:39">
      <c r="A76" s="389" t="s">
        <v>688</v>
      </c>
      <c r="B76" s="389" t="s">
        <v>244</v>
      </c>
      <c r="G76" s="391">
        <v>0</v>
      </c>
      <c r="AD76" s="392">
        <f>SUM(G76:AB76)</f>
        <v>0</v>
      </c>
      <c r="AF76" s="410">
        <f>+[53]References!$C$8</f>
        <v>4.33</v>
      </c>
      <c r="AG76" s="407">
        <f>+AD76*AF76</f>
        <v>0</v>
      </c>
      <c r="AH76" s="432">
        <f>[53]References!$C$14</f>
        <v>20</v>
      </c>
      <c r="AI76" s="392">
        <f>+AG76*AH76</f>
        <v>0</v>
      </c>
      <c r="AJ76" s="392">
        <f ca="1">+AI76*'Reg-MUR'!$C$138</f>
        <v>0</v>
      </c>
    </row>
    <row r="77" spans="1:39">
      <c r="A77" s="389" t="s">
        <v>441</v>
      </c>
      <c r="B77" s="389" t="s">
        <v>218</v>
      </c>
      <c r="G77" s="391">
        <f>+VLOOKUP(A77,[52]Puyallup!$B$227:$AG$278,31,FALSE)</f>
        <v>0</v>
      </c>
      <c r="AD77" s="392">
        <f>SUM(G77:AB77)</f>
        <v>0</v>
      </c>
      <c r="AF77" s="410">
        <f>+[53]References!$C$8</f>
        <v>4.33</v>
      </c>
      <c r="AG77" s="407">
        <f>+AD77*AF77</f>
        <v>0</v>
      </c>
      <c r="AH77" s="432">
        <f>[53]References!$C$22</f>
        <v>40</v>
      </c>
      <c r="AI77" s="392">
        <f>+AG77*AH77</f>
        <v>0</v>
      </c>
      <c r="AJ77" s="392">
        <f ca="1">+AI77*'Reg-MUR'!$C$138</f>
        <v>0</v>
      </c>
    </row>
    <row r="78" spans="1:39">
      <c r="A78" s="389" t="s">
        <v>442</v>
      </c>
      <c r="B78" s="389" t="s">
        <v>219</v>
      </c>
      <c r="G78" s="391">
        <f>+VLOOKUP(A78,[52]Puyallup!$B$227:$AG$278,31,FALSE)</f>
        <v>0</v>
      </c>
      <c r="AD78" s="392">
        <f>SUM(G78:AB78)</f>
        <v>0</v>
      </c>
      <c r="AF78" s="410">
        <f>+[53]References!$C$8</f>
        <v>4.33</v>
      </c>
      <c r="AG78" s="407">
        <f>+AD78*AF78</f>
        <v>0</v>
      </c>
      <c r="AH78" s="432">
        <f>[53]References!$C$22</f>
        <v>40</v>
      </c>
      <c r="AI78" s="392">
        <f>+AG78*AH78</f>
        <v>0</v>
      </c>
      <c r="AJ78" s="392">
        <f ca="1">+AI78*'Reg-MUR'!$C$138</f>
        <v>0</v>
      </c>
    </row>
    <row r="79" spans="1:39">
      <c r="A79" s="389" t="s">
        <v>443</v>
      </c>
      <c r="B79" s="389" t="s">
        <v>220</v>
      </c>
      <c r="G79" s="391">
        <f>+VLOOKUP(A79,[52]Puyallup!$B$227:$AG$278,31,FALSE)</f>
        <v>0</v>
      </c>
      <c r="AD79" s="392">
        <f>SUM(G79:AB79)</f>
        <v>0</v>
      </c>
      <c r="AF79" s="410">
        <f>+[53]References!$C$8</f>
        <v>4.33</v>
      </c>
      <c r="AG79" s="407">
        <f>+AD79*AF79</f>
        <v>0</v>
      </c>
      <c r="AH79" s="432">
        <f>[53]References!$C$24</f>
        <v>51</v>
      </c>
      <c r="AI79" s="392">
        <f>+AG79*AH79</f>
        <v>0</v>
      </c>
      <c r="AJ79" s="392">
        <f ca="1">+AI79*'Reg-MUR'!$C$138</f>
        <v>0</v>
      </c>
    </row>
    <row r="80" spans="1:39">
      <c r="A80" s="389" t="s">
        <v>444</v>
      </c>
      <c r="B80" s="389" t="s">
        <v>221</v>
      </c>
      <c r="G80" s="391">
        <f>+VLOOKUP(A80,[52]Puyallup!$B$227:$AG$278,31,FALSE)</f>
        <v>0</v>
      </c>
      <c r="AD80" s="392">
        <f>SUM(G80:AB80)</f>
        <v>0</v>
      </c>
      <c r="AF80" s="410">
        <f>+[53]References!$C$8</f>
        <v>4.33</v>
      </c>
      <c r="AG80" s="407">
        <f>+AD80*AF80</f>
        <v>0</v>
      </c>
      <c r="AH80" s="432">
        <f>[53]References!$C$24</f>
        <v>51</v>
      </c>
      <c r="AI80" s="392">
        <f>+AG80*AH80</f>
        <v>0</v>
      </c>
      <c r="AJ80" s="392">
        <f ca="1">+AI80*'Reg-MUR'!$C$138</f>
        <v>0</v>
      </c>
    </row>
    <row r="81" spans="1:36">
      <c r="A81" s="389" t="s">
        <v>445</v>
      </c>
      <c r="B81" s="389" t="s">
        <v>222</v>
      </c>
      <c r="G81" s="391">
        <f>+VLOOKUP(A81,[52]Puyallup!$B$227:$AG$278,31,FALSE)</f>
        <v>0</v>
      </c>
      <c r="AD81" s="392">
        <f>SUM(G81:AB81)</f>
        <v>0</v>
      </c>
      <c r="AF81" s="410">
        <f>+[53]References!$C$8</f>
        <v>4.33</v>
      </c>
      <c r="AG81" s="407">
        <f>+AD81*AF81</f>
        <v>0</v>
      </c>
      <c r="AH81" s="432">
        <f>[53]References!$C$26</f>
        <v>77</v>
      </c>
      <c r="AI81" s="392">
        <f>+AG81*AH81</f>
        <v>0</v>
      </c>
      <c r="AJ81" s="392">
        <f ca="1">+AI81*'Reg-MUR'!$C$138</f>
        <v>0</v>
      </c>
    </row>
    <row r="82" spans="1:36">
      <c r="A82" s="389" t="s">
        <v>446</v>
      </c>
      <c r="B82" s="389" t="s">
        <v>223</v>
      </c>
      <c r="G82" s="391">
        <f>+VLOOKUP(A82,[52]Puyallup!$B$227:$AG$278,31,FALSE)</f>
        <v>0</v>
      </c>
      <c r="AD82" s="392">
        <f>SUM(G82:AB82)</f>
        <v>0</v>
      </c>
      <c r="AF82" s="410">
        <f>+[53]References!$C$8</f>
        <v>4.33</v>
      </c>
      <c r="AG82" s="407">
        <f>+AD82*AF82</f>
        <v>0</v>
      </c>
      <c r="AH82" s="432">
        <f>[53]References!$C$26</f>
        <v>77</v>
      </c>
      <c r="AI82" s="392">
        <f>+AG82*AH82</f>
        <v>0</v>
      </c>
      <c r="AJ82" s="392">
        <f ca="1">+AI82*'Reg-MUR'!$C$138</f>
        <v>0</v>
      </c>
    </row>
    <row r="83" spans="1:36">
      <c r="A83" s="389" t="s">
        <v>464</v>
      </c>
      <c r="B83" s="389" t="s">
        <v>230</v>
      </c>
      <c r="G83" s="391">
        <f>+VLOOKUP(A83,[52]Puyallup!$B$227:$AG$278,31,FALSE)</f>
        <v>0</v>
      </c>
      <c r="AD83" s="392">
        <f>SUM(G83:AB83)</f>
        <v>0</v>
      </c>
      <c r="AF83" s="410">
        <f>+[53]References!$C$8</f>
        <v>4.33</v>
      </c>
      <c r="AG83" s="407">
        <f>+AD83*AF83</f>
        <v>0</v>
      </c>
      <c r="AH83" s="432">
        <f>[53]References!$C$22</f>
        <v>40</v>
      </c>
      <c r="AI83" s="392">
        <f>+AG83*AH83</f>
        <v>0</v>
      </c>
      <c r="AJ83" s="392">
        <f ca="1">+AI83*'Reg-MUR'!$C$138</f>
        <v>0</v>
      </c>
    </row>
    <row r="84" spans="1:36">
      <c r="A84" s="389" t="s">
        <v>465</v>
      </c>
      <c r="B84" s="389" t="s">
        <v>231</v>
      </c>
      <c r="G84" s="391">
        <f>+VLOOKUP(A84,[52]Puyallup!$B$227:$AG$278,31,FALSE)</f>
        <v>0</v>
      </c>
      <c r="AD84" s="392">
        <f>SUM(G84:AB84)</f>
        <v>0</v>
      </c>
      <c r="AF84" s="410">
        <f>+[53]References!$C$8</f>
        <v>4.33</v>
      </c>
      <c r="AG84" s="407">
        <f>+AD84*AF84</f>
        <v>0</v>
      </c>
      <c r="AH84" s="432">
        <f>[53]References!$C$24</f>
        <v>51</v>
      </c>
      <c r="AI84" s="392">
        <f>+AG84*AH84</f>
        <v>0</v>
      </c>
      <c r="AJ84" s="392">
        <f ca="1">+AI84*'Reg-MUR'!$C$138</f>
        <v>0</v>
      </c>
    </row>
    <row r="85" spans="1:36">
      <c r="A85" s="389" t="s">
        <v>686</v>
      </c>
      <c r="B85" s="389" t="s">
        <v>685</v>
      </c>
      <c r="G85" s="391">
        <v>0</v>
      </c>
      <c r="AD85" s="392">
        <f>SUM(G85:AB85)</f>
        <v>0</v>
      </c>
      <c r="AF85" s="410">
        <v>1</v>
      </c>
      <c r="AG85" s="407">
        <f>+AD85*AF85</f>
        <v>0</v>
      </c>
      <c r="AH85" s="432">
        <f>[53]References!$C$24</f>
        <v>51</v>
      </c>
      <c r="AI85" s="392">
        <f>+AG85*AH85</f>
        <v>0</v>
      </c>
      <c r="AJ85" s="392">
        <f ca="1">+AI85*'Reg-MUR'!$C$138</f>
        <v>0</v>
      </c>
    </row>
    <row r="86" spans="1:36">
      <c r="A86" s="389" t="s">
        <v>449</v>
      </c>
      <c r="B86" s="389" t="s">
        <v>106</v>
      </c>
      <c r="G86" s="391">
        <f>+VLOOKUP(A86,[52]Puyallup!$B$227:$AG$278,31,FALSE)</f>
        <v>253.17280612552676</v>
      </c>
      <c r="AD86" s="392">
        <f>SUM(G86:AB86)</f>
        <v>253.17280612552676</v>
      </c>
      <c r="AF86" s="410">
        <f>+[53]References!$C$8</f>
        <v>4.33</v>
      </c>
      <c r="AG86" s="407">
        <f>+AD86*AF86</f>
        <v>1096.238250523531</v>
      </c>
      <c r="AH86" s="432">
        <f>[53]References!$C$32</f>
        <v>175</v>
      </c>
      <c r="AI86" s="392">
        <f>+AG86*AH86</f>
        <v>191841.6938416179</v>
      </c>
      <c r="AJ86" s="392">
        <f ca="1">+AI86*'Reg-MUR'!$C$138</f>
        <v>138749.04877792511</v>
      </c>
    </row>
    <row r="87" spans="1:36">
      <c r="A87" s="389" t="s">
        <v>451</v>
      </c>
      <c r="B87" s="389" t="s">
        <v>117</v>
      </c>
      <c r="G87" s="391">
        <f>+VLOOKUP(A87,[52]Puyallup!$B$227:$AG$278,31,FALSE)</f>
        <v>0</v>
      </c>
      <c r="AD87" s="392">
        <f>SUM(G87:AB87)</f>
        <v>0</v>
      </c>
      <c r="AF87" s="410">
        <v>1</v>
      </c>
      <c r="AG87" s="407">
        <f>+AD87*AF87</f>
        <v>0</v>
      </c>
      <c r="AH87" s="432">
        <f>[53]References!$C$32</f>
        <v>175</v>
      </c>
      <c r="AI87" s="392">
        <f>+AG87*AH87</f>
        <v>0</v>
      </c>
      <c r="AJ87" s="392">
        <f ca="1">+AI87*'Reg-MUR'!$C$138</f>
        <v>0</v>
      </c>
    </row>
    <row r="88" spans="1:36">
      <c r="A88" s="389" t="s">
        <v>447</v>
      </c>
      <c r="B88" s="389" t="s">
        <v>107</v>
      </c>
      <c r="G88" s="391">
        <f>+VLOOKUP(A88,[52]Puyallup!$B$227:$AG$278,31,FALSE)</f>
        <v>119.9375348626412</v>
      </c>
      <c r="AD88" s="392">
        <f>SUM(G88:AB88)</f>
        <v>119.9375348626412</v>
      </c>
      <c r="AF88" s="410">
        <f>+[53]References!$C$8</f>
        <v>4.33</v>
      </c>
      <c r="AG88" s="407">
        <f>+AD88*AF88</f>
        <v>519.32952595523636</v>
      </c>
      <c r="AH88" s="432">
        <f>+[53]References!$C$33</f>
        <v>250</v>
      </c>
      <c r="AI88" s="392">
        <f>+AG88*AH88</f>
        <v>129832.38148880909</v>
      </c>
      <c r="AJ88" s="392">
        <f ca="1">+AI88*'Reg-MUR'!$C$138</f>
        <v>93900.961107115669</v>
      </c>
    </row>
    <row r="89" spans="1:36">
      <c r="A89" s="389" t="s">
        <v>448</v>
      </c>
      <c r="B89" s="389" t="s">
        <v>108</v>
      </c>
      <c r="G89" s="391">
        <f>+VLOOKUP(A89,[52]Puyallup!$B$227:$AG$278,31,FALSE)</f>
        <v>71.384520088111202</v>
      </c>
      <c r="AD89" s="392">
        <f>SUM(G89:AB89)</f>
        <v>71.384520088111202</v>
      </c>
      <c r="AF89" s="410">
        <f>[53]References!$C$7</f>
        <v>8.66</v>
      </c>
      <c r="AG89" s="407">
        <f>+AD89*AF89</f>
        <v>618.18994396304299</v>
      </c>
      <c r="AH89" s="432">
        <f>+[53]References!$C$33</f>
        <v>250</v>
      </c>
      <c r="AI89" s="392">
        <f>+AG89*AH89</f>
        <v>154547.48599076076</v>
      </c>
      <c r="AJ89" s="392">
        <f ca="1">+AI89*'Reg-MUR'!$C$138</f>
        <v>111776.10165359099</v>
      </c>
    </row>
    <row r="90" spans="1:36">
      <c r="A90" s="389" t="s">
        <v>676</v>
      </c>
      <c r="B90" s="389" t="s">
        <v>118</v>
      </c>
      <c r="G90" s="391">
        <v>0</v>
      </c>
      <c r="AD90" s="392">
        <f>SUM(G90:AB90)</f>
        <v>0</v>
      </c>
      <c r="AF90" s="410">
        <v>1</v>
      </c>
      <c r="AG90" s="407">
        <f>+AD90*AF90</f>
        <v>0</v>
      </c>
      <c r="AH90" s="432">
        <f>+[53]References!$C$33</f>
        <v>250</v>
      </c>
      <c r="AI90" s="392">
        <f>+AG90*AH90</f>
        <v>0</v>
      </c>
      <c r="AJ90" s="392">
        <f ca="1">+AI90*'Reg-MUR'!$C$138</f>
        <v>0</v>
      </c>
    </row>
    <row r="91" spans="1:36">
      <c r="A91" s="389" t="s">
        <v>452</v>
      </c>
      <c r="B91" s="389" t="s">
        <v>109</v>
      </c>
      <c r="G91" s="391">
        <f>+VLOOKUP(A91,[52]Puyallup!$B$227:$AG$278,31,FALSE)</f>
        <v>181.38605469938128</v>
      </c>
      <c r="AD91" s="392">
        <f>SUM(G91:AB91)</f>
        <v>181.38605469938128</v>
      </c>
      <c r="AF91" s="410">
        <f>+[53]References!$C$8</f>
        <v>4.33</v>
      </c>
      <c r="AG91" s="407">
        <f>+AD91*AF91</f>
        <v>785.40161684832094</v>
      </c>
      <c r="AH91" s="432">
        <f>+[53]References!$C$34</f>
        <v>324</v>
      </c>
      <c r="AI91" s="392">
        <f>+AG91*AH91</f>
        <v>254470.12385885598</v>
      </c>
      <c r="AJ91" s="392">
        <f ca="1">+AI91*'Reg-MUR'!$C$138</f>
        <v>184044.91182696956</v>
      </c>
    </row>
    <row r="92" spans="1:36">
      <c r="A92" s="389" t="s">
        <v>453</v>
      </c>
      <c r="B92" s="389" t="s">
        <v>110</v>
      </c>
      <c r="G92" s="391">
        <f>+VLOOKUP(A92,[52]Puyallup!$B$227:$AG$278,31,FALSE)</f>
        <v>162.87499313852854</v>
      </c>
      <c r="AD92" s="392">
        <f>SUM(G92:AB92)</f>
        <v>162.87499313852854</v>
      </c>
      <c r="AF92" s="410">
        <f>[53]References!$C$7</f>
        <v>8.66</v>
      </c>
      <c r="AG92" s="407">
        <f>+AD92*AF92</f>
        <v>1410.4974405796572</v>
      </c>
      <c r="AH92" s="432">
        <f>+[53]References!$C$34</f>
        <v>324</v>
      </c>
      <c r="AI92" s="392">
        <f>+AG92*AH92</f>
        <v>457001.17074780894</v>
      </c>
      <c r="AJ92" s="392">
        <f ca="1">+AI92*'Reg-MUR'!$C$138</f>
        <v>330525.00977188966</v>
      </c>
    </row>
    <row r="93" spans="1:36">
      <c r="A93" s="389" t="s">
        <v>454</v>
      </c>
      <c r="B93" s="389" t="s">
        <v>111</v>
      </c>
      <c r="G93" s="391">
        <f>+VLOOKUP(A93,[52]Puyallup!$B$227:$AG$278,31,FALSE)</f>
        <v>7.5</v>
      </c>
      <c r="AD93" s="392">
        <f>SUM(G93:AB93)</f>
        <v>7.5</v>
      </c>
      <c r="AF93" s="410">
        <f>[53]References!$C$6</f>
        <v>12.99</v>
      </c>
      <c r="AG93" s="407">
        <f>+AD93*AF93</f>
        <v>97.424999999999997</v>
      </c>
      <c r="AH93" s="432">
        <f>+[53]References!$C$34</f>
        <v>324</v>
      </c>
      <c r="AI93" s="392">
        <f>+AG93*AH93</f>
        <v>31565.7</v>
      </c>
      <c r="AJ93" s="392">
        <f ca="1">+AI93*'Reg-MUR'!$C$138</f>
        <v>22829.817446384648</v>
      </c>
    </row>
    <row r="94" spans="1:36">
      <c r="A94" s="389" t="s">
        <v>671</v>
      </c>
      <c r="B94" s="389" t="s">
        <v>670</v>
      </c>
      <c r="G94" s="391">
        <f>+VLOOKUP(A94,[52]Puyallup!$B$227:$AG$278,31,FALSE)</f>
        <v>0</v>
      </c>
      <c r="AD94" s="392">
        <f>SUM(G94:AB94)</f>
        <v>0</v>
      </c>
      <c r="AF94" s="410">
        <f>[53]References!$C$5</f>
        <v>17.32</v>
      </c>
      <c r="AG94" s="407">
        <f>+AD94*AF94</f>
        <v>0</v>
      </c>
      <c r="AH94" s="432">
        <f>+[53]References!$C$34</f>
        <v>324</v>
      </c>
      <c r="AI94" s="392">
        <f>+AG94*AH94</f>
        <v>0</v>
      </c>
      <c r="AJ94" s="392">
        <f ca="1">+AI94*'Reg-MUR'!$C$138</f>
        <v>0</v>
      </c>
    </row>
    <row r="95" spans="1:36">
      <c r="A95" s="464" t="s">
        <v>820</v>
      </c>
      <c r="B95" s="464" t="s">
        <v>819</v>
      </c>
      <c r="G95" s="391">
        <f>+VLOOKUP(A95,[52]Puyallup!$B$227:$AG$278,31,FALSE)</f>
        <v>6.4999981803293601</v>
      </c>
      <c r="AD95" s="392">
        <f>SUM(G95:AB95)</f>
        <v>6.4999981803293601</v>
      </c>
      <c r="AF95" s="410">
        <f>+[53]References!C4</f>
        <v>21.65</v>
      </c>
      <c r="AG95" s="407">
        <f>+AD95*AF95</f>
        <v>140.72496060413064</v>
      </c>
      <c r="AH95" s="432">
        <f>+[53]References!$C$34</f>
        <v>324</v>
      </c>
      <c r="AI95" s="392">
        <f>+AG95*AH95</f>
        <v>45594.88723573833</v>
      </c>
      <c r="AJ95" s="392">
        <f ca="1">+AI95*'Reg-MUR'!$C$138</f>
        <v>32976.393746389265</v>
      </c>
    </row>
    <row r="96" spans="1:36">
      <c r="A96" s="389" t="s">
        <v>456</v>
      </c>
      <c r="B96" s="389" t="s">
        <v>119</v>
      </c>
      <c r="G96" s="391">
        <f>+VLOOKUP(A96,[52]Puyallup!$B$227:$AG$278,31,FALSE)</f>
        <v>0</v>
      </c>
      <c r="AD96" s="392">
        <f>SUM(G96:AB96)</f>
        <v>0</v>
      </c>
      <c r="AF96" s="410">
        <v>1</v>
      </c>
      <c r="AG96" s="407">
        <f>+AD96*AF96</f>
        <v>0</v>
      </c>
      <c r="AH96" s="432">
        <f>+[53]References!$C$34</f>
        <v>324</v>
      </c>
      <c r="AI96" s="392">
        <f>+AG96*AH96</f>
        <v>0</v>
      </c>
      <c r="AJ96" s="392">
        <f ca="1">+AI96*'Reg-MUR'!$C$138</f>
        <v>0</v>
      </c>
    </row>
    <row r="97" spans="1:36">
      <c r="A97" s="389" t="s">
        <v>457</v>
      </c>
      <c r="B97" s="389" t="s">
        <v>112</v>
      </c>
      <c r="G97" s="391">
        <f>+VLOOKUP(A97,[52]Puyallup!$B$227:$AG$278,31,FALSE)</f>
        <v>78.778328085753699</v>
      </c>
      <c r="AD97" s="392">
        <f>SUM(G97:AB97)</f>
        <v>78.778328085753699</v>
      </c>
      <c r="AF97" s="410">
        <f>+[53]References!$C$8</f>
        <v>4.33</v>
      </c>
      <c r="AG97" s="407">
        <f>+AD97*AF97</f>
        <v>341.11016061131352</v>
      </c>
      <c r="AH97" s="432">
        <f>+[53]References!$C$36</f>
        <v>613</v>
      </c>
      <c r="AI97" s="392">
        <f>+AG97*AH97</f>
        <v>209100.52845473518</v>
      </c>
      <c r="AJ97" s="392">
        <f ca="1">+AI97*'Reg-MUR'!$C$138</f>
        <v>151231.45986194391</v>
      </c>
    </row>
    <row r="98" spans="1:36">
      <c r="A98" s="389" t="s">
        <v>458</v>
      </c>
      <c r="B98" s="389" t="s">
        <v>113</v>
      </c>
      <c r="G98" s="391">
        <f>+VLOOKUP(A98,[52]Puyallup!$B$227:$AG$278,31,FALSE)</f>
        <v>15.471677540755852</v>
      </c>
      <c r="AD98" s="392">
        <f>SUM(G98:AB98)</f>
        <v>15.471677540755852</v>
      </c>
      <c r="AF98" s="410">
        <f>[53]References!$C$7</f>
        <v>8.66</v>
      </c>
      <c r="AG98" s="407">
        <f>+AD98*AF98</f>
        <v>133.98472750294567</v>
      </c>
      <c r="AH98" s="432">
        <f>+[53]References!$C$36</f>
        <v>613</v>
      </c>
      <c r="AI98" s="392">
        <f>+AG98*AH98</f>
        <v>82132.637959305692</v>
      </c>
      <c r="AJ98" s="392">
        <f ca="1">+AI98*'Reg-MUR'!$C$138</f>
        <v>59402.2350526347</v>
      </c>
    </row>
    <row r="99" spans="1:36">
      <c r="A99" s="389" t="s">
        <v>460</v>
      </c>
      <c r="B99" s="389" t="s">
        <v>114</v>
      </c>
      <c r="G99" s="391">
        <f>+VLOOKUP(A99,[52]Puyallup!$B$227:$AG$278,31,FALSE)</f>
        <v>60</v>
      </c>
      <c r="AD99" s="392">
        <f>SUM(G99:AB99)</f>
        <v>60</v>
      </c>
      <c r="AF99" s="410">
        <f>+[53]References!$C$8</f>
        <v>4.33</v>
      </c>
      <c r="AG99" s="407">
        <f>+AD99*AF99</f>
        <v>259.8</v>
      </c>
      <c r="AH99" s="432">
        <f>+[53]References!$C$38</f>
        <v>840</v>
      </c>
      <c r="AI99" s="392">
        <f>+AG99*AH99</f>
        <v>218232</v>
      </c>
      <c r="AJ99" s="392">
        <f ca="1">+AI99*'Reg-MUR'!$C$138</f>
        <v>157835.77493796794</v>
      </c>
    </row>
    <row r="100" spans="1:36">
      <c r="A100" s="389" t="s">
        <v>461</v>
      </c>
      <c r="B100" s="389" t="s">
        <v>115</v>
      </c>
      <c r="G100" s="391">
        <f>+VLOOKUP(A100,[52]Puyallup!$B$227:$AG$278,31,FALSE)</f>
        <v>15</v>
      </c>
      <c r="AD100" s="392">
        <f>SUM(G100:AB100)</f>
        <v>15</v>
      </c>
      <c r="AF100" s="410">
        <f>[53]References!$C$7</f>
        <v>8.66</v>
      </c>
      <c r="AG100" s="407">
        <f>+AD100*AF100</f>
        <v>129.9</v>
      </c>
      <c r="AH100" s="432">
        <f>+[53]References!$C$38</f>
        <v>840</v>
      </c>
      <c r="AI100" s="392">
        <f>+AG100*AH100</f>
        <v>109116</v>
      </c>
      <c r="AJ100" s="392">
        <f ca="1">+AI100*'Reg-MUR'!$C$138</f>
        <v>78917.887468983972</v>
      </c>
    </row>
    <row r="101" spans="1:36">
      <c r="A101" s="389" t="s">
        <v>462</v>
      </c>
      <c r="B101" s="389" t="s">
        <v>116</v>
      </c>
      <c r="G101" s="391">
        <f>+VLOOKUP(A101,[52]Puyallup!$B$227:$AG$278,31,FALSE)</f>
        <v>15</v>
      </c>
      <c r="AD101" s="392">
        <f>SUM(G101:AB101)</f>
        <v>15</v>
      </c>
      <c r="AF101" s="410">
        <f>[53]References!$C$6</f>
        <v>12.99</v>
      </c>
      <c r="AG101" s="407">
        <f>+AD101*AF101</f>
        <v>194.85</v>
      </c>
      <c r="AH101" s="432">
        <f>+[53]References!$C$38</f>
        <v>840</v>
      </c>
      <c r="AI101" s="392">
        <f>+AG101*AH101</f>
        <v>163674</v>
      </c>
      <c r="AJ101" s="392">
        <f ca="1">+AI101*'Reg-MUR'!$C$138</f>
        <v>118376.83120347596</v>
      </c>
    </row>
    <row r="102" spans="1:36">
      <c r="A102" s="389" t="s">
        <v>450</v>
      </c>
      <c r="B102" s="389" t="s">
        <v>226</v>
      </c>
      <c r="G102" s="391">
        <f>+VLOOKUP(A102,[52]Puyallup!$B$227:$AG$278,31,FALSE)</f>
        <v>0</v>
      </c>
      <c r="AD102" s="392">
        <f>SUM(G102:AB102)</f>
        <v>0</v>
      </c>
      <c r="AF102" s="391">
        <v>1</v>
      </c>
      <c r="AG102" s="407">
        <f>+AD102*AF102</f>
        <v>0</v>
      </c>
      <c r="AH102" s="432">
        <f>[53]References!$C$32</f>
        <v>175</v>
      </c>
      <c r="AI102" s="392">
        <f>+AG102*AH102</f>
        <v>0</v>
      </c>
      <c r="AJ102" s="392">
        <f ca="1">+AI102*'Reg-MUR'!$C$138</f>
        <v>0</v>
      </c>
    </row>
    <row r="103" spans="1:36">
      <c r="A103" s="389" t="s">
        <v>455</v>
      </c>
      <c r="B103" s="389" t="s">
        <v>227</v>
      </c>
      <c r="G103" s="391">
        <f>+VLOOKUP(A103,[52]Puyallup!$B$227:$AG$278,31,FALSE)</f>
        <v>0</v>
      </c>
      <c r="AD103" s="392">
        <f>SUM(G103:AB103)</f>
        <v>0</v>
      </c>
      <c r="AF103" s="391">
        <v>1</v>
      </c>
      <c r="AG103" s="407">
        <f>+AD103*AF103</f>
        <v>0</v>
      </c>
      <c r="AH103" s="432">
        <f>+[53]References!$C$34</f>
        <v>324</v>
      </c>
      <c r="AI103" s="392">
        <f>+AG103*AH103</f>
        <v>0</v>
      </c>
      <c r="AJ103" s="392">
        <f ca="1">+AI103*'Reg-MUR'!$C$138</f>
        <v>0</v>
      </c>
    </row>
    <row r="104" spans="1:36">
      <c r="A104" s="389" t="s">
        <v>459</v>
      </c>
      <c r="B104" s="389" t="s">
        <v>228</v>
      </c>
      <c r="G104" s="391">
        <f>+VLOOKUP(A104,[52]Puyallup!$B$227:$AG$278,31,FALSE)</f>
        <v>0</v>
      </c>
      <c r="AD104" s="392">
        <f>SUM(G104:AB104)</f>
        <v>0</v>
      </c>
      <c r="AF104" s="391">
        <v>1</v>
      </c>
      <c r="AG104" s="407">
        <f>+AD104*AF104</f>
        <v>0</v>
      </c>
      <c r="AH104" s="432">
        <f>+[53]References!$C$36</f>
        <v>613</v>
      </c>
      <c r="AI104" s="392">
        <f>+AG104*AH104</f>
        <v>0</v>
      </c>
      <c r="AJ104" s="392">
        <f ca="1">+AI104*'Reg-MUR'!$C$138</f>
        <v>0</v>
      </c>
    </row>
    <row r="105" spans="1:36">
      <c r="A105" s="389" t="s">
        <v>463</v>
      </c>
      <c r="B105" s="389" t="s">
        <v>229</v>
      </c>
      <c r="G105" s="391">
        <f>+VLOOKUP(A105,[52]Puyallup!$B$227:$AG$278,31,FALSE)</f>
        <v>0</v>
      </c>
      <c r="AD105" s="392">
        <f>SUM(G105:AB105)</f>
        <v>0</v>
      </c>
      <c r="AF105" s="391">
        <v>1</v>
      </c>
      <c r="AG105" s="407">
        <f>+AD105*AF105</f>
        <v>0</v>
      </c>
      <c r="AH105" s="432">
        <f>+[53]References!$C$38</f>
        <v>840</v>
      </c>
      <c r="AI105" s="392">
        <f>+AG105*AH105</f>
        <v>0</v>
      </c>
      <c r="AJ105" s="392">
        <f ca="1">+AI105*'Reg-MUR'!$C$138</f>
        <v>0</v>
      </c>
    </row>
    <row r="106" spans="1:36">
      <c r="A106" s="389" t="s">
        <v>474</v>
      </c>
      <c r="B106" s="389" t="s">
        <v>233</v>
      </c>
      <c r="G106" s="391">
        <f>+VLOOKUP(A106,[52]Puyallup!$B$227:$AG$278,31,FALSE)</f>
        <v>0</v>
      </c>
      <c r="AD106" s="392">
        <f>SUM(G106:AB106)</f>
        <v>0</v>
      </c>
      <c r="AF106" s="391">
        <v>1</v>
      </c>
      <c r="AH106" s="390">
        <f>+[53]References!$C$15</f>
        <v>34</v>
      </c>
    </row>
    <row r="107" spans="1:36">
      <c r="B107" s="413" t="s">
        <v>815</v>
      </c>
      <c r="D107" s="423">
        <f ca="1">+SUM(D76:OFFSET(D107,-1,0))</f>
        <v>0</v>
      </c>
      <c r="E107" s="423">
        <f ca="1">+SUM(E76:OFFSET(E107,-1,0))</f>
        <v>0</v>
      </c>
      <c r="F107" s="423">
        <f ca="1">+SUM(F76:OFFSET(F107,-1,0))</f>
        <v>0</v>
      </c>
      <c r="G107" s="423">
        <f ca="1">+SUM(G76:OFFSET(G107,-1,0))</f>
        <v>987.00591272102804</v>
      </c>
      <c r="H107" s="423">
        <f ca="1">+SUM(H76:OFFSET(H107,-1,0))</f>
        <v>0</v>
      </c>
      <c r="I107" s="423">
        <f ca="1">+SUM(I76:OFFSET(I107,-1,0))</f>
        <v>0</v>
      </c>
      <c r="J107" s="423">
        <f ca="1">+SUM(J76:OFFSET(J107,-1,0))</f>
        <v>0</v>
      </c>
      <c r="K107" s="423">
        <f ca="1">+SUM(K76:OFFSET(K107,-1,0))</f>
        <v>0</v>
      </c>
      <c r="L107" s="423">
        <f ca="1">+SUM(L76:OFFSET(L107,-1,0))</f>
        <v>0</v>
      </c>
      <c r="M107" s="423">
        <f ca="1">+SUM(M76:OFFSET(M107,-1,0))</f>
        <v>0</v>
      </c>
      <c r="N107" s="423">
        <f ca="1">+SUM(N76:OFFSET(N107,-1,0))</f>
        <v>0</v>
      </c>
      <c r="O107" s="423">
        <f ca="1">+SUM(O76:OFFSET(O107,-1,0))</f>
        <v>0</v>
      </c>
      <c r="P107" s="423">
        <f ca="1">+SUM(P76:OFFSET(P107,-1,0))</f>
        <v>0</v>
      </c>
      <c r="Q107" s="423">
        <f ca="1">+SUM(Q76:OFFSET(Q107,-1,0))</f>
        <v>0</v>
      </c>
      <c r="R107" s="423">
        <f ca="1">+SUM(R76:OFFSET(R107,-1,0))</f>
        <v>0</v>
      </c>
      <c r="S107" s="423">
        <f ca="1">+SUM(S76:OFFSET(S107,-1,0))</f>
        <v>0</v>
      </c>
      <c r="T107" s="423">
        <f ca="1">+SUM(T76:OFFSET(T107,-1,0))</f>
        <v>0</v>
      </c>
      <c r="U107" s="423">
        <f ca="1">+SUM(U76:OFFSET(U107,-1,0))</f>
        <v>0</v>
      </c>
      <c r="V107" s="423">
        <f ca="1">+SUM(V76:OFFSET(V107,-1,0))</f>
        <v>0</v>
      </c>
      <c r="W107" s="423">
        <f ca="1">+SUM(W76:OFFSET(W107,-1,0))</f>
        <v>0</v>
      </c>
      <c r="X107" s="423">
        <f ca="1">+SUM(X76:OFFSET(X107,-1,0))</f>
        <v>0</v>
      </c>
      <c r="Y107" s="423">
        <f ca="1">+SUM(Y76:OFFSET(Y107,-1,0))</f>
        <v>0</v>
      </c>
      <c r="Z107" s="423">
        <f ca="1">+SUM(Z76:OFFSET(Z107,-1,0))</f>
        <v>0</v>
      </c>
      <c r="AA107" s="423">
        <f ca="1">+SUM(AA76:OFFSET(AA107,-1,0))</f>
        <v>0</v>
      </c>
      <c r="AB107" s="423">
        <f ca="1">+SUM(AB76:OFFSET(AB107,-1,0))</f>
        <v>0</v>
      </c>
      <c r="AC107" s="423">
        <f ca="1">+SUM(AC76:OFFSET(AC107,-1,0))</f>
        <v>0</v>
      </c>
      <c r="AD107" s="423">
        <f ca="1">+SUM(AD76:OFFSET(AD107,-1,0))</f>
        <v>987.00591272102804</v>
      </c>
      <c r="AE107" s="423">
        <f ca="1">+SUM(AE76:OFFSET(AE107,-1,0))</f>
        <v>0</v>
      </c>
      <c r="AF107" s="423">
        <f ca="1">+SUM(AF76:OFFSET(AF107,-1,0))</f>
        <v>169.21</v>
      </c>
      <c r="AG107" s="423">
        <f ca="1">+SUM(AG76:OFFSET(AG107,-1,0))</f>
        <v>5727.4516265881784</v>
      </c>
      <c r="AH107" s="423">
        <f ca="1">+SUM(AH76:OFFSET(AH107,-1,0))</f>
        <v>9274</v>
      </c>
      <c r="AI107" s="423">
        <f ca="1">+SUM(AI76:OFFSET(AI107,-1,0))</f>
        <v>2047108.6095776318</v>
      </c>
      <c r="AJ107" s="423">
        <f ca="1">+SUM(AJ76:OFFSET(AJ107,-1,0))</f>
        <v>1480566.4328552715</v>
      </c>
    </row>
    <row r="108" spans="1:36">
      <c r="G108" s="424">
        <f ca="1">+G107-SUM([52]Puyallup!$AF$227:$AF$245,[52]Puyallup!$AF$247:$AF$262,[52]Puyallup!$AF$276)</f>
        <v>0</v>
      </c>
    </row>
    <row r="110" spans="1:36" ht="15.75" thickBot="1">
      <c r="B110" s="413" t="s">
        <v>792</v>
      </c>
      <c r="D110" s="427">
        <f>+D68+D23</f>
        <v>0</v>
      </c>
      <c r="E110" s="427"/>
      <c r="F110" s="427"/>
      <c r="G110" s="430">
        <f ca="1">+G68+G23+G107</f>
        <v>154750.57542096038</v>
      </c>
      <c r="H110" s="427"/>
      <c r="I110" s="427"/>
      <c r="J110" s="429">
        <f ca="1">+J68+J23+J107</f>
        <v>88569.085894845834</v>
      </c>
      <c r="K110" s="427"/>
      <c r="L110" s="427"/>
      <c r="M110" s="430">
        <f ca="1">+M68+M23+M107</f>
        <v>43561.988248663227</v>
      </c>
      <c r="N110" s="428"/>
      <c r="O110" s="427"/>
      <c r="P110" s="430">
        <f ca="1">+P68+P23+P107</f>
        <v>24670.563184900897</v>
      </c>
      <c r="Q110" s="427"/>
      <c r="R110" s="427"/>
      <c r="S110" s="430">
        <f ca="1">+S68+S23+S107</f>
        <v>26407.054076639353</v>
      </c>
      <c r="T110" s="427"/>
      <c r="U110" s="427"/>
      <c r="V110" s="430">
        <f ca="1">+V68+V23+V107</f>
        <v>36754.052406193754</v>
      </c>
      <c r="W110" s="427"/>
      <c r="X110" s="427"/>
      <c r="Y110" s="430">
        <f ca="1">+Y68+Y23+Y107</f>
        <v>6033.999672754805</v>
      </c>
      <c r="Z110" s="427"/>
      <c r="AA110" s="427"/>
      <c r="AB110" s="430">
        <f ca="1">+AB68+AB23+AB107</f>
        <v>4743.4551433176566</v>
      </c>
      <c r="AC110" s="427"/>
      <c r="AD110" s="431">
        <f ca="1">+AD68+AD23+AD107</f>
        <v>385490.77404827595</v>
      </c>
      <c r="AE110" s="427"/>
      <c r="AF110" s="431">
        <f ca="1">+AF68+AF23+AF107</f>
        <v>507.29000000000008</v>
      </c>
      <c r="AG110" s="431">
        <f ca="1">+AG68+AG23+AG107</f>
        <v>1621680.3891406679</v>
      </c>
      <c r="AH110" s="431">
        <f ca="1">+AH68+AH23+AH107</f>
        <v>29853</v>
      </c>
      <c r="AI110" s="431">
        <f ca="1">+AI68+AI23+AI107</f>
        <v>118597296.37340531</v>
      </c>
      <c r="AJ110" s="431">
        <f ca="1">+AJ68+AJ23+AJ107</f>
        <v>85775212.5199067</v>
      </c>
    </row>
    <row r="111" spans="1:36" ht="15.75" thickTop="1"/>
  </sheetData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73D76DC5A2E8544288264AABD58625BA" ma:contentTypeVersion="24" ma:contentTypeDescription="" ma:contentTypeScope="" ma:versionID="c9bace64f873cbc8cbe4a828b32a6c00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5371b12cbd0ca12feeca5b6edfa8e73e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TG</Prefix>
    <DocumentSetType xmlns="dc463f71-b30c-4ab2-9473-d307f9d35888">Workpapers</DocumentSetType>
    <IsConfidential xmlns="dc463f71-b30c-4ab2-9473-d307f9d35888">false</IsConfidential>
    <AgendaOrder xmlns="dc463f71-b30c-4ab2-9473-d307f9d35888">false</AgendaOrder>
    <CaseType xmlns="dc463f71-b30c-4ab2-9473-d307f9d35888">Tariff Revision</CaseType>
    <IndustryCode xmlns="dc463f71-b30c-4ab2-9473-d307f9d35888">227</IndustryCode>
    <CaseStatus xmlns="dc463f71-b30c-4ab2-9473-d307f9d35888">Pending</CaseStatus>
    <OpenedDate xmlns="dc463f71-b30c-4ab2-9473-d307f9d35888">2023-01-13T08:00:00+00:00</OpenedDate>
    <Date1 xmlns="dc463f71-b30c-4ab2-9473-d307f9d35888">2023-01-13T08:00:00+00:00</Date1>
    <IsDocumentOrder xmlns="dc463f71-b30c-4ab2-9473-d307f9d35888">false</IsDocumentOrder>
    <IsHighlyConfidential xmlns="dc463f71-b30c-4ab2-9473-d307f9d35888">false</IsHighlyConfidential>
    <CaseCompanyNames xmlns="dc463f71-b30c-4ab2-9473-d307f9d35888">MURREY'S DISPOSAL COMPANY, INC.  </CaseCompanyNames>
    <DocketNumber xmlns="dc463f71-b30c-4ab2-9473-d307f9d35888">230038</DocketNumber>
    <DelegatedOrder xmlns="dc463f71-b30c-4ab2-9473-d307f9d35888">false</DelegatedOrder>
    <Visibility xmlns="dc463f71-b30c-4ab2-9473-d307f9d35888" xsi:nil="true"/>
    <Nickname xmlns="http://schemas.microsoft.com/sharepoint/v3" xsi:nil="true"/>
    <SignificantOrder xmlns="dc463f71-b30c-4ab2-9473-d307f9d35888">false</SignificantOrder>
  </documentManagement>
</p:properties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F04879F4-0B4F-419D-98B3-43B710E079BC}"/>
</file>

<file path=customXml/itemProps2.xml><?xml version="1.0" encoding="utf-8"?>
<ds:datastoreItem xmlns:ds="http://schemas.openxmlformats.org/officeDocument/2006/customXml" ds:itemID="{BCE30517-EDCC-457C-8111-BC3A8E1249E1}"/>
</file>

<file path=customXml/itemProps3.xml><?xml version="1.0" encoding="utf-8"?>
<ds:datastoreItem xmlns:ds="http://schemas.openxmlformats.org/officeDocument/2006/customXml" ds:itemID="{2D311DB4-3EBC-4224-B614-8F3A5117EE75}">
  <ds:schemaRefs>
    <ds:schemaRef ds:uri="http://www.w3.org/XML/1998/namespace"/>
    <ds:schemaRef ds:uri="dc463f71-b30c-4ab2-9473-d307f9d35888"/>
    <ds:schemaRef ds:uri="http://schemas.microsoft.com/office/2006/documentManagement/types"/>
    <ds:schemaRef ds:uri="http://purl.org/dc/elements/1.1/"/>
    <ds:schemaRef ds:uri="http://schemas.microsoft.com/office/2006/metadata/properties"/>
    <ds:schemaRef ds:uri="http://schemas.microsoft.com/office/infopath/2007/PartnerControls"/>
    <ds:schemaRef ds:uri="http://schemas.microsoft.com/sharepoint/v3"/>
    <ds:schemaRef ds:uri="http://schemas.openxmlformats.org/package/2006/metadata/core-properties"/>
    <ds:schemaRef ds:uri="http://purl.org/dc/dcmitype/"/>
    <ds:schemaRef ds:uri="http://purl.org/dc/terms/"/>
  </ds:schemaRefs>
</ds:datastoreItem>
</file>

<file path=customXml/itemProps4.xml><?xml version="1.0" encoding="utf-8"?>
<ds:datastoreItem xmlns:ds="http://schemas.openxmlformats.org/officeDocument/2006/customXml" ds:itemID="{198FA305-A519-4B6E-9C27-D6F535D86229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9</vt:i4>
      </vt:variant>
    </vt:vector>
  </HeadingPairs>
  <TitlesOfParts>
    <vt:vector size="17" baseType="lpstr">
      <vt:lpstr>References</vt:lpstr>
      <vt:lpstr>DF Calculation</vt:lpstr>
      <vt:lpstr>To Populate Tariff</vt:lpstr>
      <vt:lpstr>Mapping</vt:lpstr>
      <vt:lpstr>Murrey's Price Out 2022</vt:lpstr>
      <vt:lpstr>Disposal</vt:lpstr>
      <vt:lpstr>Reg-MUR</vt:lpstr>
      <vt:lpstr>NonReg</vt:lpstr>
      <vt:lpstr>'DF Calculation'!Print_Area</vt:lpstr>
      <vt:lpstr>Disposal!Print_Area</vt:lpstr>
      <vt:lpstr>Mapping!Print_Area</vt:lpstr>
      <vt:lpstr>'Murrey''s Price Out 2022'!Print_Area</vt:lpstr>
      <vt:lpstr>'To Populate Tariff'!Print_Area</vt:lpstr>
      <vt:lpstr>'DF Calculation'!Print_Titles</vt:lpstr>
      <vt:lpstr>Mapping!Print_Titles</vt:lpstr>
      <vt:lpstr>'Murrey''s Price Out 2022'!Print_Titles</vt:lpstr>
      <vt:lpstr>'To Populate Tariff'!Print_Titles</vt:lpstr>
    </vt:vector>
  </TitlesOfParts>
  <Company>Washington Utilities and Transportation Commission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Mike Young</dc:creator>
  <cp:lastModifiedBy>Brian Vandenburg</cp:lastModifiedBy>
  <cp:lastPrinted>2022-02-15T18:52:07Z</cp:lastPrinted>
  <dcterms:created xsi:type="dcterms:W3CDTF">2013-10-29T22:33:54Z</dcterms:created>
  <dcterms:modified xsi:type="dcterms:W3CDTF">2023-01-13T23:18:46Z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0x0101006E56B4D1795A2E4DB2F0B01679ED314A0073D76DC5A2E8544288264AABD58625BA</vt:lpwstr>
  </property>
  <property fmtid="{D5CDD505-2E9C-101B-9397-08002B2CF9AE}" pid="3" name="_docset_NoMedatataSyncRequired">
    <vt:lpwstr>False</vt:lpwstr>
  </property>
  <property fmtid="{D5CDD505-2E9C-101B-9397-08002B2CF9AE}" pid="4" name="IsEFSEC">
    <vt:bool>false</vt:bool>
  </property>
</Properties>
</file>